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a\Dropbox\KomaxPaper\Notizen Benchmarktests\Benchmark-Tests\"/>
    </mc:Choice>
  </mc:AlternateContent>
  <xr:revisionPtr revIDLastSave="0" documentId="13_ncr:1_{BECDDBAB-D39F-463E-8212-3EB8C95FB801}" xr6:coauthVersionLast="46" xr6:coauthVersionMax="46" xr10:uidLastSave="{00000000-0000-0000-0000-000000000000}"/>
  <bookViews>
    <workbookView xWindow="28680" yWindow="-120" windowWidth="28110" windowHeight="16440" xr2:uid="{E7EF157D-6B8C-4301-86B3-A383ED7030DD}"/>
  </bookViews>
  <sheets>
    <sheet name="Sheet1" sheetId="1" r:id="rId1"/>
    <sheet name="Quasi-optim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U3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T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CD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L3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T3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S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AL3" i="1"/>
  <c r="AG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K6" i="1"/>
  <c r="AK3" i="1"/>
  <c r="AK4" i="1"/>
  <c r="AK5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Q3" i="1"/>
  <c r="AH281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H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CZ97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DK281" i="1"/>
  <c r="DJ281" i="1"/>
  <c r="DG281" i="1"/>
  <c r="DF281" i="1"/>
  <c r="DB281" i="1"/>
  <c r="DC281" i="1"/>
  <c r="CX281" i="1"/>
  <c r="CY2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DT281" i="1" l="1"/>
  <c r="DY281" i="1"/>
  <c r="DZ281" i="1"/>
  <c r="AF281" i="1"/>
  <c r="DH281" i="1"/>
  <c r="DL281" i="1"/>
  <c r="DD281" i="1"/>
  <c r="CC281" i="1"/>
  <c r="AQ281" i="1"/>
  <c r="DP281" i="1"/>
  <c r="CV281" i="1"/>
  <c r="CU28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N281" i="1" l="1"/>
  <c r="J281" i="1"/>
  <c r="V281" i="1"/>
  <c r="CK281" i="1" l="1"/>
  <c r="CL281" i="1"/>
  <c r="CM281" i="1"/>
  <c r="CO281" i="1"/>
  <c r="CP281" i="1"/>
  <c r="CR281" i="1"/>
  <c r="CS281" i="1"/>
  <c r="W281" i="1" l="1"/>
  <c r="CH281" i="1" l="1"/>
  <c r="BP281" i="1"/>
  <c r="CE281" i="1"/>
  <c r="S281" i="1" l="1"/>
  <c r="R281" i="1"/>
  <c r="T281" i="1" l="1"/>
  <c r="P281" i="1"/>
  <c r="O281" i="1"/>
  <c r="K281" i="1" l="1"/>
  <c r="BQ281" i="1" l="1"/>
  <c r="BR281" i="1"/>
  <c r="AN281" i="1" l="1"/>
  <c r="AD281" i="1" l="1"/>
  <c r="CA281" i="1" l="1"/>
  <c r="CB281" i="1"/>
  <c r="BW281" i="1"/>
  <c r="BV281" i="1"/>
  <c r="BM281" i="1"/>
  <c r="BI281" i="1" l="1"/>
  <c r="BA281" i="1"/>
  <c r="AW281" i="1"/>
  <c r="BE281" i="1"/>
  <c r="AS281" i="1"/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BO280" i="1" l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 l="1"/>
  <c r="BK281" i="1"/>
  <c r="BG281" i="1"/>
  <c r="BC281" i="1"/>
  <c r="AY281" i="1"/>
  <c r="BO281" i="1"/>
  <c r="BN281" i="1" l="1"/>
  <c r="BJ281" i="1"/>
  <c r="BF281" i="1"/>
  <c r="BB281" i="1"/>
  <c r="AX281" i="1"/>
  <c r="AT281" i="1"/>
  <c r="G281" i="1" l="1"/>
  <c r="F281" i="1"/>
  <c r="E281" i="1"/>
  <c r="D281" i="1"/>
  <c r="C281" i="1"/>
  <c r="B281" i="1"/>
  <c r="AI281" i="1"/>
  <c r="AA281" i="1"/>
  <c r="AO281" i="1" l="1"/>
  <c r="AJ281" i="1"/>
  <c r="AB281" i="1"/>
  <c r="AE281" i="1"/>
  <c r="X281" i="1"/>
  <c r="L281" i="1"/>
  <c r="N56" i="2" l="1"/>
  <c r="U281" i="1" l="1"/>
  <c r="U56" i="2" l="1"/>
</calcChain>
</file>

<file path=xl/sharedStrings.xml><?xml version="1.0" encoding="utf-8"?>
<sst xmlns="http://schemas.openxmlformats.org/spreadsheetml/2006/main" count="9294" uniqueCount="445">
  <si>
    <t>Example</t>
  </si>
  <si>
    <t>K</t>
  </si>
  <si>
    <t>B</t>
  </si>
  <si>
    <t>Atomic Constraints</t>
  </si>
  <si>
    <t>Soft Atomic Constraints</t>
  </si>
  <si>
    <t>Disjunctive Constraints</t>
  </si>
  <si>
    <t>Direct Successors</t>
  </si>
  <si>
    <t>One-sided cables</t>
  </si>
  <si>
    <t>Chuffed_MZ1 State</t>
  </si>
  <si>
    <t>Chuffed_MZ1 Cost</t>
  </si>
  <si>
    <t>Chuffed_MZ2 State</t>
  </si>
  <si>
    <t>Chuffed_MZ2 Cost</t>
  </si>
  <si>
    <t>Cplex_MC State</t>
  </si>
  <si>
    <t>Cplex_MC Cost</t>
  </si>
  <si>
    <t>ORTools MZ1_noAbs State</t>
  </si>
  <si>
    <t>ORTools MZ1_noAbs Cost</t>
  </si>
  <si>
    <t>ORTools MZ2_noAbs State</t>
  </si>
  <si>
    <t>ORTools MZ2_noAbs Cost</t>
  </si>
  <si>
    <t>Cplex_MB State</t>
  </si>
  <si>
    <t>Cplex_MB Cost</t>
  </si>
  <si>
    <t>Cplex_MD State</t>
  </si>
  <si>
    <t>Cplex_MD Cost</t>
  </si>
  <si>
    <t>Cplex_MI State</t>
  </si>
  <si>
    <t>Cplex_MI Cost</t>
  </si>
  <si>
    <t>A001</t>
  </si>
  <si>
    <t>Optimal</t>
  </si>
  <si>
    <t>Suboptimal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</si>
  <si>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</si>
  <si>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</si>
  <si>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</si>
  <si>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</si>
  <si>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</si>
  <si>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</si>
  <si>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</si>
  <si>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</si>
  <si>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</si>
  <si>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</si>
  <si>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</si>
  <si>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</si>
  <si>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</si>
  <si>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</si>
  <si>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</si>
  <si>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NoSolution</t>
  </si>
  <si>
    <t>A017</t>
  </si>
  <si>
    <t>A018</t>
  </si>
  <si>
    <t>A019</t>
  </si>
  <si>
    <t>A020</t>
  </si>
  <si>
    <t>A021</t>
  </si>
  <si>
    <t>A022</t>
  </si>
  <si>
    <t>A023</t>
  </si>
  <si>
    <t>A024</t>
  </si>
  <si>
    <t>Undefined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</si>
  <si>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</si>
  <si>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</si>
  <si>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</si>
  <si>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</si>
  <si>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</si>
  <si>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</si>
  <si>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</si>
  <si>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</si>
  <si>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</si>
  <si>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</si>
  <si>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</si>
  <si>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</si>
  <si>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</si>
  <si>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</si>
  <si>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</si>
  <si>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</si>
  <si>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</si>
  <si>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</si>
  <si>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</si>
  <si>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</si>
  <si>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</si>
  <si>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</si>
  <si>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</si>
  <si>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</si>
  <si>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</si>
  <si>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Unsatisfiable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</si>
  <si>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</si>
  <si>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</si>
  <si>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</si>
  <si>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</si>
  <si>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</si>
  <si>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</si>
  <si>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</si>
  <si>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</si>
  <si>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</si>
  <si>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</si>
  <si>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</si>
  <si>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</si>
  <si>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</si>
  <si>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</si>
  <si>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</si>
  <si>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</si>
  <si>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</si>
  <si>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</si>
  <si>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</si>
  <si>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</si>
  <si>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</si>
  <si>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</si>
  <si>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</si>
  <si>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</si>
  <si>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</si>
  <si>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</si>
  <si>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</si>
  <si>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</si>
  <si>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</si>
  <si>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</si>
  <si>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</si>
  <si>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</si>
  <si>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</si>
  <si>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</si>
  <si>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</si>
  <si>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</si>
  <si>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</si>
  <si>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</si>
  <si>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</si>
  <si>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</si>
  <si>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</si>
  <si>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</si>
  <si>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</si>
  <si>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</si>
  <si>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</si>
  <si>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</si>
  <si>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</si>
  <si>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</si>
  <si>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</si>
  <si>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</si>
  <si>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</si>
  <si>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</si>
  <si>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</si>
  <si>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</si>
  <si>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</si>
  <si>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</si>
  <si>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</si>
  <si>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</si>
  <si>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</si>
  <si>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</si>
  <si>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</si>
  <si>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</si>
  <si>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</si>
  <si>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</si>
  <si>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</si>
  <si>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</si>
  <si>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</si>
  <si>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</si>
  <si>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</si>
  <si>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</si>
  <si>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</si>
  <si>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</si>
  <si>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</si>
  <si>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</si>
  <si>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</si>
  <si>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</si>
  <si>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</si>
  <si>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</si>
  <si>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</si>
  <si>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</si>
  <si>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</si>
  <si>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</si>
  <si>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</si>
  <si>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</si>
  <si>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</si>
  <si>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</si>
  <si>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</si>
  <si>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</si>
  <si>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</si>
  <si>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</si>
  <si>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</si>
  <si>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</si>
  <si>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</si>
  <si>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</si>
  <si>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</si>
  <si>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</si>
  <si>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</si>
  <si>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</si>
  <si>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</si>
  <si>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</si>
  <si>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</si>
  <si>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</si>
  <si>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</si>
  <si>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</si>
  <si>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</si>
  <si>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</si>
  <si>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</si>
  <si>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</si>
  <si>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</si>
  <si>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</si>
  <si>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</si>
  <si>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</si>
  <si>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</si>
  <si>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</si>
  <si>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</si>
  <si>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</si>
  <si>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</si>
  <si>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</si>
  <si>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</si>
  <si>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</si>
  <si>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</si>
  <si>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</si>
  <si>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</si>
  <si>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</si>
  <si>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</si>
  <si>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</si>
  <si>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</si>
  <si>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</si>
  <si>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</si>
  <si>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</si>
  <si>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</si>
  <si>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</si>
  <si>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</si>
  <si>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</si>
  <si>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</si>
  <si>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</si>
  <si>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</si>
  <si>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</si>
  <si>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</si>
  <si>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</si>
  <si>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</si>
  <si>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</si>
  <si>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</si>
  <si>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</si>
  <si>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</si>
  <si>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</si>
  <si>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</si>
  <si>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</si>
  <si>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</si>
  <si>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</si>
  <si>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</si>
  <si>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</si>
  <si>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</si>
  <si>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</si>
  <si>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</si>
  <si>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</si>
  <si>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</si>
  <si>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</si>
  <si>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</si>
  <si>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</si>
  <si>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</si>
  <si>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</si>
  <si>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</si>
  <si>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</si>
  <si>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</si>
  <si>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</si>
  <si>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</si>
  <si>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</si>
  <si>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</si>
  <si>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</si>
  <si>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</si>
  <si>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</si>
  <si>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</si>
  <si>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</si>
  <si>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</si>
  <si>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</si>
  <si>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</si>
  <si>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</si>
  <si>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</si>
  <si>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</si>
  <si>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</si>
  <si>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</si>
  <si>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</si>
  <si>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</si>
  <si>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</si>
  <si>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</si>
  <si>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</si>
  <si>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</si>
  <si>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</si>
  <si>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</si>
  <si>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</si>
  <si>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</si>
  <si>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</si>
  <si>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</si>
  <si>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</si>
  <si>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</si>
  <si>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</si>
  <si>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</si>
  <si>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</si>
  <si>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</si>
  <si>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</si>
  <si>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</si>
  <si>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</si>
  <si>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</si>
  <si>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</si>
  <si>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</si>
  <si>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</si>
  <si>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</si>
  <si>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</si>
  <si>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</si>
  <si>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</si>
  <si>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</si>
  <si>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</si>
  <si>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</si>
  <si>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</si>
  <si>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</si>
  <si>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</si>
  <si>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</si>
  <si>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</si>
  <si>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</si>
  <si>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</si>
  <si>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</si>
  <si>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</si>
  <si>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</si>
  <si>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</si>
  <si>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</si>
  <si>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</si>
  <si>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</si>
  <si>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</si>
  <si>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Total</t>
  </si>
  <si>
    <t>-</t>
  </si>
  <si>
    <t xml:space="preserve">Comments: </t>
  </si>
  <si>
    <t>Unsatisfiable instances are marked in light red</t>
  </si>
  <si>
    <t>Suboptimal solutions of minimal cost (which are in fact optimal solutions) are marked in yellow</t>
  </si>
  <si>
    <t>Cplex CP Tuned Search Time</t>
  </si>
  <si>
    <t>Cplex CP Tuned Cost</t>
  </si>
  <si>
    <t>Cplex CP Tuned State</t>
  </si>
  <si>
    <t>OR-Tools FZN1 Tuned State</t>
  </si>
  <si>
    <t>OR-Tools FZN1 Tuned Cost</t>
  </si>
  <si>
    <t>OR-Tools FZN1 Tuned Search Time</t>
  </si>
  <si>
    <t>ORTools FZN1 State</t>
  </si>
  <si>
    <t>ORTools FZN1 Cost</t>
  </si>
  <si>
    <t>ORTools FZN1 Search time</t>
  </si>
  <si>
    <t>ORTools FZN2 State</t>
  </si>
  <si>
    <t>ORTools FZN2 Cost</t>
  </si>
  <si>
    <t>ORTools FZN2 Search time</t>
  </si>
  <si>
    <t>Chuffed MZ1 State</t>
  </si>
  <si>
    <t>Chuffed MZ1 Cost</t>
  </si>
  <si>
    <t>Chuffed MZ1 Search time</t>
  </si>
  <si>
    <t>Chuffed MZ2 State</t>
  </si>
  <si>
    <t>Chuffed MZ2 Cost</t>
  </si>
  <si>
    <t>Chuffed MZ2 Search time</t>
  </si>
  <si>
    <t>Cplex MC State</t>
  </si>
  <si>
    <t>Cplex MC Cost</t>
  </si>
  <si>
    <t>Cplex MC Search time</t>
  </si>
  <si>
    <t>Quasi-optimal solutions Cplex MC</t>
  </si>
  <si>
    <t>Cplex MB State</t>
  </si>
  <si>
    <t>Cplex MB Cost</t>
  </si>
  <si>
    <t>Cplex MB Search time</t>
  </si>
  <si>
    <t>Different costs Cplex MB</t>
  </si>
  <si>
    <t>Cplex MD State</t>
  </si>
  <si>
    <t>Cplex MD Cost</t>
  </si>
  <si>
    <t>Cplex MD Search time</t>
  </si>
  <si>
    <t>Different costs Cplex MD</t>
  </si>
  <si>
    <t>Cplex MI State</t>
  </si>
  <si>
    <t>Cplex MI Cost</t>
  </si>
  <si>
    <t>Cplex MI Search time</t>
  </si>
  <si>
    <t>Different costs Cplex MI</t>
  </si>
  <si>
    <t>Z3 SMT2-1 Maxres State</t>
  </si>
  <si>
    <t>Z3 SMT2-1 Maxres Cost</t>
  </si>
  <si>
    <t>Z3 SMT2-1 Maxres Search Time</t>
  </si>
  <si>
    <t>Quasi-optimal solutions Z3 SMT2-1 Maxres</t>
  </si>
  <si>
    <t>Z3 SMT2-1 PdMaxres Cost</t>
  </si>
  <si>
    <t>Z3 SMT2-1 PdMaxres Search Time</t>
  </si>
  <si>
    <t>Quasi-optimal solutions Z3 SMT2-1 PdMaxres</t>
  </si>
  <si>
    <t>Z3 SMT2-1 WMax Cost</t>
  </si>
  <si>
    <t>Z3 SMT2-1 Wmax Search Time</t>
  </si>
  <si>
    <t>Quasi-optimal solutions SMT2-1 Wmax</t>
  </si>
  <si>
    <t>Z3 SMT2-2 Maxres State</t>
  </si>
  <si>
    <t>Z3 SMT2-2 Maxres Cost</t>
  </si>
  <si>
    <t>Z3 SMT2-2 Maxres Search Time</t>
  </si>
  <si>
    <t>Quasi-optimal solutions SMT2-2 Maxres</t>
  </si>
  <si>
    <t>Z3 SMT2-2 PdMaxres State</t>
  </si>
  <si>
    <t>Z3 SMT2-2 PdMaxres Cost</t>
  </si>
  <si>
    <t>Z3 SMT2-2 PdMaxres Search Time</t>
  </si>
  <si>
    <t>Quasi-optimal solutions Z3 SMT2-2 PdMaxres</t>
  </si>
  <si>
    <t>Z3 SMT2-2 Wmax State</t>
  </si>
  <si>
    <t>Z3 SMT2-2 WMax Cost</t>
  </si>
  <si>
    <t>Z3 SMT2-2 Wmax Search Time</t>
  </si>
  <si>
    <t>Quasi-optimal solutions Z3 SMT2-2 Wmax</t>
  </si>
  <si>
    <t>Gurobi MB State</t>
  </si>
  <si>
    <t>Gurobi MB Cost</t>
  </si>
  <si>
    <t>Gurobi MB Search Time</t>
  </si>
  <si>
    <t>Gurobi MD State</t>
  </si>
  <si>
    <t>Gurobi MD Cost</t>
  </si>
  <si>
    <t>Gurobi MD Search Time</t>
  </si>
  <si>
    <t>Gurobi MI State</t>
  </si>
  <si>
    <t>Gurobi MI Cost</t>
  </si>
  <si>
    <t>Gurobi MI Search Time</t>
  </si>
  <si>
    <t>OptiMathSat SMT2-1 Cost</t>
  </si>
  <si>
    <t>OptiMathSat SMT2-1 Search Time</t>
  </si>
  <si>
    <t>OptiMathSat SMT2-1 State</t>
  </si>
  <si>
    <t>OptiMathSat SMT2-2 State</t>
  </si>
  <si>
    <t>OptiMathSat SMT2-2 Cost</t>
  </si>
  <si>
    <t>OptiMathSat SMT2-2 Search Time</t>
  </si>
  <si>
    <t>Chuffed Tuned State</t>
  </si>
  <si>
    <t>Chuffed Tuned Cost</t>
  </si>
  <si>
    <t>Chuffed Tuned Search Time</t>
  </si>
  <si>
    <t>OR-Tools FZN1 8 workers State</t>
  </si>
  <si>
    <t>OR-Tools FZN1 8 workers Cost</t>
  </si>
  <si>
    <t>OR-Tools FZN1 8 workers Search  Time</t>
  </si>
  <si>
    <t>Sum of Constraints</t>
  </si>
  <si>
    <t>Cplex MZ1 State</t>
  </si>
  <si>
    <t>Cplex MZ1 Cost</t>
  </si>
  <si>
    <t>Cplex Mz1 Search Time</t>
  </si>
  <si>
    <t>Cplex MZ2 State</t>
  </si>
  <si>
    <t>Cplex MZ2 Cost</t>
  </si>
  <si>
    <t>Cplex MZ2 Search Time</t>
  </si>
  <si>
    <t>Gurobi MZ1 State</t>
  </si>
  <si>
    <t>Gurobi MZ1 Cost</t>
  </si>
  <si>
    <t>Gurobi MZ1 Search Time</t>
  </si>
  <si>
    <t>Gurobi MZ2 State</t>
  </si>
  <si>
    <t>Gurobi MZ2 Cost</t>
  </si>
  <si>
    <t>Gurobi MZ2 Search Time</t>
  </si>
  <si>
    <t>Quasi-optimal solutions Cplex MZ1</t>
  </si>
  <si>
    <t>Quasi-optimal solutions Cplex MZ2</t>
  </si>
  <si>
    <t>Quasi-optimal solutions Gurobi MZ1</t>
  </si>
  <si>
    <t>Quasi-optimal solutions Gurobi MZ2</t>
  </si>
  <si>
    <t>Cplex MC nonDual State</t>
  </si>
  <si>
    <t>Cplex MC nonDual Cost</t>
  </si>
  <si>
    <t>Cplex MC nonDual Search Time</t>
  </si>
  <si>
    <t>Quasi-optimal solutions Cplex MC nonDual</t>
  </si>
  <si>
    <t>Quasi-optimal solutions Gurobi MI</t>
  </si>
  <si>
    <t>Quasi-optimal solutions Cplex MI</t>
  </si>
  <si>
    <t>Quasi-optimal solutions ORTools FZN1</t>
  </si>
  <si>
    <t>Quasi-optimal solutions Chuffed MZ1</t>
  </si>
  <si>
    <t>Quasi-optimal solutions Chuffed MZ2</t>
  </si>
  <si>
    <t>Quasi-optimal solutions Cplex MD</t>
  </si>
  <si>
    <t>Quasi-optimal solutions MB</t>
  </si>
  <si>
    <t>Quasi-optimal solutions Gurobi MB</t>
  </si>
  <si>
    <t>Different costs Gurobi MB</t>
  </si>
  <si>
    <t>Different costs Gurobi MI</t>
  </si>
  <si>
    <t>Quasi-optimal solutions Gurobi MD</t>
  </si>
  <si>
    <t>Different costs Gurobi MD</t>
  </si>
  <si>
    <t>M_Z</t>
  </si>
  <si>
    <t>New name of model in final published paper</t>
  </si>
  <si>
    <t>M_GT</t>
  </si>
  <si>
    <t>DM</t>
  </si>
  <si>
    <t>M'_Z</t>
  </si>
  <si>
    <t>M'_GT</t>
  </si>
  <si>
    <t>M_B</t>
  </si>
  <si>
    <t>DM_MIP</t>
  </si>
  <si>
    <t>M_MIP</t>
  </si>
  <si>
    <t>Z3 SMT2-1 Wmax State</t>
  </si>
  <si>
    <t>Z3 SMT2-1 PdMaxres State</t>
  </si>
  <si>
    <t>M</t>
  </si>
  <si>
    <t>Cplex MIP DM'z  State</t>
  </si>
  <si>
    <t>Cplex MIP DM'z Cost</t>
  </si>
  <si>
    <t>Cplex MIP DM'z  Search Time</t>
  </si>
  <si>
    <t>Quasi-optimal solutions Cplex MIP DM'z</t>
  </si>
  <si>
    <t>Different costs Cplex MIP DM'z</t>
  </si>
  <si>
    <t>Gurobi DM'z  State</t>
  </si>
  <si>
    <t>Gurobi DM'z  Cost</t>
  </si>
  <si>
    <t>Gurobi DM'z Search Time</t>
  </si>
  <si>
    <t>Quasi-optimal solutions Gurobi DM'z</t>
  </si>
  <si>
    <t>Different costs Gurobi DM'z</t>
  </si>
  <si>
    <t>DM'z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</si>
</sst>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14" applyNumberFormat="0" applyFill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3" borderId="2" xfId="0" applyFill="1" applyBorder="1"/>
    <xf numFmtId="0" fontId="0" fillId="5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3" xfId="0" applyBorder="1"/>
    <xf numFmtId="0" fontId="0" fillId="5" borderId="2" xfId="0" applyFont="1" applyFill="1" applyBorder="1"/>
    <xf numFmtId="0" fontId="0" fillId="3" borderId="2" xfId="0" applyFont="1" applyFill="1" applyBorder="1"/>
    <xf numFmtId="0" fontId="0" fillId="6" borderId="2" xfId="0" applyFont="1" applyFill="1" applyBorder="1"/>
    <xf numFmtId="0" fontId="0" fillId="4" borderId="2" xfId="0" applyFont="1" applyFill="1" applyBorder="1"/>
    <xf numFmtId="0" fontId="0" fillId="7" borderId="2" xfId="0" applyFont="1" applyFill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3" borderId="10" xfId="0" applyFill="1" applyBorder="1"/>
    <xf numFmtId="0" fontId="0" fillId="2" borderId="2" xfId="0" applyFont="1" applyFill="1" applyBorder="1"/>
    <xf numFmtId="0" fontId="0" fillId="3" borderId="2" xfId="0" applyFill="1" applyBorder="1" applyAlignment="1">
      <alignment wrapText="1"/>
    </xf>
    <xf numFmtId="0" fontId="0" fillId="4" borderId="2" xfId="0" applyNumberFormat="1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2" xfId="0" applyBorder="1"/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164" fontId="0" fillId="3" borderId="2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Border="1"/>
    <xf numFmtId="0" fontId="0" fillId="0" borderId="1" xfId="0" applyBorder="1"/>
    <xf numFmtId="0" fontId="0" fillId="4" borderId="2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NumberFormat="1" applyFont="1" applyFill="1" applyBorder="1"/>
    <xf numFmtId="164" fontId="0" fillId="4" borderId="1" xfId="0" applyNumberFormat="1" applyFont="1" applyFill="1" applyBorder="1"/>
    <xf numFmtId="0" fontId="4" fillId="9" borderId="1" xfId="1" applyBorder="1" applyAlignment="1">
      <alignment horizontal="center"/>
    </xf>
    <xf numFmtId="0" fontId="0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5" borderId="12" xfId="0" applyFill="1" applyBorder="1"/>
    <xf numFmtId="164" fontId="0" fillId="0" borderId="0" xfId="2" applyNumberFormat="1" applyFon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4" fillId="9" borderId="1" xfId="1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164" fontId="0" fillId="3" borderId="1" xfId="0" applyNumberFormat="1" applyFont="1" applyFill="1" applyBorder="1"/>
    <xf numFmtId="0" fontId="0" fillId="0" borderId="0" xfId="0" applyAlignment="1">
      <alignment horizontal="left" wrapText="1"/>
    </xf>
    <xf numFmtId="0" fontId="0" fillId="3" borderId="1" xfId="0" applyNumberFormat="1" applyFill="1" applyBorder="1"/>
    <xf numFmtId="0" fontId="2" fillId="0" borderId="5" xfId="0" applyNumberFormat="1" applyFont="1" applyBorder="1" applyAlignment="1">
      <alignment horizontal="center" vertical="center" wrapText="1"/>
    </xf>
    <xf numFmtId="0" fontId="0" fillId="0" borderId="2" xfId="0" applyNumberFormat="1" applyBorder="1"/>
    <xf numFmtId="0" fontId="0" fillId="0" borderId="0" xfId="0" applyNumberFormat="1"/>
    <xf numFmtId="0" fontId="0" fillId="8" borderId="1" xfId="0" applyNumberFormat="1" applyFill="1" applyBorder="1"/>
    <xf numFmtId="0" fontId="7" fillId="10" borderId="15" xfId="4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10" borderId="15" xfId="4" applyFont="1" applyFill="1" applyBorder="1" applyAlignment="1">
      <alignment horizontal="center"/>
    </xf>
    <xf numFmtId="0" fontId="7" fillId="10" borderId="16" xfId="4" applyFont="1" applyFill="1" applyBorder="1" applyAlignment="1">
      <alignment horizontal="center" wrapText="1"/>
    </xf>
    <xf numFmtId="0" fontId="7" fillId="10" borderId="17" xfId="4" applyFont="1" applyFill="1" applyBorder="1" applyAlignment="1">
      <alignment horizontal="center" wrapText="1"/>
    </xf>
    <xf numFmtId="0" fontId="7" fillId="10" borderId="18" xfId="4" applyFont="1" applyFill="1" applyBorder="1" applyAlignment="1">
      <alignment horizontal="center" wrapText="1"/>
    </xf>
    <xf numFmtId="0" fontId="7" fillId="10" borderId="16" xfId="4" applyFont="1" applyFill="1" applyBorder="1" applyAlignment="1">
      <alignment horizontal="center"/>
    </xf>
    <xf numFmtId="0" fontId="7" fillId="10" borderId="17" xfId="4" applyFont="1" applyFill="1" applyBorder="1" applyAlignment="1">
      <alignment horizontal="center"/>
    </xf>
    <xf numFmtId="0" fontId="7" fillId="10" borderId="18" xfId="4" applyFont="1" applyFill="1" applyBorder="1" applyAlignment="1">
      <alignment horizontal="center"/>
    </xf>
  </cellXfs>
  <cellStyles count="5">
    <cellStyle name="Bad" xfId="1" builtinId="27"/>
    <cellStyle name="Comma" xfId="2" builtinId="3"/>
    <cellStyle name="Heading 1" xfId="4" builtinId="16"/>
    <cellStyle name="Normal" xfId="0" builtinId="0"/>
    <cellStyle name="Percent" xfId="3" builtinId="5"/>
  </cellStyles>
  <dxfs count="311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>
          <bgColor theme="0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6F5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D9475-9728-4E1C-A9B3-FBEA364AC3D3}" name="Table1" displayName="Table1" ref="A2:DZ281" totalsRowCount="1" headerRowDxfId="310" dataDxfId="308" totalsRowDxfId="306" headerRowBorderDxfId="309" tableBorderDxfId="307" totalsRowBorderDxfId="305">
  <autoFilter ref="A2:DZ280" xr:uid="{4D4483BB-0083-4F0C-99E3-85086B350BF0}"/>
  <tableColumns count="130">
    <tableColumn id="1" xr3:uid="{B076BE98-65E9-4607-B693-7E263BAB9506}" name="Example" dataDxfId="304" totalsRowDxfId="129"/>
    <tableColumn id="2" xr3:uid="{337B29EE-5CDE-44F2-815D-51678427B129}" name="K" totalsRowFunction="average" dataDxfId="303" totalsRowDxfId="128"/>
    <tableColumn id="3" xr3:uid="{B49A7320-3B7B-4972-9BFE-F44D7FA147FB}" name="B" totalsRowFunction="average" dataDxfId="302" totalsRowDxfId="127"/>
    <tableColumn id="4" xr3:uid="{F70659C1-E6C9-4A39-A5F0-1177A97CF28D}" name="Atomic Constraints" totalsRowFunction="average" dataDxfId="301" totalsRowDxfId="126"/>
    <tableColumn id="5" xr3:uid="{711F57F4-722F-407E-ADEB-69A4E61D820D}" name="Soft Atomic Constraints" totalsRowFunction="average" dataDxfId="300" totalsRowDxfId="125"/>
    <tableColumn id="6" xr3:uid="{5A1D024C-1D3F-4924-BC8C-4100BDE6B8DD}" name="Disjunctive Constraints" totalsRowFunction="average" dataDxfId="299" totalsRowDxfId="124"/>
    <tableColumn id="7" xr3:uid="{87F01FE2-884E-4D98-818F-01137605BEED}" name="Direct Successors" totalsRowFunction="average" dataDxfId="298" totalsRowDxfId="123"/>
    <tableColumn id="20" xr3:uid="{56E76161-EA17-4B4D-86D0-81E66DEA743F}" name="One-sided cables" dataDxfId="297" totalsRowDxfId="122">
      <calculatedColumnFormula xml:space="preserve"> B3-PRODUCT(2,C3)</calculatedColumnFormula>
    </tableColumn>
    <tableColumn id="88" xr3:uid="{66475CAE-B331-47B6-9072-8CC481A85232}" name="Sum of Constraints" dataDxfId="296" totalsRowDxfId="121">
      <calculatedColumnFormula>Table1[[#This Row],[B]]+Table1[[#This Row],[Atomic Constraints]]+Table1[[#This Row],[Soft Atomic Constraints]]+Table1[[#This Row],[Disjunctive Constraints]]+Table1[[#This Row],[Direct Successors]]</calculatedColumnFormula>
    </tableColumn>
    <tableColumn id="8" xr3:uid="{1B2C1270-9502-43D0-9541-52817620D407}" name="Chuffed MZ1 State" totalsRowFunction="count" dataDxfId="295" totalsRowDxfId="120"/>
    <tableColumn id="9" xr3:uid="{EB5347A1-C264-4BEB-8840-33B519EE3728}" name="Chuffed MZ1 Cost" totalsRowFunction="sum" dataDxfId="294" totalsRowDxfId="119"/>
    <tableColumn id="26" xr3:uid="{152BB630-DD15-45C3-BB5C-08CDDDF74FA7}" name="Chuffed MZ1 Search time" totalsRowFunction="sum" dataDxfId="293" totalsRowDxfId="118"/>
    <tableColumn id="109" xr3:uid="{D724C287-EE11-40F0-969E-6E984B0083D3}" name="Quasi-optimal solutions Chuffed MZ1" dataDxfId="292" totalsRowDxfId="117">
      <calculatedColumnFormula>IF(AND(Table1[[#This Row],[Chuffed MZ1 Cost]]=Table1[[#This Row],[ORTools FZN2 Cost]],Table1[[#This Row],[ORTools FZN2 State]]="Optimal",Table1[[#This Row],[Chuffed MZ1 State]]="Suboptimal"),1,"")</calculatedColumnFormula>
    </tableColumn>
    <tableColumn id="10" xr3:uid="{78262B8B-F712-4A90-8146-2D0F3D2940E3}" name="Chuffed MZ2 State" totalsRowFunction="count" dataDxfId="291" totalsRowDxfId="116"/>
    <tableColumn id="11" xr3:uid="{C10CDB7C-D1AD-4C68-A14D-B78F4AE89A7A}" name="Chuffed MZ2 Cost" totalsRowFunction="sum" dataDxfId="290" totalsRowDxfId="115"/>
    <tableColumn id="27" xr3:uid="{79B3C17A-0F0D-4B49-89D3-4D918D1D2D35}" name="Chuffed MZ2 Search time" totalsRowFunction="sum" dataDxfId="289" totalsRowDxfId="114"/>
    <tableColumn id="111" xr3:uid="{26268682-2E4C-4FDF-8B03-D6B8C93B1342}" name="Quasi-optimal solutions Chuffed MZ2" dataDxfId="288" totalsRowDxfId="113">
      <calculatedColumnFormula>IF(AND(Table1[[#This Row],[Chuffed MZ2 Cost]]=Table1[[#This Row],[ORTools FZN2 Cost]],Table1[[#This Row],[ORTools FZN2 State]]="Optimal",Table1[[#This Row],[Chuffed MZ2 State]]="Suboptimal"),1,"")</calculatedColumnFormula>
    </tableColumn>
    <tableColumn id="14" xr3:uid="{1BB1F50B-03CD-4FB7-8D03-31D0D0216BF8}" name="Cplex MC State" totalsRowFunction="count" dataDxfId="287" totalsRowDxfId="112"/>
    <tableColumn id="15" xr3:uid="{DCB47302-7AB7-4930-B5F3-809EBB375519}" name="Cplex MC Cost" totalsRowFunction="sum" dataDxfId="286" totalsRowDxfId="111"/>
    <tableColumn id="28" xr3:uid="{94C689E2-62C7-4590-8478-F83D6A821509}" name="Cplex MC Search time" totalsRowFunction="sum" dataDxfId="285" totalsRowDxfId="110"/>
    <tableColumn id="25" xr3:uid="{101E967B-00EC-4EB9-9D69-A901DA5EE9AB}" name="Quasi-optimal solutions Cplex MC" totalsRowFunction="sum" dataDxfId="284" totalsRowDxfId="109"/>
    <tableColumn id="21" xr3:uid="{A658F89B-6A29-47C5-84C4-E2A95C5C0C28}" name="ORTools FZN1 State" totalsRowFunction="count" dataDxfId="283" totalsRowDxfId="108"/>
    <tableColumn id="22" xr3:uid="{BEF57703-2A39-44E2-970C-04362A2F276E}" name="ORTools FZN1 Cost" totalsRowFunction="sum" dataDxfId="282" totalsRowDxfId="107"/>
    <tableColumn id="29" xr3:uid="{682B0969-7F04-4134-9690-F1172DC78FE1}" name="ORTools FZN1 Search time" totalsRowFunction="sum" dataDxfId="281" totalsRowDxfId="106"/>
    <tableColumn id="110" xr3:uid="{CA20FE01-55C8-4BDE-BA0F-CAB3CEA6FF6E}" name="Quasi-optimal solutions ORTools FZN1" dataDxfId="280" totalsRowDxfId="105">
      <calculatedColumnFormula>IF(AND(Table1[[#This Row],[ORTools FZN1 Cost]]=Table1[[#This Row],[ORTools FZN2 Cost]],Table1[[#This Row],[ORTools FZN2 State]]="Optimal",Table1[[#This Row],[ORTools FZN1 State]]="Suboptimal"),1,"")</calculatedColumnFormula>
    </tableColumn>
    <tableColumn id="24" xr3:uid="{8DA9CD18-B054-471E-A2FD-789203682CC6}" name="ORTools FZN2 State" dataDxfId="279" totalsRowDxfId="104"/>
    <tableColumn id="23" xr3:uid="{C2416084-A472-4959-9ED3-1B2DB0F4E74A}" name="ORTools FZN2 Cost" totalsRowFunction="sum" dataDxfId="278" totalsRowDxfId="103"/>
    <tableColumn id="30" xr3:uid="{510D9023-EE6C-4778-B944-F378E39DCF0E}" name="ORTools FZN2 Search time" totalsRowFunction="sum" dataDxfId="277" totalsRowDxfId="102"/>
    <tableColumn id="12" xr3:uid="{9FC9C111-480E-45BE-A0B9-4D902A096BF6}" name="Cplex MB State" dataDxfId="276" totalsRowDxfId="101"/>
    <tableColumn id="13" xr3:uid="{28079DCB-8259-4338-B547-B3A440CE2912}" name="Cplex MB Cost" totalsRowFunction="sum" dataDxfId="275" totalsRowDxfId="100"/>
    <tableColumn id="31" xr3:uid="{9A9E022F-9C68-40A2-B6D8-4037D2257CFB}" name="Cplex MB Search time" totalsRowFunction="sum" dataDxfId="274" totalsRowDxfId="99"/>
    <tableColumn id="121" xr3:uid="{86C36999-B32E-425D-9770-43417C6071DD}" name="Quasi-optimal solutions MB" totalsRowFunction="count" dataDxfId="273" totalsRowDxfId="98">
      <calculatedColumnFormula>IF(AND(Table1[[#This Row],[Cplex MB Cost]]=Table1[[#This Row],[ORTools FZN2 Cost]],Table1[[#This Row],[ORTools FZN2 State]]="Optimal",Table1[[#This Row],[Cplex MB State]]="Suboptimal"),1,"")</calculatedColumnFormula>
    </tableColumn>
    <tableColumn id="58" xr3:uid="{6A1CDB1A-483A-494B-855B-F11D9BD26BDA}" name="Different costs Cplex MB" dataDxfId="272" totalsRowDxfId="97">
      <calculatedColumnFormula>IF(AND(AC3="Optimal",AD3&lt;&gt;AA3,Table1[[#This Row],[Example]]&lt;&gt;"R001",Table1[[#This Row],[Example]]&lt;&gt;"R002"),AD3-AA3,)</calculatedColumnFormula>
    </tableColumn>
    <tableColumn id="16" xr3:uid="{32D0952C-E284-4369-AC87-DEBE7D4C2922}" name="Cplex MD State" totalsRowFunction="count" dataDxfId="271" totalsRowDxfId="96"/>
    <tableColumn id="17" xr3:uid="{04151549-E703-4DF5-A884-97BF86F0C3C7}" name="Cplex MD Cost" totalsRowFunction="sum" dataDxfId="270" totalsRowDxfId="95"/>
    <tableColumn id="32" xr3:uid="{8A3F1197-0319-40CD-AC20-7A63F00895A0}" name="Cplex MD Search time" totalsRowFunction="sum" dataDxfId="269" totalsRowDxfId="94"/>
    <tableColumn id="120" xr3:uid="{045D6F01-7C0D-485C-9D20-B2DE7C697309}" name="Quasi-optimal solutions Cplex MD" dataDxfId="268" totalsRowDxfId="93">
      <calculatedColumnFormula>IF(AND(Table1[[#This Row],[Cplex MD Cost]]=Table1[[#This Row],[ORTools FZN2 Cost]],Table1[[#This Row],[ORTools FZN2 State]]="Optimal",Table1[[#This Row],[Cplex MD State]]="Suboptimal"),1,"")</calculatedColumnFormula>
    </tableColumn>
    <tableColumn id="59" xr3:uid="{D838F87E-9426-4747-BD70-076A3B3D08CF}" name="Different costs Cplex MD" dataDxfId="267" totalsRowDxfId="92">
      <calculatedColumnFormula>IF(AND(AH3="Optimal",AI3&lt;&gt;AA3,Table1[[#This Row],[Example]]&lt;&gt;"R001",Table1[[#This Row],[Example]]&lt;&gt;"R002"),AI3-AA3,)</calculatedColumnFormula>
    </tableColumn>
    <tableColumn id="18" xr3:uid="{CDA47EB2-861F-4A77-B297-5D4659297EBB}" name="Cplex MI State" dataDxfId="266" totalsRowDxfId="91"/>
    <tableColumn id="19" xr3:uid="{428970E7-F8F9-4700-920A-2F77AC19E3FE}" name="Cplex MI Cost" totalsRowFunction="countNums" dataDxfId="265" totalsRowDxfId="90"/>
    <tableColumn id="33" xr3:uid="{E89D9796-AEC5-4CC2-B0D6-1021D760B1D2}" name="Cplex MI Search time" totalsRowFunction="sum" dataDxfId="264" totalsRowDxfId="89"/>
    <tableColumn id="60" xr3:uid="{03ADF424-1346-4E0E-BEC9-DFF0174D540C}" name="Different costs Cplex MI" dataDxfId="263" totalsRowDxfId="88">
      <calculatedColumnFormula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calculatedColumnFormula>
    </tableColumn>
    <tableColumn id="112" xr3:uid="{BF13E02A-F57A-4B44-91F8-44D23D6BD9DC}" name="Quasi-optimal solutions Cplex MI" totalsRowFunction="sum" dataDxfId="262" totalsRowDxfId="87">
      <calculatedColumnFormula>IF(AND(Table1[[#This Row],[Cplex MI Cost]]=Table1[[#This Row],[ORTools FZN2 Cost]],Table1[[#This Row],[ORTools FZN2 State]]="Optimal",Table1[[#This Row],[Cplex MI State]]="Suboptimal"),1,"")</calculatedColumnFormula>
    </tableColumn>
    <tableColumn id="34" xr3:uid="{59EB7E98-D3B7-4076-ADD9-4D9485E88D5A}" name="Z3 SMT2-1 Maxres State" dataDxfId="261" totalsRowDxfId="86"/>
    <tableColumn id="35" xr3:uid="{0E360B09-0A91-4534-9070-0528BEEAC3F7}" name="Z3 SMT2-1 Maxres Cost" totalsRowFunction="countNums" dataDxfId="260" totalsRowDxfId="85"/>
    <tableColumn id="36" xr3:uid="{E4DE4C76-DEAC-47F9-9A04-FE49C79E97AB}" name="Z3 SMT2-1 Maxres Search Time" totalsRowFunction="sum" dataDxfId="259" totalsRowDxfId="84"/>
    <tableColumn id="52" xr3:uid="{C522B5D8-FABB-4A73-A28C-3E67AD5D1CD7}" name="Quasi-optimal solutions Z3 SMT2-1 Maxres" totalsRowFunction="countNums" dataDxfId="258" totalsRowDxfId="83">
      <calculatedColumnFormula>IF(AND(Table1[[#This Row],[Z3 SMT2-1 Maxres Cost]]=Table1[[#This Row],[ORTools FZN2 Cost]],Table1[[#This Row],[ORTools FZN2 State]]="Optimal"),1,"")</calculatedColumnFormula>
    </tableColumn>
    <tableColumn id="37" xr3:uid="{73D0AEE4-87A5-46A7-BFBE-C4DA1D0ABC5A}" name="Z3 SMT2-1 PdMaxres State" dataDxfId="257" totalsRowDxfId="82"/>
    <tableColumn id="38" xr3:uid="{AE844BD9-CB88-4393-84D4-8A9F8797B40F}" name="Z3 SMT2-1 PdMaxres Cost" totalsRowFunction="countNums" dataDxfId="256" totalsRowDxfId="81"/>
    <tableColumn id="39" xr3:uid="{53B9D084-D793-420C-B9D9-62FD6BE4C302}" name="Z3 SMT2-1 PdMaxres Search Time" totalsRowFunction="sum" dataDxfId="255" totalsRowDxfId="80"/>
    <tableColumn id="53" xr3:uid="{A3B0E67C-4975-4CF6-AA3C-889A895448DE}" name="Quasi-optimal solutions Z3 SMT2-1 PdMaxres" totalsRowFunction="countNums" dataDxfId="254" totalsRowDxfId="79">
      <calculatedColumnFormula>IF(AND(Table1[[#This Row],[Z3 SMT2-1 PdMaxres Cost]]=Table1[[#This Row],[ORTools FZN2 Cost]],Table1[[#This Row],[ORTools FZN2 State]]="Optimal"),1,"")</calculatedColumnFormula>
    </tableColumn>
    <tableColumn id="40" xr3:uid="{69F06A89-EB9B-4F81-A33D-45AF899AE232}" name="Z3 SMT2-1 Wmax State" dataDxfId="253" totalsRowDxfId="78"/>
    <tableColumn id="41" xr3:uid="{33E1F3C4-BCAD-4595-8A4D-930F866412D7}" name="Z3 SMT2-1 WMax Cost" totalsRowFunction="countNums" dataDxfId="252" totalsRowDxfId="77"/>
    <tableColumn id="42" xr3:uid="{D7F394A9-109E-4C2D-B32B-DFE59548D818}" name="Z3 SMT2-1 Wmax Search Time" totalsRowFunction="sum" dataDxfId="251" totalsRowDxfId="76"/>
    <tableColumn id="54" xr3:uid="{EA48607F-0930-43BD-87D6-8B8DC28CDF45}" name="Quasi-optimal solutions SMT2-1 Wmax" totalsRowFunction="countNums" dataDxfId="250" totalsRowDxfId="75">
      <calculatedColumnFormula>IF(AND(Table1[[#This Row],[Z3 SMT2-1 WMax Cost]]=Table1[[#This Row],[ORTools FZN2 Cost]],Table1[[#This Row],[ORTools FZN2 State]]="Optimal"),1,"")</calculatedColumnFormula>
    </tableColumn>
    <tableColumn id="43" xr3:uid="{A9CEBA2A-850D-46F3-A83B-D9D1E3A3E06A}" name="Z3 SMT2-2 Maxres State" dataDxfId="249" totalsRowDxfId="74"/>
    <tableColumn id="44" xr3:uid="{7C096479-B941-4457-8AF4-CCDF20C107A5}" name="Z3 SMT2-2 Maxres Cost" totalsRowFunction="countNums" dataDxfId="248" totalsRowDxfId="73"/>
    <tableColumn id="45" xr3:uid="{EDA07FE5-FC52-49D5-8E8F-5665B284A54F}" name="Z3 SMT2-2 Maxres Search Time" totalsRowFunction="sum" dataDxfId="247" totalsRowDxfId="72"/>
    <tableColumn id="55" xr3:uid="{F1361E33-549B-4DDA-AD2E-BEB13DE3D7B1}" name="Quasi-optimal solutions SMT2-2 Maxres" totalsRowFunction="countNums" dataDxfId="246" totalsRowDxfId="71">
      <calculatedColumnFormula>IF(AND(Table1[[#This Row],[Z3 SMT2-2 Maxres Cost]]=Table1[[#This Row],[ORTools FZN2 Cost]],Table1[[#This Row],[ORTools FZN2 State]]="Optimal"),1,"")</calculatedColumnFormula>
    </tableColumn>
    <tableColumn id="46" xr3:uid="{38F03167-98A7-43D6-B9B6-E6BA92654834}" name="Z3 SMT2-2 PdMaxres State" dataDxfId="245" totalsRowDxfId="70"/>
    <tableColumn id="47" xr3:uid="{E20B0D52-A0CA-4169-87DD-A3E44C41E56A}" name="Z3 SMT2-2 PdMaxres Cost" totalsRowFunction="countNums" dataDxfId="244" totalsRowDxfId="69"/>
    <tableColumn id="48" xr3:uid="{E0E1F928-EB18-4D96-8322-CCCAB5D05064}" name="Z3 SMT2-2 PdMaxres Search Time" totalsRowFunction="sum" dataDxfId="243" totalsRowDxfId="68"/>
    <tableColumn id="56" xr3:uid="{C284238C-F1DD-4956-8ABE-5B674FD04FE9}" name="Quasi-optimal solutions Z3 SMT2-2 PdMaxres" totalsRowFunction="countNums" dataDxfId="242" totalsRowDxfId="67">
      <calculatedColumnFormula>IF(AND(Table1[[#This Row],[Z3 SMT2-2 PdMaxres Cost]]=Table1[[#This Row],[ORTools FZN2 Cost]],Table1[[#This Row],[ORTools FZN2 State]]="Optimal"),1,"")</calculatedColumnFormula>
    </tableColumn>
    <tableColumn id="49" xr3:uid="{1ED2C905-FDC3-41E9-A23B-8B566ACF7816}" name="Z3 SMT2-2 Wmax State" dataDxfId="241" totalsRowDxfId="66"/>
    <tableColumn id="50" xr3:uid="{D0EAACA6-FCE7-41E6-A7B2-68A1A6DC42AE}" name="Z3 SMT2-2 WMax Cost" totalsRowFunction="countNums" dataDxfId="240" totalsRowDxfId="65"/>
    <tableColumn id="51" xr3:uid="{C2D88089-14FD-47AC-8EFD-6C4B9A2E157F}" name="Z3 SMT2-2 Wmax Search Time" totalsRowFunction="sum" dataDxfId="239" totalsRowDxfId="64"/>
    <tableColumn id="57" xr3:uid="{2E6AAFF5-BA42-481B-97BF-B6F60D1709EB}" name="Quasi-optimal solutions Z3 SMT2-2 Wmax" totalsRowFunction="countNums" dataDxfId="238" totalsRowDxfId="63">
      <calculatedColumnFormula>IF(AND(Table1[[#This Row],[Z3 SMT2-2 PdMaxres Cost]]=Table1[[#This Row],[ORTools FZN2 Cost]],Table1[[#This Row],[ORTools FZN2 State]]="Optimal"),1,"")</calculatedColumnFormula>
    </tableColumn>
    <tableColumn id="69" xr3:uid="{CC083F9F-1A94-481F-9988-7B1BA9195DA0}" name="Gurobi MB State" totalsRowFunction="count" dataDxfId="237" totalsRowDxfId="62"/>
    <tableColumn id="68" xr3:uid="{01D45F5A-B10B-4AA7-9879-55247C57434A}" name="Gurobi MB Cost" totalsRowFunction="sum" dataDxfId="236" totalsRowDxfId="61"/>
    <tableColumn id="67" xr3:uid="{3A88BB1D-126A-4C71-9AB1-045F2829C8CB}" name="Gurobi MB Search Time" totalsRowFunction="sum" dataDxfId="235" totalsRowDxfId="60"/>
    <tableColumn id="123" xr3:uid="{7291F4F1-2170-4949-BE7E-00B9EBA3FB2D}" name="Quasi-optimal solutions Gurobi MB" dataDxfId="234" totalsRowDxfId="59">
      <calculatedColumnFormula>IF(AND(Table1[[#This Row],[Gurobi MB Cost]]=Table1[[#This Row],[ORTools FZN2 Cost]],Table1[[#This Row],[ORTools FZN2 State]]="Optimal",Table1[[#This Row],[Gurobi MB State]]="Suboptimal"),1,"")</calculatedColumnFormula>
    </tableColumn>
    <tableColumn id="122" xr3:uid="{3671BCBC-8053-4691-8C90-9388922C92E1}" name="Different costs Gurobi MB" dataDxfId="233" totalsRowDxfId="58">
      <calculatedColumnFormula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calculatedColumnFormula>
    </tableColumn>
    <tableColumn id="61" xr3:uid="{75F88C5E-1FB0-49A0-92C8-805C0284F4D1}" name="Gurobi MD State" dataDxfId="232" totalsRowDxfId="57"/>
    <tableColumn id="62" xr3:uid="{C4341F33-906B-4353-AC5B-FAE87E92A0EB}" name="Gurobi MD Cost" totalsRowFunction="sum" dataDxfId="231" totalsRowDxfId="56"/>
    <tableColumn id="63" xr3:uid="{D8E0C323-A21B-42AD-A154-433A324EAAB0}" name="Gurobi MD Search Time" totalsRowFunction="sum" dataDxfId="230" totalsRowDxfId="55"/>
    <tableColumn id="126" xr3:uid="{6E55C0CE-5532-4DFE-8EA5-1A05DDE29EA9}" name="Quasi-optimal solutions Gurobi MD" dataDxfId="229" totalsRowDxfId="54">
      <calculatedColumnFormula>IF(AND(Table1[[#This Row],[Gurobi MD Cost]]=Table1[[#This Row],[ORTools FZN2 Cost]],Table1[[#This Row],[ORTools FZN2 State]]="Optimal",Table1[[#This Row],[Gurobi MD State]]="Suboptimal"),1,"")</calculatedColumnFormula>
    </tableColumn>
    <tableColumn id="125" xr3:uid="{942E9B46-E5CE-48AF-8583-15FD38AEFC21}" name="Different costs Gurobi MD" dataDxfId="228" totalsRowDxfId="53">
      <calculatedColumnFormula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calculatedColumnFormula>
    </tableColumn>
    <tableColumn id="64" xr3:uid="{3C2D6104-1C92-440B-A791-E806EDA40399}" name="Gurobi MI State" dataDxfId="227" totalsRowDxfId="52"/>
    <tableColumn id="65" xr3:uid="{F287B4D0-311E-4384-A23E-F915134CADF3}" name="Gurobi MI Cost" totalsRowFunction="sum" dataDxfId="226" totalsRowDxfId="51"/>
    <tableColumn id="66" xr3:uid="{E86CE859-A56A-4A05-8BDD-0AD8662A4478}" name="Gurobi MI Search Time" totalsRowFunction="sum" dataDxfId="225" totalsRowDxfId="50"/>
    <tableColumn id="113" xr3:uid="{ADD707D1-A142-4258-AAB9-E8CECC7C40CA}" name="Quasi-optimal solutions Gurobi MI" totalsRowFunction="count" dataDxfId="224" totalsRowDxfId="49">
      <calculatedColumnFormula>IF(AND(Table1[[#This Row],[Gurobi MI Cost]]=Table1[[#This Row],[ORTools FZN2 Cost]],Table1[[#This Row],[ORTools FZN2 State]]="Optimal",Table1[[#This Row],[Gurobi MI State]]="Suboptimal"),1,"")</calculatedColumnFormula>
    </tableColumn>
    <tableColumn id="124" xr3:uid="{DD9EAB2C-CF58-46AC-B649-04F3CD44AF33}" name="Different costs Gurobi MI" dataDxfId="223" totalsRowDxfId="48">
      <calculatedColumnFormula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calculatedColumnFormula>
    </tableColumn>
    <tableColumn id="70" xr3:uid="{FAF97C64-6950-4BFB-BB2F-1CC3A474E327}" name="OptiMathSat SMT2-1 State" totalsRowFunction="count" dataDxfId="222" totalsRowDxfId="47"/>
    <tableColumn id="71" xr3:uid="{95A36F44-DAB6-4821-ACF6-F6D6B18B9BAF}" name="OptiMathSat SMT2-1 Cost" dataDxfId="221" totalsRowDxfId="46"/>
    <tableColumn id="72" xr3:uid="{E5F87DE9-8D17-4A25-ADF1-3E21E53DFE16}" name="OptiMathSat SMT2-1 Search Time" dataDxfId="220" totalsRowDxfId="45"/>
    <tableColumn id="73" xr3:uid="{FF3B39A3-6C1F-4D8B-9E12-258C65553F6E}" name="OptiMathSat SMT2-2 State" totalsRowFunction="count" dataDxfId="219" totalsRowDxfId="44"/>
    <tableColumn id="74" xr3:uid="{2504B5F1-CBA3-4DB0-B713-601BE6724FA7}" name="OptiMathSat SMT2-2 Cost" dataDxfId="218" totalsRowDxfId="43"/>
    <tableColumn id="75" xr3:uid="{2DECBFB5-6777-49A3-A49C-B2CC8444CA9B}" name="OptiMathSat SMT2-2 Search Time" dataDxfId="217" totalsRowDxfId="42"/>
    <tableColumn id="76" xr3:uid="{93FAF079-2FF4-40EB-999F-DCE6507AEF9D}" name="Cplex CP Tuned State" totalsRowFunction="count" dataDxfId="216" totalsRowDxfId="41"/>
    <tableColumn id="77" xr3:uid="{2684CAE9-8518-491F-9423-8208095B8D20}" name="Cplex CP Tuned Cost" totalsRowFunction="sum" dataDxfId="215" totalsRowDxfId="40"/>
    <tableColumn id="78" xr3:uid="{AD679991-A9B4-4872-8C90-1C9675AD2C03}" name="Cplex CP Tuned Search Time" totalsRowFunction="sum" dataDxfId="214" totalsRowDxfId="39"/>
    <tableColumn id="79" xr3:uid="{8F00FCB8-F915-4DB9-A467-8A5B2E6396A1}" name="Chuffed Tuned State" dataDxfId="213" totalsRowDxfId="38"/>
    <tableColumn id="80" xr3:uid="{81B11971-38EB-4D32-8EE9-340261289DA9}" name="Chuffed Tuned Cost" totalsRowFunction="sum" dataDxfId="212" totalsRowDxfId="37"/>
    <tableColumn id="81" xr3:uid="{B1C5FB41-22F3-4B82-B904-B386E502FFC1}" name="Chuffed Tuned Search Time" totalsRowFunction="sum" dataDxfId="211" totalsRowDxfId="36"/>
    <tableColumn id="82" xr3:uid="{44EEBE8B-233A-4C5D-A7AC-8D7952387066}" name="OR-Tools FZN1 Tuned State" dataDxfId="210" totalsRowDxfId="35"/>
    <tableColumn id="83" xr3:uid="{B0268E43-DCAF-4F91-AD20-CE3C38D40712}" name="OR-Tools FZN1 Tuned Cost" totalsRowFunction="sum" dataDxfId="209" totalsRowDxfId="34"/>
    <tableColumn id="84" xr3:uid="{5B1ABF39-93EC-4990-8AC8-47E3B96CF2E5}" name="OR-Tools FZN1 Tuned Search Time" totalsRowFunction="sum" dataDxfId="208" totalsRowDxfId="33"/>
    <tableColumn id="85" xr3:uid="{0FD39CB7-763F-4317-A51E-80A48EA0F4B1}" name="OR-Tools FZN1 8 workers State" dataDxfId="207" totalsRowDxfId="32"/>
    <tableColumn id="86" xr3:uid="{130873D9-D7A0-4FCD-89B1-319CDEEB5884}" name="OR-Tools FZN1 8 workers Cost" totalsRowFunction="sum" dataDxfId="206" totalsRowDxfId="31"/>
    <tableColumn id="87" xr3:uid="{A719B63B-C020-4B98-94FE-6CC345004C5E}" name="OR-Tools FZN1 8 workers Search  Time" totalsRowFunction="sum" dataDxfId="205" totalsRowDxfId="30"/>
    <tableColumn id="89" xr3:uid="{1CBF7776-17B4-4CE1-80AC-E7CA29348919}" name="Cplex MZ1 State" dataDxfId="204" totalsRowDxfId="29"/>
    <tableColumn id="90" xr3:uid="{E4845CC7-EF0B-4BDD-8185-2865D8F77FD5}" name="Cplex MZ1 Cost" totalsRowFunction="sum" dataDxfId="203" totalsRowDxfId="28"/>
    <tableColumn id="91" xr3:uid="{55A89A00-0B2B-4063-8FE8-565418CF9C4A}" name="Cplex Mz1 Search Time" totalsRowFunction="sum" dataDxfId="202" totalsRowDxfId="27"/>
    <tableColumn id="101" xr3:uid="{1142D192-7A3F-4DD3-8583-9AB169C379EA}" name="Quasi-optimal solutions Cplex MZ1" dataDxfId="201" totalsRowDxfId="26">
      <calculatedColumnFormula>IF(AND(Table1[[#This Row],[Cplex MZ1 Cost]]=Table1[[#This Row],[ORTools FZN2 Cost]],Table1[[#This Row],[ORTools FZN2 State]]="Optimal",Table1[[#This Row],[Cplex MZ1 State]]="Suboptimal"),1,"")</calculatedColumnFormula>
    </tableColumn>
    <tableColumn id="92" xr3:uid="{1D6B59DD-85FD-45B2-8558-7ACE93AC0C1D}" name="Cplex MZ2 State" dataDxfId="200" totalsRowDxfId="25"/>
    <tableColumn id="93" xr3:uid="{923F32BC-428B-4C7B-94DB-20478A155DA8}" name="Cplex MZ2 Cost" totalsRowFunction="sum" dataDxfId="199" totalsRowDxfId="24"/>
    <tableColumn id="94" xr3:uid="{CC3D98DB-8395-4871-AFB8-F256F7CFC476}" name="Cplex MZ2 Search Time" totalsRowFunction="sum" dataDxfId="198" totalsRowDxfId="23"/>
    <tableColumn id="102" xr3:uid="{27249592-EEA4-4693-80DE-F28BDB18D72E}" name="Quasi-optimal solutions Cplex MZ2" totalsRowFunction="count" dataDxfId="197" totalsRowDxfId="22">
      <calculatedColumnFormula>IF(AND(Table1[[#This Row],[Cplex MZ2 Cost]]=Table1[[#This Row],[ORTools FZN2 Cost]],Table1[[#This Row],[ORTools FZN2 State]]="Optimal",Table1[[#This Row],[Cplex MZ2 State]]="Suboptimal"),1,"")</calculatedColumnFormula>
    </tableColumn>
    <tableColumn id="95" xr3:uid="{D63CB28C-97FF-4C3F-AC0F-D045B6CD0663}" name="Gurobi MZ1 State" dataDxfId="196" totalsRowDxfId="21"/>
    <tableColumn id="96" xr3:uid="{0378CE54-2A7F-4BD3-A5C7-65DA412586FA}" name="Gurobi MZ1 Cost" totalsRowFunction="sum" dataDxfId="195" totalsRowDxfId="20"/>
    <tableColumn id="97" xr3:uid="{95E63C5E-363B-48D1-B209-44239E97F410}" name="Gurobi MZ1 Search Time" totalsRowFunction="sum" dataDxfId="194" totalsRowDxfId="19"/>
    <tableColumn id="103" xr3:uid="{BC3D40B8-CDEB-4B61-90A4-C61BE8C5BBA3}" name="Quasi-optimal solutions Gurobi MZ1" totalsRowFunction="count" dataDxfId="193" totalsRowDxfId="18">
      <calculatedColumnFormula>IF(AND(Table1[[#This Row],[Gurobi MZ1 Cost]]=Table1[[#This Row],[ORTools FZN2 Cost]],Table1[[#This Row],[ORTools FZN2 State]]="Optimal",Table1[[#This Row],[Gurobi MZ1 State]]="Suboptimal"),1,"")</calculatedColumnFormula>
    </tableColumn>
    <tableColumn id="98" xr3:uid="{86FDBED9-7C37-4958-8EEA-E823D03F9E73}" name="Gurobi MZ2 State" dataDxfId="192" totalsRowDxfId="17"/>
    <tableColumn id="99" xr3:uid="{57DC2949-12CB-485B-B524-2AF474E4304E}" name="Gurobi MZ2 Cost" totalsRowFunction="sum" dataDxfId="191" totalsRowDxfId="16"/>
    <tableColumn id="100" xr3:uid="{282E6445-C7F8-41D3-A272-1B37A31FD40C}" name="Gurobi MZ2 Search Time" totalsRowFunction="sum" dataDxfId="190" totalsRowDxfId="15"/>
    <tableColumn id="104" xr3:uid="{D67282F5-2E61-4CEC-BD5D-BB2E4ED2484E}" name="Quasi-optimal solutions Gurobi MZ2" totalsRowFunction="count" dataDxfId="189" totalsRowDxfId="14">
      <calculatedColumnFormula>IF(AND(Table1[[#This Row],[Gurobi MZ2 Cost]]=Table1[[#This Row],[ORTools FZN2 Cost]],Table1[[#This Row],[ORTools FZN2 State]]="Optimal",Table1[[#This Row],[Gurobi MZ2 State]]="Suboptimal"),1,"")</calculatedColumnFormula>
    </tableColumn>
    <tableColumn id="105" xr3:uid="{A2608211-7809-45F1-88B2-8BEA6346E538}" name="Cplex MC nonDual State" dataDxfId="188" totalsRowDxfId="13"/>
    <tableColumn id="106" xr3:uid="{9433EB5F-C2D0-447C-AB89-207A686E9CE7}" name="Cplex MC nonDual Cost" dataDxfId="187" totalsRowDxfId="12"/>
    <tableColumn id="107" xr3:uid="{C15D051C-3BC3-4D3F-8E6E-7197AC6513B1}" name="Cplex MC nonDual Search Time" dataDxfId="186" totalsRowDxfId="11"/>
    <tableColumn id="108" xr3:uid="{F23C01B8-7117-402D-AD69-C76471811C3A}" name="Quasi-optimal solutions Cplex MC nonDual" totalsRowFunction="count" dataDxfId="185" totalsRowDxfId="10">
      <calculatedColumnFormula>IF(AND(Table1[[#This Row],[Cplex MC nonDual Cost]]=Table1[[#This Row],[ORTools FZN2 Cost]],Table1[[#This Row],[ORTools FZN2 State]]="Optimal",Table1[[#This Row],[Cplex MC nonDual State]]="Suboptimal"),1,"")</calculatedColumnFormula>
    </tableColumn>
    <tableColumn id="114" xr3:uid="{326DE1FE-FA90-4DDD-B3E5-8F671EDD221F}" name="Cplex MIP DM'z  State" dataDxfId="184" totalsRowDxfId="9"/>
    <tableColumn id="115" xr3:uid="{5E69E4E2-2F30-4B2D-ACBE-9DC00C7392FB}" name="Cplex MIP DM'z Cost" dataDxfId="183" totalsRowDxfId="8"/>
    <tableColumn id="116" xr3:uid="{9E948B41-EF00-4C47-9889-B070A517F0FF}" name="Cplex MIP DM'z  Search Time" dataDxfId="182" totalsRowDxfId="7"/>
    <tableColumn id="127" xr3:uid="{4D955355-76D0-44B1-8185-5E3E3888E55F}" name="Quasi-optimal solutions Cplex MIP DM'z" totalsRowFunction="count" dataDxfId="181" totalsRowDxfId="6">
      <calculatedColumnFormula>IF(AND(Table1[[#This Row],[Cplex MIP DM''z Cost]]=Table1[[#This Row],[ORTools FZN2 Cost]],Table1[[#This Row],[ORTools FZN2 State]]="Optimal",Table1[[#This Row],[Cplex MIP DM''z  State]]="Suboptimal"),1,"")</calculatedColumnFormula>
    </tableColumn>
    <tableColumn id="128" xr3:uid="{8AA8E645-E77F-411A-8D6C-1F1AC9E7061C}" name="Different costs Cplex MIP DM'z" dataDxfId="180" totalsRowDxfId="5">
      <calculatedColumnFormula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calculatedColumnFormula>
    </tableColumn>
    <tableColumn id="117" xr3:uid="{0258791D-AB5C-41B5-A20E-932463C5D61F}" name="Gurobi DM'z  State" dataDxfId="179" totalsRowDxfId="4"/>
    <tableColumn id="118" xr3:uid="{8D73D47E-87F0-4079-ABA7-6D25F33AD5DB}" name="Gurobi DM'z  Cost" dataDxfId="178" totalsRowDxfId="3"/>
    <tableColumn id="119" xr3:uid="{3986507C-04FB-492F-9607-9F353A713DF2}" name="Gurobi DM'z Search Time" dataDxfId="177" totalsRowDxfId="2"/>
    <tableColumn id="129" xr3:uid="{489BA4CA-CFCB-46FE-BAF4-79A0311165E1}" name="Quasi-optimal solutions Gurobi DM'z" totalsRowFunction="count" dataDxfId="176" totalsRowDxfId="1">
      <calculatedColumnFormula>IF(AND(Table1[[#This Row],[Gurobi DM''z  Cost]]=Table1[[#This Row],[ORTools FZN2 Cost]],Table1[[#This Row],[ORTools FZN2 State]]="Optimal",Table1[[#This Row],[Gurobi DM''z  State]]="Suboptimal"),1,"")</calculatedColumnFormula>
    </tableColumn>
    <tableColumn id="130" xr3:uid="{113BD421-DD3A-480E-8C83-2C5095B8E2EF}" name="Different costs Gurobi DM'z" totalsRowFunction="count" dataDxfId="175" totalsRowDxfId="0">
      <calculatedColumnFormula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7A847-8E71-4F46-8549-B37A43E59F29}" name="Table2" displayName="Table2" ref="A1:X56" totalsRowCount="1" headerRowDxfId="174" headerRowBorderDxfId="173" tableBorderDxfId="172" totalsRowBorderDxfId="171">
  <autoFilter ref="A1:X55" xr:uid="{EC8F94A8-EAF3-4FDB-BE7B-7024BDF44E50}"/>
  <tableColumns count="24">
    <tableColumn id="1" xr3:uid="{5970E60F-FEA5-45DD-8B6D-78379878171D}" name="Example" totalsRowLabel="Total" totalsRowDxfId="170"/>
    <tableColumn id="2" xr3:uid="{D458177F-76DE-4570-B3B3-27CF9BCC42A2}" name="K" dataDxfId="169" totalsRowDxfId="168"/>
    <tableColumn id="3" xr3:uid="{71203E90-84CC-4F65-A1E9-1AEF40877A5D}" name="B" dataDxfId="167" totalsRowDxfId="166"/>
    <tableColumn id="4" xr3:uid="{DF9372C0-F102-4325-8C32-6260AEADD702}" name="Atomic Constraints" dataDxfId="165" totalsRowDxfId="164"/>
    <tableColumn id="5" xr3:uid="{B2C89CB4-FB37-40FF-AF5E-4EAD39963A75}" name="Soft Atomic Constraints" dataDxfId="163" totalsRowDxfId="162"/>
    <tableColumn id="6" xr3:uid="{3805238A-2286-4F6E-9D89-C74F09E61563}" name="Disjunctive Constraints" dataDxfId="161" totalsRowDxfId="160"/>
    <tableColumn id="7" xr3:uid="{BD4EA950-47D6-44AA-AF5E-CCE8AE16F4FC}" name="Direct Successors" dataDxfId="159" totalsRowDxfId="158"/>
    <tableColumn id="8" xr3:uid="{1B30E9DC-DC50-45D5-AC09-D9B0EFCE56F9}" name="One-sided cables" dataDxfId="157" totalsRowDxfId="156"/>
    <tableColumn id="9" xr3:uid="{65A22226-FCCA-401B-9C4A-E2F7BD3EAD71}" name="Chuffed_MZ1 State" dataDxfId="155" totalsRowDxfId="154"/>
    <tableColumn id="10" xr3:uid="{9AE0BB66-6991-4D00-8CB1-59A883C559F0}" name="Chuffed_MZ1 Cost" dataDxfId="153" totalsRowDxfId="152"/>
    <tableColumn id="11" xr3:uid="{EC729DDE-FA61-4589-A704-1CD89FA7E4EE}" name="Chuffed_MZ2 State" dataDxfId="151" totalsRowDxfId="150"/>
    <tableColumn id="12" xr3:uid="{BF1BA5CD-1EBB-448A-ABF7-80E217F71001}" name="Chuffed_MZ2 Cost" dataDxfId="149" totalsRowDxfId="148"/>
    <tableColumn id="13" xr3:uid="{8357CE48-9FF4-4A1A-B839-78BB67B690E3}" name="Cplex_MC State" dataDxfId="147" totalsRowDxfId="146"/>
    <tableColumn id="14" xr3:uid="{C4CCFD5D-5378-498E-A22A-73F132996237}" name="Cplex_MC Cost" totalsRowFunction="countNums" dataDxfId="145" totalsRowDxfId="144"/>
    <tableColumn id="15" xr3:uid="{1D6278CF-0B13-425B-BED5-FEDAAD88AEB2}" name="ORTools MZ1_noAbs State" dataDxfId="143" totalsRowDxfId="142"/>
    <tableColumn id="16" xr3:uid="{D4EDCCDF-450F-4E64-9084-7ACBDDFC49E0}" name="ORTools MZ1_noAbs Cost" dataDxfId="141" totalsRowDxfId="140"/>
    <tableColumn id="17" xr3:uid="{115BE89C-0E96-4443-8611-293649DF5782}" name="ORTools MZ2_noAbs State" totalsRowDxfId="139"/>
    <tableColumn id="18" xr3:uid="{EF73564C-F9F8-4CE0-ADD5-37505BC73E37}" name="ORTools MZ2_noAbs Cost" totalsRowDxfId="138"/>
    <tableColumn id="19" xr3:uid="{3D8CB170-E5EB-470E-9B49-4B2B670E86F7}" name="Cplex_MB State" totalsRowDxfId="137"/>
    <tableColumn id="20" xr3:uid="{5B2C8D4D-E75C-467A-A7A3-C6DB7C1398CE}" name="Cplex_MB Cost" totalsRowDxfId="136"/>
    <tableColumn id="21" xr3:uid="{F76F55DD-C45F-4F14-980D-C6294D7EC91D}" name="Cplex_MD State" totalsRowFunction="count" dataDxfId="135" totalsRowDxfId="134"/>
    <tableColumn id="22" xr3:uid="{9023073E-561E-4CE4-A0E4-C4B78F41A172}" name="Cplex_MD Cost" dataDxfId="133" totalsRowDxfId="132"/>
    <tableColumn id="23" xr3:uid="{78ABC8B4-82D9-40D7-AC2A-3AF968A3ED12}" name="Cplex_MI State" totalsRowDxfId="131"/>
    <tableColumn id="24" xr3:uid="{382DC040-8EE8-49D2-ADF4-495F135A4432}" name="Cplex_MI Cost" totalsRowDxfId="1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F82D-D295-407C-BA8E-8A26C4D0ABF3}">
  <dimension ref="A1:DZ290"/>
  <sheetViews>
    <sheetView tabSelected="1" zoomScale="92" workbookViewId="0">
      <pane xSplit="1" topLeftCell="DK1" activePane="topRight" state="frozen"/>
      <selection pane="topRight" activeCell="DT10" sqref="DT10"/>
    </sheetView>
  </sheetViews>
  <sheetFormatPr defaultColWidth="8.7109375" defaultRowHeight="15" x14ac:dyDescent="0.25"/>
  <cols>
    <col min="1" max="1" width="14.28515625" style="49" bestFit="1" customWidth="1"/>
    <col min="2" max="3" width="7.28515625" bestFit="1" customWidth="1"/>
    <col min="4" max="4" width="16" bestFit="1" customWidth="1"/>
    <col min="5" max="5" width="17.28515625" style="1" bestFit="1" customWidth="1"/>
    <col min="6" max="6" width="16.85546875" style="1" bestFit="1" customWidth="1"/>
    <col min="7" max="7" width="15.42578125" style="1" bestFit="1" customWidth="1"/>
    <col min="8" max="8" width="16.140625" bestFit="1" customWidth="1"/>
    <col min="9" max="9" width="16.140625" customWidth="1"/>
    <col min="10" max="10" width="15.7109375" style="1" bestFit="1" customWidth="1"/>
    <col min="11" max="11" width="14.85546875" bestFit="1" customWidth="1"/>
    <col min="12" max="12" width="18.42578125" bestFit="1" customWidth="1"/>
    <col min="13" max="13" width="18.42578125" customWidth="1"/>
    <col min="14" max="14" width="15.7109375" bestFit="1" customWidth="1"/>
    <col min="15" max="15" width="14.85546875" bestFit="1" customWidth="1"/>
    <col min="16" max="16" width="18.42578125" bestFit="1" customWidth="1"/>
    <col min="17" max="17" width="18.42578125" customWidth="1"/>
    <col min="18" max="19" width="15.140625" bestFit="1" customWidth="1"/>
    <col min="20" max="20" width="11.85546875" customWidth="1"/>
    <col min="21" max="21" width="14.85546875" customWidth="1"/>
    <col min="22" max="22" width="14.42578125" customWidth="1"/>
    <col min="23" max="23" width="15.5703125" bestFit="1" customWidth="1"/>
    <col min="24" max="24" width="14" bestFit="1" customWidth="1"/>
    <col min="25" max="25" width="19.85546875" bestFit="1" customWidth="1"/>
    <col min="26" max="26" width="14" bestFit="1" customWidth="1"/>
    <col min="27" max="27" width="15.5703125" bestFit="1" customWidth="1"/>
    <col min="28" max="28" width="14" bestFit="1" customWidth="1"/>
    <col min="29" max="29" width="12.5703125" customWidth="1"/>
    <col min="30" max="30" width="11.42578125" customWidth="1"/>
    <col min="31" max="32" width="15.140625" customWidth="1"/>
    <col min="33" max="33" width="13.85546875" customWidth="1"/>
    <col min="34" max="34" width="12.5703125" customWidth="1"/>
    <col min="35" max="35" width="13.7109375" customWidth="1"/>
    <col min="36" max="37" width="14" customWidth="1"/>
    <col min="38" max="38" width="16.7109375" customWidth="1"/>
    <col min="39" max="39" width="14" customWidth="1"/>
    <col min="40" max="41" width="13.140625" customWidth="1"/>
    <col min="42" max="43" width="16.7109375" customWidth="1"/>
    <col min="44" max="44" width="13.140625" customWidth="1"/>
    <col min="45" max="46" width="17.85546875" customWidth="1"/>
    <col min="47" max="47" width="19" customWidth="1"/>
    <col min="48" max="48" width="17" customWidth="1"/>
    <col min="49" max="49" width="14.42578125" customWidth="1"/>
    <col min="50" max="50" width="18.28515625" customWidth="1"/>
    <col min="51" max="51" width="15.5703125" customWidth="1"/>
    <col min="52" max="52" width="15.28515625" customWidth="1"/>
    <col min="53" max="53" width="18.5703125" customWidth="1"/>
    <col min="54" max="54" width="18" customWidth="1"/>
    <col min="55" max="55" width="19" customWidth="1"/>
    <col min="56" max="56" width="29.7109375" customWidth="1"/>
    <col min="57" max="57" width="15.7109375" customWidth="1"/>
    <col min="58" max="58" width="15.85546875" customWidth="1"/>
    <col min="59" max="59" width="17.140625" customWidth="1"/>
    <col min="60" max="60" width="17" customWidth="1"/>
    <col min="61" max="61" width="15.85546875" customWidth="1"/>
    <col min="62" max="62" width="17.85546875" customWidth="1"/>
    <col min="63" max="64" width="15.85546875" customWidth="1"/>
    <col min="65" max="66" width="18" customWidth="1"/>
    <col min="67" max="72" width="14.85546875" customWidth="1"/>
    <col min="73" max="73" width="15.140625" customWidth="1"/>
    <col min="74" max="74" width="12.42578125" customWidth="1"/>
    <col min="75" max="77" width="12.85546875" customWidth="1"/>
    <col min="78" max="79" width="12.7109375" customWidth="1"/>
    <col min="80" max="80" width="17.7109375" customWidth="1"/>
    <col min="81" max="87" width="18.28515625" customWidth="1"/>
    <col min="88" max="88" width="17.5703125" customWidth="1"/>
    <col min="89" max="89" width="16.7109375" customWidth="1"/>
    <col min="90" max="90" width="21.140625" customWidth="1"/>
    <col min="91" max="92" width="17.42578125" customWidth="1"/>
    <col min="93" max="93" width="17.7109375" customWidth="1"/>
    <col min="94" max="96" width="17.42578125" customWidth="1"/>
    <col min="97" max="97" width="12.85546875" customWidth="1"/>
    <col min="98" max="98" width="17.42578125" customWidth="1"/>
    <col min="99" max="99" width="13" customWidth="1"/>
    <col min="100" max="100" width="12.5703125" bestFit="1" customWidth="1"/>
    <col min="101" max="101" width="15.85546875" bestFit="1" customWidth="1"/>
    <col min="103" max="103" width="13.42578125" bestFit="1" customWidth="1"/>
    <col min="104" max="104" width="19.85546875" bestFit="1" customWidth="1"/>
    <col min="105" max="105" width="15.85546875" bestFit="1" customWidth="1"/>
    <col min="107" max="107" width="13.42578125" bestFit="1" customWidth="1"/>
    <col min="108" max="108" width="12.7109375" bestFit="1" customWidth="1"/>
    <col min="109" max="109" width="14.7109375" bestFit="1" customWidth="1"/>
    <col min="111" max="111" width="13.42578125" bestFit="1" customWidth="1"/>
    <col min="112" max="112" width="19.85546875" bestFit="1" customWidth="1"/>
    <col min="113" max="113" width="14.7109375" bestFit="1" customWidth="1"/>
    <col min="115" max="115" width="13.42578125" bestFit="1" customWidth="1"/>
    <col min="116" max="116" width="19.85546875" bestFit="1" customWidth="1"/>
    <col min="117" max="117" width="13.42578125" bestFit="1" customWidth="1"/>
    <col min="118" max="118" width="20.28515625" style="68" bestFit="1" customWidth="1"/>
    <col min="119" max="119" width="20.28515625" bestFit="1" customWidth="1"/>
    <col min="120" max="120" width="21" bestFit="1" customWidth="1"/>
    <col min="121" max="122" width="11.42578125" bestFit="1" customWidth="1"/>
    <col min="123" max="123" width="15.42578125" bestFit="1" customWidth="1"/>
    <col min="124" max="125" width="15.42578125" customWidth="1"/>
    <col min="126" max="128" width="12.7109375" bestFit="1" customWidth="1"/>
    <col min="129" max="129" width="18.140625" bestFit="1" customWidth="1"/>
    <col min="130" max="130" width="13.28515625" bestFit="1" customWidth="1"/>
  </cols>
  <sheetData>
    <row r="1" spans="1:130" ht="20.25" thickBot="1" x14ac:dyDescent="0.35">
      <c r="A1" s="73" t="s">
        <v>423</v>
      </c>
      <c r="B1" s="73"/>
      <c r="C1" s="73"/>
      <c r="D1" s="73"/>
      <c r="E1" s="73"/>
      <c r="F1" s="73"/>
      <c r="G1" s="73"/>
      <c r="H1" s="73"/>
      <c r="I1" s="73"/>
      <c r="J1" s="74" t="s">
        <v>422</v>
      </c>
      <c r="K1" s="75"/>
      <c r="L1" s="75"/>
      <c r="M1" s="76"/>
      <c r="N1" s="77" t="s">
        <v>424</v>
      </c>
      <c r="O1" s="78"/>
      <c r="P1" s="78"/>
      <c r="Q1" s="79"/>
      <c r="R1" s="77" t="s">
        <v>425</v>
      </c>
      <c r="S1" s="78"/>
      <c r="T1" s="78"/>
      <c r="U1" s="79"/>
      <c r="V1" s="77" t="s">
        <v>426</v>
      </c>
      <c r="W1" s="78"/>
      <c r="X1" s="78"/>
      <c r="Y1" s="79"/>
      <c r="Z1" s="77" t="s">
        <v>427</v>
      </c>
      <c r="AA1" s="78"/>
      <c r="AB1" s="79"/>
      <c r="AC1" s="77" t="s">
        <v>428</v>
      </c>
      <c r="AD1" s="78"/>
      <c r="AE1" s="78"/>
      <c r="AF1" s="78"/>
      <c r="AG1" s="79"/>
      <c r="AH1" s="77" t="s">
        <v>429</v>
      </c>
      <c r="AI1" s="78"/>
      <c r="AJ1" s="78"/>
      <c r="AK1" s="78"/>
      <c r="AL1" s="79"/>
      <c r="AM1" s="77" t="s">
        <v>430</v>
      </c>
      <c r="AN1" s="78"/>
      <c r="AO1" s="78"/>
      <c r="AP1" s="78"/>
      <c r="AQ1" s="79"/>
      <c r="AR1" s="77" t="s">
        <v>426</v>
      </c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9"/>
      <c r="BD1" s="77" t="s">
        <v>427</v>
      </c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9"/>
      <c r="BP1" s="74" t="s">
        <v>428</v>
      </c>
      <c r="BQ1" s="75"/>
      <c r="BR1" s="75"/>
      <c r="BS1" s="75"/>
      <c r="BT1" s="76"/>
      <c r="BU1" s="77" t="s">
        <v>429</v>
      </c>
      <c r="BV1" s="78"/>
      <c r="BW1" s="78"/>
      <c r="BX1" s="78"/>
      <c r="BY1" s="79"/>
      <c r="BZ1" s="77" t="s">
        <v>430</v>
      </c>
      <c r="CA1" s="78"/>
      <c r="CB1" s="78"/>
      <c r="CC1" s="78"/>
      <c r="CD1" s="79"/>
      <c r="CE1" s="77" t="s">
        <v>426</v>
      </c>
      <c r="CF1" s="78"/>
      <c r="CG1" s="79"/>
      <c r="CH1" s="77" t="s">
        <v>427</v>
      </c>
      <c r="CI1" s="78"/>
      <c r="CJ1" s="79"/>
      <c r="CK1" s="77" t="s">
        <v>425</v>
      </c>
      <c r="CL1" s="78"/>
      <c r="CM1" s="79"/>
      <c r="CN1" s="70"/>
      <c r="CO1" s="70"/>
      <c r="CP1" s="70"/>
      <c r="CQ1" s="77" t="s">
        <v>426</v>
      </c>
      <c r="CR1" s="78"/>
      <c r="CS1" s="78"/>
      <c r="CT1" s="78"/>
      <c r="CU1" s="78"/>
      <c r="CV1" s="79"/>
      <c r="CW1" s="77" t="s">
        <v>426</v>
      </c>
      <c r="CX1" s="78"/>
      <c r="CY1" s="78"/>
      <c r="CZ1" s="79"/>
      <c r="DA1" s="77" t="s">
        <v>427</v>
      </c>
      <c r="DB1" s="78"/>
      <c r="DC1" s="78"/>
      <c r="DD1" s="79"/>
      <c r="DE1" s="77" t="s">
        <v>426</v>
      </c>
      <c r="DF1" s="78"/>
      <c r="DG1" s="78"/>
      <c r="DH1" s="79"/>
      <c r="DI1" s="77" t="s">
        <v>427</v>
      </c>
      <c r="DJ1" s="78"/>
      <c r="DK1" s="78"/>
      <c r="DL1" s="79"/>
      <c r="DM1" s="77" t="s">
        <v>433</v>
      </c>
      <c r="DN1" s="78"/>
      <c r="DO1" s="78"/>
      <c r="DP1" s="79"/>
      <c r="DQ1" s="77" t="s">
        <v>444</v>
      </c>
      <c r="DR1" s="78"/>
      <c r="DS1" s="78"/>
      <c r="DT1" s="78"/>
      <c r="DU1" s="78"/>
      <c r="DV1" s="78"/>
      <c r="DW1" s="78"/>
      <c r="DX1" s="78"/>
      <c r="DY1" s="78"/>
      <c r="DZ1" s="79"/>
    </row>
    <row r="2" spans="1:130" s="45" customFormat="1" ht="75.75" customHeight="1" x14ac:dyDescent="0.25">
      <c r="A2" s="41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2" t="s">
        <v>7</v>
      </c>
      <c r="I2" s="42" t="s">
        <v>389</v>
      </c>
      <c r="J2" s="42" t="s">
        <v>324</v>
      </c>
      <c r="K2" s="42" t="s">
        <v>325</v>
      </c>
      <c r="L2" s="42" t="s">
        <v>326</v>
      </c>
      <c r="M2" s="42" t="s">
        <v>413</v>
      </c>
      <c r="N2" s="42" t="s">
        <v>327</v>
      </c>
      <c r="O2" s="42" t="s">
        <v>328</v>
      </c>
      <c r="P2" s="42" t="s">
        <v>329</v>
      </c>
      <c r="Q2" s="42" t="s">
        <v>414</v>
      </c>
      <c r="R2" s="42" t="s">
        <v>330</v>
      </c>
      <c r="S2" s="43" t="s">
        <v>331</v>
      </c>
      <c r="T2" s="43" t="s">
        <v>332</v>
      </c>
      <c r="U2" s="43" t="s">
        <v>333</v>
      </c>
      <c r="V2" s="42" t="s">
        <v>318</v>
      </c>
      <c r="W2" s="42" t="s">
        <v>319</v>
      </c>
      <c r="X2" s="42" t="s">
        <v>320</v>
      </c>
      <c r="Y2" s="42" t="s">
        <v>412</v>
      </c>
      <c r="Z2" s="42" t="s">
        <v>321</v>
      </c>
      <c r="AA2" s="42" t="s">
        <v>322</v>
      </c>
      <c r="AB2" s="42" t="s">
        <v>323</v>
      </c>
      <c r="AC2" s="42" t="s">
        <v>334</v>
      </c>
      <c r="AD2" s="42" t="s">
        <v>335</v>
      </c>
      <c r="AE2" s="42" t="s">
        <v>336</v>
      </c>
      <c r="AF2" s="42" t="s">
        <v>416</v>
      </c>
      <c r="AG2" s="42" t="s">
        <v>337</v>
      </c>
      <c r="AH2" s="42" t="s">
        <v>338</v>
      </c>
      <c r="AI2" s="43" t="s">
        <v>339</v>
      </c>
      <c r="AJ2" s="43" t="s">
        <v>340</v>
      </c>
      <c r="AK2" s="43" t="s">
        <v>415</v>
      </c>
      <c r="AL2" s="43" t="s">
        <v>341</v>
      </c>
      <c r="AM2" s="42" t="s">
        <v>342</v>
      </c>
      <c r="AN2" s="44" t="s">
        <v>343</v>
      </c>
      <c r="AO2" s="42" t="s">
        <v>344</v>
      </c>
      <c r="AP2" s="42" t="s">
        <v>345</v>
      </c>
      <c r="AQ2" s="42" t="s">
        <v>411</v>
      </c>
      <c r="AR2" s="42" t="s">
        <v>346</v>
      </c>
      <c r="AS2" s="42" t="s">
        <v>347</v>
      </c>
      <c r="AT2" s="42" t="s">
        <v>348</v>
      </c>
      <c r="AU2" s="42" t="s">
        <v>349</v>
      </c>
      <c r="AV2" s="42" t="s">
        <v>432</v>
      </c>
      <c r="AW2" s="42" t="s">
        <v>350</v>
      </c>
      <c r="AX2" s="42" t="s">
        <v>351</v>
      </c>
      <c r="AY2" s="42" t="s">
        <v>352</v>
      </c>
      <c r="AZ2" s="42" t="s">
        <v>431</v>
      </c>
      <c r="BA2" s="42" t="s">
        <v>353</v>
      </c>
      <c r="BB2" s="42" t="s">
        <v>354</v>
      </c>
      <c r="BC2" s="42" t="s">
        <v>355</v>
      </c>
      <c r="BD2" s="42" t="s">
        <v>356</v>
      </c>
      <c r="BE2" s="42" t="s">
        <v>357</v>
      </c>
      <c r="BF2" s="42" t="s">
        <v>358</v>
      </c>
      <c r="BG2" s="42" t="s">
        <v>359</v>
      </c>
      <c r="BH2" s="42" t="s">
        <v>360</v>
      </c>
      <c r="BI2" s="42" t="s">
        <v>361</v>
      </c>
      <c r="BJ2" s="42" t="s">
        <v>362</v>
      </c>
      <c r="BK2" s="42" t="s">
        <v>363</v>
      </c>
      <c r="BL2" s="42" t="s">
        <v>364</v>
      </c>
      <c r="BM2" s="42" t="s">
        <v>365</v>
      </c>
      <c r="BN2" s="42" t="s">
        <v>366</v>
      </c>
      <c r="BO2" s="42" t="s">
        <v>367</v>
      </c>
      <c r="BP2" s="42" t="s">
        <v>368</v>
      </c>
      <c r="BQ2" s="42" t="s">
        <v>369</v>
      </c>
      <c r="BR2" s="42" t="s">
        <v>370</v>
      </c>
      <c r="BS2" s="42" t="s">
        <v>417</v>
      </c>
      <c r="BT2" s="42" t="s">
        <v>418</v>
      </c>
      <c r="BU2" s="42" t="s">
        <v>371</v>
      </c>
      <c r="BV2" s="42" t="s">
        <v>372</v>
      </c>
      <c r="BW2" s="42" t="s">
        <v>373</v>
      </c>
      <c r="BX2" s="42" t="s">
        <v>420</v>
      </c>
      <c r="BY2" s="42" t="s">
        <v>421</v>
      </c>
      <c r="BZ2" s="42" t="s">
        <v>374</v>
      </c>
      <c r="CA2" s="42" t="s">
        <v>375</v>
      </c>
      <c r="CB2" s="42" t="s">
        <v>376</v>
      </c>
      <c r="CC2" s="42" t="s">
        <v>410</v>
      </c>
      <c r="CD2" s="42" t="s">
        <v>419</v>
      </c>
      <c r="CE2" s="42" t="s">
        <v>379</v>
      </c>
      <c r="CF2" s="42" t="s">
        <v>377</v>
      </c>
      <c r="CG2" s="42" t="s">
        <v>378</v>
      </c>
      <c r="CH2" s="42" t="s">
        <v>380</v>
      </c>
      <c r="CI2" s="42" t="s">
        <v>381</v>
      </c>
      <c r="CJ2" s="42" t="s">
        <v>382</v>
      </c>
      <c r="CK2" s="55" t="s">
        <v>314</v>
      </c>
      <c r="CL2" s="55" t="s">
        <v>313</v>
      </c>
      <c r="CM2" s="55" t="s">
        <v>312</v>
      </c>
      <c r="CN2" s="55" t="s">
        <v>383</v>
      </c>
      <c r="CO2" s="55" t="s">
        <v>384</v>
      </c>
      <c r="CP2" s="55" t="s">
        <v>385</v>
      </c>
      <c r="CQ2" s="55" t="s">
        <v>315</v>
      </c>
      <c r="CR2" s="55" t="s">
        <v>316</v>
      </c>
      <c r="CS2" s="55" t="s">
        <v>317</v>
      </c>
      <c r="CT2" s="42" t="s">
        <v>386</v>
      </c>
      <c r="CU2" s="42" t="s">
        <v>387</v>
      </c>
      <c r="CV2" s="42" t="s">
        <v>388</v>
      </c>
      <c r="CW2" s="42" t="s">
        <v>390</v>
      </c>
      <c r="CX2" s="42" t="s">
        <v>391</v>
      </c>
      <c r="CY2" s="42" t="s">
        <v>392</v>
      </c>
      <c r="CZ2" s="42" t="s">
        <v>402</v>
      </c>
      <c r="DA2" s="42" t="s">
        <v>393</v>
      </c>
      <c r="DB2" s="42" t="s">
        <v>394</v>
      </c>
      <c r="DC2" s="42" t="s">
        <v>395</v>
      </c>
      <c r="DD2" s="42" t="s">
        <v>403</v>
      </c>
      <c r="DE2" s="42" t="s">
        <v>396</v>
      </c>
      <c r="DF2" s="42" t="s">
        <v>397</v>
      </c>
      <c r="DG2" s="42" t="s">
        <v>398</v>
      </c>
      <c r="DH2" s="42" t="s">
        <v>404</v>
      </c>
      <c r="DI2" s="42" t="s">
        <v>399</v>
      </c>
      <c r="DJ2" s="42" t="s">
        <v>400</v>
      </c>
      <c r="DK2" s="42" t="s">
        <v>401</v>
      </c>
      <c r="DL2" s="42" t="s">
        <v>405</v>
      </c>
      <c r="DM2" s="42" t="s">
        <v>406</v>
      </c>
      <c r="DN2" s="42" t="s">
        <v>407</v>
      </c>
      <c r="DO2" s="66" t="s">
        <v>408</v>
      </c>
      <c r="DP2" s="42" t="s">
        <v>409</v>
      </c>
      <c r="DQ2" s="42" t="s">
        <v>434</v>
      </c>
      <c r="DR2" s="42" t="s">
        <v>435</v>
      </c>
      <c r="DS2" s="42" t="s">
        <v>436</v>
      </c>
      <c r="DT2" s="42" t="s">
        <v>437</v>
      </c>
      <c r="DU2" s="42" t="s">
        <v>438</v>
      </c>
      <c r="DV2" s="42" t="s">
        <v>439</v>
      </c>
      <c r="DW2" s="42" t="s">
        <v>440</v>
      </c>
      <c r="DX2" s="42" t="s">
        <v>441</v>
      </c>
      <c r="DY2" s="42" t="s">
        <v>442</v>
      </c>
      <c r="DZ2" s="42" t="s">
        <v>443</v>
      </c>
    </row>
    <row r="3" spans="1:130" ht="15.75" x14ac:dyDescent="0.25">
      <c r="A3" s="46" t="s">
        <v>24</v>
      </c>
      <c r="B3" s="5">
        <v>20</v>
      </c>
      <c r="C3" s="2">
        <v>10</v>
      </c>
      <c r="D3" s="5">
        <v>105</v>
      </c>
      <c r="E3" s="3">
        <v>12</v>
      </c>
      <c r="F3" s="34">
        <v>22</v>
      </c>
      <c r="G3" s="3">
        <v>0</v>
      </c>
      <c r="H3" s="4">
        <f t="shared" ref="H3:H66" si="0" xml:space="preserve"> B3-PRODUCT(2,C3)</f>
        <v>0</v>
      </c>
      <c r="I3" s="4">
        <f>Table1[[#This Row],[B]]+Table1[[#This Row],[Atomic Constraints]]+Table1[[#This Row],[Soft Atomic Constraints]]+Table1[[#This Row],[Disjunctive Constraints]]+Table1[[#This Row],[Direct Successors]]</f>
        <v>149</v>
      </c>
      <c r="J3" s="5" t="s">
        <v>25</v>
      </c>
      <c r="K3" s="2">
        <v>41881</v>
      </c>
      <c r="L3" s="2">
        <v>4.231833</v>
      </c>
      <c r="M3" s="2" t="str">
        <f>IF(AND(Table1[[#This Row],[Chuffed MZ1 Cost]]=Table1[[#This Row],[ORTools FZN2 Cost]],Table1[[#This Row],[ORTools FZN2 State]]="Optimal",Table1[[#This Row],[Chuffed MZ1 State]]="Suboptimal"),1,"")</f>
        <v/>
      </c>
      <c r="N3" s="5" t="s">
        <v>25</v>
      </c>
      <c r="O3" s="2">
        <v>41881</v>
      </c>
      <c r="P3" s="2">
        <v>1.6805540999999999</v>
      </c>
      <c r="Q3" s="2" t="str">
        <f>IF(AND(Table1[[#This Row],[Chuffed MZ2 Cost]]=Table1[[#This Row],[ORTools FZN2 Cost]],Table1[[#This Row],[ORTools FZN2 State]]="Optimal",Table1[[#This Row],[Chuffed MZ2 State]]="Suboptimal"),1,"")</f>
        <v/>
      </c>
      <c r="R3" s="5" t="s">
        <v>25</v>
      </c>
      <c r="S3" s="2">
        <v>41883</v>
      </c>
      <c r="T3" s="2">
        <v>0.26900000000000002</v>
      </c>
      <c r="U3" s="2"/>
      <c r="V3" s="5" t="s">
        <v>25</v>
      </c>
      <c r="W3" s="2">
        <v>41881</v>
      </c>
      <c r="X3" s="2">
        <v>0.4685513</v>
      </c>
      <c r="Y3" s="2" t="str">
        <f>IF(AND(Table1[[#This Row],[ORTools FZN1 Cost]]=Table1[[#This Row],[ORTools FZN2 Cost]],Table1[[#This Row],[ORTools FZN2 State]]="Optimal",Table1[[#This Row],[ORTools FZN1 State]]="Suboptimal"),1,"")</f>
        <v/>
      </c>
      <c r="Z3" s="5" t="s">
        <v>25</v>
      </c>
      <c r="AA3" s="2">
        <v>41881</v>
      </c>
      <c r="AB3" s="2">
        <v>0.4068041</v>
      </c>
      <c r="AC3" s="39" t="s">
        <v>25</v>
      </c>
      <c r="AD3" s="39">
        <v>41881</v>
      </c>
      <c r="AE3" s="2">
        <v>1.0055764</v>
      </c>
      <c r="AF3" s="2" t="str">
        <f>IF(AND(Table1[[#This Row],[Cplex MB Cost]]=Table1[[#This Row],[ORTools FZN2 Cost]],Table1[[#This Row],[ORTools FZN2 State]]="Optimal",Table1[[#This Row],[Cplex MB State]]="Suboptimal"),1,"")</f>
        <v/>
      </c>
      <c r="AG3" s="4">
        <f>IF(AND(AC3="Optimal",AD3&lt;&gt;AA3,Table1[[#This Row],[Example]]&lt;&gt;"R001",Table1[[#This Row],[Example]]&lt;&gt;"R002"),AD3-AA3,)</f>
        <v>0</v>
      </c>
      <c r="AH3" s="5" t="s">
        <v>25</v>
      </c>
      <c r="AI3" s="2">
        <v>41881</v>
      </c>
      <c r="AJ3" s="2">
        <v>2.8711954</v>
      </c>
      <c r="AK3" s="2" t="str">
        <f>IF(AND(Table1[[#This Row],[Cplex MD Cost]]=Table1[[#This Row],[ORTools FZN2 Cost]],Table1[[#This Row],[ORTools FZN2 State]]="Optimal",Table1[[#This Row],[Cplex MD State]]="Suboptimal"),1,"")</f>
        <v/>
      </c>
      <c r="AL3" s="4">
        <f>IF(AND(AH3="Optimal",AI3&lt;&gt;AA3,Table1[[#This Row],[Example]]&lt;&gt;"R001",Table1[[#This Row],[Example]]&lt;&gt;"R002"),AI3-AA3,)</f>
        <v>0</v>
      </c>
      <c r="AM3" s="39" t="s">
        <v>25</v>
      </c>
      <c r="AN3" s="39">
        <v>41881</v>
      </c>
      <c r="AO3" s="2">
        <v>1.3142332000000001</v>
      </c>
      <c r="AP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" s="2" t="str">
        <f>IF(AND(Table1[[#This Row],[Cplex MI Cost]]=Table1[[#This Row],[ORTools FZN2 Cost]],Table1[[#This Row],[ORTools FZN2 State]]="Optimal",Table1[[#This Row],[Cplex MI State]]="Suboptimal"),1,"")</f>
        <v/>
      </c>
      <c r="AR3" s="12" t="s">
        <v>26</v>
      </c>
      <c r="AS3" s="12">
        <v>41881</v>
      </c>
      <c r="AT3" s="12">
        <v>10.456860799999999</v>
      </c>
      <c r="AU3" s="12">
        <f>IF(AND(Table1[[#This Row],[Z3 SMT2-1 Maxres Cost]]=Table1[[#This Row],[ORTools FZN2 Cost]],Table1[[#This Row],[ORTools FZN2 State]]="Optimal"),1,"")</f>
        <v>1</v>
      </c>
      <c r="AV3" s="12" t="s">
        <v>26</v>
      </c>
      <c r="AW3" s="12">
        <v>41881</v>
      </c>
      <c r="AX3" s="12">
        <v>10.2437205</v>
      </c>
      <c r="AY3" s="12">
        <f>IF(AND(Table1[[#This Row],[Z3 SMT2-1 PdMaxres Cost]]=Table1[[#This Row],[ORTools FZN2 Cost]],Table1[[#This Row],[ORTools FZN2 State]]="Optimal"),1,"")</f>
        <v>1</v>
      </c>
      <c r="AZ3" s="12" t="s">
        <v>26</v>
      </c>
      <c r="BA3" s="12">
        <v>41881</v>
      </c>
      <c r="BB3" s="12">
        <v>11.1857557</v>
      </c>
      <c r="BC3" s="12">
        <f>IF(AND(Table1[[#This Row],[Z3 SMT2-1 WMax Cost]]=Table1[[#This Row],[ORTools FZN2 Cost]],Table1[[#This Row],[ORTools FZN2 State]]="Optimal"),1,"")</f>
        <v>1</v>
      </c>
      <c r="BD3" s="12" t="s">
        <v>26</v>
      </c>
      <c r="BE3" s="12">
        <v>41881</v>
      </c>
      <c r="BF3" s="12">
        <v>16.094096400000002</v>
      </c>
      <c r="BG3" s="12">
        <f>IF(AND(Table1[[#This Row],[Z3 SMT2-2 Maxres Cost]]=Table1[[#This Row],[ORTools FZN2 Cost]],Table1[[#This Row],[ORTools FZN2 State]]="Optimal"),1,"")</f>
        <v>1</v>
      </c>
      <c r="BH3" s="12" t="s">
        <v>26</v>
      </c>
      <c r="BI3" s="12">
        <v>41881</v>
      </c>
      <c r="BJ3" s="12">
        <v>16.3557573</v>
      </c>
      <c r="BK3" s="12">
        <f>IF(AND(Table1[[#This Row],[Z3 SMT2-2 PdMaxres Cost]]=Table1[[#This Row],[ORTools FZN2 Cost]],Table1[[#This Row],[ORTools FZN2 State]]="Optimal"),1,"")</f>
        <v>1</v>
      </c>
      <c r="BL3" s="12" t="s">
        <v>26</v>
      </c>
      <c r="BM3" s="12">
        <v>41881</v>
      </c>
      <c r="BN3" s="12">
        <v>18.524586500000002</v>
      </c>
      <c r="BO3" s="11">
        <f>IF(AND(Table1[[#This Row],[Z3 SMT2-2 PdMaxres Cost]]=Table1[[#This Row],[ORTools FZN2 Cost]],Table1[[#This Row],[ORTools FZN2 State]]="Optimal"),1,"")</f>
        <v>1</v>
      </c>
      <c r="BP3" s="5" t="s">
        <v>25</v>
      </c>
      <c r="BQ3" s="2">
        <v>41881</v>
      </c>
      <c r="BR3" s="2">
        <v>3.0798095999999999</v>
      </c>
      <c r="BS3" s="2" t="str">
        <f>IF(AND(Table1[[#This Row],[Gurobi MB Cost]]=Table1[[#This Row],[ORTools FZN2 Cost]],Table1[[#This Row],[ORTools FZN2 State]]="Optimal",Table1[[#This Row],[Gurobi MB State]]="Suboptimal"),1,"")</f>
        <v/>
      </c>
      <c r="BT3" s="4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" s="5" t="s">
        <v>25</v>
      </c>
      <c r="BV3" s="2">
        <v>41881</v>
      </c>
      <c r="BW3" s="2">
        <v>10.446031400000001</v>
      </c>
      <c r="BX3" s="2" t="str">
        <f>IF(AND(Table1[[#This Row],[Gurobi MD Cost]]=Table1[[#This Row],[ORTools FZN2 Cost]],Table1[[#This Row],[ORTools FZN2 State]]="Optimal",Table1[[#This Row],[Gurobi MD State]]="Suboptimal"),1,"")</f>
        <v/>
      </c>
      <c r="BY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" s="5" t="s">
        <v>25</v>
      </c>
      <c r="CA3" s="2">
        <v>41881</v>
      </c>
      <c r="CB3" s="2">
        <v>2.6610534000000001</v>
      </c>
      <c r="CC3" s="2" t="str">
        <f>IF(AND(Table1[[#This Row],[Gurobi MI Cost]]=Table1[[#This Row],[ORTools FZN2 Cost]],Table1[[#This Row],[ORTools FZN2 State]]="Optimal",Table1[[#This Row],[Gurobi MI State]]="Suboptimal"),1,"")</f>
        <v/>
      </c>
      <c r="CD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" s="39" t="s">
        <v>42</v>
      </c>
      <c r="CF3" s="2">
        <v>-8421</v>
      </c>
      <c r="CG3" s="39">
        <v>305.80017409999999</v>
      </c>
      <c r="CH3" s="39" t="s">
        <v>42</v>
      </c>
      <c r="CI3" s="39">
        <v>-8421</v>
      </c>
      <c r="CJ3" s="2">
        <v>311.01292619999998</v>
      </c>
      <c r="CK3" s="5" t="s">
        <v>25</v>
      </c>
      <c r="CL3" s="2">
        <v>41881</v>
      </c>
      <c r="CM3" s="2">
        <v>0.65900000000000003</v>
      </c>
      <c r="CN3" s="5" t="s">
        <v>25</v>
      </c>
      <c r="CO3" s="2">
        <v>41881</v>
      </c>
      <c r="CP3" s="2">
        <v>0.92125020000000002</v>
      </c>
      <c r="CQ3" s="5" t="s">
        <v>25</v>
      </c>
      <c r="CR3" s="2">
        <v>41881</v>
      </c>
      <c r="CS3" s="2">
        <v>1.6498170000000001</v>
      </c>
      <c r="CT3" s="6" t="s">
        <v>25</v>
      </c>
      <c r="CU3" s="4">
        <v>41881</v>
      </c>
      <c r="CV3" s="4">
        <v>0.81948290000000001</v>
      </c>
      <c r="CW3" s="39" t="s">
        <v>25</v>
      </c>
      <c r="CX3" s="39">
        <v>41881</v>
      </c>
      <c r="CY3" s="2">
        <v>1.5722</v>
      </c>
      <c r="CZ3" s="2" t="str">
        <f>IF(AND(Table1[[#This Row],[Cplex MZ1 Cost]]=Table1[[#This Row],[ORTools FZN2 Cost]],Table1[[#This Row],[ORTools FZN2 State]]="Optimal",Table1[[#This Row],[Cplex MZ1 State]]="Suboptimal"),1,"")</f>
        <v/>
      </c>
      <c r="DA3" s="5" t="s">
        <v>25</v>
      </c>
      <c r="DB3" s="2">
        <v>41881</v>
      </c>
      <c r="DC3" s="2">
        <v>1.494</v>
      </c>
      <c r="DD3" s="2" t="str">
        <f>IF(AND(Table1[[#This Row],[Cplex MZ2 Cost]]=Table1[[#This Row],[ORTools FZN2 Cost]],Table1[[#This Row],[ORTools FZN2 State]]="Optimal",Table1[[#This Row],[Cplex MZ2 State]]="Suboptimal"),1,"")</f>
        <v/>
      </c>
      <c r="DE3" s="39" t="s">
        <v>25</v>
      </c>
      <c r="DF3" s="39">
        <v>41881</v>
      </c>
      <c r="DG3" s="2">
        <v>3.5663999999999998</v>
      </c>
      <c r="DH3" s="2" t="str">
        <f>IF(AND(Table1[[#This Row],[Gurobi MZ1 Cost]]=Table1[[#This Row],[ORTools FZN2 Cost]],Table1[[#This Row],[ORTools FZN2 State]]="Optimal",Table1[[#This Row],[Gurobi MZ1 State]]="Suboptimal"),1,"")</f>
        <v/>
      </c>
      <c r="DI3" s="5" t="s">
        <v>25</v>
      </c>
      <c r="DJ3" s="2">
        <v>41881</v>
      </c>
      <c r="DK3" s="2">
        <v>2.0430999999999999</v>
      </c>
      <c r="DL3" s="4" t="str">
        <f>IF(AND(Table1[[#This Row],[Gurobi MZ2 Cost]]=Table1[[#This Row],[ORTools FZN2 Cost]],Table1[[#This Row],[ORTools FZN2 State]]="Optimal",Table1[[#This Row],[Gurobi MZ2 State]]="Suboptimal"),1,"")</f>
        <v/>
      </c>
      <c r="DM3" s="39" t="s">
        <v>25</v>
      </c>
      <c r="DN3" s="39">
        <v>41881</v>
      </c>
      <c r="DO3" s="65">
        <v>1.86699999999999</v>
      </c>
      <c r="DP3" s="4" t="str">
        <f>IF(AND(Table1[[#This Row],[Cplex MC nonDual Cost]]=Table1[[#This Row],[ORTools FZN2 Cost]],Table1[[#This Row],[ORTools FZN2 State]]="Optimal",Table1[[#This Row],[Cplex MC nonDual State]]="Suboptimal"),1,"")</f>
        <v/>
      </c>
      <c r="DQ3" s="5" t="s">
        <v>25</v>
      </c>
      <c r="DR3" s="2">
        <v>41881</v>
      </c>
      <c r="DS3" s="2">
        <v>1.8849</v>
      </c>
      <c r="DT3" s="2" t="str">
        <f>IF(AND(Table1[[#This Row],[Cplex MIP DM''z Cost]]=Table1[[#This Row],[ORTools FZN2 Cost]],Table1[[#This Row],[ORTools FZN2 State]]="Optimal",Table1[[#This Row],[Cplex MIP DM''z  State]]="Suboptimal"),1,"")</f>
        <v/>
      </c>
      <c r="DU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" s="5" t="s">
        <v>25</v>
      </c>
      <c r="DW3" s="2">
        <v>41881</v>
      </c>
      <c r="DX3" s="2">
        <v>1.4059999999999999</v>
      </c>
      <c r="DY3" s="4" t="str">
        <f>IF(AND(Table1[[#This Row],[Gurobi DM''z  Cost]]=Table1[[#This Row],[ORTools FZN2 Cost]],Table1[[#This Row],[ORTools FZN2 State]]="Optimal",Table1[[#This Row],[Gurobi DM''z  State]]="Suboptimal"),1,"")</f>
        <v/>
      </c>
      <c r="DZ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" spans="1:130" ht="15.75" x14ac:dyDescent="0.25">
      <c r="A4" s="46" t="s">
        <v>27</v>
      </c>
      <c r="B4" s="5">
        <v>24</v>
      </c>
      <c r="C4" s="2">
        <v>12</v>
      </c>
      <c r="D4" s="5">
        <v>160</v>
      </c>
      <c r="E4" s="3">
        <v>16</v>
      </c>
      <c r="F4" s="34">
        <v>26</v>
      </c>
      <c r="G4" s="3">
        <v>0</v>
      </c>
      <c r="H4" s="4">
        <f t="shared" si="0"/>
        <v>0</v>
      </c>
      <c r="I4" s="4">
        <f>Table1[[#This Row],[B]]+Table1[[#This Row],[Atomic Constraints]]+Table1[[#This Row],[Soft Atomic Constraints]]+Table1[[#This Row],[Disjunctive Constraints]]+Table1[[#This Row],[Direct Successors]]</f>
        <v>214</v>
      </c>
      <c r="J4" s="5" t="s">
        <v>25</v>
      </c>
      <c r="K4" s="2">
        <v>71909</v>
      </c>
      <c r="L4" s="2">
        <v>1.7751136000000001</v>
      </c>
      <c r="M4" s="2" t="str">
        <f>IF(AND(Table1[[#This Row],[Chuffed MZ1 Cost]]=Table1[[#This Row],[ORTools FZN2 Cost]],Table1[[#This Row],[ORTools FZN2 State]]="Optimal",Table1[[#This Row],[Chuffed MZ1 State]]="Suboptimal"),1,"")</f>
        <v/>
      </c>
      <c r="N4" s="5" t="s">
        <v>25</v>
      </c>
      <c r="O4" s="2">
        <v>71909</v>
      </c>
      <c r="P4" s="2">
        <v>2.4400069000000002</v>
      </c>
      <c r="Q4" s="2" t="str">
        <f>IF(AND(Table1[[#This Row],[Chuffed MZ2 Cost]]=Table1[[#This Row],[ORTools FZN2 Cost]],Table1[[#This Row],[ORTools FZN2 State]]="Optimal",Table1[[#This Row],[Chuffed MZ2 State]]="Suboptimal"),1,"")</f>
        <v/>
      </c>
      <c r="R4" s="6" t="s">
        <v>25</v>
      </c>
      <c r="S4" s="4">
        <v>71909</v>
      </c>
      <c r="T4" s="4">
        <v>1.216</v>
      </c>
      <c r="U4" s="4"/>
      <c r="V4" s="5" t="s">
        <v>25</v>
      </c>
      <c r="W4" s="2">
        <v>71909</v>
      </c>
      <c r="X4" s="2">
        <v>0.86067360000000004</v>
      </c>
      <c r="Y4" s="2" t="str">
        <f>IF(AND(Table1[[#This Row],[ORTools FZN1 Cost]]=Table1[[#This Row],[ORTools FZN2 Cost]],Table1[[#This Row],[ORTools FZN2 State]]="Optimal",Table1[[#This Row],[ORTools FZN1 State]]="Suboptimal"),1,"")</f>
        <v/>
      </c>
      <c r="Z4" s="5" t="s">
        <v>25</v>
      </c>
      <c r="AA4" s="2">
        <v>71909</v>
      </c>
      <c r="AB4" s="2">
        <v>0.72734359999999998</v>
      </c>
      <c r="AC4" s="39" t="s">
        <v>25</v>
      </c>
      <c r="AD4" s="39">
        <v>71909</v>
      </c>
      <c r="AE4" s="2">
        <v>3.1243470000000002</v>
      </c>
      <c r="AF4" s="2" t="str">
        <f>IF(AND(Table1[[#This Row],[Cplex MB Cost]]=Table1[[#This Row],[ORTools FZN2 Cost]],Table1[[#This Row],[ORTools FZN2 State]]="Optimal",Table1[[#This Row],[Cplex MB State]]="Suboptimal"),1,"")</f>
        <v/>
      </c>
      <c r="AG4" s="4">
        <f>IF(AND(AC4="Optimal",AD4&lt;&gt;AA4,Table1[[#This Row],[Example]]&lt;&gt;"R001",Table1[[#This Row],[Example]]&lt;&gt;"R002"),AD4-AA4,)</f>
        <v>0</v>
      </c>
      <c r="AH4" s="5" t="s">
        <v>25</v>
      </c>
      <c r="AI4" s="2">
        <v>71910</v>
      </c>
      <c r="AJ4" s="2">
        <v>3.6492437</v>
      </c>
      <c r="AK4" s="2" t="str">
        <f>IF(AND(Table1[[#This Row],[Cplex MD Cost]]=Table1[[#This Row],[ORTools FZN2 Cost]],Table1[[#This Row],[ORTools FZN2 State]]="Optimal",Table1[[#This Row],[Cplex MD State]]="Suboptimal"),1,"")</f>
        <v/>
      </c>
      <c r="AL4" s="4">
        <f>IF(AND(AH4="Optimal",AI4&lt;&gt;AA4,Table1[[#This Row],[Example]]&lt;&gt;"R001",Table1[[#This Row],[Example]]&lt;&gt;"R002"),AI4-AA4,)</f>
        <v>1</v>
      </c>
      <c r="AM4" s="39" t="s">
        <v>25</v>
      </c>
      <c r="AN4" s="39">
        <v>71909</v>
      </c>
      <c r="AO4" s="2">
        <v>3.6157428999999999</v>
      </c>
      <c r="AP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" s="4" t="str">
        <f>IF(AND(Table1[[#This Row],[Cplex MI Cost]]=Table1[[#This Row],[ORTools FZN2 Cost]],Table1[[#This Row],[ORTools FZN2 State]]="Optimal",Table1[[#This Row],[Cplex MI State]]="Suboptimal"),1,"")</f>
        <v/>
      </c>
      <c r="AR4" s="12" t="s">
        <v>26</v>
      </c>
      <c r="AS4" s="12">
        <v>71909</v>
      </c>
      <c r="AT4" s="12">
        <v>11.8495214</v>
      </c>
      <c r="AU4" s="12">
        <f>IF(AND(Table1[[#This Row],[Z3 SMT2-1 Maxres Cost]]=Table1[[#This Row],[ORTools FZN2 Cost]],Table1[[#This Row],[ORTools FZN2 State]]="Optimal"),1,"")</f>
        <v>1</v>
      </c>
      <c r="AV4" s="12" t="s">
        <v>26</v>
      </c>
      <c r="AW4" s="12">
        <v>71909</v>
      </c>
      <c r="AX4" s="12">
        <v>12.1135208</v>
      </c>
      <c r="AY4" s="12">
        <f>IF(AND(Table1[[#This Row],[Z3 SMT2-1 PdMaxres Cost]]=Table1[[#This Row],[ORTools FZN2 Cost]],Table1[[#This Row],[ORTools FZN2 State]]="Optimal"),1,"")</f>
        <v>1</v>
      </c>
      <c r="AZ4" s="12" t="s">
        <v>26</v>
      </c>
      <c r="BA4" s="12">
        <v>71909</v>
      </c>
      <c r="BB4" s="12">
        <v>12.2389253</v>
      </c>
      <c r="BC4" s="12">
        <f>IF(AND(Table1[[#This Row],[Z3 SMT2-1 WMax Cost]]=Table1[[#This Row],[ORTools FZN2 Cost]],Table1[[#This Row],[ORTools FZN2 State]]="Optimal"),1,"")</f>
        <v>1</v>
      </c>
      <c r="BD4" s="12" t="s">
        <v>26</v>
      </c>
      <c r="BE4" s="12">
        <v>71909</v>
      </c>
      <c r="BF4" s="12">
        <v>17.010294200000001</v>
      </c>
      <c r="BG4" s="12">
        <f>IF(AND(Table1[[#This Row],[Z3 SMT2-2 Maxres Cost]]=Table1[[#This Row],[ORTools FZN2 Cost]],Table1[[#This Row],[ORTools FZN2 State]]="Optimal"),1,"")</f>
        <v>1</v>
      </c>
      <c r="BH4" s="12" t="s">
        <v>26</v>
      </c>
      <c r="BI4" s="12">
        <v>71909</v>
      </c>
      <c r="BJ4" s="12">
        <v>16.468532700000001</v>
      </c>
      <c r="BK4" s="12">
        <f>IF(AND(Table1[[#This Row],[Z3 SMT2-2 PdMaxres Cost]]=Table1[[#This Row],[ORTools FZN2 Cost]],Table1[[#This Row],[ORTools FZN2 State]]="Optimal"),1,"")</f>
        <v>1</v>
      </c>
      <c r="BL4" s="12" t="s">
        <v>26</v>
      </c>
      <c r="BM4" s="12">
        <v>71909</v>
      </c>
      <c r="BN4" s="12">
        <v>17.218419399999998</v>
      </c>
      <c r="BO4" s="11">
        <f>IF(AND(Table1[[#This Row],[Z3 SMT2-2 PdMaxres Cost]]=Table1[[#This Row],[ORTools FZN2 Cost]],Table1[[#This Row],[ORTools FZN2 State]]="Optimal"),1,"")</f>
        <v>1</v>
      </c>
      <c r="BP4" s="5" t="s">
        <v>25</v>
      </c>
      <c r="BQ4" s="2">
        <v>71909</v>
      </c>
      <c r="BR4" s="2">
        <v>7.9096196000000001</v>
      </c>
      <c r="BS4" s="2" t="str">
        <f>IF(AND(Table1[[#This Row],[Gurobi MB Cost]]=Table1[[#This Row],[ORTools FZN2 Cost]],Table1[[#This Row],[ORTools FZN2 State]]="Optimal",Table1[[#This Row],[Gurobi MB State]]="Suboptimal"),1,"")</f>
        <v/>
      </c>
      <c r="BT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" s="5" t="s">
        <v>25</v>
      </c>
      <c r="BV4" s="2">
        <v>71909</v>
      </c>
      <c r="BW4" s="2">
        <v>25.603136500000002</v>
      </c>
      <c r="BX4" s="2" t="str">
        <f>IF(AND(Table1[[#This Row],[Gurobi MD Cost]]=Table1[[#This Row],[ORTools FZN2 Cost]],Table1[[#This Row],[ORTools FZN2 State]]="Optimal",Table1[[#This Row],[Gurobi MD State]]="Suboptimal"),1,"")</f>
        <v/>
      </c>
      <c r="BY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" s="5" t="s">
        <v>25</v>
      </c>
      <c r="CA4" s="2">
        <v>71909</v>
      </c>
      <c r="CB4" s="2">
        <v>3.0736129999999999</v>
      </c>
      <c r="CC4" s="2" t="str">
        <f>IF(AND(Table1[[#This Row],[Gurobi MI Cost]]=Table1[[#This Row],[ORTools FZN2 Cost]],Table1[[#This Row],[ORTools FZN2 State]]="Optimal",Table1[[#This Row],[Gurobi MI State]]="Suboptimal"),1,"")</f>
        <v/>
      </c>
      <c r="CD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" s="39" t="s">
        <v>42</v>
      </c>
      <c r="CF4" s="2">
        <v>-14425</v>
      </c>
      <c r="CG4" s="39">
        <v>305.7395593</v>
      </c>
      <c r="CH4" s="39" t="s">
        <v>42</v>
      </c>
      <c r="CI4" s="39">
        <v>-14425</v>
      </c>
      <c r="CJ4" s="2">
        <v>306.03910080000003</v>
      </c>
      <c r="CK4" s="5" t="s">
        <v>25</v>
      </c>
      <c r="CL4" s="2">
        <v>71909</v>
      </c>
      <c r="CM4" s="2">
        <v>1.0189999999999999</v>
      </c>
      <c r="CN4" s="5" t="s">
        <v>25</v>
      </c>
      <c r="CO4" s="2">
        <v>71909</v>
      </c>
      <c r="CP4" s="2">
        <v>1.0282389999999999</v>
      </c>
      <c r="CQ4" s="5" t="s">
        <v>25</v>
      </c>
      <c r="CR4" s="2">
        <v>71909</v>
      </c>
      <c r="CS4" s="2">
        <v>1.3848501</v>
      </c>
      <c r="CT4" s="6" t="s">
        <v>25</v>
      </c>
      <c r="CU4" s="4">
        <v>71909</v>
      </c>
      <c r="CV4" s="4">
        <v>1.2354977</v>
      </c>
      <c r="CW4" s="39" t="s">
        <v>25</v>
      </c>
      <c r="CX4" s="39">
        <v>71909</v>
      </c>
      <c r="CY4" s="2">
        <v>2.7541000000000002</v>
      </c>
      <c r="CZ4" s="2" t="str">
        <f>IF(AND(Table1[[#This Row],[Cplex MZ1 Cost]]=Table1[[#This Row],[ORTools FZN2 Cost]],Table1[[#This Row],[ORTools FZN2 State]]="Optimal",Table1[[#This Row],[Cplex MZ1 State]]="Suboptimal"),1,"")</f>
        <v/>
      </c>
      <c r="DA4" s="5" t="s">
        <v>25</v>
      </c>
      <c r="DB4" s="2">
        <v>71909</v>
      </c>
      <c r="DC4" s="2">
        <v>2.5142000000000002</v>
      </c>
      <c r="DD4" s="2" t="str">
        <f>IF(AND(Table1[[#This Row],[Cplex MZ2 Cost]]=Table1[[#This Row],[ORTools FZN2 Cost]],Table1[[#This Row],[ORTools FZN2 State]]="Optimal",Table1[[#This Row],[Cplex MZ2 State]]="Suboptimal"),1,"")</f>
        <v/>
      </c>
      <c r="DE4" s="39" t="s">
        <v>25</v>
      </c>
      <c r="DF4" s="39">
        <v>71909</v>
      </c>
      <c r="DG4" s="2">
        <v>5.2346000000000004</v>
      </c>
      <c r="DH4" s="2" t="str">
        <f>IF(AND(Table1[[#This Row],[Gurobi MZ1 Cost]]=Table1[[#This Row],[ORTools FZN2 Cost]],Table1[[#This Row],[ORTools FZN2 State]]="Optimal",Table1[[#This Row],[Gurobi MZ1 State]]="Suboptimal"),1,"")</f>
        <v/>
      </c>
      <c r="DI4" s="5" t="s">
        <v>25</v>
      </c>
      <c r="DJ4" s="2">
        <v>71909</v>
      </c>
      <c r="DK4" s="2">
        <v>4.5042</v>
      </c>
      <c r="DL4" s="4" t="str">
        <f>IF(AND(Table1[[#This Row],[Gurobi MZ2 Cost]]=Table1[[#This Row],[ORTools FZN2 Cost]],Table1[[#This Row],[ORTools FZN2 State]]="Optimal",Table1[[#This Row],[Gurobi MZ2 State]]="Suboptimal"),1,"")</f>
        <v/>
      </c>
      <c r="DM4" s="39" t="s">
        <v>25</v>
      </c>
      <c r="DN4" s="39">
        <v>71909</v>
      </c>
      <c r="DO4" s="65">
        <v>1.633</v>
      </c>
      <c r="DP4" s="4" t="str">
        <f>IF(AND(Table1[[#This Row],[Cplex MC nonDual Cost]]=Table1[[#This Row],[ORTools FZN2 Cost]],Table1[[#This Row],[ORTools FZN2 State]]="Optimal",Table1[[#This Row],[Cplex MC nonDual State]]="Suboptimal"),1,"")</f>
        <v/>
      </c>
      <c r="DQ4" s="5" t="s">
        <v>25</v>
      </c>
      <c r="DR4" s="2">
        <v>71909</v>
      </c>
      <c r="DS4" s="2">
        <v>3.7456999999999998</v>
      </c>
      <c r="DT4" s="2" t="str">
        <f>IF(AND(Table1[[#This Row],[Cplex MIP DM''z Cost]]=Table1[[#This Row],[ORTools FZN2 Cost]],Table1[[#This Row],[ORTools FZN2 State]]="Optimal",Table1[[#This Row],[Cplex MIP DM''z  State]]="Suboptimal"),1,"")</f>
        <v/>
      </c>
      <c r="DU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" s="5" t="s">
        <v>25</v>
      </c>
      <c r="DW4" s="2">
        <v>71909</v>
      </c>
      <c r="DX4" s="2">
        <v>4.6399999999999997</v>
      </c>
      <c r="DY4" s="4" t="str">
        <f>IF(AND(Table1[[#This Row],[Gurobi DM''z  Cost]]=Table1[[#This Row],[ORTools FZN2 Cost]],Table1[[#This Row],[ORTools FZN2 State]]="Optimal",Table1[[#This Row],[Gurobi DM''z  State]]="Suboptimal"),1,"")</f>
        <v/>
      </c>
      <c r="DZ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" spans="1:130" ht="15.75" x14ac:dyDescent="0.25">
      <c r="A5" s="46" t="s">
        <v>28</v>
      </c>
      <c r="B5" s="5">
        <v>24</v>
      </c>
      <c r="C5" s="2">
        <v>12</v>
      </c>
      <c r="D5" s="5">
        <v>75</v>
      </c>
      <c r="E5" s="3">
        <v>20</v>
      </c>
      <c r="F5" s="34">
        <v>1</v>
      </c>
      <c r="G5" s="3">
        <v>0</v>
      </c>
      <c r="H5" s="4">
        <f t="shared" si="0"/>
        <v>0</v>
      </c>
      <c r="I5" s="4">
        <f>Table1[[#This Row],[B]]+Table1[[#This Row],[Atomic Constraints]]+Table1[[#This Row],[Soft Atomic Constraints]]+Table1[[#This Row],[Disjunctive Constraints]]+Table1[[#This Row],[Direct Successors]]</f>
        <v>108</v>
      </c>
      <c r="J5" s="5" t="s">
        <v>25</v>
      </c>
      <c r="K5" s="2">
        <v>72437</v>
      </c>
      <c r="L5" s="2">
        <v>11.2558957</v>
      </c>
      <c r="M5" s="2" t="str">
        <f>IF(AND(Table1[[#This Row],[Chuffed MZ1 Cost]]=Table1[[#This Row],[ORTools FZN2 Cost]],Table1[[#This Row],[ORTools FZN2 State]]="Optimal",Table1[[#This Row],[Chuffed MZ1 State]]="Suboptimal"),1,"")</f>
        <v/>
      </c>
      <c r="N5" s="5" t="s">
        <v>25</v>
      </c>
      <c r="O5" s="2">
        <v>72437</v>
      </c>
      <c r="P5" s="2">
        <v>6.7490500000000004</v>
      </c>
      <c r="Q5" s="2" t="str">
        <f>IF(AND(Table1[[#This Row],[Chuffed MZ2 Cost]]=Table1[[#This Row],[ORTools FZN2 Cost]],Table1[[#This Row],[ORTools FZN2 State]]="Optimal",Table1[[#This Row],[Chuffed MZ2 State]]="Suboptimal"),1,"")</f>
        <v/>
      </c>
      <c r="R5" s="6" t="s">
        <v>25</v>
      </c>
      <c r="S5" s="4">
        <v>72437</v>
      </c>
      <c r="T5" s="4">
        <v>12.12</v>
      </c>
      <c r="U5" s="4"/>
      <c r="V5" s="5" t="s">
        <v>25</v>
      </c>
      <c r="W5" s="2">
        <v>72437</v>
      </c>
      <c r="X5" s="2">
        <v>1.7820913</v>
      </c>
      <c r="Y5" s="2" t="str">
        <f>IF(AND(Table1[[#This Row],[ORTools FZN1 Cost]]=Table1[[#This Row],[ORTools FZN2 Cost]],Table1[[#This Row],[ORTools FZN2 State]]="Optimal",Table1[[#This Row],[ORTools FZN1 State]]="Suboptimal"),1,"")</f>
        <v/>
      </c>
      <c r="Z5" s="5" t="s">
        <v>25</v>
      </c>
      <c r="AA5" s="2">
        <v>72437</v>
      </c>
      <c r="AB5" s="2">
        <v>1.6816933000000001</v>
      </c>
      <c r="AC5" s="39" t="s">
        <v>25</v>
      </c>
      <c r="AD5" s="39">
        <v>72437</v>
      </c>
      <c r="AE5" s="2">
        <v>68.271332999999998</v>
      </c>
      <c r="AF5" s="2" t="str">
        <f>IF(AND(Table1[[#This Row],[Cplex MB Cost]]=Table1[[#This Row],[ORTools FZN2 Cost]],Table1[[#This Row],[ORTools FZN2 State]]="Optimal",Table1[[#This Row],[Cplex MB State]]="Suboptimal"),1,"")</f>
        <v/>
      </c>
      <c r="AG5" s="4">
        <f>IF(AND(AC5="Optimal",AD5&lt;&gt;AA5,Table1[[#This Row],[Example]]&lt;&gt;"R001",Table1[[#This Row],[Example]]&lt;&gt;"R002"),AD5-AA5,)</f>
        <v>0</v>
      </c>
      <c r="AH5" s="5" t="s">
        <v>25</v>
      </c>
      <c r="AI5" s="2">
        <v>72437</v>
      </c>
      <c r="AJ5" s="2">
        <v>234.57058670000001</v>
      </c>
      <c r="AK5" s="2" t="str">
        <f>IF(AND(Table1[[#This Row],[Cplex MD Cost]]=Table1[[#This Row],[ORTools FZN2 Cost]],Table1[[#This Row],[ORTools FZN2 State]]="Optimal",Table1[[#This Row],[Cplex MD State]]="Suboptimal"),1,"")</f>
        <v/>
      </c>
      <c r="AL5" s="4">
        <f>IF(AND(AH5="Optimal",AI5&lt;&gt;AA5,Table1[[#This Row],[Example]]&lt;&gt;"R001",Table1[[#This Row],[Example]]&lt;&gt;"R002"),AI5-AA5,)</f>
        <v>0</v>
      </c>
      <c r="AM5" s="39" t="s">
        <v>25</v>
      </c>
      <c r="AN5" s="39">
        <v>72437</v>
      </c>
      <c r="AO5" s="2">
        <v>196.45728120000001</v>
      </c>
      <c r="AP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" s="4" t="str">
        <f>IF(AND(Table1[[#This Row],[Cplex MI Cost]]=Table1[[#This Row],[ORTools FZN2 Cost]],Table1[[#This Row],[ORTools FZN2 State]]="Optimal",Table1[[#This Row],[Cplex MI State]]="Suboptimal"),1,"")</f>
        <v/>
      </c>
      <c r="AR5" s="12" t="s">
        <v>26</v>
      </c>
      <c r="AS5" s="12">
        <v>72437</v>
      </c>
      <c r="AT5" s="12">
        <v>96.710467699999995</v>
      </c>
      <c r="AU5" s="12">
        <f>IF(AND(Table1[[#This Row],[Z3 SMT2-1 Maxres Cost]]=Table1[[#This Row],[ORTools FZN2 Cost]],Table1[[#This Row],[ORTools FZN2 State]]="Optimal"),1,"")</f>
        <v>1</v>
      </c>
      <c r="AV5" s="12" t="s">
        <v>26</v>
      </c>
      <c r="AW5" s="12">
        <v>72437</v>
      </c>
      <c r="AX5" s="12">
        <v>99.851120899999998</v>
      </c>
      <c r="AY5" s="12">
        <f>IF(AND(Table1[[#This Row],[Z3 SMT2-1 PdMaxres Cost]]=Table1[[#This Row],[ORTools FZN2 Cost]],Table1[[#This Row],[ORTools FZN2 State]]="Optimal"),1,"")</f>
        <v>1</v>
      </c>
      <c r="AZ5" s="12" t="s">
        <v>26</v>
      </c>
      <c r="BA5" s="12">
        <v>72437</v>
      </c>
      <c r="BB5" s="12">
        <v>101.4187871</v>
      </c>
      <c r="BC5" s="12">
        <f>IF(AND(Table1[[#This Row],[Z3 SMT2-1 WMax Cost]]=Table1[[#This Row],[ORTools FZN2 Cost]],Table1[[#This Row],[ORTools FZN2 State]]="Optimal"),1,"")</f>
        <v>1</v>
      </c>
      <c r="BD5" s="12" t="s">
        <v>26</v>
      </c>
      <c r="BE5" s="12">
        <v>72437</v>
      </c>
      <c r="BF5" s="12">
        <v>119.5031333</v>
      </c>
      <c r="BG5" s="12">
        <f>IF(AND(Table1[[#This Row],[Z3 SMT2-2 Maxres Cost]]=Table1[[#This Row],[ORTools FZN2 Cost]],Table1[[#This Row],[ORTools FZN2 State]]="Optimal"),1,"")</f>
        <v>1</v>
      </c>
      <c r="BH5" s="12" t="s">
        <v>26</v>
      </c>
      <c r="BI5" s="12">
        <v>72437</v>
      </c>
      <c r="BJ5" s="12">
        <v>120.4743297</v>
      </c>
      <c r="BK5" s="12">
        <f>IF(AND(Table1[[#This Row],[Z3 SMT2-2 PdMaxres Cost]]=Table1[[#This Row],[ORTools FZN2 Cost]],Table1[[#This Row],[ORTools FZN2 State]]="Optimal"),1,"")</f>
        <v>1</v>
      </c>
      <c r="BL5" s="12" t="s">
        <v>26</v>
      </c>
      <c r="BM5" s="12">
        <v>72437</v>
      </c>
      <c r="BN5" s="12">
        <v>122.02967649999999</v>
      </c>
      <c r="BO5" s="11">
        <f>IF(AND(Table1[[#This Row],[Z3 SMT2-2 PdMaxres Cost]]=Table1[[#This Row],[ORTools FZN2 Cost]],Table1[[#This Row],[ORTools FZN2 State]]="Optimal"),1,"")</f>
        <v>1</v>
      </c>
      <c r="BP5" s="5" t="s">
        <v>25</v>
      </c>
      <c r="BQ5" s="2">
        <v>72437</v>
      </c>
      <c r="BR5" s="2">
        <v>27.831129300000001</v>
      </c>
      <c r="BS5" s="2" t="str">
        <f>IF(AND(Table1[[#This Row],[Gurobi MB Cost]]=Table1[[#This Row],[ORTools FZN2 Cost]],Table1[[#This Row],[ORTools FZN2 State]]="Optimal",Table1[[#This Row],[Gurobi MB State]]="Suboptimal"),1,"")</f>
        <v/>
      </c>
      <c r="BT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" s="5" t="s">
        <v>25</v>
      </c>
      <c r="BV5" s="2">
        <v>72437</v>
      </c>
      <c r="BW5" s="2">
        <v>170.592004</v>
      </c>
      <c r="BX5" s="2" t="str">
        <f>IF(AND(Table1[[#This Row],[Gurobi MD Cost]]=Table1[[#This Row],[ORTools FZN2 Cost]],Table1[[#This Row],[ORTools FZN2 State]]="Optimal",Table1[[#This Row],[Gurobi MD State]]="Suboptimal"),1,"")</f>
        <v/>
      </c>
      <c r="BY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" s="5" t="s">
        <v>25</v>
      </c>
      <c r="CA5" s="2">
        <v>72437</v>
      </c>
      <c r="CB5" s="2">
        <v>35.7598275</v>
      </c>
      <c r="CC5" s="2" t="str">
        <f>IF(AND(Table1[[#This Row],[Gurobi MI Cost]]=Table1[[#This Row],[ORTools FZN2 Cost]],Table1[[#This Row],[ORTools FZN2 State]]="Optimal",Table1[[#This Row],[Gurobi MI State]]="Suboptimal"),1,"")</f>
        <v/>
      </c>
      <c r="CD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" s="39" t="s">
        <v>42</v>
      </c>
      <c r="CF5" s="2">
        <v>-14425</v>
      </c>
      <c r="CG5" s="39">
        <v>305.80239490000002</v>
      </c>
      <c r="CH5" s="39" t="s">
        <v>42</v>
      </c>
      <c r="CI5" s="39">
        <v>-14425</v>
      </c>
      <c r="CJ5" s="2">
        <v>306.14643039999999</v>
      </c>
      <c r="CK5" s="5" t="s">
        <v>25</v>
      </c>
      <c r="CL5" s="2">
        <v>72437</v>
      </c>
      <c r="CM5" s="2">
        <v>24.597000000000001</v>
      </c>
      <c r="CN5" s="5" t="s">
        <v>25</v>
      </c>
      <c r="CO5" s="2">
        <v>72437</v>
      </c>
      <c r="CP5" s="2">
        <v>3.0375429999999999</v>
      </c>
      <c r="CQ5" s="5" t="s">
        <v>25</v>
      </c>
      <c r="CR5" s="2">
        <v>72437</v>
      </c>
      <c r="CS5" s="2">
        <v>2.5743046999999999</v>
      </c>
      <c r="CT5" s="6" t="s">
        <v>25</v>
      </c>
      <c r="CU5" s="4">
        <v>72437</v>
      </c>
      <c r="CV5" s="4">
        <v>1.9081585999999999</v>
      </c>
      <c r="CW5" s="39" t="s">
        <v>25</v>
      </c>
      <c r="CX5" s="39">
        <v>72437</v>
      </c>
      <c r="CY5" s="2">
        <v>44.849600000000002</v>
      </c>
      <c r="CZ5" s="2" t="str">
        <f>IF(AND(Table1[[#This Row],[Cplex MZ1 Cost]]=Table1[[#This Row],[ORTools FZN2 Cost]],Table1[[#This Row],[ORTools FZN2 State]]="Optimal",Table1[[#This Row],[Cplex MZ1 State]]="Suboptimal"),1,"")</f>
        <v/>
      </c>
      <c r="DA5" s="5" t="s">
        <v>25</v>
      </c>
      <c r="DB5" s="2">
        <v>72437</v>
      </c>
      <c r="DC5" s="2">
        <v>30.506599999999999</v>
      </c>
      <c r="DD5" s="2" t="str">
        <f>IF(AND(Table1[[#This Row],[Cplex MZ2 Cost]]=Table1[[#This Row],[ORTools FZN2 Cost]],Table1[[#This Row],[ORTools FZN2 State]]="Optimal",Table1[[#This Row],[Cplex MZ2 State]]="Suboptimal"),1,"")</f>
        <v/>
      </c>
      <c r="DE5" s="39" t="s">
        <v>25</v>
      </c>
      <c r="DF5" s="39">
        <v>72437</v>
      </c>
      <c r="DG5" s="2">
        <v>160.0753</v>
      </c>
      <c r="DH5" s="2" t="str">
        <f>IF(AND(Table1[[#This Row],[Gurobi MZ1 Cost]]=Table1[[#This Row],[ORTools FZN2 Cost]],Table1[[#This Row],[ORTools FZN2 State]]="Optimal",Table1[[#This Row],[Gurobi MZ1 State]]="Suboptimal"),1,"")</f>
        <v/>
      </c>
      <c r="DI5" s="5" t="s">
        <v>25</v>
      </c>
      <c r="DJ5" s="2">
        <v>72437</v>
      </c>
      <c r="DK5" s="2">
        <v>278.72590000000002</v>
      </c>
      <c r="DL5" s="4" t="str">
        <f>IF(AND(Table1[[#This Row],[Gurobi MZ2 Cost]]=Table1[[#This Row],[ORTools FZN2 Cost]],Table1[[#This Row],[ORTools FZN2 State]]="Optimal",Table1[[#This Row],[Gurobi MZ2 State]]="Suboptimal"),1,"")</f>
        <v/>
      </c>
      <c r="DM5" s="39" t="s">
        <v>25</v>
      </c>
      <c r="DN5" s="39">
        <v>72437</v>
      </c>
      <c r="DO5" s="65">
        <v>99.320999999999998</v>
      </c>
      <c r="DP5" s="4" t="str">
        <f>IF(AND(Table1[[#This Row],[Cplex MC nonDual Cost]]=Table1[[#This Row],[ORTools FZN2 Cost]],Table1[[#This Row],[ORTools FZN2 State]]="Optimal",Table1[[#This Row],[Cplex MC nonDual State]]="Suboptimal"),1,"")</f>
        <v/>
      </c>
      <c r="DQ5" s="5" t="s">
        <v>25</v>
      </c>
      <c r="DR5" s="2">
        <v>72437</v>
      </c>
      <c r="DS5" s="2">
        <v>29.303599999999999</v>
      </c>
      <c r="DT5" s="2" t="str">
        <f>IF(AND(Table1[[#This Row],[Cplex MIP DM''z Cost]]=Table1[[#This Row],[ORTools FZN2 Cost]],Table1[[#This Row],[ORTools FZN2 State]]="Optimal",Table1[[#This Row],[Cplex MIP DM''z  State]]="Suboptimal"),1,"")</f>
        <v/>
      </c>
      <c r="DU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" s="5" t="s">
        <v>25</v>
      </c>
      <c r="DW5" s="2">
        <v>72437</v>
      </c>
      <c r="DX5" s="2">
        <v>78.5505</v>
      </c>
      <c r="DY5" s="4" t="str">
        <f>IF(AND(Table1[[#This Row],[Gurobi DM''z  Cost]]=Table1[[#This Row],[ORTools FZN2 Cost]],Table1[[#This Row],[ORTools FZN2 State]]="Optimal",Table1[[#This Row],[Gurobi DM''z  State]]="Suboptimal"),1,"")</f>
        <v/>
      </c>
      <c r="DZ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" spans="1:130" ht="15.75" x14ac:dyDescent="0.25">
      <c r="A6" s="46" t="s">
        <v>29</v>
      </c>
      <c r="B6" s="5">
        <v>4</v>
      </c>
      <c r="C6" s="2">
        <v>2</v>
      </c>
      <c r="D6" s="5">
        <v>3</v>
      </c>
      <c r="E6" s="3">
        <v>2</v>
      </c>
      <c r="F6" s="34">
        <v>0</v>
      </c>
      <c r="G6" s="3">
        <v>0</v>
      </c>
      <c r="H6" s="4">
        <f t="shared" si="0"/>
        <v>0</v>
      </c>
      <c r="I6" s="4">
        <f>Table1[[#This Row],[B]]+Table1[[#This Row],[Atomic Constraints]]+Table1[[#This Row],[Soft Atomic Constraints]]+Table1[[#This Row],[Disjunctive Constraints]]+Table1[[#This Row],[Direct Successors]]</f>
        <v>7</v>
      </c>
      <c r="J6" s="5" t="s">
        <v>25</v>
      </c>
      <c r="K6" s="2">
        <v>88</v>
      </c>
      <c r="L6" s="2">
        <v>0.58373459999999999</v>
      </c>
      <c r="M6" s="2" t="str">
        <f>IF(AND(Table1[[#This Row],[Chuffed MZ1 Cost]]=Table1[[#This Row],[ORTools FZN2 Cost]],Table1[[#This Row],[ORTools FZN2 State]]="Optimal",Table1[[#This Row],[Chuffed MZ1 State]]="Suboptimal"),1,"")</f>
        <v/>
      </c>
      <c r="N6" s="5" t="s">
        <v>25</v>
      </c>
      <c r="O6" s="2">
        <v>88</v>
      </c>
      <c r="P6" s="2">
        <v>0.55536609999999997</v>
      </c>
      <c r="Q6" s="2" t="str">
        <f>IF(AND(Table1[[#This Row],[Chuffed MZ2 Cost]]=Table1[[#This Row],[ORTools FZN2 Cost]],Table1[[#This Row],[ORTools FZN2 State]]="Optimal",Table1[[#This Row],[Chuffed MZ2 State]]="Suboptimal"),1,"")</f>
        <v/>
      </c>
      <c r="R6" s="6" t="s">
        <v>25</v>
      </c>
      <c r="S6" s="4">
        <v>88</v>
      </c>
      <c r="T6" s="4">
        <v>4.1999999999997997E-2</v>
      </c>
      <c r="U6" s="4"/>
      <c r="V6" s="5" t="s">
        <v>25</v>
      </c>
      <c r="W6" s="2">
        <v>88</v>
      </c>
      <c r="X6" s="2">
        <v>6.4999299999999996E-2</v>
      </c>
      <c r="Y6" s="2" t="str">
        <f>IF(AND(Table1[[#This Row],[ORTools FZN1 Cost]]=Table1[[#This Row],[ORTools FZN2 Cost]],Table1[[#This Row],[ORTools FZN2 State]]="Optimal",Table1[[#This Row],[ORTools FZN1 State]]="Suboptimal"),1,"")</f>
        <v/>
      </c>
      <c r="Z6" s="5" t="s">
        <v>25</v>
      </c>
      <c r="AA6" s="2">
        <v>88</v>
      </c>
      <c r="AB6" s="2">
        <v>6.5116400000000005E-2</v>
      </c>
      <c r="AC6" s="39" t="s">
        <v>25</v>
      </c>
      <c r="AD6" s="39">
        <v>88</v>
      </c>
      <c r="AE6" s="2">
        <v>3.4338199999999999E-2</v>
      </c>
      <c r="AF6" s="2" t="str">
        <f>IF(AND(Table1[[#This Row],[Cplex MB Cost]]=Table1[[#This Row],[ORTools FZN2 Cost]],Table1[[#This Row],[ORTools FZN2 State]]="Optimal",Table1[[#This Row],[Cplex MB State]]="Suboptimal"),1,"")</f>
        <v/>
      </c>
      <c r="AG6" s="4">
        <f>IF(AND(AC6="Optimal",AD6&lt;&gt;AA6,Table1[[#This Row],[Example]]&lt;&gt;"R001",Table1[[#This Row],[Example]]&lt;&gt;"R002"),AD6-AA6,)</f>
        <v>0</v>
      </c>
      <c r="AH6" s="5" t="s">
        <v>25</v>
      </c>
      <c r="AI6" s="2">
        <v>88</v>
      </c>
      <c r="AJ6" s="2">
        <v>4.1582500000000001E-2</v>
      </c>
      <c r="AK6" s="2" t="str">
        <f>IF(AND(Table1[[#This Row],[Cplex MD Cost]]=Table1[[#This Row],[ORTools FZN2 Cost]],Table1[[#This Row],[ORTools FZN2 State]]="Optimal",Table1[[#This Row],[Cplex MD State]]="Suboptimal"),1,"")</f>
        <v/>
      </c>
      <c r="AL6" s="4">
        <f>IF(AND(AH6="Optimal",AI6&lt;&gt;AA6,Table1[[#This Row],[Example]]&lt;&gt;"R001",Table1[[#This Row],[Example]]&lt;&gt;"R002"),AI6-AA6,)</f>
        <v>0</v>
      </c>
      <c r="AM6" s="39" t="s">
        <v>25</v>
      </c>
      <c r="AN6" s="39">
        <v>88</v>
      </c>
      <c r="AO6" s="2">
        <v>3.92097E-2</v>
      </c>
      <c r="AP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" s="4" t="str">
        <f>IF(AND(Table1[[#This Row],[Cplex MI Cost]]=Table1[[#This Row],[ORTools FZN2 Cost]],Table1[[#This Row],[ORTools FZN2 State]]="Optimal",Table1[[#This Row],[Cplex MI State]]="Suboptimal"),1,"")</f>
        <v/>
      </c>
      <c r="AR6" s="12" t="s">
        <v>26</v>
      </c>
      <c r="AS6" s="12">
        <v>88</v>
      </c>
      <c r="AT6" s="12">
        <v>8.7085300000000004E-2</v>
      </c>
      <c r="AU6" s="12">
        <f>IF(AND(Table1[[#This Row],[Z3 SMT2-1 Maxres Cost]]=Table1[[#This Row],[ORTools FZN2 Cost]],Table1[[#This Row],[ORTools FZN2 State]]="Optimal"),1,"")</f>
        <v>1</v>
      </c>
      <c r="AV6" s="12" t="s">
        <v>26</v>
      </c>
      <c r="AW6" s="12">
        <v>88</v>
      </c>
      <c r="AX6" s="12">
        <v>9.6940299999999993E-2</v>
      </c>
      <c r="AY6" s="12">
        <f>IF(AND(Table1[[#This Row],[Z3 SMT2-1 PdMaxres Cost]]=Table1[[#This Row],[ORTools FZN2 Cost]],Table1[[#This Row],[ORTools FZN2 State]]="Optimal"),1,"")</f>
        <v>1</v>
      </c>
      <c r="AZ6" s="12" t="s">
        <v>26</v>
      </c>
      <c r="BA6" s="12">
        <v>88</v>
      </c>
      <c r="BB6" s="12">
        <v>9.4931600000000005E-2</v>
      </c>
      <c r="BC6" s="12">
        <f>IF(AND(Table1[[#This Row],[Z3 SMT2-1 WMax Cost]]=Table1[[#This Row],[ORTools FZN2 Cost]],Table1[[#This Row],[ORTools FZN2 State]]="Optimal"),1,"")</f>
        <v>1</v>
      </c>
      <c r="BD6" s="12" t="s">
        <v>26</v>
      </c>
      <c r="BE6" s="12">
        <v>88</v>
      </c>
      <c r="BF6" s="12">
        <v>7.3278700000000002E-2</v>
      </c>
      <c r="BG6" s="12">
        <f>IF(AND(Table1[[#This Row],[Z3 SMT2-2 Maxres Cost]]=Table1[[#This Row],[ORTools FZN2 Cost]],Table1[[#This Row],[ORTools FZN2 State]]="Optimal"),1,"")</f>
        <v>1</v>
      </c>
      <c r="BH6" s="12" t="s">
        <v>26</v>
      </c>
      <c r="BI6" s="12">
        <v>88</v>
      </c>
      <c r="BJ6" s="12">
        <v>9.4089800000000001E-2</v>
      </c>
      <c r="BK6" s="12">
        <f>IF(AND(Table1[[#This Row],[Z3 SMT2-2 PdMaxres Cost]]=Table1[[#This Row],[ORTools FZN2 Cost]],Table1[[#This Row],[ORTools FZN2 State]]="Optimal"),1,"")</f>
        <v>1</v>
      </c>
      <c r="BL6" s="12" t="s">
        <v>26</v>
      </c>
      <c r="BM6" s="12">
        <v>88</v>
      </c>
      <c r="BN6" s="12">
        <v>9.4813400000000006E-2</v>
      </c>
      <c r="BO6" s="11">
        <f>IF(AND(Table1[[#This Row],[Z3 SMT2-2 PdMaxres Cost]]=Table1[[#This Row],[ORTools FZN2 Cost]],Table1[[#This Row],[ORTools FZN2 State]]="Optimal"),1,"")</f>
        <v>1</v>
      </c>
      <c r="BP6" s="5" t="s">
        <v>25</v>
      </c>
      <c r="BQ6" s="2">
        <v>88</v>
      </c>
      <c r="BR6" s="2">
        <v>4.4726000000000002E-3</v>
      </c>
      <c r="BS6" s="2" t="str">
        <f>IF(AND(Table1[[#This Row],[Gurobi MB Cost]]=Table1[[#This Row],[ORTools FZN2 Cost]],Table1[[#This Row],[ORTools FZN2 State]]="Optimal",Table1[[#This Row],[Gurobi MB State]]="Suboptimal"),1,"")</f>
        <v/>
      </c>
      <c r="BT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" s="5" t="s">
        <v>25</v>
      </c>
      <c r="BV6" s="2">
        <v>88</v>
      </c>
      <c r="BW6" s="2">
        <v>1.03447E-2</v>
      </c>
      <c r="BX6" s="2" t="str">
        <f>IF(AND(Table1[[#This Row],[Gurobi MD Cost]]=Table1[[#This Row],[ORTools FZN2 Cost]],Table1[[#This Row],[ORTools FZN2 State]]="Optimal",Table1[[#This Row],[Gurobi MD State]]="Suboptimal"),1,"")</f>
        <v/>
      </c>
      <c r="BY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" s="5" t="s">
        <v>25</v>
      </c>
      <c r="CA6" s="2">
        <v>88</v>
      </c>
      <c r="CB6" s="2">
        <v>1.75763E-2</v>
      </c>
      <c r="CC6" s="2" t="str">
        <f>IF(AND(Table1[[#This Row],[Gurobi MI Cost]]=Table1[[#This Row],[ORTools FZN2 Cost]],Table1[[#This Row],[ORTools FZN2 State]]="Optimal",Table1[[#This Row],[Gurobi MI State]]="Suboptimal"),1,"")</f>
        <v/>
      </c>
      <c r="CD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" s="39" t="s">
        <v>25</v>
      </c>
      <c r="CF6" s="2">
        <v>88</v>
      </c>
      <c r="CG6" s="39">
        <v>5.0649882000000002</v>
      </c>
      <c r="CH6" s="39" t="s">
        <v>25</v>
      </c>
      <c r="CI6" s="39">
        <v>88</v>
      </c>
      <c r="CJ6" s="2">
        <v>5.2932341999999997</v>
      </c>
      <c r="CK6" s="5" t="s">
        <v>25</v>
      </c>
      <c r="CL6" s="2">
        <v>88</v>
      </c>
      <c r="CM6" s="2">
        <v>3.9000000000001499E-2</v>
      </c>
      <c r="CN6" s="5" t="s">
        <v>25</v>
      </c>
      <c r="CO6" s="2">
        <v>88</v>
      </c>
      <c r="CP6" s="2">
        <v>0.54957060000000002</v>
      </c>
      <c r="CQ6" s="5" t="s">
        <v>25</v>
      </c>
      <c r="CR6" s="2">
        <v>88</v>
      </c>
      <c r="CS6" s="2">
        <v>6.7059599999999997E-2</v>
      </c>
      <c r="CT6" s="6" t="s">
        <v>25</v>
      </c>
      <c r="CU6" s="4">
        <v>88</v>
      </c>
      <c r="CV6" s="4">
        <v>5.55275E-2</v>
      </c>
      <c r="CW6" s="39" t="s">
        <v>25</v>
      </c>
      <c r="CX6" s="39">
        <v>88</v>
      </c>
      <c r="CY6" s="2">
        <v>1.4E-2</v>
      </c>
      <c r="CZ6" s="2" t="str">
        <f>IF(AND(Table1[[#This Row],[Cplex MZ1 Cost]]=Table1[[#This Row],[ORTools FZN2 Cost]],Table1[[#This Row],[ORTools FZN2 State]]="Optimal",Table1[[#This Row],[Cplex MZ1 State]]="Suboptimal"),1,"")</f>
        <v/>
      </c>
      <c r="DA6" s="5" t="s">
        <v>25</v>
      </c>
      <c r="DB6" s="2">
        <v>88</v>
      </c>
      <c r="DC6" s="2">
        <v>1.72E-2</v>
      </c>
      <c r="DD6" s="2" t="str">
        <f>IF(AND(Table1[[#This Row],[Cplex MZ2 Cost]]=Table1[[#This Row],[ORTools FZN2 Cost]],Table1[[#This Row],[ORTools FZN2 State]]="Optimal",Table1[[#This Row],[Cplex MZ2 State]]="Suboptimal"),1,"")</f>
        <v/>
      </c>
      <c r="DE6" s="39" t="s">
        <v>25</v>
      </c>
      <c r="DF6" s="39">
        <v>88</v>
      </c>
      <c r="DG6" s="2">
        <v>1.24E-2</v>
      </c>
      <c r="DH6" s="2" t="str">
        <f>IF(AND(Table1[[#This Row],[Gurobi MZ1 Cost]]=Table1[[#This Row],[ORTools FZN2 Cost]],Table1[[#This Row],[ORTools FZN2 State]]="Optimal",Table1[[#This Row],[Gurobi MZ1 State]]="Suboptimal"),1,"")</f>
        <v/>
      </c>
      <c r="DI6" s="5" t="s">
        <v>25</v>
      </c>
      <c r="DJ6" s="2">
        <v>88</v>
      </c>
      <c r="DK6" s="2">
        <v>2.4199999999999999E-2</v>
      </c>
      <c r="DL6" s="4" t="str">
        <f>IF(AND(Table1[[#This Row],[Gurobi MZ2 Cost]]=Table1[[#This Row],[ORTools FZN2 Cost]],Table1[[#This Row],[ORTools FZN2 State]]="Optimal",Table1[[#This Row],[Gurobi MZ2 State]]="Suboptimal"),1,"")</f>
        <v/>
      </c>
      <c r="DM6" s="39" t="s">
        <v>25</v>
      </c>
      <c r="DN6" s="39">
        <v>88</v>
      </c>
      <c r="DO6" s="65">
        <v>0.29599999999999199</v>
      </c>
      <c r="DP6" s="4" t="str">
        <f>IF(AND(Table1[[#This Row],[Cplex MC nonDual Cost]]=Table1[[#This Row],[ORTools FZN2 Cost]],Table1[[#This Row],[ORTools FZN2 State]]="Optimal",Table1[[#This Row],[Cplex MC nonDual State]]="Suboptimal"),1,"")</f>
        <v/>
      </c>
      <c r="DQ6" s="5" t="s">
        <v>25</v>
      </c>
      <c r="DR6" s="2">
        <v>88</v>
      </c>
      <c r="DS6" s="2">
        <v>2.6599999999999999E-2</v>
      </c>
      <c r="DT6" s="2" t="str">
        <f>IF(AND(Table1[[#This Row],[Cplex MIP DM''z Cost]]=Table1[[#This Row],[ORTools FZN2 Cost]],Table1[[#This Row],[ORTools FZN2 State]]="Optimal",Table1[[#This Row],[Cplex MIP DM''z  State]]="Suboptimal"),1,"")</f>
        <v/>
      </c>
      <c r="DU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" s="5" t="s">
        <v>25</v>
      </c>
      <c r="DW6" s="2">
        <v>88</v>
      </c>
      <c r="DX6" s="2">
        <v>8.6E-3</v>
      </c>
      <c r="DY6" s="4" t="str">
        <f>IF(AND(Table1[[#This Row],[Gurobi DM''z  Cost]]=Table1[[#This Row],[ORTools FZN2 Cost]],Table1[[#This Row],[ORTools FZN2 State]]="Optimal",Table1[[#This Row],[Gurobi DM''z  State]]="Suboptimal"),1,"")</f>
        <v/>
      </c>
      <c r="DZ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" spans="1:130" ht="15.75" x14ac:dyDescent="0.25">
      <c r="A7" s="46" t="s">
        <v>30</v>
      </c>
      <c r="B7" s="5">
        <v>4</v>
      </c>
      <c r="C7" s="2">
        <v>2</v>
      </c>
      <c r="D7" s="5">
        <v>3</v>
      </c>
      <c r="E7" s="3">
        <v>2</v>
      </c>
      <c r="F7" s="34">
        <v>0</v>
      </c>
      <c r="G7" s="3">
        <v>0</v>
      </c>
      <c r="H7" s="4">
        <f t="shared" si="0"/>
        <v>0</v>
      </c>
      <c r="I7" s="4">
        <f>Table1[[#This Row],[B]]+Table1[[#This Row],[Atomic Constraints]]+Table1[[#This Row],[Soft Atomic Constraints]]+Table1[[#This Row],[Disjunctive Constraints]]+Table1[[#This Row],[Direct Successors]]</f>
        <v>7</v>
      </c>
      <c r="J7" s="5" t="s">
        <v>25</v>
      </c>
      <c r="K7" s="2">
        <v>0</v>
      </c>
      <c r="L7" s="2">
        <v>0.57616409999999996</v>
      </c>
      <c r="M7" s="2" t="str">
        <f>IF(AND(Table1[[#This Row],[Chuffed MZ1 Cost]]=Table1[[#This Row],[ORTools FZN2 Cost]],Table1[[#This Row],[ORTools FZN2 State]]="Optimal",Table1[[#This Row],[Chuffed MZ1 State]]="Suboptimal"),1,"")</f>
        <v/>
      </c>
      <c r="N7" s="5" t="s">
        <v>25</v>
      </c>
      <c r="O7" s="2">
        <v>0</v>
      </c>
      <c r="P7" s="2">
        <v>0.55978470000000002</v>
      </c>
      <c r="Q7" s="2" t="str">
        <f>IF(AND(Table1[[#This Row],[Chuffed MZ2 Cost]]=Table1[[#This Row],[ORTools FZN2 Cost]],Table1[[#This Row],[ORTools FZN2 State]]="Optimal",Table1[[#This Row],[Chuffed MZ2 State]]="Suboptimal"),1,"")</f>
        <v/>
      </c>
      <c r="R7" s="5" t="s">
        <v>25</v>
      </c>
      <c r="S7" s="2">
        <v>0</v>
      </c>
      <c r="T7" s="2">
        <v>3.10000000000006E-2</v>
      </c>
      <c r="U7" s="2"/>
      <c r="V7" s="5" t="s">
        <v>25</v>
      </c>
      <c r="W7" s="2">
        <v>0</v>
      </c>
      <c r="X7" s="2">
        <v>6.19918E-2</v>
      </c>
      <c r="Y7" s="2" t="str">
        <f>IF(AND(Table1[[#This Row],[ORTools FZN1 Cost]]=Table1[[#This Row],[ORTools FZN2 Cost]],Table1[[#This Row],[ORTools FZN2 State]]="Optimal",Table1[[#This Row],[ORTools FZN1 State]]="Suboptimal"),1,"")</f>
        <v/>
      </c>
      <c r="Z7" s="5" t="s">
        <v>25</v>
      </c>
      <c r="AA7" s="2">
        <v>0</v>
      </c>
      <c r="AB7" s="2">
        <v>6.3336100000000006E-2</v>
      </c>
      <c r="AC7" s="39" t="s">
        <v>25</v>
      </c>
      <c r="AD7" s="39">
        <v>0</v>
      </c>
      <c r="AE7" s="2">
        <v>7.9173000000000004E-3</v>
      </c>
      <c r="AF7" s="2" t="str">
        <f>IF(AND(Table1[[#This Row],[Cplex MB Cost]]=Table1[[#This Row],[ORTools FZN2 Cost]],Table1[[#This Row],[ORTools FZN2 State]]="Optimal",Table1[[#This Row],[Cplex MB State]]="Suboptimal"),1,"")</f>
        <v/>
      </c>
      <c r="AG7" s="4">
        <f>IF(AND(AC7="Optimal",AD7&lt;&gt;AA7,Table1[[#This Row],[Example]]&lt;&gt;"R001",Table1[[#This Row],[Example]]&lt;&gt;"R002"),AD7-AA7,)</f>
        <v>0</v>
      </c>
      <c r="AH7" s="5" t="s">
        <v>25</v>
      </c>
      <c r="AI7" s="2">
        <v>0</v>
      </c>
      <c r="AJ7" s="2">
        <v>3.3286499999999997E-2</v>
      </c>
      <c r="AK7" s="2" t="str">
        <f>IF(AND(Table1[[#This Row],[Cplex MD Cost]]=Table1[[#This Row],[ORTools FZN2 Cost]],Table1[[#This Row],[ORTools FZN2 State]]="Optimal",Table1[[#This Row],[Cplex MD State]]="Suboptimal"),1,"")</f>
        <v/>
      </c>
      <c r="AL7" s="4">
        <f>IF(AND(AH7="Optimal",AI7&lt;&gt;AA7,Table1[[#This Row],[Example]]&lt;&gt;"R001",Table1[[#This Row],[Example]]&lt;&gt;"R002"),AI7-AA7,)</f>
        <v>0</v>
      </c>
      <c r="AM7" s="39" t="s">
        <v>25</v>
      </c>
      <c r="AN7" s="39">
        <v>0</v>
      </c>
      <c r="AO7" s="2">
        <v>2.4871600000000001E-2</v>
      </c>
      <c r="AP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" s="2" t="str">
        <f>IF(AND(Table1[[#This Row],[Cplex MI Cost]]=Table1[[#This Row],[ORTools FZN2 Cost]],Table1[[#This Row],[ORTools FZN2 State]]="Optimal",Table1[[#This Row],[Cplex MI State]]="Suboptimal"),1,"")</f>
        <v/>
      </c>
      <c r="AR7" s="12" t="s">
        <v>26</v>
      </c>
      <c r="AS7" s="12">
        <v>0</v>
      </c>
      <c r="AT7" s="12">
        <v>8.9469699999999999E-2</v>
      </c>
      <c r="AU7" s="12">
        <f>IF(AND(Table1[[#This Row],[Z3 SMT2-1 Maxres Cost]]=Table1[[#This Row],[ORTools FZN2 Cost]],Table1[[#This Row],[ORTools FZN2 State]]="Optimal"),1,"")</f>
        <v>1</v>
      </c>
      <c r="AV7" s="12" t="s">
        <v>26</v>
      </c>
      <c r="AW7" s="12">
        <v>0</v>
      </c>
      <c r="AX7" s="12">
        <v>9.9056400000000003E-2</v>
      </c>
      <c r="AY7" s="12">
        <f>IF(AND(Table1[[#This Row],[Z3 SMT2-1 PdMaxres Cost]]=Table1[[#This Row],[ORTools FZN2 Cost]],Table1[[#This Row],[ORTools FZN2 State]]="Optimal"),1,"")</f>
        <v>1</v>
      </c>
      <c r="AZ7" s="12" t="s">
        <v>26</v>
      </c>
      <c r="BA7" s="12">
        <v>0</v>
      </c>
      <c r="BB7" s="12">
        <v>9.7815899999999997E-2</v>
      </c>
      <c r="BC7" s="12">
        <f>IF(AND(Table1[[#This Row],[Z3 SMT2-1 WMax Cost]]=Table1[[#This Row],[ORTools FZN2 Cost]],Table1[[#This Row],[ORTools FZN2 State]]="Optimal"),1,"")</f>
        <v>1</v>
      </c>
      <c r="BD7" s="12" t="s">
        <v>26</v>
      </c>
      <c r="BE7" s="12">
        <v>0</v>
      </c>
      <c r="BF7" s="12">
        <v>8.5532999999999998E-2</v>
      </c>
      <c r="BG7" s="12">
        <f>IF(AND(Table1[[#This Row],[Z3 SMT2-2 Maxres Cost]]=Table1[[#This Row],[ORTools FZN2 Cost]],Table1[[#This Row],[ORTools FZN2 State]]="Optimal"),1,"")</f>
        <v>1</v>
      </c>
      <c r="BH7" s="12" t="s">
        <v>26</v>
      </c>
      <c r="BI7" s="12">
        <v>0</v>
      </c>
      <c r="BJ7" s="12">
        <v>8.9811199999999994E-2</v>
      </c>
      <c r="BK7" s="12">
        <f>IF(AND(Table1[[#This Row],[Z3 SMT2-2 PdMaxres Cost]]=Table1[[#This Row],[ORTools FZN2 Cost]],Table1[[#This Row],[ORTools FZN2 State]]="Optimal"),1,"")</f>
        <v>1</v>
      </c>
      <c r="BL7" s="12" t="s">
        <v>26</v>
      </c>
      <c r="BM7" s="12">
        <v>0</v>
      </c>
      <c r="BN7" s="12">
        <v>9.3427499999999997E-2</v>
      </c>
      <c r="BO7" s="11">
        <f>IF(AND(Table1[[#This Row],[Z3 SMT2-2 PdMaxres Cost]]=Table1[[#This Row],[ORTools FZN2 Cost]],Table1[[#This Row],[ORTools FZN2 State]]="Optimal"),1,"")</f>
        <v>1</v>
      </c>
      <c r="BP7" s="5" t="s">
        <v>25</v>
      </c>
      <c r="BQ7" s="2">
        <v>0</v>
      </c>
      <c r="BR7" s="2">
        <v>1.6678700000000001E-2</v>
      </c>
      <c r="BS7" s="2" t="str">
        <f>IF(AND(Table1[[#This Row],[Gurobi MB Cost]]=Table1[[#This Row],[ORTools FZN2 Cost]],Table1[[#This Row],[ORTools FZN2 State]]="Optimal",Table1[[#This Row],[Gurobi MB State]]="Suboptimal"),1,"")</f>
        <v/>
      </c>
      <c r="BT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" s="5" t="s">
        <v>25</v>
      </c>
      <c r="BV7" s="2">
        <v>0</v>
      </c>
      <c r="BW7" s="2">
        <v>9.2048000000000008E-3</v>
      </c>
      <c r="BX7" s="2" t="str">
        <f>IF(AND(Table1[[#This Row],[Gurobi MD Cost]]=Table1[[#This Row],[ORTools FZN2 Cost]],Table1[[#This Row],[ORTools FZN2 State]]="Optimal",Table1[[#This Row],[Gurobi MD State]]="Suboptimal"),1,"")</f>
        <v/>
      </c>
      <c r="BY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" s="5" t="s">
        <v>25</v>
      </c>
      <c r="CA7" s="2">
        <v>0</v>
      </c>
      <c r="CB7" s="2">
        <v>1.2330799999999999E-2</v>
      </c>
      <c r="CC7" s="2" t="str">
        <f>IF(AND(Table1[[#This Row],[Gurobi MI Cost]]=Table1[[#This Row],[ORTools FZN2 Cost]],Table1[[#This Row],[ORTools FZN2 State]]="Optimal",Table1[[#This Row],[Gurobi MI State]]="Suboptimal"),1,"")</f>
        <v/>
      </c>
      <c r="CD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" s="39" t="s">
        <v>25</v>
      </c>
      <c r="CF7" s="2">
        <v>0</v>
      </c>
      <c r="CG7" s="39">
        <v>5.0621783999999996</v>
      </c>
      <c r="CH7" s="39" t="s">
        <v>25</v>
      </c>
      <c r="CI7" s="39">
        <v>0</v>
      </c>
      <c r="CJ7" s="2">
        <v>5.1539307000000001</v>
      </c>
      <c r="CK7" s="5" t="s">
        <v>25</v>
      </c>
      <c r="CL7" s="2">
        <v>0</v>
      </c>
      <c r="CM7" s="2">
        <v>2.2999999999999701E-2</v>
      </c>
      <c r="CN7" s="5" t="s">
        <v>25</v>
      </c>
      <c r="CO7" s="2">
        <v>0</v>
      </c>
      <c r="CP7" s="2">
        <v>0.54986610000000002</v>
      </c>
      <c r="CQ7" s="5" t="s">
        <v>25</v>
      </c>
      <c r="CR7" s="2">
        <v>0</v>
      </c>
      <c r="CS7" s="2">
        <v>6.7190200000000005E-2</v>
      </c>
      <c r="CT7" s="6" t="s">
        <v>25</v>
      </c>
      <c r="CU7" s="4">
        <v>0</v>
      </c>
      <c r="CV7" s="4">
        <v>5.8245499999999999E-2</v>
      </c>
      <c r="CW7" s="39" t="s">
        <v>25</v>
      </c>
      <c r="CX7" s="39">
        <v>0</v>
      </c>
      <c r="CY7" s="2">
        <v>5.5999999999999999E-3</v>
      </c>
      <c r="CZ7" s="2" t="str">
        <f>IF(AND(Table1[[#This Row],[Cplex MZ1 Cost]]=Table1[[#This Row],[ORTools FZN2 Cost]],Table1[[#This Row],[ORTools FZN2 State]]="Optimal",Table1[[#This Row],[Cplex MZ1 State]]="Suboptimal"),1,"")</f>
        <v/>
      </c>
      <c r="DA7" s="5" t="s">
        <v>25</v>
      </c>
      <c r="DB7" s="2">
        <v>0</v>
      </c>
      <c r="DC7" s="2">
        <v>1.54E-2</v>
      </c>
      <c r="DD7" s="2" t="str">
        <f>IF(AND(Table1[[#This Row],[Cplex MZ2 Cost]]=Table1[[#This Row],[ORTools FZN2 Cost]],Table1[[#This Row],[ORTools FZN2 State]]="Optimal",Table1[[#This Row],[Cplex MZ2 State]]="Suboptimal"),1,"")</f>
        <v/>
      </c>
      <c r="DE7" s="39" t="s">
        <v>25</v>
      </c>
      <c r="DF7" s="39">
        <v>0</v>
      </c>
      <c r="DG7" s="2">
        <v>8.6999999999999994E-3</v>
      </c>
      <c r="DH7" s="2" t="str">
        <f>IF(AND(Table1[[#This Row],[Gurobi MZ1 Cost]]=Table1[[#This Row],[ORTools FZN2 Cost]],Table1[[#This Row],[ORTools FZN2 State]]="Optimal",Table1[[#This Row],[Gurobi MZ1 State]]="Suboptimal"),1,"")</f>
        <v/>
      </c>
      <c r="DI7" s="5" t="s">
        <v>25</v>
      </c>
      <c r="DJ7" s="2">
        <v>0</v>
      </c>
      <c r="DK7" s="2">
        <v>8.5000000000000006E-3</v>
      </c>
      <c r="DL7" s="4" t="str">
        <f>IF(AND(Table1[[#This Row],[Gurobi MZ2 Cost]]=Table1[[#This Row],[ORTools FZN2 Cost]],Table1[[#This Row],[ORTools FZN2 State]]="Optimal",Table1[[#This Row],[Gurobi MZ2 State]]="Suboptimal"),1,"")</f>
        <v/>
      </c>
      <c r="DM7" s="39" t="s">
        <v>25</v>
      </c>
      <c r="DN7" s="39">
        <v>0</v>
      </c>
      <c r="DO7" s="65">
        <v>3.2000000000039101E-2</v>
      </c>
      <c r="DP7" s="4" t="str">
        <f>IF(AND(Table1[[#This Row],[Cplex MC nonDual Cost]]=Table1[[#This Row],[ORTools FZN2 Cost]],Table1[[#This Row],[ORTools FZN2 State]]="Optimal",Table1[[#This Row],[Cplex MC nonDual State]]="Suboptimal"),1,"")</f>
        <v/>
      </c>
      <c r="DQ7" s="5" t="s">
        <v>25</v>
      </c>
      <c r="DR7" s="2">
        <v>0</v>
      </c>
      <c r="DS7" s="2">
        <v>1.2200000000000001E-2</v>
      </c>
      <c r="DT7" s="2" t="str">
        <f>IF(AND(Table1[[#This Row],[Cplex MIP DM''z Cost]]=Table1[[#This Row],[ORTools FZN2 Cost]],Table1[[#This Row],[ORTools FZN2 State]]="Optimal",Table1[[#This Row],[Cplex MIP DM''z  State]]="Suboptimal"),1,"")</f>
        <v/>
      </c>
      <c r="DU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" s="5" t="s">
        <v>25</v>
      </c>
      <c r="DW7" s="2">
        <v>0</v>
      </c>
      <c r="DX7" s="2">
        <v>7.6E-3</v>
      </c>
      <c r="DY7" s="4" t="str">
        <f>IF(AND(Table1[[#This Row],[Gurobi DM''z  Cost]]=Table1[[#This Row],[ORTools FZN2 Cost]],Table1[[#This Row],[ORTools FZN2 State]]="Optimal",Table1[[#This Row],[Gurobi DM''z  State]]="Suboptimal"),1,"")</f>
        <v/>
      </c>
      <c r="DZ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" spans="1:130" ht="15.75" x14ac:dyDescent="0.25">
      <c r="A8" s="46" t="s">
        <v>31</v>
      </c>
      <c r="B8" s="5">
        <v>6</v>
      </c>
      <c r="C8" s="2">
        <v>3</v>
      </c>
      <c r="D8" s="5">
        <v>6</v>
      </c>
      <c r="E8" s="3">
        <v>4</v>
      </c>
      <c r="F8" s="34">
        <v>0</v>
      </c>
      <c r="G8" s="3">
        <v>0</v>
      </c>
      <c r="H8" s="4">
        <f t="shared" si="0"/>
        <v>0</v>
      </c>
      <c r="I8" s="4">
        <f>Table1[[#This Row],[B]]+Table1[[#This Row],[Atomic Constraints]]+Table1[[#This Row],[Soft Atomic Constraints]]+Table1[[#This Row],[Disjunctive Constraints]]+Table1[[#This Row],[Direct Successors]]</f>
        <v>13</v>
      </c>
      <c r="J8" s="5" t="s">
        <v>25</v>
      </c>
      <c r="K8" s="2">
        <v>277</v>
      </c>
      <c r="L8" s="2">
        <v>0.59021210000000002</v>
      </c>
      <c r="M8" s="2" t="str">
        <f>IF(AND(Table1[[#This Row],[Chuffed MZ1 Cost]]=Table1[[#This Row],[ORTools FZN2 Cost]],Table1[[#This Row],[ORTools FZN2 State]]="Optimal",Table1[[#This Row],[Chuffed MZ1 State]]="Suboptimal"),1,"")</f>
        <v/>
      </c>
      <c r="N8" s="5" t="s">
        <v>25</v>
      </c>
      <c r="O8" s="2">
        <v>277</v>
      </c>
      <c r="P8" s="2">
        <v>0.5634072</v>
      </c>
      <c r="Q8" s="2" t="str">
        <f>IF(AND(Table1[[#This Row],[Chuffed MZ2 Cost]]=Table1[[#This Row],[ORTools FZN2 Cost]],Table1[[#This Row],[ORTools FZN2 State]]="Optimal",Table1[[#This Row],[Chuffed MZ2 State]]="Suboptimal"),1,"")</f>
        <v/>
      </c>
      <c r="R8" s="6" t="s">
        <v>25</v>
      </c>
      <c r="S8" s="4">
        <v>277</v>
      </c>
      <c r="T8" s="4">
        <v>5.1999999999999602E-2</v>
      </c>
      <c r="U8" s="4"/>
      <c r="V8" s="5" t="s">
        <v>25</v>
      </c>
      <c r="W8" s="2">
        <v>277</v>
      </c>
      <c r="X8" s="2">
        <v>9.4862100000000005E-2</v>
      </c>
      <c r="Y8" s="2" t="str">
        <f>IF(AND(Table1[[#This Row],[ORTools FZN1 Cost]]=Table1[[#This Row],[ORTools FZN2 Cost]],Table1[[#This Row],[ORTools FZN2 State]]="Optimal",Table1[[#This Row],[ORTools FZN1 State]]="Suboptimal"),1,"")</f>
        <v/>
      </c>
      <c r="Z8" s="5" t="s">
        <v>25</v>
      </c>
      <c r="AA8" s="2">
        <v>277</v>
      </c>
      <c r="AB8" s="2">
        <v>8.5771600000000003E-2</v>
      </c>
      <c r="AC8" s="39" t="s">
        <v>25</v>
      </c>
      <c r="AD8" s="39">
        <v>277</v>
      </c>
      <c r="AE8" s="2">
        <v>4.7080200000000003E-2</v>
      </c>
      <c r="AF8" s="2" t="str">
        <f>IF(AND(Table1[[#This Row],[Cplex MB Cost]]=Table1[[#This Row],[ORTools FZN2 Cost]],Table1[[#This Row],[ORTools FZN2 State]]="Optimal",Table1[[#This Row],[Cplex MB State]]="Suboptimal"),1,"")</f>
        <v/>
      </c>
      <c r="AG8" s="4">
        <f>IF(AND(AC8="Optimal",AD8&lt;&gt;AA8,Table1[[#This Row],[Example]]&lt;&gt;"R001",Table1[[#This Row],[Example]]&lt;&gt;"R002"),AD8-AA8,)</f>
        <v>0</v>
      </c>
      <c r="AH8" s="5" t="s">
        <v>25</v>
      </c>
      <c r="AI8" s="2">
        <v>277</v>
      </c>
      <c r="AJ8" s="2">
        <v>0.17279130000000001</v>
      </c>
      <c r="AK8" s="2" t="str">
        <f>IF(AND(Table1[[#This Row],[Cplex MD Cost]]=Table1[[#This Row],[ORTools FZN2 Cost]],Table1[[#This Row],[ORTools FZN2 State]]="Optimal",Table1[[#This Row],[Cplex MD State]]="Suboptimal"),1,"")</f>
        <v/>
      </c>
      <c r="AL8" s="4">
        <f>IF(AND(AH8="Optimal",AI8&lt;&gt;AA8,Table1[[#This Row],[Example]]&lt;&gt;"R001",Table1[[#This Row],[Example]]&lt;&gt;"R002"),AI8-AA8,)</f>
        <v>0</v>
      </c>
      <c r="AM8" s="39" t="s">
        <v>25</v>
      </c>
      <c r="AN8" s="39">
        <v>277</v>
      </c>
      <c r="AO8" s="2">
        <v>6.1872000000000003E-2</v>
      </c>
      <c r="AP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" s="4" t="str">
        <f>IF(AND(Table1[[#This Row],[Cplex MI Cost]]=Table1[[#This Row],[ORTools FZN2 Cost]],Table1[[#This Row],[ORTools FZN2 State]]="Optimal",Table1[[#This Row],[Cplex MI State]]="Suboptimal"),1,"")</f>
        <v/>
      </c>
      <c r="AR8" s="12" t="s">
        <v>26</v>
      </c>
      <c r="AS8" s="12">
        <v>277</v>
      </c>
      <c r="AT8" s="12">
        <v>0.1447842</v>
      </c>
      <c r="AU8" s="12">
        <f>IF(AND(Table1[[#This Row],[Z3 SMT2-1 Maxres Cost]]=Table1[[#This Row],[ORTools FZN2 Cost]],Table1[[#This Row],[ORTools FZN2 State]]="Optimal"),1,"")</f>
        <v>1</v>
      </c>
      <c r="AV8" s="12" t="s">
        <v>26</v>
      </c>
      <c r="AW8" s="12">
        <v>277</v>
      </c>
      <c r="AX8" s="12">
        <v>0.1516074</v>
      </c>
      <c r="AY8" s="12">
        <f>IF(AND(Table1[[#This Row],[Z3 SMT2-1 PdMaxres Cost]]=Table1[[#This Row],[ORTools FZN2 Cost]],Table1[[#This Row],[ORTools FZN2 State]]="Optimal"),1,"")</f>
        <v>1</v>
      </c>
      <c r="AZ8" s="12" t="s">
        <v>26</v>
      </c>
      <c r="BA8" s="12">
        <v>277</v>
      </c>
      <c r="BB8" s="12">
        <v>0.1513958</v>
      </c>
      <c r="BC8" s="12">
        <f>IF(AND(Table1[[#This Row],[Z3 SMT2-1 WMax Cost]]=Table1[[#This Row],[ORTools FZN2 Cost]],Table1[[#This Row],[ORTools FZN2 State]]="Optimal"),1,"")</f>
        <v>1</v>
      </c>
      <c r="BD8" s="12" t="s">
        <v>26</v>
      </c>
      <c r="BE8" s="12">
        <v>277</v>
      </c>
      <c r="BF8" s="12">
        <v>0.1269151</v>
      </c>
      <c r="BG8" s="12">
        <f>IF(AND(Table1[[#This Row],[Z3 SMT2-2 Maxres Cost]]=Table1[[#This Row],[ORTools FZN2 Cost]],Table1[[#This Row],[ORTools FZN2 State]]="Optimal"),1,"")</f>
        <v>1</v>
      </c>
      <c r="BH8" s="12" t="s">
        <v>26</v>
      </c>
      <c r="BI8" s="12">
        <v>277</v>
      </c>
      <c r="BJ8" s="12">
        <v>0.14492160000000001</v>
      </c>
      <c r="BK8" s="12">
        <f>IF(AND(Table1[[#This Row],[Z3 SMT2-2 PdMaxres Cost]]=Table1[[#This Row],[ORTools FZN2 Cost]],Table1[[#This Row],[ORTools FZN2 State]]="Optimal"),1,"")</f>
        <v>1</v>
      </c>
      <c r="BL8" s="12" t="s">
        <v>26</v>
      </c>
      <c r="BM8" s="12">
        <v>277</v>
      </c>
      <c r="BN8" s="12">
        <v>0.17184459999999999</v>
      </c>
      <c r="BO8" s="11">
        <f>IF(AND(Table1[[#This Row],[Z3 SMT2-2 PdMaxres Cost]]=Table1[[#This Row],[ORTools FZN2 Cost]],Table1[[#This Row],[ORTools FZN2 State]]="Optimal"),1,"")</f>
        <v>1</v>
      </c>
      <c r="BP8" s="5" t="s">
        <v>25</v>
      </c>
      <c r="BQ8" s="2">
        <v>277</v>
      </c>
      <c r="BR8" s="2">
        <v>5.4034499999999999E-2</v>
      </c>
      <c r="BS8" s="2" t="str">
        <f>IF(AND(Table1[[#This Row],[Gurobi MB Cost]]=Table1[[#This Row],[ORTools FZN2 Cost]],Table1[[#This Row],[ORTools FZN2 State]]="Optimal",Table1[[#This Row],[Gurobi MB State]]="Suboptimal"),1,"")</f>
        <v/>
      </c>
      <c r="BT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" s="5" t="s">
        <v>25</v>
      </c>
      <c r="BV8" s="2">
        <v>277</v>
      </c>
      <c r="BW8" s="2">
        <v>8.09415E-2</v>
      </c>
      <c r="BX8" s="2" t="str">
        <f>IF(AND(Table1[[#This Row],[Gurobi MD Cost]]=Table1[[#This Row],[ORTools FZN2 Cost]],Table1[[#This Row],[ORTools FZN2 State]]="Optimal",Table1[[#This Row],[Gurobi MD State]]="Suboptimal"),1,"")</f>
        <v/>
      </c>
      <c r="BY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" s="5" t="s">
        <v>25</v>
      </c>
      <c r="CA8" s="2">
        <v>277</v>
      </c>
      <c r="CB8" s="2">
        <v>0.18271009999999999</v>
      </c>
      <c r="CC8" s="2" t="str">
        <f>IF(AND(Table1[[#This Row],[Gurobi MI Cost]]=Table1[[#This Row],[ORTools FZN2 Cost]],Table1[[#This Row],[ORTools FZN2 State]]="Optimal",Table1[[#This Row],[Gurobi MI State]]="Suboptimal"),1,"")</f>
        <v/>
      </c>
      <c r="CD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" s="39" t="s">
        <v>25</v>
      </c>
      <c r="CF8" s="2">
        <v>277</v>
      </c>
      <c r="CG8" s="39">
        <v>5.0670599999999997</v>
      </c>
      <c r="CH8" s="39" t="s">
        <v>25</v>
      </c>
      <c r="CI8" s="39">
        <v>277</v>
      </c>
      <c r="CJ8" s="2">
        <v>5.0867475000000004</v>
      </c>
      <c r="CK8" s="5" t="s">
        <v>25</v>
      </c>
      <c r="CL8" s="2">
        <v>277</v>
      </c>
      <c r="CM8" s="2">
        <v>4.1999999999997997E-2</v>
      </c>
      <c r="CN8" s="5" t="s">
        <v>25</v>
      </c>
      <c r="CO8" s="2">
        <v>277</v>
      </c>
      <c r="CP8" s="2">
        <v>0.56437479999999995</v>
      </c>
      <c r="CQ8" s="5" t="s">
        <v>25</v>
      </c>
      <c r="CR8" s="2">
        <v>277</v>
      </c>
      <c r="CS8" s="2">
        <v>9.8931000000000005E-2</v>
      </c>
      <c r="CT8" s="6" t="s">
        <v>25</v>
      </c>
      <c r="CU8" s="4">
        <v>277</v>
      </c>
      <c r="CV8" s="4">
        <v>9.2423599999999995E-2</v>
      </c>
      <c r="CW8" s="39" t="s">
        <v>25</v>
      </c>
      <c r="CX8" s="39">
        <v>277</v>
      </c>
      <c r="CY8" s="2">
        <v>0.23899999999999999</v>
      </c>
      <c r="CZ8" s="2" t="str">
        <f>IF(AND(Table1[[#This Row],[Cplex MZ1 Cost]]=Table1[[#This Row],[ORTools FZN2 Cost]],Table1[[#This Row],[ORTools FZN2 State]]="Optimal",Table1[[#This Row],[Cplex MZ1 State]]="Suboptimal"),1,"")</f>
        <v/>
      </c>
      <c r="DA8" s="5" t="s">
        <v>25</v>
      </c>
      <c r="DB8" s="2">
        <v>277</v>
      </c>
      <c r="DC8" s="2">
        <v>0.28010000000000002</v>
      </c>
      <c r="DD8" s="2" t="str">
        <f>IF(AND(Table1[[#This Row],[Cplex MZ2 Cost]]=Table1[[#This Row],[ORTools FZN2 Cost]],Table1[[#This Row],[ORTools FZN2 State]]="Optimal",Table1[[#This Row],[Cplex MZ2 State]]="Suboptimal"),1,"")</f>
        <v/>
      </c>
      <c r="DE8" s="39" t="s">
        <v>25</v>
      </c>
      <c r="DF8" s="39">
        <v>277</v>
      </c>
      <c r="DG8" s="2">
        <v>0.1376</v>
      </c>
      <c r="DH8" s="2" t="str">
        <f>IF(AND(Table1[[#This Row],[Gurobi MZ1 Cost]]=Table1[[#This Row],[ORTools FZN2 Cost]],Table1[[#This Row],[ORTools FZN2 State]]="Optimal",Table1[[#This Row],[Gurobi MZ1 State]]="Suboptimal"),1,"")</f>
        <v/>
      </c>
      <c r="DI8" s="5" t="s">
        <v>25</v>
      </c>
      <c r="DJ8" s="2">
        <v>277</v>
      </c>
      <c r="DK8" s="2">
        <v>6.83E-2</v>
      </c>
      <c r="DL8" s="4" t="str">
        <f>IF(AND(Table1[[#This Row],[Gurobi MZ2 Cost]]=Table1[[#This Row],[ORTools FZN2 Cost]],Table1[[#This Row],[ORTools FZN2 State]]="Optimal",Table1[[#This Row],[Gurobi MZ2 State]]="Suboptimal"),1,"")</f>
        <v/>
      </c>
      <c r="DM8" s="39" t="s">
        <v>25</v>
      </c>
      <c r="DN8" s="39">
        <v>277</v>
      </c>
      <c r="DO8" s="65">
        <v>6.9999999999993096E-2</v>
      </c>
      <c r="DP8" s="4" t="str">
        <f>IF(AND(Table1[[#This Row],[Cplex MC nonDual Cost]]=Table1[[#This Row],[ORTools FZN2 Cost]],Table1[[#This Row],[ORTools FZN2 State]]="Optimal",Table1[[#This Row],[Cplex MC nonDual State]]="Suboptimal"),1,"")</f>
        <v/>
      </c>
      <c r="DQ8" s="5" t="s">
        <v>25</v>
      </c>
      <c r="DR8" s="2">
        <v>277</v>
      </c>
      <c r="DS8" s="2">
        <v>0.15479999999999999</v>
      </c>
      <c r="DT8" s="2" t="str">
        <f>IF(AND(Table1[[#This Row],[Cplex MIP DM''z Cost]]=Table1[[#This Row],[ORTools FZN2 Cost]],Table1[[#This Row],[ORTools FZN2 State]]="Optimal",Table1[[#This Row],[Cplex MIP DM''z  State]]="Suboptimal"),1,"")</f>
        <v/>
      </c>
      <c r="DU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" s="5" t="s">
        <v>25</v>
      </c>
      <c r="DW8" s="2">
        <v>277</v>
      </c>
      <c r="DX8" s="2">
        <v>0.1305</v>
      </c>
      <c r="DY8" s="4" t="str">
        <f>IF(AND(Table1[[#This Row],[Gurobi DM''z  Cost]]=Table1[[#This Row],[ORTools FZN2 Cost]],Table1[[#This Row],[ORTools FZN2 State]]="Optimal",Table1[[#This Row],[Gurobi DM''z  State]]="Suboptimal"),1,"")</f>
        <v/>
      </c>
      <c r="DZ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" spans="1:130" ht="15.75" x14ac:dyDescent="0.25">
      <c r="A9" s="46" t="s">
        <v>32</v>
      </c>
      <c r="B9" s="5">
        <v>6</v>
      </c>
      <c r="C9" s="2">
        <v>3</v>
      </c>
      <c r="D9" s="5">
        <v>9</v>
      </c>
      <c r="E9" s="3">
        <v>3</v>
      </c>
      <c r="F9" s="34">
        <v>0</v>
      </c>
      <c r="G9" s="3">
        <v>0</v>
      </c>
      <c r="H9" s="4">
        <f t="shared" si="0"/>
        <v>0</v>
      </c>
      <c r="I9" s="4">
        <f>Table1[[#This Row],[B]]+Table1[[#This Row],[Atomic Constraints]]+Table1[[#This Row],[Soft Atomic Constraints]]+Table1[[#This Row],[Disjunctive Constraints]]+Table1[[#This Row],[Direct Successors]]</f>
        <v>15</v>
      </c>
      <c r="J9" s="5" t="s">
        <v>25</v>
      </c>
      <c r="K9" s="2">
        <v>264</v>
      </c>
      <c r="L9" s="2">
        <v>0.57308360000000003</v>
      </c>
      <c r="M9" s="2" t="str">
        <f>IF(AND(Table1[[#This Row],[Chuffed MZ1 Cost]]=Table1[[#This Row],[ORTools FZN2 Cost]],Table1[[#This Row],[ORTools FZN2 State]]="Optimal",Table1[[#This Row],[Chuffed MZ1 State]]="Suboptimal"),1,"")</f>
        <v/>
      </c>
      <c r="N9" s="5" t="s">
        <v>25</v>
      </c>
      <c r="O9" s="2">
        <v>264</v>
      </c>
      <c r="P9" s="2">
        <v>0.56803559999999997</v>
      </c>
      <c r="Q9" s="2" t="str">
        <f>IF(AND(Table1[[#This Row],[Chuffed MZ2 Cost]]=Table1[[#This Row],[ORTools FZN2 Cost]],Table1[[#This Row],[ORTools FZN2 State]]="Optimal",Table1[[#This Row],[Chuffed MZ2 State]]="Suboptimal"),1,"")</f>
        <v/>
      </c>
      <c r="R9" s="5" t="s">
        <v>25</v>
      </c>
      <c r="S9" s="2">
        <v>264</v>
      </c>
      <c r="T9" s="2">
        <v>4.8999999999999502E-2</v>
      </c>
      <c r="U9" s="2"/>
      <c r="V9" s="5" t="s">
        <v>25</v>
      </c>
      <c r="W9" s="2">
        <v>264</v>
      </c>
      <c r="X9" s="2">
        <v>7.6475600000000005E-2</v>
      </c>
      <c r="Y9" s="2" t="str">
        <f>IF(AND(Table1[[#This Row],[ORTools FZN1 Cost]]=Table1[[#This Row],[ORTools FZN2 Cost]],Table1[[#This Row],[ORTools FZN2 State]]="Optimal",Table1[[#This Row],[ORTools FZN1 State]]="Suboptimal"),1,"")</f>
        <v/>
      </c>
      <c r="Z9" s="5" t="s">
        <v>25</v>
      </c>
      <c r="AA9" s="2">
        <v>264</v>
      </c>
      <c r="AB9" s="2">
        <v>7.7024999999999996E-2</v>
      </c>
      <c r="AC9" s="39" t="s">
        <v>25</v>
      </c>
      <c r="AD9" s="39">
        <v>264</v>
      </c>
      <c r="AE9" s="2">
        <v>2.6229300000000001E-2</v>
      </c>
      <c r="AF9" s="2" t="str">
        <f>IF(AND(Table1[[#This Row],[Cplex MB Cost]]=Table1[[#This Row],[ORTools FZN2 Cost]],Table1[[#This Row],[ORTools FZN2 State]]="Optimal",Table1[[#This Row],[Cplex MB State]]="Suboptimal"),1,"")</f>
        <v/>
      </c>
      <c r="AG9" s="4">
        <f>IF(AND(AC9="Optimal",AD9&lt;&gt;AA9,Table1[[#This Row],[Example]]&lt;&gt;"R001",Table1[[#This Row],[Example]]&lt;&gt;"R002"),AD9-AA9,)</f>
        <v>0</v>
      </c>
      <c r="AH9" s="5" t="s">
        <v>25</v>
      </c>
      <c r="AI9" s="2">
        <v>264</v>
      </c>
      <c r="AJ9" s="2">
        <v>5.7468900000000003E-2</v>
      </c>
      <c r="AK9" s="2" t="str">
        <f>IF(AND(Table1[[#This Row],[Cplex MD Cost]]=Table1[[#This Row],[ORTools FZN2 Cost]],Table1[[#This Row],[ORTools FZN2 State]]="Optimal",Table1[[#This Row],[Cplex MD State]]="Suboptimal"),1,"")</f>
        <v/>
      </c>
      <c r="AL9" s="4">
        <f>IF(AND(AH9="Optimal",AI9&lt;&gt;AA9,Table1[[#This Row],[Example]]&lt;&gt;"R001",Table1[[#This Row],[Example]]&lt;&gt;"R002"),AI9-AA9,)</f>
        <v>0</v>
      </c>
      <c r="AM9" s="39" t="s">
        <v>25</v>
      </c>
      <c r="AN9" s="39">
        <v>264</v>
      </c>
      <c r="AO9" s="2">
        <v>3.93149E-2</v>
      </c>
      <c r="AP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" s="2" t="str">
        <f>IF(AND(Table1[[#This Row],[Cplex MI Cost]]=Table1[[#This Row],[ORTools FZN2 Cost]],Table1[[#This Row],[ORTools FZN2 State]]="Optimal",Table1[[#This Row],[Cplex MI State]]="Suboptimal"),1,"")</f>
        <v/>
      </c>
      <c r="AR9" s="12" t="s">
        <v>26</v>
      </c>
      <c r="AS9" s="12">
        <v>264</v>
      </c>
      <c r="AT9" s="12">
        <v>0.13849939999999999</v>
      </c>
      <c r="AU9" s="12">
        <f>IF(AND(Table1[[#This Row],[Z3 SMT2-1 Maxres Cost]]=Table1[[#This Row],[ORTools FZN2 Cost]],Table1[[#This Row],[ORTools FZN2 State]]="Optimal"),1,"")</f>
        <v>1</v>
      </c>
      <c r="AV9" s="12" t="s">
        <v>26</v>
      </c>
      <c r="AW9" s="12">
        <v>264</v>
      </c>
      <c r="AX9" s="12">
        <v>0.14258460000000001</v>
      </c>
      <c r="AY9" s="12">
        <f>IF(AND(Table1[[#This Row],[Z3 SMT2-1 PdMaxres Cost]]=Table1[[#This Row],[ORTools FZN2 Cost]],Table1[[#This Row],[ORTools FZN2 State]]="Optimal"),1,"")</f>
        <v>1</v>
      </c>
      <c r="AZ9" s="12" t="s">
        <v>26</v>
      </c>
      <c r="BA9" s="12">
        <v>264</v>
      </c>
      <c r="BB9" s="12">
        <v>0.1449396</v>
      </c>
      <c r="BC9" s="12">
        <f>IF(AND(Table1[[#This Row],[Z3 SMT2-1 WMax Cost]]=Table1[[#This Row],[ORTools FZN2 Cost]],Table1[[#This Row],[ORTools FZN2 State]]="Optimal"),1,"")</f>
        <v>1</v>
      </c>
      <c r="BD9" s="12" t="s">
        <v>26</v>
      </c>
      <c r="BE9" s="12">
        <v>264</v>
      </c>
      <c r="BF9" s="12">
        <v>0.14885619999999999</v>
      </c>
      <c r="BG9" s="12">
        <f>IF(AND(Table1[[#This Row],[Z3 SMT2-2 Maxres Cost]]=Table1[[#This Row],[ORTools FZN2 Cost]],Table1[[#This Row],[ORTools FZN2 State]]="Optimal"),1,"")</f>
        <v>1</v>
      </c>
      <c r="BH9" s="12" t="s">
        <v>26</v>
      </c>
      <c r="BI9" s="12">
        <v>264</v>
      </c>
      <c r="BJ9" s="12">
        <v>0.1382834</v>
      </c>
      <c r="BK9" s="12">
        <f>IF(AND(Table1[[#This Row],[Z3 SMT2-2 PdMaxres Cost]]=Table1[[#This Row],[ORTools FZN2 Cost]],Table1[[#This Row],[ORTools FZN2 State]]="Optimal"),1,"")</f>
        <v>1</v>
      </c>
      <c r="BL9" s="12" t="s">
        <v>26</v>
      </c>
      <c r="BM9" s="12">
        <v>264</v>
      </c>
      <c r="BN9" s="12">
        <v>0.1444057</v>
      </c>
      <c r="BO9" s="11">
        <f>IF(AND(Table1[[#This Row],[Z3 SMT2-2 PdMaxres Cost]]=Table1[[#This Row],[ORTools FZN2 Cost]],Table1[[#This Row],[ORTools FZN2 State]]="Optimal"),1,"")</f>
        <v>1</v>
      </c>
      <c r="BP9" s="5" t="s">
        <v>25</v>
      </c>
      <c r="BQ9" s="2">
        <v>264</v>
      </c>
      <c r="BR9" s="2">
        <v>2.47262E-2</v>
      </c>
      <c r="BS9" s="2" t="str">
        <f>IF(AND(Table1[[#This Row],[Gurobi MB Cost]]=Table1[[#This Row],[ORTools FZN2 Cost]],Table1[[#This Row],[ORTools FZN2 State]]="Optimal",Table1[[#This Row],[Gurobi MB State]]="Suboptimal"),1,"")</f>
        <v/>
      </c>
      <c r="BT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" s="5" t="s">
        <v>25</v>
      </c>
      <c r="BV9" s="2">
        <v>264</v>
      </c>
      <c r="BW9" s="2">
        <v>3.7257400000000003E-2</v>
      </c>
      <c r="BX9" s="2" t="str">
        <f>IF(AND(Table1[[#This Row],[Gurobi MD Cost]]=Table1[[#This Row],[ORTools FZN2 Cost]],Table1[[#This Row],[ORTools FZN2 State]]="Optimal",Table1[[#This Row],[Gurobi MD State]]="Suboptimal"),1,"")</f>
        <v/>
      </c>
      <c r="BY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" s="5" t="s">
        <v>25</v>
      </c>
      <c r="CA9" s="2">
        <v>264</v>
      </c>
      <c r="CB9" s="2">
        <v>1.92569E-2</v>
      </c>
      <c r="CC9" s="2" t="str">
        <f>IF(AND(Table1[[#This Row],[Gurobi MI Cost]]=Table1[[#This Row],[ORTools FZN2 Cost]],Table1[[#This Row],[ORTools FZN2 State]]="Optimal",Table1[[#This Row],[Gurobi MI State]]="Suboptimal"),1,"")</f>
        <v/>
      </c>
      <c r="CD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" s="39" t="s">
        <v>25</v>
      </c>
      <c r="CF9" s="2">
        <v>264</v>
      </c>
      <c r="CG9" s="39">
        <v>5.0663508999999998</v>
      </c>
      <c r="CH9" s="39" t="s">
        <v>25</v>
      </c>
      <c r="CI9" s="39">
        <v>264</v>
      </c>
      <c r="CJ9" s="2">
        <v>5.0828154000000003</v>
      </c>
      <c r="CK9" s="5" t="s">
        <v>25</v>
      </c>
      <c r="CL9" s="2">
        <v>264</v>
      </c>
      <c r="CM9" s="2">
        <v>4.7000000000000597E-2</v>
      </c>
      <c r="CN9" s="5" t="s">
        <v>25</v>
      </c>
      <c r="CO9" s="2">
        <v>264</v>
      </c>
      <c r="CP9" s="2">
        <v>0.5552435</v>
      </c>
      <c r="CQ9" s="5" t="s">
        <v>25</v>
      </c>
      <c r="CR9" s="2">
        <v>264</v>
      </c>
      <c r="CS9" s="2">
        <v>9.1396400000000003E-2</v>
      </c>
      <c r="CT9" s="6" t="s">
        <v>25</v>
      </c>
      <c r="CU9" s="4">
        <v>264</v>
      </c>
      <c r="CV9" s="4">
        <v>8.0490800000000001E-2</v>
      </c>
      <c r="CW9" s="39" t="s">
        <v>25</v>
      </c>
      <c r="CX9" s="39">
        <v>264</v>
      </c>
      <c r="CY9" s="2">
        <v>2.3E-2</v>
      </c>
      <c r="CZ9" s="2" t="str">
        <f>IF(AND(Table1[[#This Row],[Cplex MZ1 Cost]]=Table1[[#This Row],[ORTools FZN2 Cost]],Table1[[#This Row],[ORTools FZN2 State]]="Optimal",Table1[[#This Row],[Cplex MZ1 State]]="Suboptimal"),1,"")</f>
        <v/>
      </c>
      <c r="DA9" s="5" t="s">
        <v>25</v>
      </c>
      <c r="DB9" s="2">
        <v>264</v>
      </c>
      <c r="DC9" s="2">
        <v>1.2500000000000001E-2</v>
      </c>
      <c r="DD9" s="2" t="str">
        <f>IF(AND(Table1[[#This Row],[Cplex MZ2 Cost]]=Table1[[#This Row],[ORTools FZN2 Cost]],Table1[[#This Row],[ORTools FZN2 State]]="Optimal",Table1[[#This Row],[Cplex MZ2 State]]="Suboptimal"),1,"")</f>
        <v/>
      </c>
      <c r="DE9" s="39" t="s">
        <v>25</v>
      </c>
      <c r="DF9" s="39">
        <v>264</v>
      </c>
      <c r="DG9" s="2">
        <v>1.43E-2</v>
      </c>
      <c r="DH9" s="2" t="str">
        <f>IF(AND(Table1[[#This Row],[Gurobi MZ1 Cost]]=Table1[[#This Row],[ORTools FZN2 Cost]],Table1[[#This Row],[ORTools FZN2 State]]="Optimal",Table1[[#This Row],[Gurobi MZ1 State]]="Suboptimal"),1,"")</f>
        <v/>
      </c>
      <c r="DI9" s="5" t="s">
        <v>25</v>
      </c>
      <c r="DJ9" s="2">
        <v>264</v>
      </c>
      <c r="DK9" s="2">
        <v>1.3299999999999999E-2</v>
      </c>
      <c r="DL9" s="4" t="str">
        <f>IF(AND(Table1[[#This Row],[Gurobi MZ2 Cost]]=Table1[[#This Row],[ORTools FZN2 Cost]],Table1[[#This Row],[ORTools FZN2 State]]="Optimal",Table1[[#This Row],[Gurobi MZ2 State]]="Suboptimal"),1,"")</f>
        <v/>
      </c>
      <c r="DM9" s="39" t="s">
        <v>25</v>
      </c>
      <c r="DN9" s="39">
        <v>264</v>
      </c>
      <c r="DO9" s="65">
        <v>7.1000000000026306E-2</v>
      </c>
      <c r="DP9" s="4" t="str">
        <f>IF(AND(Table1[[#This Row],[Cplex MC nonDual Cost]]=Table1[[#This Row],[ORTools FZN2 Cost]],Table1[[#This Row],[ORTools FZN2 State]]="Optimal",Table1[[#This Row],[Cplex MC nonDual State]]="Suboptimal"),1,"")</f>
        <v/>
      </c>
      <c r="DQ9" s="5" t="s">
        <v>25</v>
      </c>
      <c r="DR9" s="2">
        <v>264</v>
      </c>
      <c r="DS9" s="2">
        <v>2.75E-2</v>
      </c>
      <c r="DT9" s="2" t="str">
        <f>IF(AND(Table1[[#This Row],[Cplex MIP DM''z Cost]]=Table1[[#This Row],[ORTools FZN2 Cost]],Table1[[#This Row],[ORTools FZN2 State]]="Optimal",Table1[[#This Row],[Cplex MIP DM''z  State]]="Suboptimal"),1,"")</f>
        <v/>
      </c>
      <c r="DU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" s="5" t="s">
        <v>25</v>
      </c>
      <c r="DW9" s="2">
        <v>264</v>
      </c>
      <c r="DX9" s="2">
        <v>1.32E-2</v>
      </c>
      <c r="DY9" s="4" t="str">
        <f>IF(AND(Table1[[#This Row],[Gurobi DM''z  Cost]]=Table1[[#This Row],[ORTools FZN2 Cost]],Table1[[#This Row],[ORTools FZN2 State]]="Optimal",Table1[[#This Row],[Gurobi DM''z  State]]="Suboptimal"),1,"")</f>
        <v/>
      </c>
      <c r="DZ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" spans="1:130" ht="15.75" x14ac:dyDescent="0.25">
      <c r="A10" s="46" t="s">
        <v>33</v>
      </c>
      <c r="B10" s="5">
        <v>6</v>
      </c>
      <c r="C10" s="2">
        <v>2</v>
      </c>
      <c r="D10" s="5">
        <v>5</v>
      </c>
      <c r="E10" s="3">
        <v>2</v>
      </c>
      <c r="F10" s="34">
        <v>0</v>
      </c>
      <c r="G10" s="3">
        <v>0</v>
      </c>
      <c r="H10" s="4">
        <f t="shared" si="0"/>
        <v>2</v>
      </c>
      <c r="I10" s="4">
        <f>Table1[[#This Row],[B]]+Table1[[#This Row],[Atomic Constraints]]+Table1[[#This Row],[Soft Atomic Constraints]]+Table1[[#This Row],[Disjunctive Constraints]]+Table1[[#This Row],[Direct Successors]]</f>
        <v>9</v>
      </c>
      <c r="J10" s="5" t="s">
        <v>25</v>
      </c>
      <c r="K10" s="2">
        <v>0</v>
      </c>
      <c r="L10" s="2">
        <v>0.58272139999999994</v>
      </c>
      <c r="M10" s="2" t="str">
        <f>IF(AND(Table1[[#This Row],[Chuffed MZ1 Cost]]=Table1[[#This Row],[ORTools FZN2 Cost]],Table1[[#This Row],[ORTools FZN2 State]]="Optimal",Table1[[#This Row],[Chuffed MZ1 State]]="Suboptimal"),1,"")</f>
        <v/>
      </c>
      <c r="N10" s="5" t="s">
        <v>25</v>
      </c>
      <c r="O10" s="2">
        <v>0</v>
      </c>
      <c r="P10" s="2">
        <v>0.56405660000000002</v>
      </c>
      <c r="Q10" s="2" t="str">
        <f>IF(AND(Table1[[#This Row],[Chuffed MZ2 Cost]]=Table1[[#This Row],[ORTools FZN2 Cost]],Table1[[#This Row],[ORTools FZN2 State]]="Optimal",Table1[[#This Row],[Chuffed MZ2 State]]="Suboptimal"),1,"")</f>
        <v/>
      </c>
      <c r="R10" s="6" t="s">
        <v>25</v>
      </c>
      <c r="S10" s="4">
        <v>0</v>
      </c>
      <c r="T10" s="4">
        <v>4.1999999999999801E-2</v>
      </c>
      <c r="U10" s="4"/>
      <c r="V10" s="5" t="s">
        <v>25</v>
      </c>
      <c r="W10" s="2">
        <v>0</v>
      </c>
      <c r="X10" s="2">
        <v>7.3399800000000001E-2</v>
      </c>
      <c r="Y10" s="2" t="str">
        <f>IF(AND(Table1[[#This Row],[ORTools FZN1 Cost]]=Table1[[#This Row],[ORTools FZN2 Cost]],Table1[[#This Row],[ORTools FZN2 State]]="Optimal",Table1[[#This Row],[ORTools FZN1 State]]="Suboptimal"),1,"")</f>
        <v/>
      </c>
      <c r="Z10" s="5" t="s">
        <v>25</v>
      </c>
      <c r="AA10" s="2">
        <v>0</v>
      </c>
      <c r="AB10" s="2">
        <v>7.4765200000000004E-2</v>
      </c>
      <c r="AC10" s="39" t="s">
        <v>25</v>
      </c>
      <c r="AD10" s="39">
        <v>0</v>
      </c>
      <c r="AE10" s="2">
        <v>3.1031799999999998E-2</v>
      </c>
      <c r="AF10" s="2" t="str">
        <f>IF(AND(Table1[[#This Row],[Cplex MB Cost]]=Table1[[#This Row],[ORTools FZN2 Cost]],Table1[[#This Row],[ORTools FZN2 State]]="Optimal",Table1[[#This Row],[Cplex MB State]]="Suboptimal"),1,"")</f>
        <v/>
      </c>
      <c r="AG10" s="4">
        <f>IF(AND(AC10="Optimal",AD10&lt;&gt;AA10,Table1[[#This Row],[Example]]&lt;&gt;"R001",Table1[[#This Row],[Example]]&lt;&gt;"R002"),AD10-AA10,)</f>
        <v>0</v>
      </c>
      <c r="AH10" s="5" t="s">
        <v>25</v>
      </c>
      <c r="AI10" s="2">
        <v>0</v>
      </c>
      <c r="AJ10" s="2">
        <v>8.75586E-2</v>
      </c>
      <c r="AK10" s="2" t="str">
        <f>IF(AND(Table1[[#This Row],[Cplex MD Cost]]=Table1[[#This Row],[ORTools FZN2 Cost]],Table1[[#This Row],[ORTools FZN2 State]]="Optimal",Table1[[#This Row],[Cplex MD State]]="Suboptimal"),1,"")</f>
        <v/>
      </c>
      <c r="AL10" s="4">
        <f>IF(AND(AH10="Optimal",AI10&lt;&gt;AA10,Table1[[#This Row],[Example]]&lt;&gt;"R001",Table1[[#This Row],[Example]]&lt;&gt;"R002"),AI10-AA10,)</f>
        <v>0</v>
      </c>
      <c r="AM10" s="39" t="s">
        <v>25</v>
      </c>
      <c r="AN10" s="39">
        <v>0</v>
      </c>
      <c r="AO10" s="2">
        <v>3.8103699999999997E-2</v>
      </c>
      <c r="AP1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" s="4" t="str">
        <f>IF(AND(Table1[[#This Row],[Cplex MI Cost]]=Table1[[#This Row],[ORTools FZN2 Cost]],Table1[[#This Row],[ORTools FZN2 State]]="Optimal",Table1[[#This Row],[Cplex MI State]]="Suboptimal"),1,"")</f>
        <v/>
      </c>
      <c r="AR10" s="12" t="s">
        <v>26</v>
      </c>
      <c r="AS10" s="12">
        <v>0</v>
      </c>
      <c r="AT10" s="12">
        <v>0.1101399</v>
      </c>
      <c r="AU10" s="12">
        <f>IF(AND(Table1[[#This Row],[Z3 SMT2-1 Maxres Cost]]=Table1[[#This Row],[ORTools FZN2 Cost]],Table1[[#This Row],[ORTools FZN2 State]]="Optimal"),1,"")</f>
        <v>1</v>
      </c>
      <c r="AV10" s="12" t="s">
        <v>26</v>
      </c>
      <c r="AW10" s="12">
        <v>0</v>
      </c>
      <c r="AX10" s="12">
        <v>0.1158593</v>
      </c>
      <c r="AY10" s="12">
        <f>IF(AND(Table1[[#This Row],[Z3 SMT2-1 PdMaxres Cost]]=Table1[[#This Row],[ORTools FZN2 Cost]],Table1[[#This Row],[ORTools FZN2 State]]="Optimal"),1,"")</f>
        <v>1</v>
      </c>
      <c r="AZ10" s="12" t="s">
        <v>26</v>
      </c>
      <c r="BA10" s="12">
        <v>0</v>
      </c>
      <c r="BB10" s="12">
        <v>0.1137133</v>
      </c>
      <c r="BC10" s="12">
        <f>IF(AND(Table1[[#This Row],[Z3 SMT2-1 WMax Cost]]=Table1[[#This Row],[ORTools FZN2 Cost]],Table1[[#This Row],[ORTools FZN2 State]]="Optimal"),1,"")</f>
        <v>1</v>
      </c>
      <c r="BD10" s="12" t="s">
        <v>26</v>
      </c>
      <c r="BE10" s="12">
        <v>0</v>
      </c>
      <c r="BF10" s="12">
        <v>0.10144160000000001</v>
      </c>
      <c r="BG10" s="12">
        <f>IF(AND(Table1[[#This Row],[Z3 SMT2-2 Maxres Cost]]=Table1[[#This Row],[ORTools FZN2 Cost]],Table1[[#This Row],[ORTools FZN2 State]]="Optimal"),1,"")</f>
        <v>1</v>
      </c>
      <c r="BH10" s="12" t="s">
        <v>26</v>
      </c>
      <c r="BI10" s="12">
        <v>0</v>
      </c>
      <c r="BJ10" s="12">
        <v>0.1055904</v>
      </c>
      <c r="BK10" s="12">
        <f>IF(AND(Table1[[#This Row],[Z3 SMT2-2 PdMaxres Cost]]=Table1[[#This Row],[ORTools FZN2 Cost]],Table1[[#This Row],[ORTools FZN2 State]]="Optimal"),1,"")</f>
        <v>1</v>
      </c>
      <c r="BL10" s="12" t="s">
        <v>26</v>
      </c>
      <c r="BM10" s="12">
        <v>0</v>
      </c>
      <c r="BN10" s="12">
        <v>0.1121183</v>
      </c>
      <c r="BO10" s="11">
        <f>IF(AND(Table1[[#This Row],[Z3 SMT2-2 PdMaxres Cost]]=Table1[[#This Row],[ORTools FZN2 Cost]],Table1[[#This Row],[ORTools FZN2 State]]="Optimal"),1,"")</f>
        <v>1</v>
      </c>
      <c r="BP10" s="5" t="s">
        <v>25</v>
      </c>
      <c r="BQ10" s="2">
        <v>0</v>
      </c>
      <c r="BR10" s="2">
        <v>8.3283999999999997E-3</v>
      </c>
      <c r="BS10" s="2" t="str">
        <f>IF(AND(Table1[[#This Row],[Gurobi MB Cost]]=Table1[[#This Row],[ORTools FZN2 Cost]],Table1[[#This Row],[ORTools FZN2 State]]="Optimal",Table1[[#This Row],[Gurobi MB State]]="Suboptimal"),1,"")</f>
        <v/>
      </c>
      <c r="BT1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" s="5" t="s">
        <v>25</v>
      </c>
      <c r="BV10" s="2">
        <v>0</v>
      </c>
      <c r="BW10" s="2">
        <v>2.2634399999999999E-2</v>
      </c>
      <c r="BX10" s="2" t="str">
        <f>IF(AND(Table1[[#This Row],[Gurobi MD Cost]]=Table1[[#This Row],[ORTools FZN2 Cost]],Table1[[#This Row],[ORTools FZN2 State]]="Optimal",Table1[[#This Row],[Gurobi MD State]]="Suboptimal"),1,"")</f>
        <v/>
      </c>
      <c r="BY1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" s="5" t="s">
        <v>25</v>
      </c>
      <c r="CA10" s="2">
        <v>0</v>
      </c>
      <c r="CB10" s="2">
        <v>8.0506999999999992E-3</v>
      </c>
      <c r="CC10" s="2" t="str">
        <f>IF(AND(Table1[[#This Row],[Gurobi MI Cost]]=Table1[[#This Row],[ORTools FZN2 Cost]],Table1[[#This Row],[ORTools FZN2 State]]="Optimal",Table1[[#This Row],[Gurobi MI State]]="Suboptimal"),1,"")</f>
        <v/>
      </c>
      <c r="CD1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" s="39" t="s">
        <v>25</v>
      </c>
      <c r="CF10" s="2">
        <v>0</v>
      </c>
      <c r="CG10" s="39">
        <v>5.0583656000000001</v>
      </c>
      <c r="CH10" s="39" t="s">
        <v>25</v>
      </c>
      <c r="CI10" s="39">
        <v>0</v>
      </c>
      <c r="CJ10" s="2">
        <v>5.1382287</v>
      </c>
      <c r="CK10" s="5" t="s">
        <v>25</v>
      </c>
      <c r="CL10" s="2">
        <v>0</v>
      </c>
      <c r="CM10" s="2">
        <v>3.8999999999997897E-2</v>
      </c>
      <c r="CN10" s="5" t="s">
        <v>25</v>
      </c>
      <c r="CO10" s="2">
        <v>0</v>
      </c>
      <c r="CP10" s="2">
        <v>0.54688760000000003</v>
      </c>
      <c r="CQ10" s="5" t="s">
        <v>25</v>
      </c>
      <c r="CR10" s="2">
        <v>0</v>
      </c>
      <c r="CS10" s="2">
        <v>8.98867E-2</v>
      </c>
      <c r="CT10" s="6" t="s">
        <v>25</v>
      </c>
      <c r="CU10" s="4">
        <v>0</v>
      </c>
      <c r="CV10" s="4">
        <v>8.2516099999999995E-2</v>
      </c>
      <c r="CW10" s="39" t="s">
        <v>25</v>
      </c>
      <c r="CX10" s="39">
        <v>0</v>
      </c>
      <c r="CY10" s="2">
        <v>3.6200000000000003E-2</v>
      </c>
      <c r="CZ10" s="2" t="str">
        <f>IF(AND(Table1[[#This Row],[Cplex MZ1 Cost]]=Table1[[#This Row],[ORTools FZN2 Cost]],Table1[[#This Row],[ORTools FZN2 State]]="Optimal",Table1[[#This Row],[Cplex MZ1 State]]="Suboptimal"),1,"")</f>
        <v/>
      </c>
      <c r="DA10" s="5" t="s">
        <v>25</v>
      </c>
      <c r="DB10" s="2">
        <v>0</v>
      </c>
      <c r="DC10" s="2">
        <v>2.06E-2</v>
      </c>
      <c r="DD10" s="2" t="str">
        <f>IF(AND(Table1[[#This Row],[Cplex MZ2 Cost]]=Table1[[#This Row],[ORTools FZN2 Cost]],Table1[[#This Row],[ORTools FZN2 State]]="Optimal",Table1[[#This Row],[Cplex MZ2 State]]="Suboptimal"),1,"")</f>
        <v/>
      </c>
      <c r="DE10" s="39" t="s">
        <v>25</v>
      </c>
      <c r="DF10" s="39">
        <v>0</v>
      </c>
      <c r="DG10" s="2">
        <v>1.35E-2</v>
      </c>
      <c r="DH10" s="2" t="str">
        <f>IF(AND(Table1[[#This Row],[Gurobi MZ1 Cost]]=Table1[[#This Row],[ORTools FZN2 Cost]],Table1[[#This Row],[ORTools FZN2 State]]="Optimal",Table1[[#This Row],[Gurobi MZ1 State]]="Suboptimal"),1,"")</f>
        <v/>
      </c>
      <c r="DI10" s="5" t="s">
        <v>25</v>
      </c>
      <c r="DJ10" s="2">
        <v>0</v>
      </c>
      <c r="DK10" s="2">
        <v>2.64E-2</v>
      </c>
      <c r="DL10" s="4" t="str">
        <f>IF(AND(Table1[[#This Row],[Gurobi MZ2 Cost]]=Table1[[#This Row],[ORTools FZN2 Cost]],Table1[[#This Row],[ORTools FZN2 State]]="Optimal",Table1[[#This Row],[Gurobi MZ2 State]]="Suboptimal"),1,"")</f>
        <v/>
      </c>
      <c r="DM10" s="39" t="s">
        <v>25</v>
      </c>
      <c r="DN10" s="39">
        <v>0</v>
      </c>
      <c r="DO10" s="65">
        <v>5.7000000000016302E-2</v>
      </c>
      <c r="DP10" s="4" t="str">
        <f>IF(AND(Table1[[#This Row],[Cplex MC nonDual Cost]]=Table1[[#This Row],[ORTools FZN2 Cost]],Table1[[#This Row],[ORTools FZN2 State]]="Optimal",Table1[[#This Row],[Cplex MC nonDual State]]="Suboptimal"),1,"")</f>
        <v/>
      </c>
      <c r="DQ10" s="5" t="s">
        <v>25</v>
      </c>
      <c r="DR10" s="2">
        <v>0</v>
      </c>
      <c r="DS10" s="2">
        <v>2.7900000000000001E-2</v>
      </c>
      <c r="DT10" s="2" t="str">
        <f>IF(AND(Table1[[#This Row],[Cplex MIP DM''z Cost]]=Table1[[#This Row],[ORTools FZN2 Cost]],Table1[[#This Row],[ORTools FZN2 State]]="Optimal",Table1[[#This Row],[Cplex MIP DM''z  State]]="Suboptimal"),1,"")</f>
        <v/>
      </c>
      <c r="DU1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" s="5" t="s">
        <v>25</v>
      </c>
      <c r="DW10" s="2">
        <v>0</v>
      </c>
      <c r="DX10" s="2">
        <v>2.1399999999999999E-2</v>
      </c>
      <c r="DY10" s="4" t="str">
        <f>IF(AND(Table1[[#This Row],[Gurobi DM''z  Cost]]=Table1[[#This Row],[ORTools FZN2 Cost]],Table1[[#This Row],[ORTools FZN2 State]]="Optimal",Table1[[#This Row],[Gurobi DM''z  State]]="Suboptimal"),1,"")</f>
        <v/>
      </c>
      <c r="DZ1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" spans="1:130" ht="15.75" x14ac:dyDescent="0.25">
      <c r="A11" s="46" t="s">
        <v>34</v>
      </c>
      <c r="B11" s="5">
        <v>8</v>
      </c>
      <c r="C11" s="2">
        <v>4</v>
      </c>
      <c r="D11" s="5">
        <v>13</v>
      </c>
      <c r="E11" s="3">
        <v>3</v>
      </c>
      <c r="F11" s="34">
        <v>4</v>
      </c>
      <c r="G11" s="3">
        <v>0</v>
      </c>
      <c r="H11" s="4">
        <f t="shared" si="0"/>
        <v>0</v>
      </c>
      <c r="I11" s="4">
        <f>Table1[[#This Row],[B]]+Table1[[#This Row],[Atomic Constraints]]+Table1[[#This Row],[Soft Atomic Constraints]]+Table1[[#This Row],[Disjunctive Constraints]]+Table1[[#This Row],[Direct Successors]]</f>
        <v>24</v>
      </c>
      <c r="J11" s="5" t="s">
        <v>25</v>
      </c>
      <c r="K11" s="2">
        <v>624</v>
      </c>
      <c r="L11" s="2">
        <v>0.57359550000000004</v>
      </c>
      <c r="M11" s="2" t="str">
        <f>IF(AND(Table1[[#This Row],[Chuffed MZ1 Cost]]=Table1[[#This Row],[ORTools FZN2 Cost]],Table1[[#This Row],[ORTools FZN2 State]]="Optimal",Table1[[#This Row],[Chuffed MZ1 State]]="Suboptimal"),1,"")</f>
        <v/>
      </c>
      <c r="N11" s="5" t="s">
        <v>25</v>
      </c>
      <c r="O11" s="2">
        <v>624</v>
      </c>
      <c r="P11" s="2">
        <v>0.57411869999999998</v>
      </c>
      <c r="Q11" s="2" t="str">
        <f>IF(AND(Table1[[#This Row],[Chuffed MZ2 Cost]]=Table1[[#This Row],[ORTools FZN2 Cost]],Table1[[#This Row],[ORTools FZN2 State]]="Optimal",Table1[[#This Row],[Chuffed MZ2 State]]="Suboptimal"),1,"")</f>
        <v/>
      </c>
      <c r="R11" s="5" t="s">
        <v>25</v>
      </c>
      <c r="S11" s="2">
        <v>624</v>
      </c>
      <c r="T11" s="2">
        <v>5.4999999999999702E-2</v>
      </c>
      <c r="U11" s="2"/>
      <c r="V11" s="5" t="s">
        <v>25</v>
      </c>
      <c r="W11" s="2">
        <v>624</v>
      </c>
      <c r="X11" s="2">
        <v>9.6953499999999998E-2</v>
      </c>
      <c r="Y11" s="2" t="str">
        <f>IF(AND(Table1[[#This Row],[ORTools FZN1 Cost]]=Table1[[#This Row],[ORTools FZN2 Cost]],Table1[[#This Row],[ORTools FZN2 State]]="Optimal",Table1[[#This Row],[ORTools FZN1 State]]="Suboptimal"),1,"")</f>
        <v/>
      </c>
      <c r="Z11" s="5" t="s">
        <v>25</v>
      </c>
      <c r="AA11" s="2">
        <v>624</v>
      </c>
      <c r="AB11" s="2">
        <v>0.10009179999999999</v>
      </c>
      <c r="AC11" s="39" t="s">
        <v>25</v>
      </c>
      <c r="AD11" s="39">
        <v>624</v>
      </c>
      <c r="AE11" s="2">
        <v>8.8905399999999996E-2</v>
      </c>
      <c r="AF11" s="2" t="str">
        <f>IF(AND(Table1[[#This Row],[Cplex MB Cost]]=Table1[[#This Row],[ORTools FZN2 Cost]],Table1[[#This Row],[ORTools FZN2 State]]="Optimal",Table1[[#This Row],[Cplex MB State]]="Suboptimal"),1,"")</f>
        <v/>
      </c>
      <c r="AG11" s="4">
        <f>IF(AND(AC11="Optimal",AD11&lt;&gt;AA11,Table1[[#This Row],[Example]]&lt;&gt;"R001",Table1[[#This Row],[Example]]&lt;&gt;"R002"),AD11-AA11,)</f>
        <v>0</v>
      </c>
      <c r="AH11" s="5" t="s">
        <v>25</v>
      </c>
      <c r="AI11" s="2">
        <v>624</v>
      </c>
      <c r="AJ11" s="2">
        <v>0.22671160000000001</v>
      </c>
      <c r="AK11" s="2" t="str">
        <f>IF(AND(Table1[[#This Row],[Cplex MD Cost]]=Table1[[#This Row],[ORTools FZN2 Cost]],Table1[[#This Row],[ORTools FZN2 State]]="Optimal",Table1[[#This Row],[Cplex MD State]]="Suboptimal"),1,"")</f>
        <v/>
      </c>
      <c r="AL11" s="4">
        <f>IF(AND(AH11="Optimal",AI11&lt;&gt;AA11,Table1[[#This Row],[Example]]&lt;&gt;"R001",Table1[[#This Row],[Example]]&lt;&gt;"R002"),AI11-AA11,)</f>
        <v>0</v>
      </c>
      <c r="AM11" s="39" t="s">
        <v>25</v>
      </c>
      <c r="AN11" s="39">
        <v>624</v>
      </c>
      <c r="AO11" s="2">
        <v>7.5182200000000005E-2</v>
      </c>
      <c r="AP1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" s="2" t="str">
        <f>IF(AND(Table1[[#This Row],[Cplex MI Cost]]=Table1[[#This Row],[ORTools FZN2 Cost]],Table1[[#This Row],[ORTools FZN2 State]]="Optimal",Table1[[#This Row],[Cplex MI State]]="Suboptimal"),1,"")</f>
        <v/>
      </c>
      <c r="AR11" s="12" t="s">
        <v>26</v>
      </c>
      <c r="AS11" s="12">
        <v>624</v>
      </c>
      <c r="AT11" s="12">
        <v>0.32980029999999999</v>
      </c>
      <c r="AU11" s="12">
        <f>IF(AND(Table1[[#This Row],[Z3 SMT2-1 Maxres Cost]]=Table1[[#This Row],[ORTools FZN2 Cost]],Table1[[#This Row],[ORTools FZN2 State]]="Optimal"),1,"")</f>
        <v>1</v>
      </c>
      <c r="AV11" s="12" t="s">
        <v>26</v>
      </c>
      <c r="AW11" s="12">
        <v>624</v>
      </c>
      <c r="AX11" s="12">
        <v>0.33140130000000001</v>
      </c>
      <c r="AY11" s="12">
        <f>IF(AND(Table1[[#This Row],[Z3 SMT2-1 PdMaxres Cost]]=Table1[[#This Row],[ORTools FZN2 Cost]],Table1[[#This Row],[ORTools FZN2 State]]="Optimal"),1,"")</f>
        <v>1</v>
      </c>
      <c r="AZ11" s="12" t="s">
        <v>26</v>
      </c>
      <c r="BA11" s="12">
        <v>624</v>
      </c>
      <c r="BB11" s="12">
        <v>0.33451360000000002</v>
      </c>
      <c r="BC11" s="12">
        <f>IF(AND(Table1[[#This Row],[Z3 SMT2-1 WMax Cost]]=Table1[[#This Row],[ORTools FZN2 Cost]],Table1[[#This Row],[ORTools FZN2 State]]="Optimal"),1,"")</f>
        <v>1</v>
      </c>
      <c r="BD11" s="12" t="s">
        <v>26</v>
      </c>
      <c r="BE11" s="12">
        <v>624</v>
      </c>
      <c r="BF11" s="12">
        <v>0.24542620000000001</v>
      </c>
      <c r="BG11" s="12">
        <f>IF(AND(Table1[[#This Row],[Z3 SMT2-2 Maxres Cost]]=Table1[[#This Row],[ORTools FZN2 Cost]],Table1[[#This Row],[ORTools FZN2 State]]="Optimal"),1,"")</f>
        <v>1</v>
      </c>
      <c r="BH11" s="12" t="s">
        <v>26</v>
      </c>
      <c r="BI11" s="12">
        <v>624</v>
      </c>
      <c r="BJ11" s="12">
        <v>0.25081560000000003</v>
      </c>
      <c r="BK11" s="12">
        <f>IF(AND(Table1[[#This Row],[Z3 SMT2-2 PdMaxres Cost]]=Table1[[#This Row],[ORTools FZN2 Cost]],Table1[[#This Row],[ORTools FZN2 State]]="Optimal"),1,"")</f>
        <v>1</v>
      </c>
      <c r="BL11" s="12" t="s">
        <v>26</v>
      </c>
      <c r="BM11" s="12">
        <v>624</v>
      </c>
      <c r="BN11" s="12">
        <v>0.26233919999999999</v>
      </c>
      <c r="BO11" s="11">
        <f>IF(AND(Table1[[#This Row],[Z3 SMT2-2 PdMaxres Cost]]=Table1[[#This Row],[ORTools FZN2 Cost]],Table1[[#This Row],[ORTools FZN2 State]]="Optimal"),1,"")</f>
        <v>1</v>
      </c>
      <c r="BP11" s="5" t="s">
        <v>25</v>
      </c>
      <c r="BQ11" s="2">
        <v>624</v>
      </c>
      <c r="BR11" s="2">
        <v>0.1015542</v>
      </c>
      <c r="BS11" s="2" t="str">
        <f>IF(AND(Table1[[#This Row],[Gurobi MB Cost]]=Table1[[#This Row],[ORTools FZN2 Cost]],Table1[[#This Row],[ORTools FZN2 State]]="Optimal",Table1[[#This Row],[Gurobi MB State]]="Suboptimal"),1,"")</f>
        <v/>
      </c>
      <c r="BT1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" s="5" t="s">
        <v>25</v>
      </c>
      <c r="BV11" s="2">
        <v>624</v>
      </c>
      <c r="BW11" s="2">
        <v>0.1655877</v>
      </c>
      <c r="BX11" s="2" t="str">
        <f>IF(AND(Table1[[#This Row],[Gurobi MD Cost]]=Table1[[#This Row],[ORTools FZN2 Cost]],Table1[[#This Row],[ORTools FZN2 State]]="Optimal",Table1[[#This Row],[Gurobi MD State]]="Suboptimal"),1,"")</f>
        <v/>
      </c>
      <c r="BY1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" s="5" t="s">
        <v>25</v>
      </c>
      <c r="CA11" s="2">
        <v>624</v>
      </c>
      <c r="CB11" s="2">
        <v>9.0545500000000001E-2</v>
      </c>
      <c r="CC11" s="2" t="str">
        <f>IF(AND(Table1[[#This Row],[Gurobi MI Cost]]=Table1[[#This Row],[ORTools FZN2 Cost]],Table1[[#This Row],[ORTools FZN2 State]]="Optimal",Table1[[#This Row],[Gurobi MI State]]="Suboptimal"),1,"")</f>
        <v/>
      </c>
      <c r="CD1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" s="39" t="s">
        <v>25</v>
      </c>
      <c r="CF11" s="2">
        <v>624</v>
      </c>
      <c r="CG11" s="39">
        <v>5.0612417000000001</v>
      </c>
      <c r="CH11" s="39" t="s">
        <v>25</v>
      </c>
      <c r="CI11" s="39">
        <v>624</v>
      </c>
      <c r="CJ11" s="2">
        <v>5.1425362000000003</v>
      </c>
      <c r="CK11" s="5" t="s">
        <v>25</v>
      </c>
      <c r="CL11" s="2">
        <v>624</v>
      </c>
      <c r="CM11" s="2">
        <v>5.1999999999999602E-2</v>
      </c>
      <c r="CN11" s="5" t="s">
        <v>25</v>
      </c>
      <c r="CO11" s="2">
        <v>624</v>
      </c>
      <c r="CP11" s="2">
        <v>0.58176969999999995</v>
      </c>
      <c r="CQ11" s="5" t="s">
        <v>25</v>
      </c>
      <c r="CR11" s="2">
        <v>624</v>
      </c>
      <c r="CS11" s="2">
        <v>0.13217180000000001</v>
      </c>
      <c r="CT11" s="6" t="s">
        <v>25</v>
      </c>
      <c r="CU11" s="4">
        <v>624</v>
      </c>
      <c r="CV11" s="4">
        <v>0.1382824</v>
      </c>
      <c r="CW11" s="39" t="s">
        <v>25</v>
      </c>
      <c r="CX11" s="39">
        <v>624</v>
      </c>
      <c r="CY11" s="2">
        <v>8.2100000000000006E-2</v>
      </c>
      <c r="CZ11" s="2" t="str">
        <f>IF(AND(Table1[[#This Row],[Cplex MZ1 Cost]]=Table1[[#This Row],[ORTools FZN2 Cost]],Table1[[#This Row],[ORTools FZN2 State]]="Optimal",Table1[[#This Row],[Cplex MZ1 State]]="Suboptimal"),1,"")</f>
        <v/>
      </c>
      <c r="DA11" s="5" t="s">
        <v>25</v>
      </c>
      <c r="DB11" s="2">
        <v>624</v>
      </c>
      <c r="DC11" s="2">
        <v>8.8400000000000006E-2</v>
      </c>
      <c r="DD11" s="2" t="str">
        <f>IF(AND(Table1[[#This Row],[Cplex MZ2 Cost]]=Table1[[#This Row],[ORTools FZN2 Cost]],Table1[[#This Row],[ORTools FZN2 State]]="Optimal",Table1[[#This Row],[Cplex MZ2 State]]="Suboptimal"),1,"")</f>
        <v/>
      </c>
      <c r="DE11" s="39" t="s">
        <v>25</v>
      </c>
      <c r="DF11" s="39">
        <v>624</v>
      </c>
      <c r="DG11" s="2">
        <v>2.7199999999999998E-2</v>
      </c>
      <c r="DH11" s="2" t="str">
        <f>IF(AND(Table1[[#This Row],[Gurobi MZ1 Cost]]=Table1[[#This Row],[ORTools FZN2 Cost]],Table1[[#This Row],[ORTools FZN2 State]]="Optimal",Table1[[#This Row],[Gurobi MZ1 State]]="Suboptimal"),1,"")</f>
        <v/>
      </c>
      <c r="DI11" s="5" t="s">
        <v>25</v>
      </c>
      <c r="DJ11" s="2">
        <v>624</v>
      </c>
      <c r="DK11" s="2">
        <v>6.6100000000000006E-2</v>
      </c>
      <c r="DL11" s="4" t="str">
        <f>IF(AND(Table1[[#This Row],[Gurobi MZ2 Cost]]=Table1[[#This Row],[ORTools FZN2 Cost]],Table1[[#This Row],[ORTools FZN2 State]]="Optimal",Table1[[#This Row],[Gurobi MZ2 State]]="Suboptimal"),1,"")</f>
        <v/>
      </c>
      <c r="DM11" s="39" t="s">
        <v>25</v>
      </c>
      <c r="DN11" s="39">
        <v>624</v>
      </c>
      <c r="DO11" s="65">
        <v>8.9999999999974906E-2</v>
      </c>
      <c r="DP11" s="4" t="str">
        <f>IF(AND(Table1[[#This Row],[Cplex MC nonDual Cost]]=Table1[[#This Row],[ORTools FZN2 Cost]],Table1[[#This Row],[ORTools FZN2 State]]="Optimal",Table1[[#This Row],[Cplex MC nonDual State]]="Suboptimal"),1,"")</f>
        <v/>
      </c>
      <c r="DQ11" s="5" t="s">
        <v>25</v>
      </c>
      <c r="DR11" s="2">
        <v>624</v>
      </c>
      <c r="DS11" s="2">
        <v>9.8699999999999996E-2</v>
      </c>
      <c r="DT11" s="2" t="str">
        <f>IF(AND(Table1[[#This Row],[Cplex MIP DM''z Cost]]=Table1[[#This Row],[ORTools FZN2 Cost]],Table1[[#This Row],[ORTools FZN2 State]]="Optimal",Table1[[#This Row],[Cplex MIP DM''z  State]]="Suboptimal"),1,"")</f>
        <v/>
      </c>
      <c r="DU1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" s="5" t="s">
        <v>25</v>
      </c>
      <c r="DW11" s="2">
        <v>624</v>
      </c>
      <c r="DX11" s="2">
        <v>2.4400000000000002E-2</v>
      </c>
      <c r="DY11" s="4" t="str">
        <f>IF(AND(Table1[[#This Row],[Gurobi DM''z  Cost]]=Table1[[#This Row],[ORTools FZN2 Cost]],Table1[[#This Row],[ORTools FZN2 State]]="Optimal",Table1[[#This Row],[Gurobi DM''z  State]]="Suboptimal"),1,"")</f>
        <v/>
      </c>
      <c r="DZ1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" spans="1:130" ht="15.75" x14ac:dyDescent="0.25">
      <c r="A12" s="46" t="s">
        <v>35</v>
      </c>
      <c r="B12" s="5">
        <v>12</v>
      </c>
      <c r="C12" s="2">
        <v>6</v>
      </c>
      <c r="D12" s="5">
        <v>35</v>
      </c>
      <c r="E12" s="3">
        <v>6</v>
      </c>
      <c r="F12" s="34">
        <v>4</v>
      </c>
      <c r="G12" s="3">
        <v>0</v>
      </c>
      <c r="H12" s="4">
        <f t="shared" si="0"/>
        <v>0</v>
      </c>
      <c r="I12" s="4">
        <f>Table1[[#This Row],[B]]+Table1[[#This Row],[Atomic Constraints]]+Table1[[#This Row],[Soft Atomic Constraints]]+Table1[[#This Row],[Disjunctive Constraints]]+Table1[[#This Row],[Direct Successors]]</f>
        <v>51</v>
      </c>
      <c r="J12" s="5" t="s">
        <v>25</v>
      </c>
      <c r="K12" s="2">
        <v>3831</v>
      </c>
      <c r="L12" s="2">
        <v>0.63802320000000001</v>
      </c>
      <c r="M12" s="2" t="str">
        <f>IF(AND(Table1[[#This Row],[Chuffed MZ1 Cost]]=Table1[[#This Row],[ORTools FZN2 Cost]],Table1[[#This Row],[ORTools FZN2 State]]="Optimal",Table1[[#This Row],[Chuffed MZ1 State]]="Suboptimal"),1,"")</f>
        <v/>
      </c>
      <c r="N12" s="5" t="s">
        <v>25</v>
      </c>
      <c r="O12" s="2">
        <v>3831</v>
      </c>
      <c r="P12" s="2">
        <v>0.62653199999999998</v>
      </c>
      <c r="Q12" s="2" t="str">
        <f>IF(AND(Table1[[#This Row],[Chuffed MZ2 Cost]]=Table1[[#This Row],[ORTools FZN2 Cost]],Table1[[#This Row],[ORTools FZN2 State]]="Optimal",Table1[[#This Row],[Chuffed MZ2 State]]="Suboptimal"),1,"")</f>
        <v/>
      </c>
      <c r="R12" s="6" t="s">
        <v>25</v>
      </c>
      <c r="S12" s="4">
        <v>3831</v>
      </c>
      <c r="T12" s="4">
        <v>6.8999999999999104E-2</v>
      </c>
      <c r="U12" s="4"/>
      <c r="V12" s="5" t="s">
        <v>25</v>
      </c>
      <c r="W12" s="2">
        <v>3831</v>
      </c>
      <c r="X12" s="2">
        <v>0.14818410000000001</v>
      </c>
      <c r="Y12" s="2" t="str">
        <f>IF(AND(Table1[[#This Row],[ORTools FZN1 Cost]]=Table1[[#This Row],[ORTools FZN2 Cost]],Table1[[#This Row],[ORTools FZN2 State]]="Optimal",Table1[[#This Row],[ORTools FZN1 State]]="Suboptimal"),1,"")</f>
        <v/>
      </c>
      <c r="Z12" s="5" t="s">
        <v>25</v>
      </c>
      <c r="AA12" s="2">
        <v>3831</v>
      </c>
      <c r="AB12" s="2">
        <v>0.1491934</v>
      </c>
      <c r="AC12" s="39" t="s">
        <v>25</v>
      </c>
      <c r="AD12" s="39">
        <v>3831</v>
      </c>
      <c r="AE12" s="2">
        <v>0.1448274</v>
      </c>
      <c r="AF12" s="2" t="str">
        <f>IF(AND(Table1[[#This Row],[Cplex MB Cost]]=Table1[[#This Row],[ORTools FZN2 Cost]],Table1[[#This Row],[ORTools FZN2 State]]="Optimal",Table1[[#This Row],[Cplex MB State]]="Suboptimal"),1,"")</f>
        <v/>
      </c>
      <c r="AG12" s="4">
        <f>IF(AND(AC12="Optimal",AD12&lt;&gt;AA12,Table1[[#This Row],[Example]]&lt;&gt;"R001",Table1[[#This Row],[Example]]&lt;&gt;"R002"),AD12-AA12,)</f>
        <v>0</v>
      </c>
      <c r="AH12" s="5" t="s">
        <v>25</v>
      </c>
      <c r="AI12" s="2">
        <v>3831</v>
      </c>
      <c r="AJ12" s="2">
        <v>0.57404540000000004</v>
      </c>
      <c r="AK12" s="2" t="str">
        <f>IF(AND(Table1[[#This Row],[Cplex MD Cost]]=Table1[[#This Row],[ORTools FZN2 Cost]],Table1[[#This Row],[ORTools FZN2 State]]="Optimal",Table1[[#This Row],[Cplex MD State]]="Suboptimal"),1,"")</f>
        <v/>
      </c>
      <c r="AL12" s="4">
        <f>IF(AND(AH12="Optimal",AI12&lt;&gt;AA12,Table1[[#This Row],[Example]]&lt;&gt;"R001",Table1[[#This Row],[Example]]&lt;&gt;"R002"),AI12-AA12,)</f>
        <v>0</v>
      </c>
      <c r="AM12" s="39" t="s">
        <v>25</v>
      </c>
      <c r="AN12" s="39">
        <v>3831</v>
      </c>
      <c r="AO12" s="2">
        <v>0.13854060000000001</v>
      </c>
      <c r="AP1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" s="4" t="str">
        <f>IF(AND(Table1[[#This Row],[Cplex MI Cost]]=Table1[[#This Row],[ORTools FZN2 Cost]],Table1[[#This Row],[ORTools FZN2 State]]="Optimal",Table1[[#This Row],[Cplex MI State]]="Suboptimal"),1,"")</f>
        <v/>
      </c>
      <c r="AR12" s="12" t="s">
        <v>26</v>
      </c>
      <c r="AS12" s="12">
        <v>3831</v>
      </c>
      <c r="AT12" s="12">
        <v>0.73348590000000002</v>
      </c>
      <c r="AU12" s="12">
        <f>IF(AND(Table1[[#This Row],[Z3 SMT2-1 Maxres Cost]]=Table1[[#This Row],[ORTools FZN2 Cost]],Table1[[#This Row],[ORTools FZN2 State]]="Optimal"),1,"")</f>
        <v>1</v>
      </c>
      <c r="AV12" s="12" t="s">
        <v>26</v>
      </c>
      <c r="AW12" s="12">
        <v>3831</v>
      </c>
      <c r="AX12" s="12">
        <v>0.73738150000000002</v>
      </c>
      <c r="AY12" s="12">
        <f>IF(AND(Table1[[#This Row],[Z3 SMT2-1 PdMaxres Cost]]=Table1[[#This Row],[ORTools FZN2 Cost]],Table1[[#This Row],[ORTools FZN2 State]]="Optimal"),1,"")</f>
        <v>1</v>
      </c>
      <c r="AZ12" s="12" t="s">
        <v>26</v>
      </c>
      <c r="BA12" s="12">
        <v>3831</v>
      </c>
      <c r="BB12" s="12">
        <v>0.73847879999999999</v>
      </c>
      <c r="BC12" s="12">
        <f>IF(AND(Table1[[#This Row],[Z3 SMT2-1 WMax Cost]]=Table1[[#This Row],[ORTools FZN2 Cost]],Table1[[#This Row],[ORTools FZN2 State]]="Optimal"),1,"")</f>
        <v>1</v>
      </c>
      <c r="BD12" s="12" t="s">
        <v>26</v>
      </c>
      <c r="BE12" s="12">
        <v>3831</v>
      </c>
      <c r="BF12" s="12">
        <v>0.65267799999999998</v>
      </c>
      <c r="BG12" s="12">
        <f>IF(AND(Table1[[#This Row],[Z3 SMT2-2 Maxres Cost]]=Table1[[#This Row],[ORTools FZN2 Cost]],Table1[[#This Row],[ORTools FZN2 State]]="Optimal"),1,"")</f>
        <v>1</v>
      </c>
      <c r="BH12" s="12" t="s">
        <v>26</v>
      </c>
      <c r="BI12" s="12">
        <v>3831</v>
      </c>
      <c r="BJ12" s="12">
        <v>0.69690529999999995</v>
      </c>
      <c r="BK12" s="12">
        <f>IF(AND(Table1[[#This Row],[Z3 SMT2-2 PdMaxres Cost]]=Table1[[#This Row],[ORTools FZN2 Cost]],Table1[[#This Row],[ORTools FZN2 State]]="Optimal"),1,"")</f>
        <v>1</v>
      </c>
      <c r="BL12" s="12" t="s">
        <v>26</v>
      </c>
      <c r="BM12" s="12">
        <v>3831</v>
      </c>
      <c r="BN12" s="12">
        <v>0.69659950000000004</v>
      </c>
      <c r="BO12" s="11">
        <f>IF(AND(Table1[[#This Row],[Z3 SMT2-2 PdMaxres Cost]]=Table1[[#This Row],[ORTools FZN2 Cost]],Table1[[#This Row],[ORTools FZN2 State]]="Optimal"),1,"")</f>
        <v>1</v>
      </c>
      <c r="BP12" s="5" t="s">
        <v>25</v>
      </c>
      <c r="BQ12" s="2">
        <v>3831</v>
      </c>
      <c r="BR12" s="2">
        <v>0.1189935</v>
      </c>
      <c r="BS12" s="2" t="str">
        <f>IF(AND(Table1[[#This Row],[Gurobi MB Cost]]=Table1[[#This Row],[ORTools FZN2 Cost]],Table1[[#This Row],[ORTools FZN2 State]]="Optimal",Table1[[#This Row],[Gurobi MB State]]="Suboptimal"),1,"")</f>
        <v/>
      </c>
      <c r="BT1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" s="5" t="s">
        <v>25</v>
      </c>
      <c r="BV12" s="2">
        <v>3831</v>
      </c>
      <c r="BW12" s="2">
        <v>0.71855970000000002</v>
      </c>
      <c r="BX12" s="2" t="str">
        <f>IF(AND(Table1[[#This Row],[Gurobi MD Cost]]=Table1[[#This Row],[ORTools FZN2 Cost]],Table1[[#This Row],[ORTools FZN2 State]]="Optimal",Table1[[#This Row],[Gurobi MD State]]="Suboptimal"),1,"")</f>
        <v/>
      </c>
      <c r="BY1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" s="5" t="s">
        <v>25</v>
      </c>
      <c r="CA12" s="2">
        <v>3831</v>
      </c>
      <c r="CB12" s="2">
        <v>0.1817068</v>
      </c>
      <c r="CC12" s="2" t="str">
        <f>IF(AND(Table1[[#This Row],[Gurobi MI Cost]]=Table1[[#This Row],[ORTools FZN2 Cost]],Table1[[#This Row],[ORTools FZN2 State]]="Optimal",Table1[[#This Row],[Gurobi MI State]]="Suboptimal"),1,"")</f>
        <v/>
      </c>
      <c r="CD1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" s="39" t="s">
        <v>25</v>
      </c>
      <c r="CF12" s="2">
        <v>3831</v>
      </c>
      <c r="CG12" s="39">
        <v>15.081364900000001</v>
      </c>
      <c r="CH12" s="39" t="s">
        <v>25</v>
      </c>
      <c r="CI12" s="39">
        <v>3831</v>
      </c>
      <c r="CJ12" s="2">
        <v>20.1500661</v>
      </c>
      <c r="CK12" s="5" t="s">
        <v>25</v>
      </c>
      <c r="CL12" s="2">
        <v>3831</v>
      </c>
      <c r="CM12" s="2">
        <v>0.11799999999999899</v>
      </c>
      <c r="CN12" s="5" t="s">
        <v>25</v>
      </c>
      <c r="CO12" s="2">
        <v>3831</v>
      </c>
      <c r="CP12" s="2">
        <v>0.62199150000000003</v>
      </c>
      <c r="CQ12" s="5" t="s">
        <v>25</v>
      </c>
      <c r="CR12" s="2">
        <v>3831</v>
      </c>
      <c r="CS12" s="2">
        <v>0.27494360000000001</v>
      </c>
      <c r="CT12" s="6" t="s">
        <v>25</v>
      </c>
      <c r="CU12" s="4">
        <v>3831</v>
      </c>
      <c r="CV12" s="4">
        <v>0.2561253</v>
      </c>
      <c r="CW12" s="39" t="s">
        <v>25</v>
      </c>
      <c r="CX12" s="39">
        <v>3831</v>
      </c>
      <c r="CY12" s="2">
        <v>0.2253</v>
      </c>
      <c r="CZ12" s="2" t="str">
        <f>IF(AND(Table1[[#This Row],[Cplex MZ1 Cost]]=Table1[[#This Row],[ORTools FZN2 Cost]],Table1[[#This Row],[ORTools FZN2 State]]="Optimal",Table1[[#This Row],[Cplex MZ1 State]]="Suboptimal"),1,"")</f>
        <v/>
      </c>
      <c r="DA12" s="5" t="s">
        <v>25</v>
      </c>
      <c r="DB12" s="2">
        <v>3831</v>
      </c>
      <c r="DC12" s="2">
        <v>0.4355</v>
      </c>
      <c r="DD12" s="2" t="str">
        <f>IF(AND(Table1[[#This Row],[Cplex MZ2 Cost]]=Table1[[#This Row],[ORTools FZN2 Cost]],Table1[[#This Row],[ORTools FZN2 State]]="Optimal",Table1[[#This Row],[Cplex MZ2 State]]="Suboptimal"),1,"")</f>
        <v/>
      </c>
      <c r="DE12" s="39" t="s">
        <v>25</v>
      </c>
      <c r="DF12" s="39">
        <v>3831</v>
      </c>
      <c r="DG12" s="2">
        <v>0.35170000000000001</v>
      </c>
      <c r="DH12" s="2" t="str">
        <f>IF(AND(Table1[[#This Row],[Gurobi MZ1 Cost]]=Table1[[#This Row],[ORTools FZN2 Cost]],Table1[[#This Row],[ORTools FZN2 State]]="Optimal",Table1[[#This Row],[Gurobi MZ1 State]]="Suboptimal"),1,"")</f>
        <v/>
      </c>
      <c r="DI12" s="5" t="s">
        <v>25</v>
      </c>
      <c r="DJ12" s="2">
        <v>3831</v>
      </c>
      <c r="DK12" s="2">
        <v>0.28129999999999999</v>
      </c>
      <c r="DL12" s="4" t="str">
        <f>IF(AND(Table1[[#This Row],[Gurobi MZ2 Cost]]=Table1[[#This Row],[ORTools FZN2 Cost]],Table1[[#This Row],[ORTools FZN2 State]]="Optimal",Table1[[#This Row],[Gurobi MZ2 State]]="Suboptimal"),1,"")</f>
        <v/>
      </c>
      <c r="DM12" s="39" t="s">
        <v>25</v>
      </c>
      <c r="DN12" s="39">
        <v>3831</v>
      </c>
      <c r="DO12" s="65">
        <v>0.12099999999998</v>
      </c>
      <c r="DP12" s="4" t="str">
        <f>IF(AND(Table1[[#This Row],[Cplex MC nonDual Cost]]=Table1[[#This Row],[ORTools FZN2 Cost]],Table1[[#This Row],[ORTools FZN2 State]]="Optimal",Table1[[#This Row],[Cplex MC nonDual State]]="Suboptimal"),1,"")</f>
        <v/>
      </c>
      <c r="DQ12" s="5" t="s">
        <v>25</v>
      </c>
      <c r="DR12" s="2">
        <v>3831</v>
      </c>
      <c r="DS12" s="2">
        <v>0.49459999999999998</v>
      </c>
      <c r="DT12" s="2" t="str">
        <f>IF(AND(Table1[[#This Row],[Cplex MIP DM''z Cost]]=Table1[[#This Row],[ORTools FZN2 Cost]],Table1[[#This Row],[ORTools FZN2 State]]="Optimal",Table1[[#This Row],[Cplex MIP DM''z  State]]="Suboptimal"),1,"")</f>
        <v/>
      </c>
      <c r="DU1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" s="5" t="s">
        <v>25</v>
      </c>
      <c r="DW12" s="2">
        <v>3831</v>
      </c>
      <c r="DX12" s="2">
        <v>0.2487</v>
      </c>
      <c r="DY12" s="4" t="str">
        <f>IF(AND(Table1[[#This Row],[Gurobi DM''z  Cost]]=Table1[[#This Row],[ORTools FZN2 Cost]],Table1[[#This Row],[ORTools FZN2 State]]="Optimal",Table1[[#This Row],[Gurobi DM''z  State]]="Suboptimal"),1,"")</f>
        <v/>
      </c>
      <c r="DZ1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" spans="1:130" ht="15.75" x14ac:dyDescent="0.25">
      <c r="A13" s="46" t="s">
        <v>36</v>
      </c>
      <c r="B13" s="5">
        <v>16</v>
      </c>
      <c r="C13" s="2">
        <v>8</v>
      </c>
      <c r="D13" s="5">
        <v>56</v>
      </c>
      <c r="E13" s="3">
        <v>8</v>
      </c>
      <c r="F13" s="34">
        <v>13</v>
      </c>
      <c r="G13" s="3">
        <v>0</v>
      </c>
      <c r="H13" s="4">
        <f t="shared" si="0"/>
        <v>0</v>
      </c>
      <c r="I13" s="4">
        <f>Table1[[#This Row],[B]]+Table1[[#This Row],[Atomic Constraints]]+Table1[[#This Row],[Soft Atomic Constraints]]+Table1[[#This Row],[Disjunctive Constraints]]+Table1[[#This Row],[Direct Successors]]</f>
        <v>85</v>
      </c>
      <c r="J13" s="5" t="s">
        <v>25</v>
      </c>
      <c r="K13" s="2">
        <v>13281</v>
      </c>
      <c r="L13" s="2">
        <v>0.70545559999999996</v>
      </c>
      <c r="M13" s="2" t="str">
        <f>IF(AND(Table1[[#This Row],[Chuffed MZ1 Cost]]=Table1[[#This Row],[ORTools FZN2 Cost]],Table1[[#This Row],[ORTools FZN2 State]]="Optimal",Table1[[#This Row],[Chuffed MZ1 State]]="Suboptimal"),1,"")</f>
        <v/>
      </c>
      <c r="N13" s="5" t="s">
        <v>25</v>
      </c>
      <c r="O13" s="2">
        <v>13281</v>
      </c>
      <c r="P13" s="2">
        <v>0.8150366</v>
      </c>
      <c r="Q13" s="2" t="str">
        <f>IF(AND(Table1[[#This Row],[Chuffed MZ2 Cost]]=Table1[[#This Row],[ORTools FZN2 Cost]],Table1[[#This Row],[ORTools FZN2 State]]="Optimal",Table1[[#This Row],[Chuffed MZ2 State]]="Suboptimal"),1,"")</f>
        <v/>
      </c>
      <c r="R13" s="5" t="s">
        <v>25</v>
      </c>
      <c r="S13" s="2">
        <v>13281</v>
      </c>
      <c r="T13" s="2">
        <v>9.6999999999999503E-2</v>
      </c>
      <c r="U13" s="2"/>
      <c r="V13" s="5" t="s">
        <v>25</v>
      </c>
      <c r="W13" s="2">
        <v>13281</v>
      </c>
      <c r="X13" s="2">
        <v>0.28373690000000001</v>
      </c>
      <c r="Y13" s="2" t="str">
        <f>IF(AND(Table1[[#This Row],[ORTools FZN1 Cost]]=Table1[[#This Row],[ORTools FZN2 Cost]],Table1[[#This Row],[ORTools FZN2 State]]="Optimal",Table1[[#This Row],[ORTools FZN1 State]]="Suboptimal"),1,"")</f>
        <v/>
      </c>
      <c r="Z13" s="5" t="s">
        <v>25</v>
      </c>
      <c r="AA13" s="2">
        <v>13281</v>
      </c>
      <c r="AB13" s="2">
        <v>0.26814739999999998</v>
      </c>
      <c r="AC13" s="39" t="s">
        <v>25</v>
      </c>
      <c r="AD13" s="39">
        <v>13281</v>
      </c>
      <c r="AE13" s="2">
        <v>0.41718519999999998</v>
      </c>
      <c r="AF13" s="2" t="str">
        <f>IF(AND(Table1[[#This Row],[Cplex MB Cost]]=Table1[[#This Row],[ORTools FZN2 Cost]],Table1[[#This Row],[ORTools FZN2 State]]="Optimal",Table1[[#This Row],[Cplex MB State]]="Suboptimal"),1,"")</f>
        <v/>
      </c>
      <c r="AG13" s="4">
        <f>IF(AND(AC13="Optimal",AD13&lt;&gt;AA13,Table1[[#This Row],[Example]]&lt;&gt;"R001",Table1[[#This Row],[Example]]&lt;&gt;"R002"),AD13-AA13,)</f>
        <v>0</v>
      </c>
      <c r="AH13" s="5" t="s">
        <v>25</v>
      </c>
      <c r="AI13" s="2">
        <v>13281</v>
      </c>
      <c r="AJ13" s="2">
        <v>1.7583964000000001</v>
      </c>
      <c r="AK13" s="2" t="str">
        <f>IF(AND(Table1[[#This Row],[Cplex MD Cost]]=Table1[[#This Row],[ORTools FZN2 Cost]],Table1[[#This Row],[ORTools FZN2 State]]="Optimal",Table1[[#This Row],[Cplex MD State]]="Suboptimal"),1,"")</f>
        <v/>
      </c>
      <c r="AL13" s="4">
        <f>IF(AND(AH13="Optimal",AI13&lt;&gt;AA13,Table1[[#This Row],[Example]]&lt;&gt;"R001",Table1[[#This Row],[Example]]&lt;&gt;"R002"),AI13-AA13,)</f>
        <v>0</v>
      </c>
      <c r="AM13" s="39" t="s">
        <v>25</v>
      </c>
      <c r="AN13" s="39">
        <v>13281</v>
      </c>
      <c r="AO13" s="2">
        <v>0.53959950000000001</v>
      </c>
      <c r="AP1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" s="2" t="str">
        <f>IF(AND(Table1[[#This Row],[Cplex MI Cost]]=Table1[[#This Row],[ORTools FZN2 Cost]],Table1[[#This Row],[ORTools FZN2 State]]="Optimal",Table1[[#This Row],[Cplex MI State]]="Suboptimal"),1,"")</f>
        <v/>
      </c>
      <c r="AR13" s="12" t="s">
        <v>26</v>
      </c>
      <c r="AS13" s="12">
        <v>13281</v>
      </c>
      <c r="AT13" s="12">
        <v>4.4110961</v>
      </c>
      <c r="AU13" s="12">
        <f>IF(AND(Table1[[#This Row],[Z3 SMT2-1 Maxres Cost]]=Table1[[#This Row],[ORTools FZN2 Cost]],Table1[[#This Row],[ORTools FZN2 State]]="Optimal"),1,"")</f>
        <v>1</v>
      </c>
      <c r="AV13" s="12" t="s">
        <v>26</v>
      </c>
      <c r="AW13" s="12">
        <v>13281</v>
      </c>
      <c r="AX13" s="12">
        <v>4.4215264999999997</v>
      </c>
      <c r="AY13" s="12">
        <f>IF(AND(Table1[[#This Row],[Z3 SMT2-1 PdMaxres Cost]]=Table1[[#This Row],[ORTools FZN2 Cost]],Table1[[#This Row],[ORTools FZN2 State]]="Optimal"),1,"")</f>
        <v>1</v>
      </c>
      <c r="AZ13" s="12" t="s">
        <v>26</v>
      </c>
      <c r="BA13" s="12">
        <v>13281</v>
      </c>
      <c r="BB13" s="12">
        <v>4.4604625000000002</v>
      </c>
      <c r="BC13" s="12">
        <f>IF(AND(Table1[[#This Row],[Z3 SMT2-1 WMax Cost]]=Table1[[#This Row],[ORTools FZN2 Cost]],Table1[[#This Row],[ORTools FZN2 State]]="Optimal"),1,"")</f>
        <v>1</v>
      </c>
      <c r="BD13" s="12" t="s">
        <v>26</v>
      </c>
      <c r="BE13" s="12">
        <v>13281</v>
      </c>
      <c r="BF13" s="12">
        <v>3.4773553000000001</v>
      </c>
      <c r="BG13" s="12">
        <f>IF(AND(Table1[[#This Row],[Z3 SMT2-2 Maxres Cost]]=Table1[[#This Row],[ORTools FZN2 Cost]],Table1[[#This Row],[ORTools FZN2 State]]="Optimal"),1,"")</f>
        <v>1</v>
      </c>
      <c r="BH13" s="12" t="s">
        <v>26</v>
      </c>
      <c r="BI13" s="12">
        <v>13281</v>
      </c>
      <c r="BJ13" s="12">
        <v>3.4714198999999999</v>
      </c>
      <c r="BK13" s="12">
        <f>IF(AND(Table1[[#This Row],[Z3 SMT2-2 PdMaxres Cost]]=Table1[[#This Row],[ORTools FZN2 Cost]],Table1[[#This Row],[ORTools FZN2 State]]="Optimal"),1,"")</f>
        <v>1</v>
      </c>
      <c r="BL13" s="12" t="s">
        <v>26</v>
      </c>
      <c r="BM13" s="12">
        <v>13281</v>
      </c>
      <c r="BN13" s="12">
        <v>3.4506215999999998</v>
      </c>
      <c r="BO13" s="11">
        <f>IF(AND(Table1[[#This Row],[Z3 SMT2-2 PdMaxres Cost]]=Table1[[#This Row],[ORTools FZN2 Cost]],Table1[[#This Row],[ORTools FZN2 State]]="Optimal"),1,"")</f>
        <v>1</v>
      </c>
      <c r="BP13" s="5" t="s">
        <v>25</v>
      </c>
      <c r="BQ13" s="2">
        <v>13281</v>
      </c>
      <c r="BR13" s="2">
        <v>1.0532522</v>
      </c>
      <c r="BS13" s="2" t="str">
        <f>IF(AND(Table1[[#This Row],[Gurobi MB Cost]]=Table1[[#This Row],[ORTools FZN2 Cost]],Table1[[#This Row],[ORTools FZN2 State]]="Optimal",Table1[[#This Row],[Gurobi MB State]]="Suboptimal"),1,"")</f>
        <v/>
      </c>
      <c r="BT1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" s="5" t="s">
        <v>25</v>
      </c>
      <c r="BV13" s="2">
        <v>13281</v>
      </c>
      <c r="BW13" s="2">
        <v>3.7168193999999999</v>
      </c>
      <c r="BX13" s="2" t="str">
        <f>IF(AND(Table1[[#This Row],[Gurobi MD Cost]]=Table1[[#This Row],[ORTools FZN2 Cost]],Table1[[#This Row],[ORTools FZN2 State]]="Optimal",Table1[[#This Row],[Gurobi MD State]]="Suboptimal"),1,"")</f>
        <v/>
      </c>
      <c r="BY1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" s="5" t="s">
        <v>25</v>
      </c>
      <c r="CA13" s="2">
        <v>13281</v>
      </c>
      <c r="CB13" s="2">
        <v>1.0143660999999999</v>
      </c>
      <c r="CC13" s="2" t="str">
        <f>IF(AND(Table1[[#This Row],[Gurobi MI Cost]]=Table1[[#This Row],[ORTools FZN2 Cost]],Table1[[#This Row],[ORTools FZN2 State]]="Optimal",Table1[[#This Row],[Gurobi MI State]]="Suboptimal"),1,"")</f>
        <v/>
      </c>
      <c r="CD1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" s="39" t="s">
        <v>42</v>
      </c>
      <c r="CF13" s="2">
        <v>-4369</v>
      </c>
      <c r="CG13" s="39">
        <v>305.83059930000002</v>
      </c>
      <c r="CH13" s="39" t="s">
        <v>42</v>
      </c>
      <c r="CI13" s="39">
        <v>-4369</v>
      </c>
      <c r="CJ13" s="2">
        <v>306.07553660000002</v>
      </c>
      <c r="CK13" s="5" t="s">
        <v>25</v>
      </c>
      <c r="CL13" s="2">
        <v>13281</v>
      </c>
      <c r="CM13" s="2">
        <v>0.13500000000000201</v>
      </c>
      <c r="CN13" s="5" t="s">
        <v>25</v>
      </c>
      <c r="CO13" s="2">
        <v>13281</v>
      </c>
      <c r="CP13" s="2">
        <v>0.71601519999999996</v>
      </c>
      <c r="CQ13" s="5" t="s">
        <v>25</v>
      </c>
      <c r="CR13" s="2">
        <v>13281</v>
      </c>
      <c r="CS13" s="2">
        <v>0.55515539999999997</v>
      </c>
      <c r="CT13" s="6" t="s">
        <v>25</v>
      </c>
      <c r="CU13" s="4">
        <v>13281</v>
      </c>
      <c r="CV13" s="4">
        <v>0.51464480000000001</v>
      </c>
      <c r="CW13" s="39" t="s">
        <v>25</v>
      </c>
      <c r="CX13" s="39">
        <v>13281</v>
      </c>
      <c r="CY13" s="2">
        <v>0.78159999999999996</v>
      </c>
      <c r="CZ13" s="2" t="str">
        <f>IF(AND(Table1[[#This Row],[Cplex MZ1 Cost]]=Table1[[#This Row],[ORTools FZN2 Cost]],Table1[[#This Row],[ORTools FZN2 State]]="Optimal",Table1[[#This Row],[Cplex MZ1 State]]="Suboptimal"),1,"")</f>
        <v/>
      </c>
      <c r="DA13" s="5" t="s">
        <v>25</v>
      </c>
      <c r="DB13" s="2">
        <v>13281</v>
      </c>
      <c r="DC13" s="2">
        <v>0.748</v>
      </c>
      <c r="DD13" s="2" t="str">
        <f>IF(AND(Table1[[#This Row],[Cplex MZ2 Cost]]=Table1[[#This Row],[ORTools FZN2 Cost]],Table1[[#This Row],[ORTools FZN2 State]]="Optimal",Table1[[#This Row],[Cplex MZ2 State]]="Suboptimal"),1,"")</f>
        <v/>
      </c>
      <c r="DE13" s="39" t="s">
        <v>25</v>
      </c>
      <c r="DF13" s="39">
        <v>13281</v>
      </c>
      <c r="DG13" s="2">
        <v>1.3728</v>
      </c>
      <c r="DH13" s="2" t="str">
        <f>IF(AND(Table1[[#This Row],[Gurobi MZ1 Cost]]=Table1[[#This Row],[ORTools FZN2 Cost]],Table1[[#This Row],[ORTools FZN2 State]]="Optimal",Table1[[#This Row],[Gurobi MZ1 State]]="Suboptimal"),1,"")</f>
        <v/>
      </c>
      <c r="DI13" s="5" t="s">
        <v>25</v>
      </c>
      <c r="DJ13" s="2">
        <v>13281</v>
      </c>
      <c r="DK13" s="2">
        <v>1.2782</v>
      </c>
      <c r="DL13" s="4" t="str">
        <f>IF(AND(Table1[[#This Row],[Gurobi MZ2 Cost]]=Table1[[#This Row],[ORTools FZN2 Cost]],Table1[[#This Row],[ORTools FZN2 State]]="Optimal",Table1[[#This Row],[Gurobi MZ2 State]]="Suboptimal"),1,"")</f>
        <v/>
      </c>
      <c r="DM13" s="39" t="s">
        <v>25</v>
      </c>
      <c r="DN13" s="39">
        <v>13281</v>
      </c>
      <c r="DO13" s="65">
        <v>1.0309999999999999</v>
      </c>
      <c r="DP13" s="4" t="str">
        <f>IF(AND(Table1[[#This Row],[Cplex MC nonDual Cost]]=Table1[[#This Row],[ORTools FZN2 Cost]],Table1[[#This Row],[ORTools FZN2 State]]="Optimal",Table1[[#This Row],[Cplex MC nonDual State]]="Suboptimal"),1,"")</f>
        <v/>
      </c>
      <c r="DQ13" s="5" t="s">
        <v>25</v>
      </c>
      <c r="DR13" s="2">
        <v>13281</v>
      </c>
      <c r="DS13" s="2">
        <v>0.61299999999999999</v>
      </c>
      <c r="DT13" s="2" t="str">
        <f>IF(AND(Table1[[#This Row],[Cplex MIP DM''z Cost]]=Table1[[#This Row],[ORTools FZN2 Cost]],Table1[[#This Row],[ORTools FZN2 State]]="Optimal",Table1[[#This Row],[Cplex MIP DM''z  State]]="Suboptimal"),1,"")</f>
        <v/>
      </c>
      <c r="DU1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" s="5" t="s">
        <v>25</v>
      </c>
      <c r="DW13" s="2">
        <v>13281</v>
      </c>
      <c r="DX13" s="2">
        <v>1.2403999999999999</v>
      </c>
      <c r="DY13" s="4" t="str">
        <f>IF(AND(Table1[[#This Row],[Gurobi DM''z  Cost]]=Table1[[#This Row],[ORTools FZN2 Cost]],Table1[[#This Row],[ORTools FZN2 State]]="Optimal",Table1[[#This Row],[Gurobi DM''z  State]]="Suboptimal"),1,"")</f>
        <v/>
      </c>
      <c r="DZ1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" spans="1:130" ht="15.75" x14ac:dyDescent="0.25">
      <c r="A14" s="46" t="s">
        <v>37</v>
      </c>
      <c r="B14" s="5">
        <v>2</v>
      </c>
      <c r="C14" s="2">
        <v>1</v>
      </c>
      <c r="D14" s="5">
        <v>0</v>
      </c>
      <c r="E14" s="3">
        <v>0</v>
      </c>
      <c r="F14" s="34">
        <v>0</v>
      </c>
      <c r="G14" s="3">
        <v>1</v>
      </c>
      <c r="H14" s="4">
        <f t="shared" si="0"/>
        <v>0</v>
      </c>
      <c r="I14" s="4">
        <f>Table1[[#This Row],[B]]+Table1[[#This Row],[Atomic Constraints]]+Table1[[#This Row],[Soft Atomic Constraints]]+Table1[[#This Row],[Disjunctive Constraints]]+Table1[[#This Row],[Direct Successors]]</f>
        <v>2</v>
      </c>
      <c r="J14" s="5" t="s">
        <v>25</v>
      </c>
      <c r="K14" s="2">
        <v>0</v>
      </c>
      <c r="L14" s="2">
        <v>0.55700090000000002</v>
      </c>
      <c r="M14" s="2" t="str">
        <f>IF(AND(Table1[[#This Row],[Chuffed MZ1 Cost]]=Table1[[#This Row],[ORTools FZN2 Cost]],Table1[[#This Row],[ORTools FZN2 State]]="Optimal",Table1[[#This Row],[Chuffed MZ1 State]]="Suboptimal"),1,"")</f>
        <v/>
      </c>
      <c r="N14" s="5" t="s">
        <v>25</v>
      </c>
      <c r="O14" s="2">
        <v>0</v>
      </c>
      <c r="P14" s="2">
        <v>0.53901270000000001</v>
      </c>
      <c r="Q14" s="2" t="str">
        <f>IF(AND(Table1[[#This Row],[Chuffed MZ2 Cost]]=Table1[[#This Row],[ORTools FZN2 Cost]],Table1[[#This Row],[ORTools FZN2 State]]="Optimal",Table1[[#This Row],[Chuffed MZ2 State]]="Suboptimal"),1,"")</f>
        <v/>
      </c>
      <c r="R14" s="6" t="s">
        <v>25</v>
      </c>
      <c r="S14" s="4">
        <v>0</v>
      </c>
      <c r="T14" s="4">
        <v>3.49999999999984E-2</v>
      </c>
      <c r="U14" s="4"/>
      <c r="V14" s="5" t="s">
        <v>25</v>
      </c>
      <c r="W14" s="2">
        <v>0</v>
      </c>
      <c r="X14" s="2">
        <v>4.40539E-2</v>
      </c>
      <c r="Y14" s="2" t="str">
        <f>IF(AND(Table1[[#This Row],[ORTools FZN1 Cost]]=Table1[[#This Row],[ORTools FZN2 Cost]],Table1[[#This Row],[ORTools FZN2 State]]="Optimal",Table1[[#This Row],[ORTools FZN1 State]]="Suboptimal"),1,"")</f>
        <v/>
      </c>
      <c r="Z14" s="5" t="s">
        <v>25</v>
      </c>
      <c r="AA14" s="2">
        <v>0</v>
      </c>
      <c r="AB14" s="2">
        <v>4.9426699999999997E-2</v>
      </c>
      <c r="AC14" s="39" t="s">
        <v>25</v>
      </c>
      <c r="AD14" s="39">
        <v>0</v>
      </c>
      <c r="AE14" s="2">
        <v>5.5501999999999999E-3</v>
      </c>
      <c r="AF14" s="2" t="str">
        <f>IF(AND(Table1[[#This Row],[Cplex MB Cost]]=Table1[[#This Row],[ORTools FZN2 Cost]],Table1[[#This Row],[ORTools FZN2 State]]="Optimal",Table1[[#This Row],[Cplex MB State]]="Suboptimal"),1,"")</f>
        <v/>
      </c>
      <c r="AG14" s="4">
        <f>IF(AND(AC14="Optimal",AD14&lt;&gt;AA14,Table1[[#This Row],[Example]]&lt;&gt;"R001",Table1[[#This Row],[Example]]&lt;&gt;"R002"),AD14-AA14,)</f>
        <v>0</v>
      </c>
      <c r="AH14" s="5" t="s">
        <v>25</v>
      </c>
      <c r="AI14" s="2">
        <v>0</v>
      </c>
      <c r="AJ14" s="2">
        <v>1.64604E-2</v>
      </c>
      <c r="AK14" s="2" t="str">
        <f>IF(AND(Table1[[#This Row],[Cplex MD Cost]]=Table1[[#This Row],[ORTools FZN2 Cost]],Table1[[#This Row],[ORTools FZN2 State]]="Optimal",Table1[[#This Row],[Cplex MD State]]="Suboptimal"),1,"")</f>
        <v/>
      </c>
      <c r="AL14" s="4">
        <f>IF(AND(AH14="Optimal",AI14&lt;&gt;AA14,Table1[[#This Row],[Example]]&lt;&gt;"R001",Table1[[#This Row],[Example]]&lt;&gt;"R002"),AI14-AA14,)</f>
        <v>0</v>
      </c>
      <c r="AM14" s="39" t="s">
        <v>25</v>
      </c>
      <c r="AN14" s="39">
        <v>0</v>
      </c>
      <c r="AO14" s="2">
        <v>1.17234E-2</v>
      </c>
      <c r="AP1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" s="4" t="str">
        <f>IF(AND(Table1[[#This Row],[Cplex MI Cost]]=Table1[[#This Row],[ORTools FZN2 Cost]],Table1[[#This Row],[ORTools FZN2 State]]="Optimal",Table1[[#This Row],[Cplex MI State]]="Suboptimal"),1,"")</f>
        <v/>
      </c>
      <c r="AR14" s="12" t="s">
        <v>26</v>
      </c>
      <c r="AS14" s="12">
        <v>0</v>
      </c>
      <c r="AT14" s="12">
        <v>6.4256400000000005E-2</v>
      </c>
      <c r="AU14" s="12">
        <f>IF(AND(Table1[[#This Row],[Z3 SMT2-1 Maxres Cost]]=Table1[[#This Row],[ORTools FZN2 Cost]],Table1[[#This Row],[ORTools FZN2 State]]="Optimal"),1,"")</f>
        <v>1</v>
      </c>
      <c r="AV14" s="12" t="s">
        <v>26</v>
      </c>
      <c r="AW14" s="12">
        <v>0</v>
      </c>
      <c r="AX14" s="12">
        <v>7.4320600000000001E-2</v>
      </c>
      <c r="AY14" s="12">
        <f>IF(AND(Table1[[#This Row],[Z3 SMT2-1 PdMaxres Cost]]=Table1[[#This Row],[ORTools FZN2 Cost]],Table1[[#This Row],[ORTools FZN2 State]]="Optimal"),1,"")</f>
        <v>1</v>
      </c>
      <c r="AZ14" s="12" t="s">
        <v>26</v>
      </c>
      <c r="BA14" s="12">
        <v>0</v>
      </c>
      <c r="BB14" s="12">
        <v>5.9503100000000003E-2</v>
      </c>
      <c r="BC14" s="12">
        <f>IF(AND(Table1[[#This Row],[Z3 SMT2-1 WMax Cost]]=Table1[[#This Row],[ORTools FZN2 Cost]],Table1[[#This Row],[ORTools FZN2 State]]="Optimal"),1,"")</f>
        <v>1</v>
      </c>
      <c r="BD14" s="12" t="s">
        <v>26</v>
      </c>
      <c r="BE14" s="12">
        <v>0</v>
      </c>
      <c r="BF14" s="12">
        <v>5.9531899999999999E-2</v>
      </c>
      <c r="BG14" s="12">
        <f>IF(AND(Table1[[#This Row],[Z3 SMT2-2 Maxres Cost]]=Table1[[#This Row],[ORTools FZN2 Cost]],Table1[[#This Row],[ORTools FZN2 State]]="Optimal"),1,"")</f>
        <v>1</v>
      </c>
      <c r="BH14" s="12" t="s">
        <v>26</v>
      </c>
      <c r="BI14" s="12">
        <v>0</v>
      </c>
      <c r="BJ14" s="12">
        <v>6.7927000000000001E-2</v>
      </c>
      <c r="BK14" s="12">
        <f>IF(AND(Table1[[#This Row],[Z3 SMT2-2 PdMaxres Cost]]=Table1[[#This Row],[ORTools FZN2 Cost]],Table1[[#This Row],[ORTools FZN2 State]]="Optimal"),1,"")</f>
        <v>1</v>
      </c>
      <c r="BL14" s="12" t="s">
        <v>26</v>
      </c>
      <c r="BM14" s="12">
        <v>0</v>
      </c>
      <c r="BN14" s="12">
        <v>6.0391800000000002E-2</v>
      </c>
      <c r="BO14" s="11">
        <f>IF(AND(Table1[[#This Row],[Z3 SMT2-2 PdMaxres Cost]]=Table1[[#This Row],[ORTools FZN2 Cost]],Table1[[#This Row],[ORTools FZN2 State]]="Optimal"),1,"")</f>
        <v>1</v>
      </c>
      <c r="BP14" s="5" t="s">
        <v>25</v>
      </c>
      <c r="BQ14" s="2">
        <v>0</v>
      </c>
      <c r="BR14" s="2">
        <v>2.0084999999999999E-3</v>
      </c>
      <c r="BS14" s="2" t="str">
        <f>IF(AND(Table1[[#This Row],[Gurobi MB Cost]]=Table1[[#This Row],[ORTools FZN2 Cost]],Table1[[#This Row],[ORTools FZN2 State]]="Optimal",Table1[[#This Row],[Gurobi MB State]]="Suboptimal"),1,"")</f>
        <v/>
      </c>
      <c r="BT1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" s="5" t="s">
        <v>25</v>
      </c>
      <c r="BV14" s="2">
        <v>0</v>
      </c>
      <c r="BW14" s="2">
        <v>1.8477299999999999E-2</v>
      </c>
      <c r="BX14" s="2" t="str">
        <f>IF(AND(Table1[[#This Row],[Gurobi MD Cost]]=Table1[[#This Row],[ORTools FZN2 Cost]],Table1[[#This Row],[ORTools FZN2 State]]="Optimal",Table1[[#This Row],[Gurobi MD State]]="Suboptimal"),1,"")</f>
        <v/>
      </c>
      <c r="BY1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" s="5" t="s">
        <v>25</v>
      </c>
      <c r="CA14" s="2">
        <v>0</v>
      </c>
      <c r="CB14" s="2">
        <v>2.9093999999999999E-3</v>
      </c>
      <c r="CC14" s="2" t="str">
        <f>IF(AND(Table1[[#This Row],[Gurobi MI Cost]]=Table1[[#This Row],[ORTools FZN2 Cost]],Table1[[#This Row],[ORTools FZN2 State]]="Optimal",Table1[[#This Row],[Gurobi MI State]]="Suboptimal"),1,"")</f>
        <v/>
      </c>
      <c r="CD1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" s="39" t="s">
        <v>25</v>
      </c>
      <c r="CF14" s="2">
        <v>0</v>
      </c>
      <c r="CG14" s="39">
        <v>5.0677696000000001</v>
      </c>
      <c r="CH14" s="39" t="s">
        <v>25</v>
      </c>
      <c r="CI14" s="39">
        <v>0</v>
      </c>
      <c r="CJ14" s="2">
        <v>5.1037483000000003</v>
      </c>
      <c r="CK14" s="5" t="s">
        <v>25</v>
      </c>
      <c r="CL14" s="2">
        <v>0</v>
      </c>
      <c r="CM14" s="2">
        <v>3.6999999999998999E-2</v>
      </c>
      <c r="CN14" s="5" t="s">
        <v>25</v>
      </c>
      <c r="CO14" s="2">
        <v>0</v>
      </c>
      <c r="CP14" s="2">
        <v>0.53423039999999999</v>
      </c>
      <c r="CQ14" s="5" t="s">
        <v>25</v>
      </c>
      <c r="CR14" s="2">
        <v>0</v>
      </c>
      <c r="CS14" s="2">
        <v>4.3359599999999998E-2</v>
      </c>
      <c r="CT14" s="6" t="s">
        <v>25</v>
      </c>
      <c r="CU14" s="4">
        <v>0</v>
      </c>
      <c r="CV14" s="4">
        <v>4.2278400000000001E-2</v>
      </c>
      <c r="CW14" s="39" t="s">
        <v>25</v>
      </c>
      <c r="CX14" s="39">
        <v>0</v>
      </c>
      <c r="CY14" s="2">
        <v>1.6000000000000001E-3</v>
      </c>
      <c r="CZ14" s="2" t="str">
        <f>IF(AND(Table1[[#This Row],[Cplex MZ1 Cost]]=Table1[[#This Row],[ORTools FZN2 Cost]],Table1[[#This Row],[ORTools FZN2 State]]="Optimal",Table1[[#This Row],[Cplex MZ1 State]]="Suboptimal"),1,"")</f>
        <v/>
      </c>
      <c r="DA14" s="5" t="s">
        <v>25</v>
      </c>
      <c r="DB14" s="2">
        <v>0</v>
      </c>
      <c r="DC14" s="2">
        <v>2.5999999999999999E-3</v>
      </c>
      <c r="DD14" s="2" t="str">
        <f>IF(AND(Table1[[#This Row],[Cplex MZ2 Cost]]=Table1[[#This Row],[ORTools FZN2 Cost]],Table1[[#This Row],[ORTools FZN2 State]]="Optimal",Table1[[#This Row],[Cplex MZ2 State]]="Suboptimal"),1,"")</f>
        <v/>
      </c>
      <c r="DE14" s="39" t="s">
        <v>25</v>
      </c>
      <c r="DF14" s="39">
        <v>0</v>
      </c>
      <c r="DG14" s="2">
        <v>5.0000000000000001E-4</v>
      </c>
      <c r="DH14" s="2" t="str">
        <f>IF(AND(Table1[[#This Row],[Gurobi MZ1 Cost]]=Table1[[#This Row],[ORTools FZN2 Cost]],Table1[[#This Row],[ORTools FZN2 State]]="Optimal",Table1[[#This Row],[Gurobi MZ1 State]]="Suboptimal"),1,"")</f>
        <v/>
      </c>
      <c r="DI14" s="5" t="s">
        <v>25</v>
      </c>
      <c r="DJ14" s="2">
        <v>0</v>
      </c>
      <c r="DK14" s="2">
        <v>2.8E-3</v>
      </c>
      <c r="DL14" s="4" t="str">
        <f>IF(AND(Table1[[#This Row],[Gurobi MZ2 Cost]]=Table1[[#This Row],[ORTools FZN2 Cost]],Table1[[#This Row],[ORTools FZN2 State]]="Optimal",Table1[[#This Row],[Gurobi MZ2 State]]="Suboptimal"),1,"")</f>
        <v/>
      </c>
      <c r="DM14" s="39" t="s">
        <v>25</v>
      </c>
      <c r="DN14" s="39">
        <v>0</v>
      </c>
      <c r="DO14" s="65">
        <v>0.24399999999997099</v>
      </c>
      <c r="DP14" s="4" t="str">
        <f>IF(AND(Table1[[#This Row],[Cplex MC nonDual Cost]]=Table1[[#This Row],[ORTools FZN2 Cost]],Table1[[#This Row],[ORTools FZN2 State]]="Optimal",Table1[[#This Row],[Cplex MC nonDual State]]="Suboptimal"),1,"")</f>
        <v/>
      </c>
      <c r="DQ14" s="5" t="s">
        <v>25</v>
      </c>
      <c r="DR14" s="2">
        <v>0</v>
      </c>
      <c r="DS14" s="2">
        <v>3.0000000000000001E-3</v>
      </c>
      <c r="DT14" s="2" t="str">
        <f>IF(AND(Table1[[#This Row],[Cplex MIP DM''z Cost]]=Table1[[#This Row],[ORTools FZN2 Cost]],Table1[[#This Row],[ORTools FZN2 State]]="Optimal",Table1[[#This Row],[Cplex MIP DM''z  State]]="Suboptimal"),1,"")</f>
        <v/>
      </c>
      <c r="DU1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" s="5" t="s">
        <v>25</v>
      </c>
      <c r="DW14" s="2">
        <v>0</v>
      </c>
      <c r="DX14" s="2">
        <v>3.0999999999999999E-3</v>
      </c>
      <c r="DY14" s="4" t="str">
        <f>IF(AND(Table1[[#This Row],[Gurobi DM''z  Cost]]=Table1[[#This Row],[ORTools FZN2 Cost]],Table1[[#This Row],[ORTools FZN2 State]]="Optimal",Table1[[#This Row],[Gurobi DM''z  State]]="Suboptimal"),1,"")</f>
        <v/>
      </c>
      <c r="DZ1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" spans="1:130" ht="15.75" x14ac:dyDescent="0.25">
      <c r="A15" s="46" t="s">
        <v>38</v>
      </c>
      <c r="B15" s="5">
        <v>4</v>
      </c>
      <c r="C15" s="2">
        <v>2</v>
      </c>
      <c r="D15" s="5">
        <v>0</v>
      </c>
      <c r="E15" s="3">
        <v>2</v>
      </c>
      <c r="F15" s="34">
        <v>0</v>
      </c>
      <c r="G15" s="3">
        <v>2</v>
      </c>
      <c r="H15" s="4">
        <f t="shared" si="0"/>
        <v>0</v>
      </c>
      <c r="I15" s="4">
        <f>Table1[[#This Row],[B]]+Table1[[#This Row],[Atomic Constraints]]+Table1[[#This Row],[Soft Atomic Constraints]]+Table1[[#This Row],[Disjunctive Constraints]]+Table1[[#This Row],[Direct Successors]]</f>
        <v>6</v>
      </c>
      <c r="J15" s="5" t="s">
        <v>25</v>
      </c>
      <c r="K15" s="2">
        <v>0</v>
      </c>
      <c r="L15" s="2">
        <v>0.55589350000000004</v>
      </c>
      <c r="M15" s="2" t="str">
        <f>IF(AND(Table1[[#This Row],[Chuffed MZ1 Cost]]=Table1[[#This Row],[ORTools FZN2 Cost]],Table1[[#This Row],[ORTools FZN2 State]]="Optimal",Table1[[#This Row],[Chuffed MZ1 State]]="Suboptimal"),1,"")</f>
        <v/>
      </c>
      <c r="N15" s="5" t="s">
        <v>25</v>
      </c>
      <c r="O15" s="2">
        <v>0</v>
      </c>
      <c r="P15" s="2">
        <v>0.55597949999999996</v>
      </c>
      <c r="Q15" s="2" t="str">
        <f>IF(AND(Table1[[#This Row],[Chuffed MZ2 Cost]]=Table1[[#This Row],[ORTools FZN2 Cost]],Table1[[#This Row],[ORTools FZN2 State]]="Optimal",Table1[[#This Row],[Chuffed MZ2 State]]="Suboptimal"),1,"")</f>
        <v/>
      </c>
      <c r="R15" s="5" t="s">
        <v>25</v>
      </c>
      <c r="S15" s="2">
        <v>0</v>
      </c>
      <c r="T15" s="2">
        <v>3.7000000000000803E-2</v>
      </c>
      <c r="U15" s="2"/>
      <c r="V15" s="5" t="s">
        <v>25</v>
      </c>
      <c r="W15" s="2">
        <v>0</v>
      </c>
      <c r="X15" s="2">
        <v>7.7232899999999993E-2</v>
      </c>
      <c r="Y15" s="2" t="str">
        <f>IF(AND(Table1[[#This Row],[ORTools FZN1 Cost]]=Table1[[#This Row],[ORTools FZN2 Cost]],Table1[[#This Row],[ORTools FZN2 State]]="Optimal",Table1[[#This Row],[ORTools FZN1 State]]="Suboptimal"),1,"")</f>
        <v/>
      </c>
      <c r="Z15" s="5" t="s">
        <v>25</v>
      </c>
      <c r="AA15" s="2">
        <v>0</v>
      </c>
      <c r="AB15" s="2">
        <v>6.3718999999999998E-2</v>
      </c>
      <c r="AC15" s="39" t="s">
        <v>25</v>
      </c>
      <c r="AD15" s="39">
        <v>0</v>
      </c>
      <c r="AE15" s="2">
        <v>8.0774000000000002E-3</v>
      </c>
      <c r="AF15" s="2" t="str">
        <f>IF(AND(Table1[[#This Row],[Cplex MB Cost]]=Table1[[#This Row],[ORTools FZN2 Cost]],Table1[[#This Row],[ORTools FZN2 State]]="Optimal",Table1[[#This Row],[Cplex MB State]]="Suboptimal"),1,"")</f>
        <v/>
      </c>
      <c r="AG15" s="4">
        <f>IF(AND(AC15="Optimal",AD15&lt;&gt;AA15,Table1[[#This Row],[Example]]&lt;&gt;"R001",Table1[[#This Row],[Example]]&lt;&gt;"R002"),AD15-AA15,)</f>
        <v>0</v>
      </c>
      <c r="AH15" s="5" t="s">
        <v>25</v>
      </c>
      <c r="AI15" s="2">
        <v>0</v>
      </c>
      <c r="AJ15" s="2">
        <v>5.5103699999999999E-2</v>
      </c>
      <c r="AK15" s="2" t="str">
        <f>IF(AND(Table1[[#This Row],[Cplex MD Cost]]=Table1[[#This Row],[ORTools FZN2 Cost]],Table1[[#This Row],[ORTools FZN2 State]]="Optimal",Table1[[#This Row],[Cplex MD State]]="Suboptimal"),1,"")</f>
        <v/>
      </c>
      <c r="AL15" s="4">
        <f>IF(AND(AH15="Optimal",AI15&lt;&gt;AA15,Table1[[#This Row],[Example]]&lt;&gt;"R001",Table1[[#This Row],[Example]]&lt;&gt;"R002"),AI15-AA15,)</f>
        <v>0</v>
      </c>
      <c r="AM15" s="39" t="s">
        <v>25</v>
      </c>
      <c r="AN15" s="39">
        <v>0</v>
      </c>
      <c r="AO15" s="2">
        <v>3.79501E-2</v>
      </c>
      <c r="AP1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" s="2" t="str">
        <f>IF(AND(Table1[[#This Row],[Cplex MI Cost]]=Table1[[#This Row],[ORTools FZN2 Cost]],Table1[[#This Row],[ORTools FZN2 State]]="Optimal",Table1[[#This Row],[Cplex MI State]]="Suboptimal"),1,"")</f>
        <v/>
      </c>
      <c r="AR15" s="12" t="s">
        <v>26</v>
      </c>
      <c r="AS15" s="12">
        <v>0</v>
      </c>
      <c r="AT15" s="12">
        <v>9.4698000000000004E-2</v>
      </c>
      <c r="AU15" s="12">
        <f>IF(AND(Table1[[#This Row],[Z3 SMT2-1 Maxres Cost]]=Table1[[#This Row],[ORTools FZN2 Cost]],Table1[[#This Row],[ORTools FZN2 State]]="Optimal"),1,"")</f>
        <v>1</v>
      </c>
      <c r="AV15" s="12" t="s">
        <v>26</v>
      </c>
      <c r="AW15" s="12">
        <v>0</v>
      </c>
      <c r="AX15" s="12">
        <v>9.9172700000000003E-2</v>
      </c>
      <c r="AY15" s="12">
        <f>IF(AND(Table1[[#This Row],[Z3 SMT2-1 PdMaxres Cost]]=Table1[[#This Row],[ORTools FZN2 Cost]],Table1[[#This Row],[ORTools FZN2 State]]="Optimal"),1,"")</f>
        <v>1</v>
      </c>
      <c r="AZ15" s="12" t="s">
        <v>26</v>
      </c>
      <c r="BA15" s="12">
        <v>0</v>
      </c>
      <c r="BB15" s="12">
        <v>9.3950699999999998E-2</v>
      </c>
      <c r="BC15" s="12">
        <f>IF(AND(Table1[[#This Row],[Z3 SMT2-1 WMax Cost]]=Table1[[#This Row],[ORTools FZN2 Cost]],Table1[[#This Row],[ORTools FZN2 State]]="Optimal"),1,"")</f>
        <v>1</v>
      </c>
      <c r="BD15" s="12" t="s">
        <v>26</v>
      </c>
      <c r="BE15" s="12">
        <v>0</v>
      </c>
      <c r="BF15" s="12">
        <v>8.0497899999999997E-2</v>
      </c>
      <c r="BG15" s="12">
        <f>IF(AND(Table1[[#This Row],[Z3 SMT2-2 Maxres Cost]]=Table1[[#This Row],[ORTools FZN2 Cost]],Table1[[#This Row],[ORTools FZN2 State]]="Optimal"),1,"")</f>
        <v>1</v>
      </c>
      <c r="BH15" s="12" t="s">
        <v>26</v>
      </c>
      <c r="BI15" s="12">
        <v>0</v>
      </c>
      <c r="BJ15" s="12">
        <v>8.8697700000000004E-2</v>
      </c>
      <c r="BK15" s="12">
        <f>IF(AND(Table1[[#This Row],[Z3 SMT2-2 PdMaxres Cost]]=Table1[[#This Row],[ORTools FZN2 Cost]],Table1[[#This Row],[ORTools FZN2 State]]="Optimal"),1,"")</f>
        <v>1</v>
      </c>
      <c r="BL15" s="12" t="s">
        <v>26</v>
      </c>
      <c r="BM15" s="12">
        <v>0</v>
      </c>
      <c r="BN15" s="12">
        <v>0.117691</v>
      </c>
      <c r="BO15" s="11">
        <f>IF(AND(Table1[[#This Row],[Z3 SMT2-2 PdMaxres Cost]]=Table1[[#This Row],[ORTools FZN2 Cost]],Table1[[#This Row],[ORTools FZN2 State]]="Optimal"),1,"")</f>
        <v>1</v>
      </c>
      <c r="BP15" s="5" t="s">
        <v>25</v>
      </c>
      <c r="BQ15" s="2">
        <v>0</v>
      </c>
      <c r="BR15" s="2">
        <v>7.3543000000000002E-3</v>
      </c>
      <c r="BS15" s="2" t="str">
        <f>IF(AND(Table1[[#This Row],[Gurobi MB Cost]]=Table1[[#This Row],[ORTools FZN2 Cost]],Table1[[#This Row],[ORTools FZN2 State]]="Optimal",Table1[[#This Row],[Gurobi MB State]]="Suboptimal"),1,"")</f>
        <v/>
      </c>
      <c r="BT1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" s="5" t="s">
        <v>25</v>
      </c>
      <c r="BV15" s="2">
        <v>0</v>
      </c>
      <c r="BW15" s="2">
        <v>1.51412E-2</v>
      </c>
      <c r="BX15" s="2" t="str">
        <f>IF(AND(Table1[[#This Row],[Gurobi MD Cost]]=Table1[[#This Row],[ORTools FZN2 Cost]],Table1[[#This Row],[ORTools FZN2 State]]="Optimal",Table1[[#This Row],[Gurobi MD State]]="Suboptimal"),1,"")</f>
        <v/>
      </c>
      <c r="BY1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" s="5" t="s">
        <v>25</v>
      </c>
      <c r="CA15" s="2">
        <v>0</v>
      </c>
      <c r="CB15" s="2">
        <v>6.1225000000000003E-3</v>
      </c>
      <c r="CC15" s="2" t="str">
        <f>IF(AND(Table1[[#This Row],[Gurobi MI Cost]]=Table1[[#This Row],[ORTools FZN2 Cost]],Table1[[#This Row],[ORTools FZN2 State]]="Optimal",Table1[[#This Row],[Gurobi MI State]]="Suboptimal"),1,"")</f>
        <v/>
      </c>
      <c r="CD1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" s="39" t="s">
        <v>25</v>
      </c>
      <c r="CF15" s="2">
        <v>0</v>
      </c>
      <c r="CG15" s="39">
        <v>5.1634736999999999</v>
      </c>
      <c r="CH15" s="39" t="s">
        <v>25</v>
      </c>
      <c r="CI15" s="39">
        <v>0</v>
      </c>
      <c r="CJ15" s="2">
        <v>5.1021289000000003</v>
      </c>
      <c r="CK15" s="5" t="s">
        <v>25</v>
      </c>
      <c r="CL15" s="2">
        <v>0</v>
      </c>
      <c r="CM15" s="2">
        <v>3.8000000000000297E-2</v>
      </c>
      <c r="CN15" s="5" t="s">
        <v>25</v>
      </c>
      <c r="CO15" s="2">
        <v>0</v>
      </c>
      <c r="CP15" s="2">
        <v>0.55419750000000001</v>
      </c>
      <c r="CQ15" s="5" t="s">
        <v>25</v>
      </c>
      <c r="CR15" s="2">
        <v>0</v>
      </c>
      <c r="CS15" s="2">
        <v>6.6379300000000002E-2</v>
      </c>
      <c r="CT15" s="6" t="s">
        <v>25</v>
      </c>
      <c r="CU15" s="4">
        <v>0</v>
      </c>
      <c r="CV15" s="4">
        <v>6.7712800000000004E-2</v>
      </c>
      <c r="CW15" s="39" t="s">
        <v>25</v>
      </c>
      <c r="CX15" s="39">
        <v>0</v>
      </c>
      <c r="CY15" s="2">
        <v>3.1699999999999999E-2</v>
      </c>
      <c r="CZ15" s="2" t="str">
        <f>IF(AND(Table1[[#This Row],[Cplex MZ1 Cost]]=Table1[[#This Row],[ORTools FZN2 Cost]],Table1[[#This Row],[ORTools FZN2 State]]="Optimal",Table1[[#This Row],[Cplex MZ1 State]]="Suboptimal"),1,"")</f>
        <v/>
      </c>
      <c r="DA15" s="5" t="s">
        <v>25</v>
      </c>
      <c r="DB15" s="2">
        <v>0</v>
      </c>
      <c r="DC15" s="2">
        <v>2.2100000000000002E-2</v>
      </c>
      <c r="DD15" s="2" t="str">
        <f>IF(AND(Table1[[#This Row],[Cplex MZ2 Cost]]=Table1[[#This Row],[ORTools FZN2 Cost]],Table1[[#This Row],[ORTools FZN2 State]]="Optimal",Table1[[#This Row],[Cplex MZ2 State]]="Suboptimal"),1,"")</f>
        <v/>
      </c>
      <c r="DE15" s="39" t="s">
        <v>25</v>
      </c>
      <c r="DF15" s="39">
        <v>0</v>
      </c>
      <c r="DG15" s="2">
        <v>1.1299999999999999E-2</v>
      </c>
      <c r="DH15" s="2" t="str">
        <f>IF(AND(Table1[[#This Row],[Gurobi MZ1 Cost]]=Table1[[#This Row],[ORTools FZN2 Cost]],Table1[[#This Row],[ORTools FZN2 State]]="Optimal",Table1[[#This Row],[Gurobi MZ1 State]]="Suboptimal"),1,"")</f>
        <v/>
      </c>
      <c r="DI15" s="5" t="s">
        <v>25</v>
      </c>
      <c r="DJ15" s="2">
        <v>0</v>
      </c>
      <c r="DK15" s="2">
        <v>1.7899999999999999E-2</v>
      </c>
      <c r="DL15" s="4" t="str">
        <f>IF(AND(Table1[[#This Row],[Gurobi MZ2 Cost]]=Table1[[#This Row],[ORTools FZN2 Cost]],Table1[[#This Row],[ORTools FZN2 State]]="Optimal",Table1[[#This Row],[Gurobi MZ2 State]]="Suboptimal"),1,"")</f>
        <v/>
      </c>
      <c r="DM15" s="39" t="s">
        <v>25</v>
      </c>
      <c r="DN15" s="39">
        <v>0</v>
      </c>
      <c r="DO15" s="65">
        <v>0.11700000000001801</v>
      </c>
      <c r="DP15" s="4" t="str">
        <f>IF(AND(Table1[[#This Row],[Cplex MC nonDual Cost]]=Table1[[#This Row],[ORTools FZN2 Cost]],Table1[[#This Row],[ORTools FZN2 State]]="Optimal",Table1[[#This Row],[Cplex MC nonDual State]]="Suboptimal"),1,"")</f>
        <v/>
      </c>
      <c r="DQ15" s="5" t="s">
        <v>25</v>
      </c>
      <c r="DR15" s="2">
        <v>0</v>
      </c>
      <c r="DS15" s="2">
        <v>2.5999999999999999E-2</v>
      </c>
      <c r="DT15" s="2" t="str">
        <f>IF(AND(Table1[[#This Row],[Cplex MIP DM''z Cost]]=Table1[[#This Row],[ORTools FZN2 Cost]],Table1[[#This Row],[ORTools FZN2 State]]="Optimal",Table1[[#This Row],[Cplex MIP DM''z  State]]="Suboptimal"),1,"")</f>
        <v/>
      </c>
      <c r="DU1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" s="5" t="s">
        <v>25</v>
      </c>
      <c r="DW15" s="2">
        <v>0</v>
      </c>
      <c r="DX15" s="2">
        <v>1.1900000000000001E-2</v>
      </c>
      <c r="DY15" s="4" t="str">
        <f>IF(AND(Table1[[#This Row],[Gurobi DM''z  Cost]]=Table1[[#This Row],[ORTools FZN2 Cost]],Table1[[#This Row],[ORTools FZN2 State]]="Optimal",Table1[[#This Row],[Gurobi DM''z  State]]="Suboptimal"),1,"")</f>
        <v/>
      </c>
      <c r="DZ1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" spans="1:130" ht="15.75" x14ac:dyDescent="0.25">
      <c r="A16" s="46" t="s">
        <v>39</v>
      </c>
      <c r="B16" s="5">
        <v>16</v>
      </c>
      <c r="C16" s="2">
        <v>8</v>
      </c>
      <c r="D16" s="5">
        <v>22</v>
      </c>
      <c r="E16" s="3">
        <v>10</v>
      </c>
      <c r="F16" s="34">
        <v>12</v>
      </c>
      <c r="G16" s="3">
        <v>8</v>
      </c>
      <c r="H16" s="4">
        <f t="shared" si="0"/>
        <v>0</v>
      </c>
      <c r="I16" s="4">
        <f>Table1[[#This Row],[B]]+Table1[[#This Row],[Atomic Constraints]]+Table1[[#This Row],[Soft Atomic Constraints]]+Table1[[#This Row],[Disjunctive Constraints]]+Table1[[#This Row],[Direct Successors]]</f>
        <v>60</v>
      </c>
      <c r="J16" s="5" t="s">
        <v>25</v>
      </c>
      <c r="K16" s="2">
        <v>0</v>
      </c>
      <c r="L16" s="2">
        <v>0.75551349999999995</v>
      </c>
      <c r="M16" s="2" t="str">
        <f>IF(AND(Table1[[#This Row],[Chuffed MZ1 Cost]]=Table1[[#This Row],[ORTools FZN2 Cost]],Table1[[#This Row],[ORTools FZN2 State]]="Optimal",Table1[[#This Row],[Chuffed MZ1 State]]="Suboptimal"),1,"")</f>
        <v/>
      </c>
      <c r="N16" s="5" t="s">
        <v>25</v>
      </c>
      <c r="O16" s="2">
        <v>0</v>
      </c>
      <c r="P16" s="2">
        <v>0.7380755</v>
      </c>
      <c r="Q16" s="2" t="str">
        <f>IF(AND(Table1[[#This Row],[Chuffed MZ2 Cost]]=Table1[[#This Row],[ORTools FZN2 Cost]],Table1[[#This Row],[ORTools FZN2 State]]="Optimal",Table1[[#This Row],[Chuffed MZ2 State]]="Suboptimal"),1,"")</f>
        <v/>
      </c>
      <c r="R16" s="6" t="s">
        <v>25</v>
      </c>
      <c r="S16" s="4">
        <v>0</v>
      </c>
      <c r="T16" s="4">
        <v>0.108000000000001</v>
      </c>
      <c r="U16" s="4"/>
      <c r="V16" s="5" t="s">
        <v>25</v>
      </c>
      <c r="W16" s="2">
        <v>0</v>
      </c>
      <c r="X16" s="2">
        <v>0.28282390000000002</v>
      </c>
      <c r="Y16" s="2" t="str">
        <f>IF(AND(Table1[[#This Row],[ORTools FZN1 Cost]]=Table1[[#This Row],[ORTools FZN2 Cost]],Table1[[#This Row],[ORTools FZN2 State]]="Optimal",Table1[[#This Row],[ORTools FZN1 State]]="Suboptimal"),1,"")</f>
        <v/>
      </c>
      <c r="Z16" s="5" t="s">
        <v>25</v>
      </c>
      <c r="AA16" s="2">
        <v>0</v>
      </c>
      <c r="AB16" s="2">
        <v>0.28019620000000001</v>
      </c>
      <c r="AC16" s="39" t="s">
        <v>25</v>
      </c>
      <c r="AD16" s="39">
        <v>0</v>
      </c>
      <c r="AE16" s="2">
        <v>0.35161290000000001</v>
      </c>
      <c r="AF16" s="2" t="str">
        <f>IF(AND(Table1[[#This Row],[Cplex MB Cost]]=Table1[[#This Row],[ORTools FZN2 Cost]],Table1[[#This Row],[ORTools FZN2 State]]="Optimal",Table1[[#This Row],[Cplex MB State]]="Suboptimal"),1,"")</f>
        <v/>
      </c>
      <c r="AG16" s="4">
        <f>IF(AND(AC16="Optimal",AD16&lt;&gt;AA16,Table1[[#This Row],[Example]]&lt;&gt;"R001",Table1[[#This Row],[Example]]&lt;&gt;"R002"),AD16-AA16,)</f>
        <v>0</v>
      </c>
      <c r="AH16" s="5" t="s">
        <v>25</v>
      </c>
      <c r="AI16" s="2">
        <v>0</v>
      </c>
      <c r="AJ16" s="2">
        <v>2.0778815000000002</v>
      </c>
      <c r="AK16" s="2" t="str">
        <f>IF(AND(Table1[[#This Row],[Cplex MD Cost]]=Table1[[#This Row],[ORTools FZN2 Cost]],Table1[[#This Row],[ORTools FZN2 State]]="Optimal",Table1[[#This Row],[Cplex MD State]]="Suboptimal"),1,"")</f>
        <v/>
      </c>
      <c r="AL16" s="4">
        <f>IF(AND(AH16="Optimal",AI16&lt;&gt;AA16,Table1[[#This Row],[Example]]&lt;&gt;"R001",Table1[[#This Row],[Example]]&lt;&gt;"R002"),AI16-AA16,)</f>
        <v>0</v>
      </c>
      <c r="AM16" s="39" t="s">
        <v>25</v>
      </c>
      <c r="AN16" s="39">
        <v>0</v>
      </c>
      <c r="AO16" s="2">
        <v>0.29506779999999999</v>
      </c>
      <c r="AP1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" s="4" t="str">
        <f>IF(AND(Table1[[#This Row],[Cplex MI Cost]]=Table1[[#This Row],[ORTools FZN2 Cost]],Table1[[#This Row],[ORTools FZN2 State]]="Optimal",Table1[[#This Row],[Cplex MI State]]="Suboptimal"),1,"")</f>
        <v/>
      </c>
      <c r="AR16" s="12" t="s">
        <v>26</v>
      </c>
      <c r="AS16" s="12">
        <v>0</v>
      </c>
      <c r="AT16" s="12">
        <v>3.3094239999999999</v>
      </c>
      <c r="AU16" s="12">
        <f>IF(AND(Table1[[#This Row],[Z3 SMT2-1 Maxres Cost]]=Table1[[#This Row],[ORTools FZN2 Cost]],Table1[[#This Row],[ORTools FZN2 State]]="Optimal"),1,"")</f>
        <v>1</v>
      </c>
      <c r="AV16" s="12" t="s">
        <v>26</v>
      </c>
      <c r="AW16" s="12">
        <v>0</v>
      </c>
      <c r="AX16" s="12">
        <v>3.3697039000000002</v>
      </c>
      <c r="AY16" s="12">
        <f>IF(AND(Table1[[#This Row],[Z3 SMT2-1 PdMaxres Cost]]=Table1[[#This Row],[ORTools FZN2 Cost]],Table1[[#This Row],[ORTools FZN2 State]]="Optimal"),1,"")</f>
        <v>1</v>
      </c>
      <c r="AZ16" s="12" t="s">
        <v>26</v>
      </c>
      <c r="BA16" s="12">
        <v>0</v>
      </c>
      <c r="BB16" s="12">
        <v>3.3662847999999999</v>
      </c>
      <c r="BC16" s="12">
        <f>IF(AND(Table1[[#This Row],[Z3 SMT2-1 WMax Cost]]=Table1[[#This Row],[ORTools FZN2 Cost]],Table1[[#This Row],[ORTools FZN2 State]]="Optimal"),1,"")</f>
        <v>1</v>
      </c>
      <c r="BD16" s="12" t="s">
        <v>26</v>
      </c>
      <c r="BE16" s="12">
        <v>0</v>
      </c>
      <c r="BF16" s="12">
        <v>2.5961797</v>
      </c>
      <c r="BG16" s="12">
        <f>IF(AND(Table1[[#This Row],[Z3 SMT2-2 Maxres Cost]]=Table1[[#This Row],[ORTools FZN2 Cost]],Table1[[#This Row],[ORTools FZN2 State]]="Optimal"),1,"")</f>
        <v>1</v>
      </c>
      <c r="BH16" s="12" t="s">
        <v>26</v>
      </c>
      <c r="BI16" s="12">
        <v>0</v>
      </c>
      <c r="BJ16" s="12">
        <v>2.6216917999999998</v>
      </c>
      <c r="BK16" s="12">
        <f>IF(AND(Table1[[#This Row],[Z3 SMT2-2 PdMaxres Cost]]=Table1[[#This Row],[ORTools FZN2 Cost]],Table1[[#This Row],[ORTools FZN2 State]]="Optimal"),1,"")</f>
        <v>1</v>
      </c>
      <c r="BL16" s="12" t="s">
        <v>26</v>
      </c>
      <c r="BM16" s="12">
        <v>0</v>
      </c>
      <c r="BN16" s="12">
        <v>2.6001053000000001</v>
      </c>
      <c r="BO16" s="11">
        <f>IF(AND(Table1[[#This Row],[Z3 SMT2-2 PdMaxres Cost]]=Table1[[#This Row],[ORTools FZN2 Cost]],Table1[[#This Row],[ORTools FZN2 State]]="Optimal"),1,"")</f>
        <v>1</v>
      </c>
      <c r="BP16" s="5" t="s">
        <v>25</v>
      </c>
      <c r="BQ16" s="2">
        <v>0</v>
      </c>
      <c r="BR16" s="2">
        <v>0.3084462</v>
      </c>
      <c r="BS16" s="2" t="str">
        <f>IF(AND(Table1[[#This Row],[Gurobi MB Cost]]=Table1[[#This Row],[ORTools FZN2 Cost]],Table1[[#This Row],[ORTools FZN2 State]]="Optimal",Table1[[#This Row],[Gurobi MB State]]="Suboptimal"),1,"")</f>
        <v/>
      </c>
      <c r="BT1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" s="5" t="s">
        <v>25</v>
      </c>
      <c r="BV16" s="2">
        <v>0</v>
      </c>
      <c r="BW16" s="2">
        <v>1.4677332999999999</v>
      </c>
      <c r="BX16" s="2" t="str">
        <f>IF(AND(Table1[[#This Row],[Gurobi MD Cost]]=Table1[[#This Row],[ORTools FZN2 Cost]],Table1[[#This Row],[ORTools FZN2 State]]="Optimal",Table1[[#This Row],[Gurobi MD State]]="Suboptimal"),1,"")</f>
        <v/>
      </c>
      <c r="BY1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" s="5" t="s">
        <v>25</v>
      </c>
      <c r="CA16" s="2">
        <v>0</v>
      </c>
      <c r="CB16" s="2">
        <v>0.43615480000000001</v>
      </c>
      <c r="CC16" s="2" t="str">
        <f>IF(AND(Table1[[#This Row],[Gurobi MI Cost]]=Table1[[#This Row],[ORTools FZN2 Cost]],Table1[[#This Row],[ORTools FZN2 State]]="Optimal",Table1[[#This Row],[Gurobi MI State]]="Suboptimal"),1,"")</f>
        <v/>
      </c>
      <c r="CD1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" s="39" t="s">
        <v>42</v>
      </c>
      <c r="CF16" s="2">
        <v>-4369</v>
      </c>
      <c r="CG16" s="39">
        <v>305.88717989999998</v>
      </c>
      <c r="CH16" s="39" t="s">
        <v>42</v>
      </c>
      <c r="CI16" s="39">
        <v>-4369</v>
      </c>
      <c r="CJ16" s="2">
        <v>306.11940809999999</v>
      </c>
      <c r="CK16" s="5" t="s">
        <v>25</v>
      </c>
      <c r="CL16" s="2">
        <v>0</v>
      </c>
      <c r="CM16" s="2">
        <v>0.109999999999999</v>
      </c>
      <c r="CN16" s="5" t="s">
        <v>25</v>
      </c>
      <c r="CO16" s="2">
        <v>0</v>
      </c>
      <c r="CP16" s="2">
        <v>0.69843739999999999</v>
      </c>
      <c r="CQ16" s="5" t="s">
        <v>25</v>
      </c>
      <c r="CR16" s="2">
        <v>0</v>
      </c>
      <c r="CS16" s="2">
        <v>0.69269970000000003</v>
      </c>
      <c r="CT16" s="6" t="s">
        <v>25</v>
      </c>
      <c r="CU16" s="4">
        <v>0</v>
      </c>
      <c r="CV16" s="4">
        <v>0.5657295</v>
      </c>
      <c r="CW16" s="39" t="s">
        <v>25</v>
      </c>
      <c r="CX16" s="39">
        <v>0</v>
      </c>
      <c r="CY16" s="2">
        <v>0.64359999999999995</v>
      </c>
      <c r="CZ16" s="2" t="str">
        <f>IF(AND(Table1[[#This Row],[Cplex MZ1 Cost]]=Table1[[#This Row],[ORTools FZN2 Cost]],Table1[[#This Row],[ORTools FZN2 State]]="Optimal",Table1[[#This Row],[Cplex MZ1 State]]="Suboptimal"),1,"")</f>
        <v/>
      </c>
      <c r="DA16" s="5" t="s">
        <v>25</v>
      </c>
      <c r="DB16" s="2">
        <v>0</v>
      </c>
      <c r="DC16" s="2">
        <v>0.9798</v>
      </c>
      <c r="DD16" s="2" t="str">
        <f>IF(AND(Table1[[#This Row],[Cplex MZ2 Cost]]=Table1[[#This Row],[ORTools FZN2 Cost]],Table1[[#This Row],[ORTools FZN2 State]]="Optimal",Table1[[#This Row],[Cplex MZ2 State]]="Suboptimal"),1,"")</f>
        <v/>
      </c>
      <c r="DE16" s="39" t="s">
        <v>25</v>
      </c>
      <c r="DF16" s="39">
        <v>0</v>
      </c>
      <c r="DG16" s="2">
        <v>0.79100000000000004</v>
      </c>
      <c r="DH16" s="2" t="str">
        <f>IF(AND(Table1[[#This Row],[Gurobi MZ1 Cost]]=Table1[[#This Row],[ORTools FZN2 Cost]],Table1[[#This Row],[ORTools FZN2 State]]="Optimal",Table1[[#This Row],[Gurobi MZ1 State]]="Suboptimal"),1,"")</f>
        <v/>
      </c>
      <c r="DI16" s="5" t="s">
        <v>25</v>
      </c>
      <c r="DJ16" s="2">
        <v>0</v>
      </c>
      <c r="DK16" s="2">
        <v>0.96879999999999999</v>
      </c>
      <c r="DL16" s="4" t="str">
        <f>IF(AND(Table1[[#This Row],[Gurobi MZ2 Cost]]=Table1[[#This Row],[ORTools FZN2 Cost]],Table1[[#This Row],[ORTools FZN2 State]]="Optimal",Table1[[#This Row],[Gurobi MZ2 State]]="Suboptimal"),1,"")</f>
        <v/>
      </c>
      <c r="DM16" s="39" t="s">
        <v>25</v>
      </c>
      <c r="DN16" s="39">
        <v>0</v>
      </c>
      <c r="DO16" s="65">
        <v>0.13899999999995299</v>
      </c>
      <c r="DP16" s="4" t="str">
        <f>IF(AND(Table1[[#This Row],[Cplex MC nonDual Cost]]=Table1[[#This Row],[ORTools FZN2 Cost]],Table1[[#This Row],[ORTools FZN2 State]]="Optimal",Table1[[#This Row],[Cplex MC nonDual State]]="Suboptimal"),1,"")</f>
        <v/>
      </c>
      <c r="DQ16" s="5" t="s">
        <v>25</v>
      </c>
      <c r="DR16" s="2">
        <v>0</v>
      </c>
      <c r="DS16" s="2">
        <v>0.67810000000000004</v>
      </c>
      <c r="DT16" s="2" t="str">
        <f>IF(AND(Table1[[#This Row],[Cplex MIP DM''z Cost]]=Table1[[#This Row],[ORTools FZN2 Cost]],Table1[[#This Row],[ORTools FZN2 State]]="Optimal",Table1[[#This Row],[Cplex MIP DM''z  State]]="Suboptimal"),1,"")</f>
        <v/>
      </c>
      <c r="DU1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" s="5" t="s">
        <v>25</v>
      </c>
      <c r="DW16" s="2">
        <v>0</v>
      </c>
      <c r="DX16" s="2">
        <v>1.3159000000000001</v>
      </c>
      <c r="DY16" s="4" t="str">
        <f>IF(AND(Table1[[#This Row],[Gurobi DM''z  Cost]]=Table1[[#This Row],[ORTools FZN2 Cost]],Table1[[#This Row],[ORTools FZN2 State]]="Optimal",Table1[[#This Row],[Gurobi DM''z  State]]="Suboptimal"),1,"")</f>
        <v/>
      </c>
      <c r="DZ1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" spans="1:130" ht="15.75" x14ac:dyDescent="0.25">
      <c r="A17" s="46" t="s">
        <v>40</v>
      </c>
      <c r="B17" s="5">
        <v>8</v>
      </c>
      <c r="C17" s="2">
        <v>4</v>
      </c>
      <c r="D17" s="5">
        <v>7</v>
      </c>
      <c r="E17" s="3">
        <v>4</v>
      </c>
      <c r="F17" s="34">
        <v>3</v>
      </c>
      <c r="G17" s="3">
        <v>4</v>
      </c>
      <c r="H17" s="4">
        <f t="shared" si="0"/>
        <v>0</v>
      </c>
      <c r="I17" s="4">
        <f>Table1[[#This Row],[B]]+Table1[[#This Row],[Atomic Constraints]]+Table1[[#This Row],[Soft Atomic Constraints]]+Table1[[#This Row],[Disjunctive Constraints]]+Table1[[#This Row],[Direct Successors]]</f>
        <v>22</v>
      </c>
      <c r="J17" s="5" t="s">
        <v>25</v>
      </c>
      <c r="K17" s="2">
        <v>0</v>
      </c>
      <c r="L17" s="2">
        <v>0.59279870000000001</v>
      </c>
      <c r="M17" s="2" t="str">
        <f>IF(AND(Table1[[#This Row],[Chuffed MZ1 Cost]]=Table1[[#This Row],[ORTools FZN2 Cost]],Table1[[#This Row],[ORTools FZN2 State]]="Optimal",Table1[[#This Row],[Chuffed MZ1 State]]="Suboptimal"),1,"")</f>
        <v/>
      </c>
      <c r="N17" s="5" t="s">
        <v>25</v>
      </c>
      <c r="O17" s="2">
        <v>0</v>
      </c>
      <c r="P17" s="2">
        <v>0.57564859999999995</v>
      </c>
      <c r="Q17" s="2" t="str">
        <f>IF(AND(Table1[[#This Row],[Chuffed MZ2 Cost]]=Table1[[#This Row],[ORTools FZN2 Cost]],Table1[[#This Row],[ORTools FZN2 State]]="Optimal",Table1[[#This Row],[Chuffed MZ2 State]]="Suboptimal"),1,"")</f>
        <v/>
      </c>
      <c r="R17" s="5" t="s">
        <v>25</v>
      </c>
      <c r="S17" s="2">
        <v>0</v>
      </c>
      <c r="T17" s="2">
        <v>4.8999999999999502E-2</v>
      </c>
      <c r="U17" s="2"/>
      <c r="V17" s="5" t="s">
        <v>25</v>
      </c>
      <c r="W17" s="2">
        <v>0</v>
      </c>
      <c r="X17" s="2">
        <v>9.7612199999999996E-2</v>
      </c>
      <c r="Y17" s="2" t="str">
        <f>IF(AND(Table1[[#This Row],[ORTools FZN1 Cost]]=Table1[[#This Row],[ORTools FZN2 Cost]],Table1[[#This Row],[ORTools FZN2 State]]="Optimal",Table1[[#This Row],[ORTools FZN1 State]]="Suboptimal"),1,"")</f>
        <v/>
      </c>
      <c r="Z17" s="5" t="s">
        <v>25</v>
      </c>
      <c r="AA17" s="2">
        <v>0</v>
      </c>
      <c r="AB17" s="2">
        <v>0.1126703</v>
      </c>
      <c r="AC17" s="39" t="s">
        <v>25</v>
      </c>
      <c r="AD17" s="39">
        <v>0</v>
      </c>
      <c r="AE17" s="2">
        <v>4.31302E-2</v>
      </c>
      <c r="AF17" s="2" t="str">
        <f>IF(AND(Table1[[#This Row],[Cplex MB Cost]]=Table1[[#This Row],[ORTools FZN2 Cost]],Table1[[#This Row],[ORTools FZN2 State]]="Optimal",Table1[[#This Row],[Cplex MB State]]="Suboptimal"),1,"")</f>
        <v/>
      </c>
      <c r="AG17" s="4">
        <f>IF(AND(AC17="Optimal",AD17&lt;&gt;AA17,Table1[[#This Row],[Example]]&lt;&gt;"R001",Table1[[#This Row],[Example]]&lt;&gt;"R002"),AD17-AA17,)</f>
        <v>0</v>
      </c>
      <c r="AH17" s="5" t="s">
        <v>25</v>
      </c>
      <c r="AI17" s="2">
        <v>0</v>
      </c>
      <c r="AJ17" s="2">
        <v>0.18892139999999999</v>
      </c>
      <c r="AK17" s="2" t="str">
        <f>IF(AND(Table1[[#This Row],[Cplex MD Cost]]=Table1[[#This Row],[ORTools FZN2 Cost]],Table1[[#This Row],[ORTools FZN2 State]]="Optimal",Table1[[#This Row],[Cplex MD State]]="Suboptimal"),1,"")</f>
        <v/>
      </c>
      <c r="AL17" s="4">
        <f>IF(AND(AH17="Optimal",AI17&lt;&gt;AA17,Table1[[#This Row],[Example]]&lt;&gt;"R001",Table1[[#This Row],[Example]]&lt;&gt;"R002"),AI17-AA17,)</f>
        <v>0</v>
      </c>
      <c r="AM17" s="39" t="s">
        <v>25</v>
      </c>
      <c r="AN17" s="39">
        <v>0</v>
      </c>
      <c r="AO17" s="2">
        <v>5.3714699999999997E-2</v>
      </c>
      <c r="AP1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" s="2" t="str">
        <f>IF(AND(Table1[[#This Row],[Cplex MI Cost]]=Table1[[#This Row],[ORTools FZN2 Cost]],Table1[[#This Row],[ORTools FZN2 State]]="Optimal",Table1[[#This Row],[Cplex MI State]]="Suboptimal"),1,"")</f>
        <v/>
      </c>
      <c r="AR17" s="12" t="s">
        <v>26</v>
      </c>
      <c r="AS17" s="12">
        <v>0</v>
      </c>
      <c r="AT17" s="12">
        <v>0.17918809999999999</v>
      </c>
      <c r="AU17" s="12">
        <f>IF(AND(Table1[[#This Row],[Z3 SMT2-1 Maxres Cost]]=Table1[[#This Row],[ORTools FZN2 Cost]],Table1[[#This Row],[ORTools FZN2 State]]="Optimal"),1,"")</f>
        <v>1</v>
      </c>
      <c r="AV17" s="12" t="s">
        <v>26</v>
      </c>
      <c r="AW17" s="12">
        <v>0</v>
      </c>
      <c r="AX17" s="12">
        <v>0.1848166</v>
      </c>
      <c r="AY17" s="12">
        <f>IF(AND(Table1[[#This Row],[Z3 SMT2-1 PdMaxres Cost]]=Table1[[#This Row],[ORTools FZN2 Cost]],Table1[[#This Row],[ORTools FZN2 State]]="Optimal"),1,"")</f>
        <v>1</v>
      </c>
      <c r="AZ17" s="12" t="s">
        <v>26</v>
      </c>
      <c r="BA17" s="12">
        <v>0</v>
      </c>
      <c r="BB17" s="12">
        <v>0.18450710000000001</v>
      </c>
      <c r="BC17" s="12">
        <f>IF(AND(Table1[[#This Row],[Z3 SMT2-1 WMax Cost]]=Table1[[#This Row],[ORTools FZN2 Cost]],Table1[[#This Row],[ORTools FZN2 State]]="Optimal"),1,"")</f>
        <v>1</v>
      </c>
      <c r="BD17" s="12" t="s">
        <v>26</v>
      </c>
      <c r="BE17" s="12">
        <v>0</v>
      </c>
      <c r="BF17" s="12">
        <v>0.1629794</v>
      </c>
      <c r="BG17" s="12">
        <f>IF(AND(Table1[[#This Row],[Z3 SMT2-2 Maxres Cost]]=Table1[[#This Row],[ORTools FZN2 Cost]],Table1[[#This Row],[ORTools FZN2 State]]="Optimal"),1,"")</f>
        <v>1</v>
      </c>
      <c r="BH17" s="12" t="s">
        <v>26</v>
      </c>
      <c r="BI17" s="12">
        <v>0</v>
      </c>
      <c r="BJ17" s="12">
        <v>0.1731423</v>
      </c>
      <c r="BK17" s="12">
        <f>IF(AND(Table1[[#This Row],[Z3 SMT2-2 PdMaxres Cost]]=Table1[[#This Row],[ORTools FZN2 Cost]],Table1[[#This Row],[ORTools FZN2 State]]="Optimal"),1,"")</f>
        <v>1</v>
      </c>
      <c r="BL17" s="12" t="s">
        <v>26</v>
      </c>
      <c r="BM17" s="12">
        <v>0</v>
      </c>
      <c r="BN17" s="12">
        <v>0.17311860000000001</v>
      </c>
      <c r="BO17" s="11">
        <f>IF(AND(Table1[[#This Row],[Z3 SMT2-2 PdMaxres Cost]]=Table1[[#This Row],[ORTools FZN2 Cost]],Table1[[#This Row],[ORTools FZN2 State]]="Optimal"),1,"")</f>
        <v>1</v>
      </c>
      <c r="BP17" s="5" t="s">
        <v>25</v>
      </c>
      <c r="BQ17" s="2">
        <v>0</v>
      </c>
      <c r="BR17" s="2">
        <v>4.5097699999999998E-2</v>
      </c>
      <c r="BS17" s="2" t="str">
        <f>IF(AND(Table1[[#This Row],[Gurobi MB Cost]]=Table1[[#This Row],[ORTools FZN2 Cost]],Table1[[#This Row],[ORTools FZN2 State]]="Optimal",Table1[[#This Row],[Gurobi MB State]]="Suboptimal"),1,"")</f>
        <v/>
      </c>
      <c r="BT1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" s="5" t="s">
        <v>25</v>
      </c>
      <c r="BV17" s="2">
        <v>0</v>
      </c>
      <c r="BW17" s="2">
        <v>6.1206299999999998E-2</v>
      </c>
      <c r="BX17" s="2" t="str">
        <f>IF(AND(Table1[[#This Row],[Gurobi MD Cost]]=Table1[[#This Row],[ORTools FZN2 Cost]],Table1[[#This Row],[ORTools FZN2 State]]="Optimal",Table1[[#This Row],[Gurobi MD State]]="Suboptimal"),1,"")</f>
        <v/>
      </c>
      <c r="BY1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" s="5" t="s">
        <v>25</v>
      </c>
      <c r="CA17" s="2">
        <v>0</v>
      </c>
      <c r="CB17" s="2">
        <v>1.6081499999999999E-2</v>
      </c>
      <c r="CC17" s="2" t="str">
        <f>IF(AND(Table1[[#This Row],[Gurobi MI Cost]]=Table1[[#This Row],[ORTools FZN2 Cost]],Table1[[#This Row],[ORTools FZN2 State]]="Optimal",Table1[[#This Row],[Gurobi MI State]]="Suboptimal"),1,"")</f>
        <v/>
      </c>
      <c r="CD1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" s="39" t="s">
        <v>25</v>
      </c>
      <c r="CF17" s="2">
        <v>0</v>
      </c>
      <c r="CG17" s="39">
        <v>10.103679100000001</v>
      </c>
      <c r="CH17" s="39" t="s">
        <v>25</v>
      </c>
      <c r="CI17" s="39">
        <v>0</v>
      </c>
      <c r="CJ17" s="2">
        <v>10.0950618</v>
      </c>
      <c r="CK17" s="5" t="s">
        <v>25</v>
      </c>
      <c r="CL17" s="2">
        <v>0</v>
      </c>
      <c r="CM17" s="2">
        <v>4.8000000000001798E-2</v>
      </c>
      <c r="CN17" s="5" t="s">
        <v>25</v>
      </c>
      <c r="CO17" s="2">
        <v>0</v>
      </c>
      <c r="CP17" s="2">
        <v>0.58043049999999996</v>
      </c>
      <c r="CQ17" s="5" t="s">
        <v>25</v>
      </c>
      <c r="CR17" s="2">
        <v>0</v>
      </c>
      <c r="CS17" s="2">
        <v>0.14067689999999999</v>
      </c>
      <c r="CT17" s="6" t="s">
        <v>25</v>
      </c>
      <c r="CU17" s="4">
        <v>0</v>
      </c>
      <c r="CV17" s="4">
        <v>0.12752430000000001</v>
      </c>
      <c r="CW17" s="39" t="s">
        <v>25</v>
      </c>
      <c r="CX17" s="39">
        <v>0</v>
      </c>
      <c r="CY17" s="2">
        <v>0.11269999999999999</v>
      </c>
      <c r="CZ17" s="2" t="str">
        <f>IF(AND(Table1[[#This Row],[Cplex MZ1 Cost]]=Table1[[#This Row],[ORTools FZN2 Cost]],Table1[[#This Row],[ORTools FZN2 State]]="Optimal",Table1[[#This Row],[Cplex MZ1 State]]="Suboptimal"),1,"")</f>
        <v/>
      </c>
      <c r="DA17" s="5" t="s">
        <v>25</v>
      </c>
      <c r="DB17" s="2">
        <v>0</v>
      </c>
      <c r="DC17" s="2">
        <v>3.9600000000000003E-2</v>
      </c>
      <c r="DD17" s="2" t="str">
        <f>IF(AND(Table1[[#This Row],[Cplex MZ2 Cost]]=Table1[[#This Row],[ORTools FZN2 Cost]],Table1[[#This Row],[ORTools FZN2 State]]="Optimal",Table1[[#This Row],[Cplex MZ2 State]]="Suboptimal"),1,"")</f>
        <v/>
      </c>
      <c r="DE17" s="39" t="s">
        <v>25</v>
      </c>
      <c r="DF17" s="39">
        <v>0</v>
      </c>
      <c r="DG17" s="2">
        <v>9.8500000000000004E-2</v>
      </c>
      <c r="DH17" s="2" t="str">
        <f>IF(AND(Table1[[#This Row],[Gurobi MZ1 Cost]]=Table1[[#This Row],[ORTools FZN2 Cost]],Table1[[#This Row],[ORTools FZN2 State]]="Optimal",Table1[[#This Row],[Gurobi MZ1 State]]="Suboptimal"),1,"")</f>
        <v/>
      </c>
      <c r="DI17" s="5" t="s">
        <v>25</v>
      </c>
      <c r="DJ17" s="2">
        <v>0</v>
      </c>
      <c r="DK17" s="2">
        <v>2.8400000000000002E-2</v>
      </c>
      <c r="DL17" s="4" t="str">
        <f>IF(AND(Table1[[#This Row],[Gurobi MZ2 Cost]]=Table1[[#This Row],[ORTools FZN2 Cost]],Table1[[#This Row],[ORTools FZN2 State]]="Optimal",Table1[[#This Row],[Gurobi MZ2 State]]="Suboptimal"),1,"")</f>
        <v/>
      </c>
      <c r="DM17" s="39" t="s">
        <v>25</v>
      </c>
      <c r="DN17" s="39">
        <v>0</v>
      </c>
      <c r="DO17" s="65">
        <v>4.9000000000035002E-2</v>
      </c>
      <c r="DP17" s="4" t="str">
        <f>IF(AND(Table1[[#This Row],[Cplex MC nonDual Cost]]=Table1[[#This Row],[ORTools FZN2 Cost]],Table1[[#This Row],[ORTools FZN2 State]]="Optimal",Table1[[#This Row],[Cplex MC nonDual State]]="Suboptimal"),1,"")</f>
        <v/>
      </c>
      <c r="DQ17" s="5" t="s">
        <v>25</v>
      </c>
      <c r="DR17" s="2">
        <v>0</v>
      </c>
      <c r="DS17" s="2">
        <v>5.2900000000000003E-2</v>
      </c>
      <c r="DT17" s="2" t="str">
        <f>IF(AND(Table1[[#This Row],[Cplex MIP DM''z Cost]]=Table1[[#This Row],[ORTools FZN2 Cost]],Table1[[#This Row],[ORTools FZN2 State]]="Optimal",Table1[[#This Row],[Cplex MIP DM''z  State]]="Suboptimal"),1,"")</f>
        <v/>
      </c>
      <c r="DU1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" s="5" t="s">
        <v>25</v>
      </c>
      <c r="DW17" s="2">
        <v>0</v>
      </c>
      <c r="DX17" s="2">
        <v>6.4000000000000001E-2</v>
      </c>
      <c r="DY17" s="4" t="str">
        <f>IF(AND(Table1[[#This Row],[Gurobi DM''z  Cost]]=Table1[[#This Row],[ORTools FZN2 Cost]],Table1[[#This Row],[ORTools FZN2 State]]="Optimal",Table1[[#This Row],[Gurobi DM''z  State]]="Suboptimal"),1,"")</f>
        <v/>
      </c>
      <c r="DZ1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" spans="1:130" ht="15.75" x14ac:dyDescent="0.25">
      <c r="A18" s="46" t="s">
        <v>41</v>
      </c>
      <c r="B18" s="5">
        <v>80</v>
      </c>
      <c r="C18" s="2">
        <v>40</v>
      </c>
      <c r="D18" s="5">
        <v>391</v>
      </c>
      <c r="E18" s="3">
        <v>74</v>
      </c>
      <c r="F18" s="34">
        <v>206</v>
      </c>
      <c r="G18" s="3">
        <v>40</v>
      </c>
      <c r="H18" s="4">
        <f t="shared" si="0"/>
        <v>0</v>
      </c>
      <c r="I18" s="4">
        <f>Table1[[#This Row],[B]]+Table1[[#This Row],[Atomic Constraints]]+Table1[[#This Row],[Soft Atomic Constraints]]+Table1[[#This Row],[Disjunctive Constraints]]+Table1[[#This Row],[Direct Successors]]</f>
        <v>751</v>
      </c>
      <c r="J18" s="5" t="s">
        <v>25</v>
      </c>
      <c r="K18" s="2">
        <v>0</v>
      </c>
      <c r="L18" s="2">
        <v>13.115035799999999</v>
      </c>
      <c r="M18" s="2" t="str">
        <f>IF(AND(Table1[[#This Row],[Chuffed MZ1 Cost]]=Table1[[#This Row],[ORTools FZN2 Cost]],Table1[[#This Row],[ORTools FZN2 State]]="Optimal",Table1[[#This Row],[Chuffed MZ1 State]]="Suboptimal"),1,"")</f>
        <v/>
      </c>
      <c r="N18" s="5" t="s">
        <v>26</v>
      </c>
      <c r="O18" s="2">
        <v>13417486</v>
      </c>
      <c r="P18" s="2">
        <v>304.33823580000001</v>
      </c>
      <c r="Q18" s="2" t="str">
        <f>IF(AND(Table1[[#This Row],[Chuffed MZ2 Cost]]=Table1[[#This Row],[ORTools FZN2 Cost]],Table1[[#This Row],[ORTools FZN2 State]]="Optimal",Table1[[#This Row],[Chuffed MZ2 State]]="Suboptimal"),1,"")</f>
        <v/>
      </c>
      <c r="R18" s="6" t="s">
        <v>25</v>
      </c>
      <c r="S18" s="4">
        <v>0</v>
      </c>
      <c r="T18" s="4">
        <v>4.0439999999999996</v>
      </c>
      <c r="U18" s="4"/>
      <c r="V18" s="5" t="s">
        <v>25</v>
      </c>
      <c r="W18" s="2">
        <v>0</v>
      </c>
      <c r="X18" s="2">
        <v>193.7956949</v>
      </c>
      <c r="Y18" s="2" t="str">
        <f>IF(AND(Table1[[#This Row],[ORTools FZN1 Cost]]=Table1[[#This Row],[ORTools FZN2 Cost]],Table1[[#This Row],[ORTools FZN2 State]]="Optimal",Table1[[#This Row],[ORTools FZN1 State]]="Suboptimal"),1,"")</f>
        <v/>
      </c>
      <c r="Z18" s="5" t="s">
        <v>25</v>
      </c>
      <c r="AA18" s="2">
        <v>0</v>
      </c>
      <c r="AB18" s="2">
        <v>107.549229</v>
      </c>
      <c r="AC18" s="39" t="s">
        <v>42</v>
      </c>
      <c r="AD18" s="39">
        <v>-518481</v>
      </c>
      <c r="AE18" s="2">
        <v>300.1855314</v>
      </c>
      <c r="AF18" s="2" t="str">
        <f>IF(AND(Table1[[#This Row],[Cplex MB Cost]]=Table1[[#This Row],[ORTools FZN2 Cost]],Table1[[#This Row],[ORTools FZN2 State]]="Optimal",Table1[[#This Row],[Cplex MB State]]="Suboptimal"),1,"")</f>
        <v/>
      </c>
      <c r="AG18" s="4">
        <f>IF(AND(AC18="Optimal",AD18&lt;&gt;AA18,Table1[[#This Row],[Example]]&lt;&gt;"R001",Table1[[#This Row],[Example]]&lt;&gt;"R002"),AD18-AA18,)</f>
        <v>0</v>
      </c>
      <c r="AH18" s="5" t="s">
        <v>42</v>
      </c>
      <c r="AI18" s="2">
        <v>-518481</v>
      </c>
      <c r="AJ18" s="2">
        <v>300.26679209999998</v>
      </c>
      <c r="AK18" s="2" t="str">
        <f>IF(AND(Table1[[#This Row],[Cplex MD Cost]]=Table1[[#This Row],[ORTools FZN2 Cost]],Table1[[#This Row],[ORTools FZN2 State]]="Optimal",Table1[[#This Row],[Cplex MD State]]="Suboptimal"),1,"")</f>
        <v/>
      </c>
      <c r="AL18" s="4">
        <f>IF(AND(AH18="Optimal",AI18&lt;&gt;AA18,Table1[[#This Row],[Example]]&lt;&gt;"R001",Table1[[#This Row],[Example]]&lt;&gt;"R002"),AI18-AA18,)</f>
        <v>0</v>
      </c>
      <c r="AM18" s="39" t="s">
        <v>25</v>
      </c>
      <c r="AN18" s="39">
        <v>0</v>
      </c>
      <c r="AO18" s="2">
        <v>113.1278678</v>
      </c>
      <c r="AP1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" s="4" t="str">
        <f>IF(AND(Table1[[#This Row],[Cplex MI Cost]]=Table1[[#This Row],[ORTools FZN2 Cost]],Table1[[#This Row],[ORTools FZN2 State]]="Optimal",Table1[[#This Row],[Cplex MI State]]="Suboptimal"),1,"")</f>
        <v/>
      </c>
      <c r="AR18" s="5" t="s">
        <v>42</v>
      </c>
      <c r="AS18" s="2">
        <v>-518481</v>
      </c>
      <c r="AT18" s="2">
        <v>300.07943590000002</v>
      </c>
      <c r="AU18" s="2" t="str">
        <f>IF(AND(Table1[[#This Row],[Z3 SMT2-1 Maxres Cost]]=Table1[[#This Row],[ORTools FZN2 Cost]],Table1[[#This Row],[ORTools FZN2 State]]="Optimal"),1,"")</f>
        <v/>
      </c>
      <c r="AV18" s="39" t="s">
        <v>42</v>
      </c>
      <c r="AW18" s="39">
        <v>-518481</v>
      </c>
      <c r="AX18" s="2">
        <v>300.10850319999997</v>
      </c>
      <c r="AY18" s="2" t="str">
        <f>IF(AND(Table1[[#This Row],[Z3 SMT2-1 PdMaxres Cost]]=Table1[[#This Row],[ORTools FZN2 Cost]],Table1[[#This Row],[ORTools FZN2 State]]="Optimal"),1,"")</f>
        <v/>
      </c>
      <c r="AZ18" s="5" t="s">
        <v>42</v>
      </c>
      <c r="BA18" s="2">
        <v>-518481</v>
      </c>
      <c r="BB18" s="39">
        <v>300.09920979999998</v>
      </c>
      <c r="BC18" s="39" t="str">
        <f>IF(AND(Table1[[#This Row],[Z3 SMT2-1 WMax Cost]]=Table1[[#This Row],[ORTools FZN2 Cost]],Table1[[#This Row],[ORTools FZN2 State]]="Optimal"),1,"")</f>
        <v/>
      </c>
      <c r="BD18" s="39" t="s">
        <v>42</v>
      </c>
      <c r="BE18" s="39">
        <v>-518481</v>
      </c>
      <c r="BF18" s="2">
        <v>300.08154660000002</v>
      </c>
      <c r="BG18" s="2" t="str">
        <f>IF(AND(Table1[[#This Row],[Z3 SMT2-2 Maxres Cost]]=Table1[[#This Row],[ORTools FZN2 Cost]],Table1[[#This Row],[ORTools FZN2 State]]="Optimal"),1,"")</f>
        <v/>
      </c>
      <c r="BH18" s="5" t="s">
        <v>42</v>
      </c>
      <c r="BI18" s="2">
        <v>-518481</v>
      </c>
      <c r="BJ18" s="39">
        <v>300.07380360000002</v>
      </c>
      <c r="BK18" s="39" t="str">
        <f>IF(AND(Table1[[#This Row],[Z3 SMT2-2 PdMaxres Cost]]=Table1[[#This Row],[ORTools FZN2 Cost]],Table1[[#This Row],[ORTools FZN2 State]]="Optimal"),1,"")</f>
        <v/>
      </c>
      <c r="BL18" s="39" t="s">
        <v>42</v>
      </c>
      <c r="BM18" s="39">
        <v>-518481</v>
      </c>
      <c r="BN18" s="2">
        <v>300.13600689999998</v>
      </c>
      <c r="BO18" s="4" t="str">
        <f>IF(AND(Table1[[#This Row],[Z3 SMT2-2 PdMaxres Cost]]=Table1[[#This Row],[ORTools FZN2 Cost]],Table1[[#This Row],[ORTools FZN2 State]]="Optimal"),1,"")</f>
        <v/>
      </c>
      <c r="BP18" s="5" t="s">
        <v>25</v>
      </c>
      <c r="BQ18" s="2">
        <v>0</v>
      </c>
      <c r="BR18" s="2">
        <v>78.218814499999993</v>
      </c>
      <c r="BS18" s="2" t="str">
        <f>IF(AND(Table1[[#This Row],[Gurobi MB Cost]]=Table1[[#This Row],[ORTools FZN2 Cost]],Table1[[#This Row],[ORTools FZN2 State]]="Optimal",Table1[[#This Row],[Gurobi MB State]]="Suboptimal"),1,"")</f>
        <v/>
      </c>
      <c r="BT1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" s="5" t="s">
        <v>42</v>
      </c>
      <c r="BV18" s="2">
        <v>-518481</v>
      </c>
      <c r="BW18" s="2">
        <v>301.24532529999999</v>
      </c>
      <c r="BX18" s="2" t="str">
        <f>IF(AND(Table1[[#This Row],[Gurobi MD Cost]]=Table1[[#This Row],[ORTools FZN2 Cost]],Table1[[#This Row],[ORTools FZN2 State]]="Optimal",Table1[[#This Row],[Gurobi MD State]]="Suboptimal"),1,"")</f>
        <v/>
      </c>
      <c r="BY1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" s="5" t="s">
        <v>42</v>
      </c>
      <c r="CA18" s="2">
        <v>-518481</v>
      </c>
      <c r="CB18" s="2">
        <v>300.29319409999999</v>
      </c>
      <c r="CC18" s="2" t="str">
        <f>IF(AND(Table1[[#This Row],[Gurobi MI Cost]]=Table1[[#This Row],[ORTools FZN2 Cost]],Table1[[#This Row],[ORTools FZN2 State]]="Optimal",Table1[[#This Row],[Gurobi MI State]]="Suboptimal"),1,"")</f>
        <v/>
      </c>
      <c r="CD1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" s="39" t="s">
        <v>42</v>
      </c>
      <c r="CF18" s="2">
        <v>-518481</v>
      </c>
      <c r="CG18" s="39">
        <v>306.1937527</v>
      </c>
      <c r="CH18" s="39" t="s">
        <v>42</v>
      </c>
      <c r="CI18" s="39">
        <v>-518481</v>
      </c>
      <c r="CJ18" s="2">
        <v>306.17446210000003</v>
      </c>
      <c r="CK18" s="5" t="s">
        <v>25</v>
      </c>
      <c r="CL18" s="2">
        <v>0</v>
      </c>
      <c r="CM18" s="2">
        <v>6.4829999999999997</v>
      </c>
      <c r="CN18" s="5" t="s">
        <v>26</v>
      </c>
      <c r="CO18" s="2">
        <v>14440782</v>
      </c>
      <c r="CP18" s="2">
        <v>304.2084979</v>
      </c>
      <c r="CQ18" s="5" t="s">
        <v>25</v>
      </c>
      <c r="CR18" s="2">
        <v>0</v>
      </c>
      <c r="CS18" s="2">
        <v>100.7118366</v>
      </c>
      <c r="CT18" s="6" t="s">
        <v>25</v>
      </c>
      <c r="CU18" s="4">
        <v>0</v>
      </c>
      <c r="CV18" s="4">
        <v>55.464640600000003</v>
      </c>
      <c r="CW18" s="39" t="s">
        <v>42</v>
      </c>
      <c r="CX18" s="39"/>
      <c r="CY18" s="2">
        <v>300.02769999999998</v>
      </c>
      <c r="CZ18" s="2" t="str">
        <f>IF(AND(Table1[[#This Row],[Cplex MZ1 Cost]]=Table1[[#This Row],[ORTools FZN2 Cost]],Table1[[#This Row],[ORTools FZN2 State]]="Optimal",Table1[[#This Row],[Cplex MZ1 State]]="Suboptimal"),1,"")</f>
        <v/>
      </c>
      <c r="DA18" s="5" t="s">
        <v>42</v>
      </c>
      <c r="DB18" s="2"/>
      <c r="DC18" s="2">
        <v>300.02640000000002</v>
      </c>
      <c r="DD18" s="2" t="str">
        <f>IF(AND(Table1[[#This Row],[Cplex MZ2 Cost]]=Table1[[#This Row],[ORTools FZN2 Cost]],Table1[[#This Row],[ORTools FZN2 State]]="Optimal",Table1[[#This Row],[Cplex MZ2 State]]="Suboptimal"),1,"")</f>
        <v/>
      </c>
      <c r="DE18" s="39" t="s">
        <v>42</v>
      </c>
      <c r="DF18" s="39"/>
      <c r="DG18" s="2">
        <v>300.00729999999999</v>
      </c>
      <c r="DH18" s="2" t="str">
        <f>IF(AND(Table1[[#This Row],[Gurobi MZ1 Cost]]=Table1[[#This Row],[ORTools FZN2 Cost]],Table1[[#This Row],[ORTools FZN2 State]]="Optimal",Table1[[#This Row],[Gurobi MZ1 State]]="Suboptimal"),1,"")</f>
        <v/>
      </c>
      <c r="DI18" s="5" t="s">
        <v>42</v>
      </c>
      <c r="DJ18" s="2"/>
      <c r="DK18" s="2">
        <v>300.00569999999999</v>
      </c>
      <c r="DL18" s="4" t="str">
        <f>IF(AND(Table1[[#This Row],[Gurobi MZ2 Cost]]=Table1[[#This Row],[ORTools FZN2 Cost]],Table1[[#This Row],[ORTools FZN2 State]]="Optimal",Table1[[#This Row],[Gurobi MZ2 State]]="Suboptimal"),1,"")</f>
        <v/>
      </c>
      <c r="DM18" s="39" t="s">
        <v>25</v>
      </c>
      <c r="DN18" s="39">
        <v>0</v>
      </c>
      <c r="DO18" s="65">
        <v>21.780999999999999</v>
      </c>
      <c r="DP18" s="4" t="str">
        <f>IF(AND(Table1[[#This Row],[Cplex MC nonDual Cost]]=Table1[[#This Row],[ORTools FZN2 Cost]],Table1[[#This Row],[ORTools FZN2 State]]="Optimal",Table1[[#This Row],[Cplex MC nonDual State]]="Suboptimal"),1,"")</f>
        <v/>
      </c>
      <c r="DQ18" s="5" t="s">
        <v>42</v>
      </c>
      <c r="DR18" s="2"/>
      <c r="DS18" s="2">
        <v>300.01960000000003</v>
      </c>
      <c r="DT18" s="2" t="str">
        <f>IF(AND(Table1[[#This Row],[Cplex MIP DM''z Cost]]=Table1[[#This Row],[ORTools FZN2 Cost]],Table1[[#This Row],[ORTools FZN2 State]]="Optimal",Table1[[#This Row],[Cplex MIP DM''z  State]]="Suboptimal"),1,"")</f>
        <v/>
      </c>
      <c r="DU1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" s="5" t="s">
        <v>42</v>
      </c>
      <c r="DW18" s="2"/>
      <c r="DX18" s="2">
        <v>300.02100000000002</v>
      </c>
      <c r="DY18" s="4" t="str">
        <f>IF(AND(Table1[[#This Row],[Gurobi DM''z  Cost]]=Table1[[#This Row],[ORTools FZN2 Cost]],Table1[[#This Row],[ORTools FZN2 State]]="Optimal",Table1[[#This Row],[Gurobi DM''z  State]]="Suboptimal"),1,"")</f>
        <v/>
      </c>
      <c r="DZ1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" spans="1:130" ht="15.75" x14ac:dyDescent="0.25">
      <c r="A19" s="46" t="s">
        <v>43</v>
      </c>
      <c r="B19" s="5">
        <v>80</v>
      </c>
      <c r="C19" s="2">
        <v>40</v>
      </c>
      <c r="D19" s="5">
        <v>367</v>
      </c>
      <c r="E19" s="3">
        <v>74</v>
      </c>
      <c r="F19" s="34">
        <v>142</v>
      </c>
      <c r="G19" s="3">
        <v>80</v>
      </c>
      <c r="H19" s="4">
        <f t="shared" si="0"/>
        <v>0</v>
      </c>
      <c r="I19" s="4">
        <f>Table1[[#This Row],[B]]+Table1[[#This Row],[Atomic Constraints]]+Table1[[#This Row],[Soft Atomic Constraints]]+Table1[[#This Row],[Disjunctive Constraints]]+Table1[[#This Row],[Direct Successors]]</f>
        <v>703</v>
      </c>
      <c r="J19" s="5" t="s">
        <v>25</v>
      </c>
      <c r="K19" s="2">
        <v>0</v>
      </c>
      <c r="L19" s="2">
        <v>84.103824900000006</v>
      </c>
      <c r="M19" s="2" t="str">
        <f>IF(AND(Table1[[#This Row],[Chuffed MZ1 Cost]]=Table1[[#This Row],[ORTools FZN2 Cost]],Table1[[#This Row],[ORTools FZN2 State]]="Optimal",Table1[[#This Row],[Chuffed MZ1 State]]="Suboptimal"),1,"")</f>
        <v/>
      </c>
      <c r="N19" s="5" t="s">
        <v>26</v>
      </c>
      <c r="O19" s="2">
        <v>16</v>
      </c>
      <c r="P19" s="2">
        <v>304.3440066</v>
      </c>
      <c r="Q19" s="2" t="str">
        <f>IF(AND(Table1[[#This Row],[Chuffed MZ2 Cost]]=Table1[[#This Row],[ORTools FZN2 Cost]],Table1[[#This Row],[ORTools FZN2 State]]="Optimal",Table1[[#This Row],[Chuffed MZ2 State]]="Suboptimal"),1,"")</f>
        <v/>
      </c>
      <c r="R19" s="6" t="s">
        <v>25</v>
      </c>
      <c r="S19" s="4">
        <v>0</v>
      </c>
      <c r="T19" s="4">
        <v>2.7250000000000001</v>
      </c>
      <c r="U19" s="4"/>
      <c r="V19" s="5" t="s">
        <v>25</v>
      </c>
      <c r="W19" s="2">
        <v>0</v>
      </c>
      <c r="X19" s="2">
        <v>33.529132300000001</v>
      </c>
      <c r="Y19" s="2" t="str">
        <f>IF(AND(Table1[[#This Row],[ORTools FZN1 Cost]]=Table1[[#This Row],[ORTools FZN2 Cost]],Table1[[#This Row],[ORTools FZN2 State]]="Optimal",Table1[[#This Row],[ORTools FZN1 State]]="Suboptimal"),1,"")</f>
        <v/>
      </c>
      <c r="Z19" s="5" t="s">
        <v>25</v>
      </c>
      <c r="AA19" s="2">
        <v>0</v>
      </c>
      <c r="AB19" s="2">
        <v>23.424753800000001</v>
      </c>
      <c r="AC19" s="39" t="s">
        <v>42</v>
      </c>
      <c r="AD19" s="39">
        <v>-518481</v>
      </c>
      <c r="AE19" s="2">
        <v>300.44159589999998</v>
      </c>
      <c r="AF19" s="2" t="str">
        <f>IF(AND(Table1[[#This Row],[Cplex MB Cost]]=Table1[[#This Row],[ORTools FZN2 Cost]],Table1[[#This Row],[ORTools FZN2 State]]="Optimal",Table1[[#This Row],[Cplex MB State]]="Suboptimal"),1,"")</f>
        <v/>
      </c>
      <c r="AG19" s="4">
        <f>IF(AND(AC19="Optimal",AD19&lt;&gt;AA19,Table1[[#This Row],[Example]]&lt;&gt;"R001",Table1[[#This Row],[Example]]&lt;&gt;"R002"),AD19-AA19,)</f>
        <v>0</v>
      </c>
      <c r="AH19" s="5" t="s">
        <v>42</v>
      </c>
      <c r="AI19" s="2">
        <v>-518481</v>
      </c>
      <c r="AJ19" s="2">
        <v>301.56062780000002</v>
      </c>
      <c r="AK19" s="2" t="str">
        <f>IF(AND(Table1[[#This Row],[Cplex MD Cost]]=Table1[[#This Row],[ORTools FZN2 Cost]],Table1[[#This Row],[ORTools FZN2 State]]="Optimal",Table1[[#This Row],[Cplex MD State]]="Suboptimal"),1,"")</f>
        <v/>
      </c>
      <c r="AL19" s="2">
        <f>IF(AND(AH19="Optimal",AI19&lt;&gt;AA19,Table1[[#This Row],[Example]]&lt;&gt;"R001",Table1[[#This Row],[Example]]&lt;&gt;"R002"),AI19-AA19,)</f>
        <v>0</v>
      </c>
      <c r="AM19" s="39" t="s">
        <v>25</v>
      </c>
      <c r="AN19" s="39">
        <v>0</v>
      </c>
      <c r="AO19" s="2">
        <v>118.218352</v>
      </c>
      <c r="AP1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" s="2" t="str">
        <f>IF(AND(Table1[[#This Row],[Cplex MI Cost]]=Table1[[#This Row],[ORTools FZN2 Cost]],Table1[[#This Row],[ORTools FZN2 State]]="Optimal",Table1[[#This Row],[Cplex MI State]]="Suboptimal"),1,"")</f>
        <v/>
      </c>
      <c r="AR19" s="5" t="s">
        <v>42</v>
      </c>
      <c r="AS19" s="2">
        <v>-518481</v>
      </c>
      <c r="AT19" s="2">
        <v>300.08797270000002</v>
      </c>
      <c r="AU19" s="2" t="str">
        <f>IF(AND(Table1[[#This Row],[Z3 SMT2-1 Maxres Cost]]=Table1[[#This Row],[ORTools FZN2 Cost]],Table1[[#This Row],[ORTools FZN2 State]]="Optimal"),1,"")</f>
        <v/>
      </c>
      <c r="AV19" s="39" t="s">
        <v>42</v>
      </c>
      <c r="AW19" s="39">
        <v>-518481</v>
      </c>
      <c r="AX19" s="2">
        <v>300.07697089999999</v>
      </c>
      <c r="AY19" s="2" t="str">
        <f>IF(AND(Table1[[#This Row],[Z3 SMT2-1 PdMaxres Cost]]=Table1[[#This Row],[ORTools FZN2 Cost]],Table1[[#This Row],[ORTools FZN2 State]]="Optimal"),1,"")</f>
        <v/>
      </c>
      <c r="AZ19" s="5" t="s">
        <v>42</v>
      </c>
      <c r="BA19" s="2">
        <v>-518481</v>
      </c>
      <c r="BB19" s="39">
        <v>300.2853963</v>
      </c>
      <c r="BC19" s="39" t="str">
        <f>IF(AND(Table1[[#This Row],[Z3 SMT2-1 WMax Cost]]=Table1[[#This Row],[ORTools FZN2 Cost]],Table1[[#This Row],[ORTools FZN2 State]]="Optimal"),1,"")</f>
        <v/>
      </c>
      <c r="BD19" s="39" t="s">
        <v>42</v>
      </c>
      <c r="BE19" s="39">
        <v>-518481</v>
      </c>
      <c r="BF19" s="2">
        <v>300.07922810000002</v>
      </c>
      <c r="BG19" s="2" t="str">
        <f>IF(AND(Table1[[#This Row],[Z3 SMT2-2 Maxres Cost]]=Table1[[#This Row],[ORTools FZN2 Cost]],Table1[[#This Row],[ORTools FZN2 State]]="Optimal"),1,"")</f>
        <v/>
      </c>
      <c r="BH19" s="5" t="s">
        <v>42</v>
      </c>
      <c r="BI19" s="2">
        <v>-518481</v>
      </c>
      <c r="BJ19" s="39">
        <v>300.08126809999999</v>
      </c>
      <c r="BK19" s="39" t="str">
        <f>IF(AND(Table1[[#This Row],[Z3 SMT2-2 PdMaxres Cost]]=Table1[[#This Row],[ORTools FZN2 Cost]],Table1[[#This Row],[ORTools FZN2 State]]="Optimal"),1,"")</f>
        <v/>
      </c>
      <c r="BL19" s="39" t="s">
        <v>42</v>
      </c>
      <c r="BM19" s="39">
        <v>-518481</v>
      </c>
      <c r="BN19" s="2">
        <v>300.08269239999998</v>
      </c>
      <c r="BO19" s="4" t="str">
        <f>IF(AND(Table1[[#This Row],[Z3 SMT2-2 PdMaxres Cost]]=Table1[[#This Row],[ORTools FZN2 Cost]],Table1[[#This Row],[ORTools FZN2 State]]="Optimal"),1,"")</f>
        <v/>
      </c>
      <c r="BP19" s="5" t="s">
        <v>42</v>
      </c>
      <c r="BQ19" s="2">
        <v>-518481</v>
      </c>
      <c r="BR19" s="2">
        <v>300.1253135</v>
      </c>
      <c r="BS19" s="2" t="str">
        <f>IF(AND(Table1[[#This Row],[Gurobi MB Cost]]=Table1[[#This Row],[ORTools FZN2 Cost]],Table1[[#This Row],[ORTools FZN2 State]]="Optimal",Table1[[#This Row],[Gurobi MB State]]="Suboptimal"),1,"")</f>
        <v/>
      </c>
      <c r="BT1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" s="5" t="s">
        <v>42</v>
      </c>
      <c r="BV19" s="2">
        <v>-518481</v>
      </c>
      <c r="BW19" s="2">
        <v>300.31276480000002</v>
      </c>
      <c r="BX19" s="2" t="str">
        <f>IF(AND(Table1[[#This Row],[Gurobi MD Cost]]=Table1[[#This Row],[ORTools FZN2 Cost]],Table1[[#This Row],[ORTools FZN2 State]]="Optimal",Table1[[#This Row],[Gurobi MD State]]="Suboptimal"),1,"")</f>
        <v/>
      </c>
      <c r="BY1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" s="5" t="s">
        <v>42</v>
      </c>
      <c r="CA19" s="2">
        <v>-518481</v>
      </c>
      <c r="CB19" s="2">
        <v>300.2163018</v>
      </c>
      <c r="CC19" s="2" t="str">
        <f>IF(AND(Table1[[#This Row],[Gurobi MI Cost]]=Table1[[#This Row],[ORTools FZN2 Cost]],Table1[[#This Row],[ORTools FZN2 State]]="Optimal",Table1[[#This Row],[Gurobi MI State]]="Suboptimal"),1,"")</f>
        <v/>
      </c>
      <c r="CD1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" s="39" t="s">
        <v>42</v>
      </c>
      <c r="CF19" s="2">
        <v>-518481</v>
      </c>
      <c r="CG19" s="39">
        <v>306.1355145</v>
      </c>
      <c r="CH19" s="39" t="s">
        <v>42</v>
      </c>
      <c r="CI19" s="39">
        <v>-518481</v>
      </c>
      <c r="CJ19" s="2">
        <v>306.13588579999998</v>
      </c>
      <c r="CK19" s="5" t="s">
        <v>25</v>
      </c>
      <c r="CL19" s="2">
        <v>0</v>
      </c>
      <c r="CM19" s="2">
        <v>2.9249999999999998</v>
      </c>
      <c r="CN19" s="5" t="s">
        <v>25</v>
      </c>
      <c r="CO19" s="2">
        <v>0</v>
      </c>
      <c r="CP19" s="2">
        <v>21.884569200000001</v>
      </c>
      <c r="CQ19" s="5" t="s">
        <v>25</v>
      </c>
      <c r="CR19" s="2">
        <v>0</v>
      </c>
      <c r="CS19" s="2">
        <v>63.177682300000001</v>
      </c>
      <c r="CT19" s="6" t="s">
        <v>25</v>
      </c>
      <c r="CU19" s="4">
        <v>0</v>
      </c>
      <c r="CV19" s="4">
        <v>50.678179800000002</v>
      </c>
      <c r="CW19" s="39" t="s">
        <v>42</v>
      </c>
      <c r="CX19" s="39"/>
      <c r="CY19" s="2">
        <v>300.03100000000001</v>
      </c>
      <c r="CZ19" s="2" t="str">
        <f>IF(AND(Table1[[#This Row],[Cplex MZ1 Cost]]=Table1[[#This Row],[ORTools FZN2 Cost]],Table1[[#This Row],[ORTools FZN2 State]]="Optimal",Table1[[#This Row],[Cplex MZ1 State]]="Suboptimal"),1,"")</f>
        <v/>
      </c>
      <c r="DA19" s="5" t="s">
        <v>42</v>
      </c>
      <c r="DB19" s="2"/>
      <c r="DC19" s="2">
        <v>300.02409999999998</v>
      </c>
      <c r="DD19" s="2" t="str">
        <f>IF(AND(Table1[[#This Row],[Cplex MZ2 Cost]]=Table1[[#This Row],[ORTools FZN2 Cost]],Table1[[#This Row],[ORTools FZN2 State]]="Optimal",Table1[[#This Row],[Cplex MZ2 State]]="Suboptimal"),1,"")</f>
        <v/>
      </c>
      <c r="DE19" s="39" t="s">
        <v>42</v>
      </c>
      <c r="DF19" s="39"/>
      <c r="DG19" s="2">
        <v>300.81830000000002</v>
      </c>
      <c r="DH19" s="2" t="str">
        <f>IF(AND(Table1[[#This Row],[Gurobi MZ1 Cost]]=Table1[[#This Row],[ORTools FZN2 Cost]],Table1[[#This Row],[ORTools FZN2 State]]="Optimal",Table1[[#This Row],[Gurobi MZ1 State]]="Suboptimal"),1,"")</f>
        <v/>
      </c>
      <c r="DI19" s="5" t="s">
        <v>42</v>
      </c>
      <c r="DJ19" s="2"/>
      <c r="DK19" s="2">
        <v>300.03210000000001</v>
      </c>
      <c r="DL19" s="4" t="str">
        <f>IF(AND(Table1[[#This Row],[Gurobi MZ2 Cost]]=Table1[[#This Row],[ORTools FZN2 Cost]],Table1[[#This Row],[ORTools FZN2 State]]="Optimal",Table1[[#This Row],[Gurobi MZ2 State]]="Suboptimal"),1,"")</f>
        <v/>
      </c>
      <c r="DM19" s="39" t="s">
        <v>25</v>
      </c>
      <c r="DN19" s="39">
        <v>0</v>
      </c>
      <c r="DO19" s="65">
        <v>3.2540000000000102</v>
      </c>
      <c r="DP19" s="4" t="str">
        <f>IF(AND(Table1[[#This Row],[Cplex MC nonDual Cost]]=Table1[[#This Row],[ORTools FZN2 Cost]],Table1[[#This Row],[ORTools FZN2 State]]="Optimal",Table1[[#This Row],[Cplex MC nonDual State]]="Suboptimal"),1,"")</f>
        <v/>
      </c>
      <c r="DQ19" s="5" t="s">
        <v>42</v>
      </c>
      <c r="DR19" s="2"/>
      <c r="DS19" s="2">
        <v>300.0136</v>
      </c>
      <c r="DT19" s="2" t="str">
        <f>IF(AND(Table1[[#This Row],[Cplex MIP DM''z Cost]]=Table1[[#This Row],[ORTools FZN2 Cost]],Table1[[#This Row],[ORTools FZN2 State]]="Optimal",Table1[[#This Row],[Cplex MIP DM''z  State]]="Suboptimal"),1,"")</f>
        <v/>
      </c>
      <c r="DU1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" s="5" t="s">
        <v>42</v>
      </c>
      <c r="DW19" s="2"/>
      <c r="DX19" s="2">
        <v>300.00360000000001</v>
      </c>
      <c r="DY19" s="4" t="str">
        <f>IF(AND(Table1[[#This Row],[Gurobi DM''z  Cost]]=Table1[[#This Row],[ORTools FZN2 Cost]],Table1[[#This Row],[ORTools FZN2 State]]="Optimal",Table1[[#This Row],[Gurobi DM''z  State]]="Suboptimal"),1,"")</f>
        <v/>
      </c>
      <c r="DZ1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" spans="1:130" ht="15.75" x14ac:dyDescent="0.25">
      <c r="A20" s="46" t="s">
        <v>44</v>
      </c>
      <c r="B20" s="5">
        <v>80</v>
      </c>
      <c r="C20" s="2">
        <v>40</v>
      </c>
      <c r="D20" s="5">
        <v>398</v>
      </c>
      <c r="E20" s="3">
        <v>74</v>
      </c>
      <c r="F20" s="34">
        <v>210</v>
      </c>
      <c r="G20" s="3">
        <v>40</v>
      </c>
      <c r="H20" s="4">
        <f t="shared" si="0"/>
        <v>0</v>
      </c>
      <c r="I20" s="4">
        <f>Table1[[#This Row],[B]]+Table1[[#This Row],[Atomic Constraints]]+Table1[[#This Row],[Soft Atomic Constraints]]+Table1[[#This Row],[Disjunctive Constraints]]+Table1[[#This Row],[Direct Successors]]</f>
        <v>762</v>
      </c>
      <c r="J20" s="5" t="s">
        <v>26</v>
      </c>
      <c r="K20" s="2">
        <v>17068028</v>
      </c>
      <c r="L20" s="2">
        <v>304.5434113</v>
      </c>
      <c r="M20" s="2" t="str">
        <f>IF(AND(Table1[[#This Row],[Chuffed MZ1 Cost]]=Table1[[#This Row],[ORTools FZN2 Cost]],Table1[[#This Row],[ORTools FZN2 State]]="Optimal",Table1[[#This Row],[Chuffed MZ1 State]]="Suboptimal"),1,"")</f>
        <v/>
      </c>
      <c r="N20" s="5" t="s">
        <v>26</v>
      </c>
      <c r="O20" s="2">
        <v>17033225</v>
      </c>
      <c r="P20" s="2">
        <v>304.29470400000002</v>
      </c>
      <c r="Q20" s="2" t="str">
        <f>IF(AND(Table1[[#This Row],[Chuffed MZ2 Cost]]=Table1[[#This Row],[ORTools FZN2 Cost]],Table1[[#This Row],[ORTools FZN2 State]]="Optimal",Table1[[#This Row],[Chuffed MZ2 State]]="Suboptimal"),1,"")</f>
        <v/>
      </c>
      <c r="R20" s="6" t="s">
        <v>25</v>
      </c>
      <c r="S20" s="4">
        <v>0</v>
      </c>
      <c r="T20" s="4">
        <v>3.1669999999999998</v>
      </c>
      <c r="U20" s="4"/>
      <c r="V20" s="5" t="s">
        <v>25</v>
      </c>
      <c r="W20" s="2">
        <v>0</v>
      </c>
      <c r="X20" s="2">
        <v>142.799353</v>
      </c>
      <c r="Y20" s="2" t="str">
        <f>IF(AND(Table1[[#This Row],[ORTools FZN1 Cost]]=Table1[[#This Row],[ORTools FZN2 Cost]],Table1[[#This Row],[ORTools FZN2 State]]="Optimal",Table1[[#This Row],[ORTools FZN1 State]]="Suboptimal"),1,"")</f>
        <v/>
      </c>
      <c r="Z20" s="5" t="s">
        <v>25</v>
      </c>
      <c r="AA20" s="2">
        <v>0</v>
      </c>
      <c r="AB20" s="2">
        <v>139.6115954</v>
      </c>
      <c r="AC20" s="39" t="s">
        <v>42</v>
      </c>
      <c r="AD20" s="39">
        <v>-518481</v>
      </c>
      <c r="AE20" s="2">
        <v>300.17874</v>
      </c>
      <c r="AF20" s="2" t="str">
        <f>IF(AND(Table1[[#This Row],[Cplex MB Cost]]=Table1[[#This Row],[ORTools FZN2 Cost]],Table1[[#This Row],[ORTools FZN2 State]]="Optimal",Table1[[#This Row],[Cplex MB State]]="Suboptimal"),1,"")</f>
        <v/>
      </c>
      <c r="AG20" s="4">
        <f>IF(AND(AC20="Optimal",AD20&lt;&gt;AA20,Table1[[#This Row],[Example]]&lt;&gt;"R001",Table1[[#This Row],[Example]]&lt;&gt;"R002"),AD20-AA20,)</f>
        <v>0</v>
      </c>
      <c r="AH20" s="5" t="s">
        <v>42</v>
      </c>
      <c r="AI20" s="2">
        <v>-518481</v>
      </c>
      <c r="AJ20" s="2">
        <v>300.35948569999999</v>
      </c>
      <c r="AK20" s="2" t="str">
        <f>IF(AND(Table1[[#This Row],[Cplex MD Cost]]=Table1[[#This Row],[ORTools FZN2 Cost]],Table1[[#This Row],[ORTools FZN2 State]]="Optimal",Table1[[#This Row],[Cplex MD State]]="Suboptimal"),1,"")</f>
        <v/>
      </c>
      <c r="AL20" s="4">
        <f>IF(AND(AH20="Optimal",AI20&lt;&gt;AA20,Table1[[#This Row],[Example]]&lt;&gt;"R001",Table1[[#This Row],[Example]]&lt;&gt;"R002"),AI20-AA20,)</f>
        <v>0</v>
      </c>
      <c r="AM20" s="39" t="s">
        <v>26</v>
      </c>
      <c r="AN20" s="39">
        <v>3085603</v>
      </c>
      <c r="AO20" s="2">
        <v>300.13371810000001</v>
      </c>
      <c r="AP2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" s="4" t="str">
        <f>IF(AND(Table1[[#This Row],[Cplex MI Cost]]=Table1[[#This Row],[ORTools FZN2 Cost]],Table1[[#This Row],[ORTools FZN2 State]]="Optimal",Table1[[#This Row],[Cplex MI State]]="Suboptimal"),1,"")</f>
        <v/>
      </c>
      <c r="AR20" s="5" t="s">
        <v>42</v>
      </c>
      <c r="AS20" s="2">
        <v>-518481</v>
      </c>
      <c r="AT20" s="2">
        <v>300.08815909999998</v>
      </c>
      <c r="AU20" s="2" t="str">
        <f>IF(AND(Table1[[#This Row],[Z3 SMT2-1 Maxres Cost]]=Table1[[#This Row],[ORTools FZN2 Cost]],Table1[[#This Row],[ORTools FZN2 State]]="Optimal"),1,"")</f>
        <v/>
      </c>
      <c r="AV20" s="39" t="s">
        <v>42</v>
      </c>
      <c r="AW20" s="39">
        <v>-518481</v>
      </c>
      <c r="AX20" s="2">
        <v>300.09043919999999</v>
      </c>
      <c r="AY20" s="2" t="str">
        <f>IF(AND(Table1[[#This Row],[Z3 SMT2-1 PdMaxres Cost]]=Table1[[#This Row],[ORTools FZN2 Cost]],Table1[[#This Row],[ORTools FZN2 State]]="Optimal"),1,"")</f>
        <v/>
      </c>
      <c r="AZ20" s="5" t="s">
        <v>42</v>
      </c>
      <c r="BA20" s="2">
        <v>-518481</v>
      </c>
      <c r="BB20" s="39">
        <v>300.20697080000002</v>
      </c>
      <c r="BC20" s="39" t="str">
        <f>IF(AND(Table1[[#This Row],[Z3 SMT2-1 WMax Cost]]=Table1[[#This Row],[ORTools FZN2 Cost]],Table1[[#This Row],[ORTools FZN2 State]]="Optimal"),1,"")</f>
        <v/>
      </c>
      <c r="BD20" s="39" t="s">
        <v>42</v>
      </c>
      <c r="BE20" s="39">
        <v>-518481</v>
      </c>
      <c r="BF20" s="2">
        <v>300.09233119999999</v>
      </c>
      <c r="BG20" s="2" t="str">
        <f>IF(AND(Table1[[#This Row],[Z3 SMT2-2 Maxres Cost]]=Table1[[#This Row],[ORTools FZN2 Cost]],Table1[[#This Row],[ORTools FZN2 State]]="Optimal"),1,"")</f>
        <v/>
      </c>
      <c r="BH20" s="5" t="s">
        <v>42</v>
      </c>
      <c r="BI20" s="2">
        <v>-518481</v>
      </c>
      <c r="BJ20" s="39">
        <v>300.09232880000002</v>
      </c>
      <c r="BK20" s="39" t="str">
        <f>IF(AND(Table1[[#This Row],[Z3 SMT2-2 PdMaxres Cost]]=Table1[[#This Row],[ORTools FZN2 Cost]],Table1[[#This Row],[ORTools FZN2 State]]="Optimal"),1,"")</f>
        <v/>
      </c>
      <c r="BL20" s="39" t="s">
        <v>42</v>
      </c>
      <c r="BM20" s="39">
        <v>-518481</v>
      </c>
      <c r="BN20" s="2">
        <v>300.07467910000003</v>
      </c>
      <c r="BO20" s="4" t="str">
        <f>IF(AND(Table1[[#This Row],[Z3 SMT2-2 PdMaxres Cost]]=Table1[[#This Row],[ORTools FZN2 Cost]],Table1[[#This Row],[ORTools FZN2 State]]="Optimal"),1,"")</f>
        <v/>
      </c>
      <c r="BP20" s="5" t="s">
        <v>42</v>
      </c>
      <c r="BQ20" s="2">
        <v>-518481</v>
      </c>
      <c r="BR20" s="2">
        <v>300.3591131</v>
      </c>
      <c r="BS20" s="2" t="str">
        <f>IF(AND(Table1[[#This Row],[Gurobi MB Cost]]=Table1[[#This Row],[ORTools FZN2 Cost]],Table1[[#This Row],[ORTools FZN2 State]]="Optimal",Table1[[#This Row],[Gurobi MB State]]="Suboptimal"),1,"")</f>
        <v/>
      </c>
      <c r="BT2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" s="5" t="s">
        <v>42</v>
      </c>
      <c r="BV20" s="2">
        <v>-518481</v>
      </c>
      <c r="BW20" s="2">
        <v>300.1202619</v>
      </c>
      <c r="BX20" s="2" t="str">
        <f>IF(AND(Table1[[#This Row],[Gurobi MD Cost]]=Table1[[#This Row],[ORTools FZN2 Cost]],Table1[[#This Row],[ORTools FZN2 State]]="Optimal",Table1[[#This Row],[Gurobi MD State]]="Suboptimal"),1,"")</f>
        <v/>
      </c>
      <c r="BY2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" s="5" t="s">
        <v>42</v>
      </c>
      <c r="CA20" s="2">
        <v>-518481</v>
      </c>
      <c r="CB20" s="2">
        <v>300.21463599999998</v>
      </c>
      <c r="CC20" s="2" t="str">
        <f>IF(AND(Table1[[#This Row],[Gurobi MI Cost]]=Table1[[#This Row],[ORTools FZN2 Cost]],Table1[[#This Row],[ORTools FZN2 State]]="Optimal",Table1[[#This Row],[Gurobi MI State]]="Suboptimal"),1,"")</f>
        <v/>
      </c>
      <c r="CD2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" s="39" t="s">
        <v>42</v>
      </c>
      <c r="CF20" s="2">
        <v>-518481</v>
      </c>
      <c r="CG20" s="39">
        <v>306.19666590000003</v>
      </c>
      <c r="CH20" s="39" t="s">
        <v>42</v>
      </c>
      <c r="CI20" s="39">
        <v>-518481</v>
      </c>
      <c r="CJ20" s="2">
        <v>306.21208369999999</v>
      </c>
      <c r="CK20" s="5" t="s">
        <v>25</v>
      </c>
      <c r="CL20" s="2">
        <v>0</v>
      </c>
      <c r="CM20" s="2">
        <v>8.7899999999999991</v>
      </c>
      <c r="CN20" s="5" t="s">
        <v>26</v>
      </c>
      <c r="CO20" s="2">
        <v>15973315</v>
      </c>
      <c r="CP20" s="2">
        <v>304.25213860000002</v>
      </c>
      <c r="CQ20" s="5" t="s">
        <v>25</v>
      </c>
      <c r="CR20" s="2">
        <v>0</v>
      </c>
      <c r="CS20" s="2">
        <v>138.19266719999999</v>
      </c>
      <c r="CT20" s="6" t="s">
        <v>25</v>
      </c>
      <c r="CU20" s="4">
        <v>0</v>
      </c>
      <c r="CV20" s="4">
        <v>51.690929500000003</v>
      </c>
      <c r="CW20" s="39" t="s">
        <v>42</v>
      </c>
      <c r="CX20" s="39"/>
      <c r="CY20" s="2">
        <v>300.05500000000001</v>
      </c>
      <c r="CZ20" s="2" t="str">
        <f>IF(AND(Table1[[#This Row],[Cplex MZ1 Cost]]=Table1[[#This Row],[ORTools FZN2 Cost]],Table1[[#This Row],[ORTools FZN2 State]]="Optimal",Table1[[#This Row],[Cplex MZ1 State]]="Suboptimal"),1,"")</f>
        <v/>
      </c>
      <c r="DA20" s="5" t="s">
        <v>42</v>
      </c>
      <c r="DB20" s="2"/>
      <c r="DC20" s="2">
        <v>300.03440000000001</v>
      </c>
      <c r="DD20" s="2" t="str">
        <f>IF(AND(Table1[[#This Row],[Cplex MZ2 Cost]]=Table1[[#This Row],[ORTools FZN2 Cost]],Table1[[#This Row],[ORTools FZN2 State]]="Optimal",Table1[[#This Row],[Cplex MZ2 State]]="Suboptimal"),1,"")</f>
        <v/>
      </c>
      <c r="DE20" s="39" t="s">
        <v>42</v>
      </c>
      <c r="DF20" s="39"/>
      <c r="DG20" s="2">
        <v>300.00790000000001</v>
      </c>
      <c r="DH20" s="2" t="str">
        <f>IF(AND(Table1[[#This Row],[Gurobi MZ1 Cost]]=Table1[[#This Row],[ORTools FZN2 Cost]],Table1[[#This Row],[ORTools FZN2 State]]="Optimal",Table1[[#This Row],[Gurobi MZ1 State]]="Suboptimal"),1,"")</f>
        <v/>
      </c>
      <c r="DI20" s="5" t="s">
        <v>42</v>
      </c>
      <c r="DJ20" s="2"/>
      <c r="DK20" s="2">
        <v>300.00650000000002</v>
      </c>
      <c r="DL20" s="4" t="str">
        <f>IF(AND(Table1[[#This Row],[Gurobi MZ2 Cost]]=Table1[[#This Row],[ORTools FZN2 Cost]],Table1[[#This Row],[ORTools FZN2 State]]="Optimal",Table1[[#This Row],[Gurobi MZ2 State]]="Suboptimal"),1,"")</f>
        <v/>
      </c>
      <c r="DM20" s="39" t="s">
        <v>25</v>
      </c>
      <c r="DN20" s="39">
        <v>0</v>
      </c>
      <c r="DO20" s="65">
        <v>16.71</v>
      </c>
      <c r="DP20" s="4" t="str">
        <f>IF(AND(Table1[[#This Row],[Cplex MC nonDual Cost]]=Table1[[#This Row],[ORTools FZN2 Cost]],Table1[[#This Row],[ORTools FZN2 State]]="Optimal",Table1[[#This Row],[Cplex MC nonDual State]]="Suboptimal"),1,"")</f>
        <v/>
      </c>
      <c r="DQ20" s="5" t="s">
        <v>42</v>
      </c>
      <c r="DR20" s="2"/>
      <c r="DS20" s="2">
        <v>300.03019999999998</v>
      </c>
      <c r="DT20" s="2" t="str">
        <f>IF(AND(Table1[[#This Row],[Cplex MIP DM''z Cost]]=Table1[[#This Row],[ORTools FZN2 Cost]],Table1[[#This Row],[ORTools FZN2 State]]="Optimal",Table1[[#This Row],[Cplex MIP DM''z  State]]="Suboptimal"),1,"")</f>
        <v/>
      </c>
      <c r="DU2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" s="5" t="s">
        <v>42</v>
      </c>
      <c r="DW20" s="2"/>
      <c r="DX20" s="2">
        <v>300.01589999999999</v>
      </c>
      <c r="DY20" s="4" t="str">
        <f>IF(AND(Table1[[#This Row],[Gurobi DM''z  Cost]]=Table1[[#This Row],[ORTools FZN2 Cost]],Table1[[#This Row],[ORTools FZN2 State]]="Optimal",Table1[[#This Row],[Gurobi DM''z  State]]="Suboptimal"),1,"")</f>
        <v/>
      </c>
      <c r="DZ2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" spans="1:130" ht="15.75" x14ac:dyDescent="0.25">
      <c r="A21" s="46" t="s">
        <v>45</v>
      </c>
      <c r="B21" s="5">
        <v>80</v>
      </c>
      <c r="C21" s="2">
        <v>40</v>
      </c>
      <c r="D21" s="5">
        <v>370</v>
      </c>
      <c r="E21" s="3">
        <v>74</v>
      </c>
      <c r="F21" s="34">
        <v>195</v>
      </c>
      <c r="G21" s="3">
        <v>40</v>
      </c>
      <c r="H21" s="4">
        <f t="shared" si="0"/>
        <v>0</v>
      </c>
      <c r="I21" s="4">
        <f>Table1[[#This Row],[B]]+Table1[[#This Row],[Atomic Constraints]]+Table1[[#This Row],[Soft Atomic Constraints]]+Table1[[#This Row],[Disjunctive Constraints]]+Table1[[#This Row],[Direct Successors]]</f>
        <v>719</v>
      </c>
      <c r="J21" s="5" t="s">
        <v>26</v>
      </c>
      <c r="K21" s="2">
        <v>16031237</v>
      </c>
      <c r="L21" s="2">
        <v>304.58624150000003</v>
      </c>
      <c r="M21" s="2" t="str">
        <f>IF(AND(Table1[[#This Row],[Chuffed MZ1 Cost]]=Table1[[#This Row],[ORTools FZN2 Cost]],Table1[[#This Row],[ORTools FZN2 State]]="Optimal",Table1[[#This Row],[Chuffed MZ1 State]]="Suboptimal"),1,"")</f>
        <v/>
      </c>
      <c r="N21" s="5" t="s">
        <v>26</v>
      </c>
      <c r="O21" s="2">
        <v>17566362</v>
      </c>
      <c r="P21" s="2">
        <v>304.42917010000002</v>
      </c>
      <c r="Q21" s="2" t="str">
        <f>IF(AND(Table1[[#This Row],[Chuffed MZ2 Cost]]=Table1[[#This Row],[ORTools FZN2 Cost]],Table1[[#This Row],[ORTools FZN2 State]]="Optimal",Table1[[#This Row],[Chuffed MZ2 State]]="Suboptimal"),1,"")</f>
        <v/>
      </c>
      <c r="R21" s="11" t="s">
        <v>26</v>
      </c>
      <c r="S21" s="11">
        <v>38</v>
      </c>
      <c r="T21" s="11">
        <v>300.08800000000002</v>
      </c>
      <c r="U21" s="11">
        <v>1</v>
      </c>
      <c r="V21" s="5" t="s">
        <v>25</v>
      </c>
      <c r="W21" s="2">
        <v>38</v>
      </c>
      <c r="X21" s="2">
        <v>132.33558529999999</v>
      </c>
      <c r="Y21" s="2" t="str">
        <f>IF(AND(Table1[[#This Row],[ORTools FZN1 Cost]]=Table1[[#This Row],[ORTools FZN2 Cost]],Table1[[#This Row],[ORTools FZN2 State]]="Optimal",Table1[[#This Row],[ORTools FZN1 State]]="Suboptimal"),1,"")</f>
        <v/>
      </c>
      <c r="Z21" s="5" t="s">
        <v>25</v>
      </c>
      <c r="AA21" s="2">
        <v>38</v>
      </c>
      <c r="AB21" s="2">
        <v>192.79540710000001</v>
      </c>
      <c r="AC21" s="39" t="s">
        <v>42</v>
      </c>
      <c r="AD21" s="39">
        <v>-518481</v>
      </c>
      <c r="AE21" s="2">
        <v>300.16255990000002</v>
      </c>
      <c r="AF21" s="2" t="str">
        <f>IF(AND(Table1[[#This Row],[Cplex MB Cost]]=Table1[[#This Row],[ORTools FZN2 Cost]],Table1[[#This Row],[ORTools FZN2 State]]="Optimal",Table1[[#This Row],[Cplex MB State]]="Suboptimal"),1,"")</f>
        <v/>
      </c>
      <c r="AG21" s="4">
        <f>IF(AND(AC21="Optimal",AD21&lt;&gt;AA21,Table1[[#This Row],[Example]]&lt;&gt;"R001",Table1[[#This Row],[Example]]&lt;&gt;"R002"),AD21-AA21,)</f>
        <v>0</v>
      </c>
      <c r="AH21" s="5" t="s">
        <v>42</v>
      </c>
      <c r="AI21" s="2">
        <v>-518481</v>
      </c>
      <c r="AJ21" s="2">
        <v>300.21612649999997</v>
      </c>
      <c r="AK21" s="2" t="str">
        <f>IF(AND(Table1[[#This Row],[Cplex MD Cost]]=Table1[[#This Row],[ORTools FZN2 Cost]],Table1[[#This Row],[ORTools FZN2 State]]="Optimal",Table1[[#This Row],[Cplex MD State]]="Suboptimal"),1,"")</f>
        <v/>
      </c>
      <c r="AL21" s="2">
        <f>IF(AND(AH21="Optimal",AI21&lt;&gt;AA21,Table1[[#This Row],[Example]]&lt;&gt;"R001",Table1[[#This Row],[Example]]&lt;&gt;"R002"),AI21-AA21,)</f>
        <v>0</v>
      </c>
      <c r="AM21" s="39" t="s">
        <v>26</v>
      </c>
      <c r="AN21" s="39">
        <v>4109399</v>
      </c>
      <c r="AO21" s="2">
        <v>300.13323129999998</v>
      </c>
      <c r="AP2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" s="2" t="str">
        <f>IF(AND(Table1[[#This Row],[Cplex MI Cost]]=Table1[[#This Row],[ORTools FZN2 Cost]],Table1[[#This Row],[ORTools FZN2 State]]="Optimal",Table1[[#This Row],[Cplex MI State]]="Suboptimal"),1,"")</f>
        <v/>
      </c>
      <c r="AR21" s="5" t="s">
        <v>42</v>
      </c>
      <c r="AS21" s="2">
        <v>-518481</v>
      </c>
      <c r="AT21" s="2">
        <v>300.09431979999999</v>
      </c>
      <c r="AU21" s="2" t="str">
        <f>IF(AND(Table1[[#This Row],[Z3 SMT2-1 Maxres Cost]]=Table1[[#This Row],[ORTools FZN2 Cost]],Table1[[#This Row],[ORTools FZN2 State]]="Optimal"),1,"")</f>
        <v/>
      </c>
      <c r="AV21" s="39" t="s">
        <v>42</v>
      </c>
      <c r="AW21" s="39">
        <v>-518481</v>
      </c>
      <c r="AX21" s="2">
        <v>300.08528180000002</v>
      </c>
      <c r="AY21" s="2" t="str">
        <f>IF(AND(Table1[[#This Row],[Z3 SMT2-1 PdMaxres Cost]]=Table1[[#This Row],[ORTools FZN2 Cost]],Table1[[#This Row],[ORTools FZN2 State]]="Optimal"),1,"")</f>
        <v/>
      </c>
      <c r="AZ21" s="5" t="s">
        <v>42</v>
      </c>
      <c r="BA21" s="2">
        <v>-518481</v>
      </c>
      <c r="BB21" s="39">
        <v>300.21051169999998</v>
      </c>
      <c r="BC21" s="39" t="str">
        <f>IF(AND(Table1[[#This Row],[Z3 SMT2-1 WMax Cost]]=Table1[[#This Row],[ORTools FZN2 Cost]],Table1[[#This Row],[ORTools FZN2 State]]="Optimal"),1,"")</f>
        <v/>
      </c>
      <c r="BD21" s="39" t="s">
        <v>42</v>
      </c>
      <c r="BE21" s="39">
        <v>-518481</v>
      </c>
      <c r="BF21" s="2">
        <v>300.08632999999998</v>
      </c>
      <c r="BG21" s="2" t="str">
        <f>IF(AND(Table1[[#This Row],[Z3 SMT2-2 Maxres Cost]]=Table1[[#This Row],[ORTools FZN2 Cost]],Table1[[#This Row],[ORTools FZN2 State]]="Optimal"),1,"")</f>
        <v/>
      </c>
      <c r="BH21" s="5" t="s">
        <v>42</v>
      </c>
      <c r="BI21" s="2">
        <v>-518481</v>
      </c>
      <c r="BJ21" s="39">
        <v>300.0729043</v>
      </c>
      <c r="BK21" s="39" t="str">
        <f>IF(AND(Table1[[#This Row],[Z3 SMT2-2 PdMaxres Cost]]=Table1[[#This Row],[ORTools FZN2 Cost]],Table1[[#This Row],[ORTools FZN2 State]]="Optimal"),1,"")</f>
        <v/>
      </c>
      <c r="BL21" s="39" t="s">
        <v>42</v>
      </c>
      <c r="BM21" s="39">
        <v>-518481</v>
      </c>
      <c r="BN21" s="2">
        <v>300.08000379999999</v>
      </c>
      <c r="BO21" s="4" t="str">
        <f>IF(AND(Table1[[#This Row],[Z3 SMT2-2 PdMaxres Cost]]=Table1[[#This Row],[ORTools FZN2 Cost]],Table1[[#This Row],[ORTools FZN2 State]]="Optimal"),1,"")</f>
        <v/>
      </c>
      <c r="BP21" s="5" t="s">
        <v>42</v>
      </c>
      <c r="BQ21" s="2">
        <v>-518481</v>
      </c>
      <c r="BR21" s="2">
        <v>300.22201319999999</v>
      </c>
      <c r="BS21" s="2" t="str">
        <f>IF(AND(Table1[[#This Row],[Gurobi MB Cost]]=Table1[[#This Row],[ORTools FZN2 Cost]],Table1[[#This Row],[ORTools FZN2 State]]="Optimal",Table1[[#This Row],[Gurobi MB State]]="Suboptimal"),1,"")</f>
        <v/>
      </c>
      <c r="BT2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" s="5" t="s">
        <v>42</v>
      </c>
      <c r="BV21" s="2">
        <v>-518481</v>
      </c>
      <c r="BW21" s="2">
        <v>300.2356537</v>
      </c>
      <c r="BX21" s="2" t="str">
        <f>IF(AND(Table1[[#This Row],[Gurobi MD Cost]]=Table1[[#This Row],[ORTools FZN2 Cost]],Table1[[#This Row],[ORTools FZN2 State]]="Optimal",Table1[[#This Row],[Gurobi MD State]]="Suboptimal"),1,"")</f>
        <v/>
      </c>
      <c r="BY2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" s="5" t="s">
        <v>42</v>
      </c>
      <c r="CA21" s="2">
        <v>-518481</v>
      </c>
      <c r="CB21" s="2">
        <v>300.20788240000002</v>
      </c>
      <c r="CC21" s="2" t="str">
        <f>IF(AND(Table1[[#This Row],[Gurobi MI Cost]]=Table1[[#This Row],[ORTools FZN2 Cost]],Table1[[#This Row],[ORTools FZN2 State]]="Optimal",Table1[[#This Row],[Gurobi MI State]]="Suboptimal"),1,"")</f>
        <v/>
      </c>
      <c r="CD2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" s="39" t="s">
        <v>42</v>
      </c>
      <c r="CF21" s="2">
        <v>-518481</v>
      </c>
      <c r="CG21" s="39">
        <v>306.22143820000002</v>
      </c>
      <c r="CH21" s="39" t="s">
        <v>42</v>
      </c>
      <c r="CI21" s="39">
        <v>-518481</v>
      </c>
      <c r="CJ21" s="2">
        <v>306.16500930000001</v>
      </c>
      <c r="CK21" s="5" t="s">
        <v>26</v>
      </c>
      <c r="CL21" s="2">
        <v>38</v>
      </c>
      <c r="CM21" s="2">
        <v>300.20999999999998</v>
      </c>
      <c r="CN21" s="5" t="s">
        <v>26</v>
      </c>
      <c r="CO21" s="2">
        <v>16535087</v>
      </c>
      <c r="CP21" s="2">
        <v>304.3016149</v>
      </c>
      <c r="CQ21" s="5" t="s">
        <v>25</v>
      </c>
      <c r="CR21" s="2">
        <v>38</v>
      </c>
      <c r="CS21" s="2">
        <v>174.1133888</v>
      </c>
      <c r="CT21" s="6" t="s">
        <v>25</v>
      </c>
      <c r="CU21" s="4">
        <v>38</v>
      </c>
      <c r="CV21" s="4">
        <v>63.049085599999998</v>
      </c>
      <c r="CW21" s="39" t="s">
        <v>42</v>
      </c>
      <c r="CX21" s="39"/>
      <c r="CY21" s="2">
        <v>300.07380000000001</v>
      </c>
      <c r="CZ21" s="2" t="str">
        <f>IF(AND(Table1[[#This Row],[Cplex MZ1 Cost]]=Table1[[#This Row],[ORTools FZN2 Cost]],Table1[[#This Row],[ORTools FZN2 State]]="Optimal",Table1[[#This Row],[Cplex MZ1 State]]="Suboptimal"),1,"")</f>
        <v/>
      </c>
      <c r="DA21" s="5" t="s">
        <v>42</v>
      </c>
      <c r="DB21" s="2"/>
      <c r="DC21" s="2">
        <v>300.04149999999998</v>
      </c>
      <c r="DD21" s="2" t="str">
        <f>IF(AND(Table1[[#This Row],[Cplex MZ2 Cost]]=Table1[[#This Row],[ORTools FZN2 Cost]],Table1[[#This Row],[ORTools FZN2 State]]="Optimal",Table1[[#This Row],[Cplex MZ2 State]]="Suboptimal"),1,"")</f>
        <v/>
      </c>
      <c r="DE21" s="39" t="s">
        <v>42</v>
      </c>
      <c r="DF21" s="39"/>
      <c r="DG21" s="2">
        <v>300.00729999999999</v>
      </c>
      <c r="DH21" s="2" t="str">
        <f>IF(AND(Table1[[#This Row],[Gurobi MZ1 Cost]]=Table1[[#This Row],[ORTools FZN2 Cost]],Table1[[#This Row],[ORTools FZN2 State]]="Optimal",Table1[[#This Row],[Gurobi MZ1 State]]="Suboptimal"),1,"")</f>
        <v/>
      </c>
      <c r="DI21" s="5" t="s">
        <v>42</v>
      </c>
      <c r="DJ21" s="2"/>
      <c r="DK21" s="2">
        <v>300.01330000000002</v>
      </c>
      <c r="DL21" s="4" t="str">
        <f>IF(AND(Table1[[#This Row],[Gurobi MZ2 Cost]]=Table1[[#This Row],[ORTools FZN2 Cost]],Table1[[#This Row],[ORTools FZN2 State]]="Optimal",Table1[[#This Row],[Gurobi MZ2 State]]="Suboptimal"),1,"")</f>
        <v/>
      </c>
      <c r="DM21" s="39" t="s">
        <v>26</v>
      </c>
      <c r="DN21" s="12">
        <v>38</v>
      </c>
      <c r="DO21" s="69">
        <v>300.30699999999899</v>
      </c>
      <c r="DP21" s="11">
        <f>IF(AND(Table1[[#This Row],[Cplex MC nonDual Cost]]=Table1[[#This Row],[ORTools FZN2 Cost]],Table1[[#This Row],[ORTools FZN2 State]]="Optimal",Table1[[#This Row],[Cplex MC nonDual State]]="Suboptimal"),1,"")</f>
        <v>1</v>
      </c>
      <c r="DQ21" s="5" t="s">
        <v>42</v>
      </c>
      <c r="DR21" s="2"/>
      <c r="DS21" s="2">
        <v>300.13630000000001</v>
      </c>
      <c r="DT21" s="2" t="str">
        <f>IF(AND(Table1[[#This Row],[Cplex MIP DM''z Cost]]=Table1[[#This Row],[ORTools FZN2 Cost]],Table1[[#This Row],[ORTools FZN2 State]]="Optimal",Table1[[#This Row],[Cplex MIP DM''z  State]]="Suboptimal"),1,"")</f>
        <v/>
      </c>
      <c r="DU2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" s="5" t="s">
        <v>42</v>
      </c>
      <c r="DW21" s="2"/>
      <c r="DX21" s="2">
        <v>299.99419999999998</v>
      </c>
      <c r="DY21" s="4" t="str">
        <f>IF(AND(Table1[[#This Row],[Gurobi DM''z  Cost]]=Table1[[#This Row],[ORTools FZN2 Cost]],Table1[[#This Row],[ORTools FZN2 State]]="Optimal",Table1[[#This Row],[Gurobi DM''z  State]]="Suboptimal"),1,"")</f>
        <v/>
      </c>
      <c r="DZ2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" spans="1:130" ht="15.75" x14ac:dyDescent="0.25">
      <c r="A22" s="46" t="s">
        <v>46</v>
      </c>
      <c r="B22" s="5">
        <v>80</v>
      </c>
      <c r="C22" s="2">
        <v>40</v>
      </c>
      <c r="D22" s="5">
        <v>370</v>
      </c>
      <c r="E22" s="3">
        <v>74</v>
      </c>
      <c r="F22" s="34">
        <v>195</v>
      </c>
      <c r="G22" s="3">
        <v>40</v>
      </c>
      <c r="H22" s="4">
        <f t="shared" si="0"/>
        <v>0</v>
      </c>
      <c r="I22" s="4">
        <f>Table1[[#This Row],[B]]+Table1[[#This Row],[Atomic Constraints]]+Table1[[#This Row],[Soft Atomic Constraints]]+Table1[[#This Row],[Disjunctive Constraints]]+Table1[[#This Row],[Direct Successors]]</f>
        <v>719</v>
      </c>
      <c r="J22" s="5" t="s">
        <v>26</v>
      </c>
      <c r="K22" s="2">
        <v>16543469</v>
      </c>
      <c r="L22" s="2">
        <v>304.51215919999999</v>
      </c>
      <c r="M22" s="2" t="str">
        <f>IF(AND(Table1[[#This Row],[Chuffed MZ1 Cost]]=Table1[[#This Row],[ORTools FZN2 Cost]],Table1[[#This Row],[ORTools FZN2 State]]="Optimal",Table1[[#This Row],[Chuffed MZ1 State]]="Suboptimal"),1,"")</f>
        <v/>
      </c>
      <c r="N22" s="5" t="s">
        <v>26</v>
      </c>
      <c r="O22" s="2">
        <v>14975873</v>
      </c>
      <c r="P22" s="2">
        <v>304.38355300000001</v>
      </c>
      <c r="Q22" s="2" t="str">
        <f>IF(AND(Table1[[#This Row],[Chuffed MZ2 Cost]]=Table1[[#This Row],[ORTools FZN2 Cost]],Table1[[#This Row],[ORTools FZN2 State]]="Optimal",Table1[[#This Row],[Chuffed MZ2 State]]="Suboptimal"),1,"")</f>
        <v/>
      </c>
      <c r="R22" s="12" t="s">
        <v>26</v>
      </c>
      <c r="S22" s="12">
        <v>38</v>
      </c>
      <c r="T22" s="12">
        <v>300.113</v>
      </c>
      <c r="U22" s="12">
        <v>1</v>
      </c>
      <c r="V22" s="5" t="s">
        <v>25</v>
      </c>
      <c r="W22" s="2">
        <v>38</v>
      </c>
      <c r="X22" s="2">
        <v>170.55154060000001</v>
      </c>
      <c r="Y22" s="2" t="str">
        <f>IF(AND(Table1[[#This Row],[ORTools FZN1 Cost]]=Table1[[#This Row],[ORTools FZN2 Cost]],Table1[[#This Row],[ORTools FZN2 State]]="Optimal",Table1[[#This Row],[ORTools FZN1 State]]="Suboptimal"),1,"")</f>
        <v/>
      </c>
      <c r="Z22" s="5" t="s">
        <v>25</v>
      </c>
      <c r="AA22" s="2">
        <v>38</v>
      </c>
      <c r="AB22" s="2">
        <v>135.1147766</v>
      </c>
      <c r="AC22" s="39" t="s">
        <v>42</v>
      </c>
      <c r="AD22" s="39">
        <v>-518481</v>
      </c>
      <c r="AE22" s="2">
        <v>300.14827630000002</v>
      </c>
      <c r="AF22" s="2" t="str">
        <f>IF(AND(Table1[[#This Row],[Cplex MB Cost]]=Table1[[#This Row],[ORTools FZN2 Cost]],Table1[[#This Row],[ORTools FZN2 State]]="Optimal",Table1[[#This Row],[Cplex MB State]]="Suboptimal"),1,"")</f>
        <v/>
      </c>
      <c r="AG22" s="4">
        <f>IF(AND(AC22="Optimal",AD22&lt;&gt;AA22,Table1[[#This Row],[Example]]&lt;&gt;"R001",Table1[[#This Row],[Example]]&lt;&gt;"R002"),AD22-AA22,)</f>
        <v>0</v>
      </c>
      <c r="AH22" s="5" t="s">
        <v>42</v>
      </c>
      <c r="AI22" s="2">
        <v>-518481</v>
      </c>
      <c r="AJ22" s="2">
        <v>300.33685530000002</v>
      </c>
      <c r="AK22" s="2" t="str">
        <f>IF(AND(Table1[[#This Row],[Cplex MD Cost]]=Table1[[#This Row],[ORTools FZN2 Cost]],Table1[[#This Row],[ORTools FZN2 State]]="Optimal",Table1[[#This Row],[Cplex MD State]]="Suboptimal"),1,"")</f>
        <v/>
      </c>
      <c r="AL22" s="4">
        <f>IF(AND(AH22="Optimal",AI22&lt;&gt;AA22,Table1[[#This Row],[Example]]&lt;&gt;"R001",Table1[[#This Row],[Example]]&lt;&gt;"R002"),AI22-AA22,)</f>
        <v>0</v>
      </c>
      <c r="AM22" s="39" t="s">
        <v>25</v>
      </c>
      <c r="AN22" s="39">
        <v>38</v>
      </c>
      <c r="AO22" s="2">
        <v>150.63486839999999</v>
      </c>
      <c r="AP2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" s="4" t="str">
        <f>IF(AND(Table1[[#This Row],[Cplex MI Cost]]=Table1[[#This Row],[ORTools FZN2 Cost]],Table1[[#This Row],[ORTools FZN2 State]]="Optimal",Table1[[#This Row],[Cplex MI State]]="Suboptimal"),1,"")</f>
        <v/>
      </c>
      <c r="AR22" s="5" t="s">
        <v>42</v>
      </c>
      <c r="AS22" s="2">
        <v>-518481</v>
      </c>
      <c r="AT22" s="2">
        <v>300.09535770000002</v>
      </c>
      <c r="AU22" s="2" t="str">
        <f>IF(AND(Table1[[#This Row],[Z3 SMT2-1 Maxres Cost]]=Table1[[#This Row],[ORTools FZN2 Cost]],Table1[[#This Row],[ORTools FZN2 State]]="Optimal"),1,"")</f>
        <v/>
      </c>
      <c r="AV22" s="39" t="s">
        <v>42</v>
      </c>
      <c r="AW22" s="39">
        <v>-518481</v>
      </c>
      <c r="AX22" s="2">
        <v>300.08352810000002</v>
      </c>
      <c r="AY22" s="2" t="str">
        <f>IF(AND(Table1[[#This Row],[Z3 SMT2-1 PdMaxres Cost]]=Table1[[#This Row],[ORTools FZN2 Cost]],Table1[[#This Row],[ORTools FZN2 State]]="Optimal"),1,"")</f>
        <v/>
      </c>
      <c r="AZ22" s="5" t="s">
        <v>42</v>
      </c>
      <c r="BA22" s="2">
        <v>-518481</v>
      </c>
      <c r="BB22" s="39">
        <v>301.69190520000001</v>
      </c>
      <c r="BC22" s="39" t="str">
        <f>IF(AND(Table1[[#This Row],[Z3 SMT2-1 WMax Cost]]=Table1[[#This Row],[ORTools FZN2 Cost]],Table1[[#This Row],[ORTools FZN2 State]]="Optimal"),1,"")</f>
        <v/>
      </c>
      <c r="BD22" s="39" t="s">
        <v>42</v>
      </c>
      <c r="BE22" s="39">
        <v>-518481</v>
      </c>
      <c r="BF22" s="2">
        <v>300.08688489999997</v>
      </c>
      <c r="BG22" s="2" t="str">
        <f>IF(AND(Table1[[#This Row],[Z3 SMT2-2 Maxres Cost]]=Table1[[#This Row],[ORTools FZN2 Cost]],Table1[[#This Row],[ORTools FZN2 State]]="Optimal"),1,"")</f>
        <v/>
      </c>
      <c r="BH22" s="5" t="s">
        <v>42</v>
      </c>
      <c r="BI22" s="2">
        <v>-518481</v>
      </c>
      <c r="BJ22" s="39">
        <v>300.0880555</v>
      </c>
      <c r="BK22" s="39" t="str">
        <f>IF(AND(Table1[[#This Row],[Z3 SMT2-2 PdMaxres Cost]]=Table1[[#This Row],[ORTools FZN2 Cost]],Table1[[#This Row],[ORTools FZN2 State]]="Optimal"),1,"")</f>
        <v/>
      </c>
      <c r="BL22" s="39" t="s">
        <v>42</v>
      </c>
      <c r="BM22" s="39">
        <v>-518481</v>
      </c>
      <c r="BN22" s="2">
        <v>300.08667739999999</v>
      </c>
      <c r="BO22" s="4" t="str">
        <f>IF(AND(Table1[[#This Row],[Z3 SMT2-2 PdMaxres Cost]]=Table1[[#This Row],[ORTools FZN2 Cost]],Table1[[#This Row],[ORTools FZN2 State]]="Optimal"),1,"")</f>
        <v/>
      </c>
      <c r="BP22" s="5" t="s">
        <v>42</v>
      </c>
      <c r="BQ22" s="2">
        <v>-518481</v>
      </c>
      <c r="BR22" s="2">
        <v>302.8923557</v>
      </c>
      <c r="BS22" s="2" t="str">
        <f>IF(AND(Table1[[#This Row],[Gurobi MB Cost]]=Table1[[#This Row],[ORTools FZN2 Cost]],Table1[[#This Row],[ORTools FZN2 State]]="Optimal",Table1[[#This Row],[Gurobi MB State]]="Suboptimal"),1,"")</f>
        <v/>
      </c>
      <c r="BT2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" s="5" t="s">
        <v>42</v>
      </c>
      <c r="BV22" s="2">
        <v>-518481</v>
      </c>
      <c r="BW22" s="2">
        <v>301.1518987</v>
      </c>
      <c r="BX22" s="2" t="str">
        <f>IF(AND(Table1[[#This Row],[Gurobi MD Cost]]=Table1[[#This Row],[ORTools FZN2 Cost]],Table1[[#This Row],[ORTools FZN2 State]]="Optimal",Table1[[#This Row],[Gurobi MD State]]="Suboptimal"),1,"")</f>
        <v/>
      </c>
      <c r="BY2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" s="5" t="s">
        <v>42</v>
      </c>
      <c r="CA22" s="2">
        <v>-518481</v>
      </c>
      <c r="CB22" s="2">
        <v>300.14626909999998</v>
      </c>
      <c r="CC22" s="2" t="str">
        <f>IF(AND(Table1[[#This Row],[Gurobi MI Cost]]=Table1[[#This Row],[ORTools FZN2 Cost]],Table1[[#This Row],[ORTools FZN2 State]]="Optimal",Table1[[#This Row],[Gurobi MI State]]="Suboptimal"),1,"")</f>
        <v/>
      </c>
      <c r="CD2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" s="39" t="s">
        <v>42</v>
      </c>
      <c r="CF22" s="2">
        <v>-518481</v>
      </c>
      <c r="CG22" s="39">
        <v>306.12905749999999</v>
      </c>
      <c r="CH22" s="39" t="s">
        <v>42</v>
      </c>
      <c r="CI22" s="39">
        <v>-518481</v>
      </c>
      <c r="CJ22" s="2">
        <v>306.19928549999997</v>
      </c>
      <c r="CK22" s="5" t="s">
        <v>26</v>
      </c>
      <c r="CL22" s="2">
        <v>38</v>
      </c>
      <c r="CM22" s="2">
        <v>300.08499999999998</v>
      </c>
      <c r="CN22" s="5" t="s">
        <v>26</v>
      </c>
      <c r="CO22" s="2">
        <v>12880124</v>
      </c>
      <c r="CP22" s="2">
        <v>304.20834500000001</v>
      </c>
      <c r="CQ22" s="5" t="s">
        <v>25</v>
      </c>
      <c r="CR22" s="2">
        <v>38</v>
      </c>
      <c r="CS22" s="2">
        <v>192.8334863</v>
      </c>
      <c r="CT22" s="6" t="s">
        <v>25</v>
      </c>
      <c r="CU22" s="4">
        <v>38</v>
      </c>
      <c r="CV22" s="4">
        <v>64.017678900000007</v>
      </c>
      <c r="CW22" s="39" t="s">
        <v>42</v>
      </c>
      <c r="CX22" s="39"/>
      <c r="CY22" s="2">
        <v>300.02089999999998</v>
      </c>
      <c r="CZ22" s="2" t="str">
        <f>IF(AND(Table1[[#This Row],[Cplex MZ1 Cost]]=Table1[[#This Row],[ORTools FZN2 Cost]],Table1[[#This Row],[ORTools FZN2 State]]="Optimal",Table1[[#This Row],[Cplex MZ1 State]]="Suboptimal"),1,"")</f>
        <v/>
      </c>
      <c r="DA22" s="5" t="s">
        <v>42</v>
      </c>
      <c r="DB22" s="2"/>
      <c r="DC22" s="2">
        <v>300.03680000000003</v>
      </c>
      <c r="DD22" s="2" t="str">
        <f>IF(AND(Table1[[#This Row],[Cplex MZ2 Cost]]=Table1[[#This Row],[ORTools FZN2 Cost]],Table1[[#This Row],[ORTools FZN2 State]]="Optimal",Table1[[#This Row],[Cplex MZ2 State]]="Suboptimal"),1,"")</f>
        <v/>
      </c>
      <c r="DE22" s="39" t="s">
        <v>42</v>
      </c>
      <c r="DF22" s="39"/>
      <c r="DG22" s="2">
        <v>300.00920000000002</v>
      </c>
      <c r="DH22" s="2" t="str">
        <f>IF(AND(Table1[[#This Row],[Gurobi MZ1 Cost]]=Table1[[#This Row],[ORTools FZN2 Cost]],Table1[[#This Row],[ORTools FZN2 State]]="Optimal",Table1[[#This Row],[Gurobi MZ1 State]]="Suboptimal"),1,"")</f>
        <v/>
      </c>
      <c r="DI22" s="5" t="s">
        <v>42</v>
      </c>
      <c r="DJ22" s="2"/>
      <c r="DK22" s="2">
        <v>300.0095</v>
      </c>
      <c r="DL22" s="4" t="str">
        <f>IF(AND(Table1[[#This Row],[Gurobi MZ2 Cost]]=Table1[[#This Row],[ORTools FZN2 Cost]],Table1[[#This Row],[ORTools FZN2 State]]="Optimal",Table1[[#This Row],[Gurobi MZ2 State]]="Suboptimal"),1,"")</f>
        <v/>
      </c>
      <c r="DM22" s="39" t="s">
        <v>26</v>
      </c>
      <c r="DN22" s="12">
        <v>38</v>
      </c>
      <c r="DO22" s="69">
        <v>300.47299999999899</v>
      </c>
      <c r="DP22" s="11">
        <f>IF(AND(Table1[[#This Row],[Cplex MC nonDual Cost]]=Table1[[#This Row],[ORTools FZN2 Cost]],Table1[[#This Row],[ORTools FZN2 State]]="Optimal",Table1[[#This Row],[Cplex MC nonDual State]]="Suboptimal"),1,"")</f>
        <v>1</v>
      </c>
      <c r="DQ22" s="5" t="s">
        <v>42</v>
      </c>
      <c r="DR22" s="2"/>
      <c r="DS22" s="2">
        <v>300.08240000000001</v>
      </c>
      <c r="DT22" s="2" t="str">
        <f>IF(AND(Table1[[#This Row],[Cplex MIP DM''z Cost]]=Table1[[#This Row],[ORTools FZN2 Cost]],Table1[[#This Row],[ORTools FZN2 State]]="Optimal",Table1[[#This Row],[Cplex MIP DM''z  State]]="Suboptimal"),1,"")</f>
        <v/>
      </c>
      <c r="DU2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" s="5" t="s">
        <v>42</v>
      </c>
      <c r="DW22" s="2"/>
      <c r="DX22" s="2">
        <v>300.017</v>
      </c>
      <c r="DY22" s="4" t="str">
        <f>IF(AND(Table1[[#This Row],[Gurobi DM''z  Cost]]=Table1[[#This Row],[ORTools FZN2 Cost]],Table1[[#This Row],[ORTools FZN2 State]]="Optimal",Table1[[#This Row],[Gurobi DM''z  State]]="Suboptimal"),1,"")</f>
        <v/>
      </c>
      <c r="DZ2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" spans="1:130" ht="15.75" x14ac:dyDescent="0.25">
      <c r="A23" s="46" t="s">
        <v>47</v>
      </c>
      <c r="B23" s="5">
        <v>80</v>
      </c>
      <c r="C23" s="2">
        <v>40</v>
      </c>
      <c r="D23" s="5">
        <v>377</v>
      </c>
      <c r="E23" s="3">
        <v>74</v>
      </c>
      <c r="F23" s="34">
        <v>200</v>
      </c>
      <c r="G23" s="3">
        <v>40</v>
      </c>
      <c r="H23" s="4">
        <f t="shared" si="0"/>
        <v>0</v>
      </c>
      <c r="I23" s="4">
        <f>Table1[[#This Row],[B]]+Table1[[#This Row],[Atomic Constraints]]+Table1[[#This Row],[Soft Atomic Constraints]]+Table1[[#This Row],[Disjunctive Constraints]]+Table1[[#This Row],[Direct Successors]]</f>
        <v>731</v>
      </c>
      <c r="J23" s="5" t="s">
        <v>42</v>
      </c>
      <c r="K23" s="2">
        <v>-518481</v>
      </c>
      <c r="L23" s="2">
        <v>304.38219980000002</v>
      </c>
      <c r="M23" s="2" t="str">
        <f>IF(AND(Table1[[#This Row],[Chuffed MZ1 Cost]]=Table1[[#This Row],[ORTools FZN2 Cost]],Table1[[#This Row],[ORTools FZN2 State]]="Optimal",Table1[[#This Row],[Chuffed MZ1 State]]="Suboptimal"),1,"")</f>
        <v/>
      </c>
      <c r="N23" s="5" t="s">
        <v>26</v>
      </c>
      <c r="O23" s="2">
        <v>19173866</v>
      </c>
      <c r="P23" s="2">
        <v>304.27147380000002</v>
      </c>
      <c r="Q23" s="2" t="str">
        <f>IF(AND(Table1[[#This Row],[Chuffed MZ2 Cost]]=Table1[[#This Row],[ORTools FZN2 Cost]],Table1[[#This Row],[ORTools FZN2 State]]="Optimal",Table1[[#This Row],[Chuffed MZ2 State]]="Suboptimal"),1,"")</f>
        <v/>
      </c>
      <c r="R23" s="6" t="s">
        <v>26</v>
      </c>
      <c r="S23" s="4">
        <v>7229542</v>
      </c>
      <c r="T23" s="4">
        <v>300.21800000000002</v>
      </c>
      <c r="U23" s="4"/>
      <c r="V23" s="5" t="s">
        <v>25</v>
      </c>
      <c r="W23" s="2">
        <v>5153158</v>
      </c>
      <c r="X23" s="2">
        <v>162.85306869999999</v>
      </c>
      <c r="Y23" s="2" t="str">
        <f>IF(AND(Table1[[#This Row],[ORTools FZN1 Cost]]=Table1[[#This Row],[ORTools FZN2 Cost]],Table1[[#This Row],[ORTools FZN2 State]]="Optimal",Table1[[#This Row],[ORTools FZN1 State]]="Suboptimal"),1,"")</f>
        <v/>
      </c>
      <c r="Z23" s="5" t="s">
        <v>25</v>
      </c>
      <c r="AA23" s="2">
        <v>5153158</v>
      </c>
      <c r="AB23" s="2">
        <v>135.65399669999999</v>
      </c>
      <c r="AC23" s="39" t="s">
        <v>42</v>
      </c>
      <c r="AD23" s="39">
        <v>-518481</v>
      </c>
      <c r="AE23" s="2">
        <v>301.50791149999998</v>
      </c>
      <c r="AF23" s="2" t="str">
        <f>IF(AND(Table1[[#This Row],[Cplex MB Cost]]=Table1[[#This Row],[ORTools FZN2 Cost]],Table1[[#This Row],[ORTools FZN2 State]]="Optimal",Table1[[#This Row],[Cplex MB State]]="Suboptimal"),1,"")</f>
        <v/>
      </c>
      <c r="AG23" s="4">
        <f>IF(AND(AC23="Optimal",AD23&lt;&gt;AA23,Table1[[#This Row],[Example]]&lt;&gt;"R001",Table1[[#This Row],[Example]]&lt;&gt;"R002"),AD23-AA23,)</f>
        <v>0</v>
      </c>
      <c r="AH23" s="5" t="s">
        <v>42</v>
      </c>
      <c r="AI23" s="2">
        <v>-518481</v>
      </c>
      <c r="AJ23" s="2">
        <v>300.3584204</v>
      </c>
      <c r="AK23" s="2" t="str">
        <f>IF(AND(Table1[[#This Row],[Cplex MD Cost]]=Table1[[#This Row],[ORTools FZN2 Cost]],Table1[[#This Row],[ORTools FZN2 State]]="Optimal",Table1[[#This Row],[Cplex MD State]]="Suboptimal"),1,"")</f>
        <v/>
      </c>
      <c r="AL23" s="4">
        <f>IF(AND(AH23="Optimal",AI23&lt;&gt;AA23,Table1[[#This Row],[Example]]&lt;&gt;"R001",Table1[[#This Row],[Example]]&lt;&gt;"R002"),AI23-AA23,)</f>
        <v>0</v>
      </c>
      <c r="AM23" s="39" t="s">
        <v>26</v>
      </c>
      <c r="AN23" s="39">
        <v>11845314</v>
      </c>
      <c r="AO23" s="2">
        <v>300.0821474</v>
      </c>
      <c r="AP2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" s="2" t="str">
        <f>IF(AND(Table1[[#This Row],[Cplex MI Cost]]=Table1[[#This Row],[ORTools FZN2 Cost]],Table1[[#This Row],[ORTools FZN2 State]]="Optimal",Table1[[#This Row],[Cplex MI State]]="Suboptimal"),1,"")</f>
        <v/>
      </c>
      <c r="AR23" s="5" t="s">
        <v>42</v>
      </c>
      <c r="AS23" s="2">
        <v>-518481</v>
      </c>
      <c r="AT23" s="2">
        <v>300.08861209999998</v>
      </c>
      <c r="AU23" s="2" t="str">
        <f>IF(AND(Table1[[#This Row],[Z3 SMT2-1 Maxres Cost]]=Table1[[#This Row],[ORTools FZN2 Cost]],Table1[[#This Row],[ORTools FZN2 State]]="Optimal"),1,"")</f>
        <v/>
      </c>
      <c r="AV23" s="39" t="s">
        <v>42</v>
      </c>
      <c r="AW23" s="39">
        <v>-518481</v>
      </c>
      <c r="AX23" s="2">
        <v>300.09974110000002</v>
      </c>
      <c r="AY23" s="2" t="str">
        <f>IF(AND(Table1[[#This Row],[Z3 SMT2-1 PdMaxres Cost]]=Table1[[#This Row],[ORTools FZN2 Cost]],Table1[[#This Row],[ORTools FZN2 State]]="Optimal"),1,"")</f>
        <v/>
      </c>
      <c r="AZ23" s="5" t="s">
        <v>42</v>
      </c>
      <c r="BA23" s="2">
        <v>-518481</v>
      </c>
      <c r="BB23" s="39">
        <v>300.11197859999999</v>
      </c>
      <c r="BC23" s="39" t="str">
        <f>IF(AND(Table1[[#This Row],[Z3 SMT2-1 WMax Cost]]=Table1[[#This Row],[ORTools FZN2 Cost]],Table1[[#This Row],[ORTools FZN2 State]]="Optimal"),1,"")</f>
        <v/>
      </c>
      <c r="BD23" s="39" t="s">
        <v>42</v>
      </c>
      <c r="BE23" s="39">
        <v>-518481</v>
      </c>
      <c r="BF23" s="2">
        <v>300.08550029999998</v>
      </c>
      <c r="BG23" s="2" t="str">
        <f>IF(AND(Table1[[#This Row],[Z3 SMT2-2 Maxres Cost]]=Table1[[#This Row],[ORTools FZN2 Cost]],Table1[[#This Row],[ORTools FZN2 State]]="Optimal"),1,"")</f>
        <v/>
      </c>
      <c r="BH23" s="5" t="s">
        <v>42</v>
      </c>
      <c r="BI23" s="2">
        <v>-518481</v>
      </c>
      <c r="BJ23" s="39">
        <v>300.08306429999999</v>
      </c>
      <c r="BK23" s="39" t="str">
        <f>IF(AND(Table1[[#This Row],[Z3 SMT2-2 PdMaxres Cost]]=Table1[[#This Row],[ORTools FZN2 Cost]],Table1[[#This Row],[ORTools FZN2 State]]="Optimal"),1,"")</f>
        <v/>
      </c>
      <c r="BL23" s="39" t="s">
        <v>42</v>
      </c>
      <c r="BM23" s="39">
        <v>-518481</v>
      </c>
      <c r="BN23" s="2">
        <v>300.0814694</v>
      </c>
      <c r="BO23" s="4" t="str">
        <f>IF(AND(Table1[[#This Row],[Z3 SMT2-2 PdMaxres Cost]]=Table1[[#This Row],[ORTools FZN2 Cost]],Table1[[#This Row],[ORTools FZN2 State]]="Optimal"),1,"")</f>
        <v/>
      </c>
      <c r="BP23" s="5" t="s">
        <v>42</v>
      </c>
      <c r="BQ23" s="2">
        <v>-518481</v>
      </c>
      <c r="BR23" s="2">
        <v>300.19174429999998</v>
      </c>
      <c r="BS23" s="2" t="str">
        <f>IF(AND(Table1[[#This Row],[Gurobi MB Cost]]=Table1[[#This Row],[ORTools FZN2 Cost]],Table1[[#This Row],[ORTools FZN2 State]]="Optimal",Table1[[#This Row],[Gurobi MB State]]="Suboptimal"),1,"")</f>
        <v/>
      </c>
      <c r="BT2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" s="5" t="s">
        <v>42</v>
      </c>
      <c r="BV23" s="2">
        <v>-518481</v>
      </c>
      <c r="BW23" s="2">
        <v>300.48989690000002</v>
      </c>
      <c r="BX23" s="2" t="str">
        <f>IF(AND(Table1[[#This Row],[Gurobi MD Cost]]=Table1[[#This Row],[ORTools FZN2 Cost]],Table1[[#This Row],[ORTools FZN2 State]]="Optimal",Table1[[#This Row],[Gurobi MD State]]="Suboptimal"),1,"")</f>
        <v/>
      </c>
      <c r="BY2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" s="5" t="s">
        <v>42</v>
      </c>
      <c r="CA23" s="2">
        <v>-518481</v>
      </c>
      <c r="CB23" s="2">
        <v>300.15018479999998</v>
      </c>
      <c r="CC23" s="2" t="str">
        <f>IF(AND(Table1[[#This Row],[Gurobi MI Cost]]=Table1[[#This Row],[ORTools FZN2 Cost]],Table1[[#This Row],[ORTools FZN2 State]]="Optimal",Table1[[#This Row],[Gurobi MI State]]="Suboptimal"),1,"")</f>
        <v/>
      </c>
      <c r="CD2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" s="39" t="s">
        <v>42</v>
      </c>
      <c r="CF23" s="2">
        <v>-518481</v>
      </c>
      <c r="CG23" s="39">
        <v>306.2262412</v>
      </c>
      <c r="CH23" s="39" t="s">
        <v>42</v>
      </c>
      <c r="CI23" s="39">
        <v>-518481</v>
      </c>
      <c r="CJ23" s="2">
        <v>306.17110450000001</v>
      </c>
      <c r="CK23" s="5" t="s">
        <v>26</v>
      </c>
      <c r="CL23" s="2">
        <v>5153956</v>
      </c>
      <c r="CM23" s="2">
        <v>300.33499999999998</v>
      </c>
      <c r="CN23" s="5" t="s">
        <v>26</v>
      </c>
      <c r="CO23" s="2">
        <v>15479168</v>
      </c>
      <c r="CP23" s="2">
        <v>304.28149719999999</v>
      </c>
      <c r="CQ23" s="5" t="s">
        <v>25</v>
      </c>
      <c r="CR23" s="2">
        <v>5153158</v>
      </c>
      <c r="CS23" s="2">
        <v>176.8030115</v>
      </c>
      <c r="CT23" s="6" t="s">
        <v>25</v>
      </c>
      <c r="CU23" s="4">
        <v>5153158</v>
      </c>
      <c r="CV23" s="4">
        <v>93.909688599999996</v>
      </c>
      <c r="CW23" s="39" t="s">
        <v>42</v>
      </c>
      <c r="CX23" s="39"/>
      <c r="CY23" s="2">
        <v>300.01429999999999</v>
      </c>
      <c r="CZ23" s="2" t="str">
        <f>IF(AND(Table1[[#This Row],[Cplex MZ1 Cost]]=Table1[[#This Row],[ORTools FZN2 Cost]],Table1[[#This Row],[ORTools FZN2 State]]="Optimal",Table1[[#This Row],[Cplex MZ1 State]]="Suboptimal"),1,"")</f>
        <v/>
      </c>
      <c r="DA23" s="5" t="s">
        <v>42</v>
      </c>
      <c r="DB23" s="2"/>
      <c r="DC23" s="2">
        <v>300.03149999999999</v>
      </c>
      <c r="DD23" s="2" t="str">
        <f>IF(AND(Table1[[#This Row],[Cplex MZ2 Cost]]=Table1[[#This Row],[ORTools FZN2 Cost]],Table1[[#This Row],[ORTools FZN2 State]]="Optimal",Table1[[#This Row],[Cplex MZ2 State]]="Suboptimal"),1,"")</f>
        <v/>
      </c>
      <c r="DE23" s="39" t="s">
        <v>42</v>
      </c>
      <c r="DF23" s="39"/>
      <c r="DG23" s="2">
        <v>300.01549999999997</v>
      </c>
      <c r="DH23" s="2" t="str">
        <f>IF(AND(Table1[[#This Row],[Gurobi MZ1 Cost]]=Table1[[#This Row],[ORTools FZN2 Cost]],Table1[[#This Row],[ORTools FZN2 State]]="Optimal",Table1[[#This Row],[Gurobi MZ1 State]]="Suboptimal"),1,"")</f>
        <v/>
      </c>
      <c r="DI23" s="5" t="s">
        <v>42</v>
      </c>
      <c r="DJ23" s="2"/>
      <c r="DK23" s="2">
        <v>300.0403</v>
      </c>
      <c r="DL23" s="4" t="str">
        <f>IF(AND(Table1[[#This Row],[Gurobi MZ2 Cost]]=Table1[[#This Row],[ORTools FZN2 Cost]],Table1[[#This Row],[ORTools FZN2 State]]="Optimal",Table1[[#This Row],[Gurobi MZ2 State]]="Suboptimal"),1,"")</f>
        <v/>
      </c>
      <c r="DM23" s="39" t="s">
        <v>26</v>
      </c>
      <c r="DN23" s="39">
        <v>5153956</v>
      </c>
      <c r="DO23" s="65">
        <v>300.43099999999998</v>
      </c>
      <c r="DP23" s="4" t="str">
        <f>IF(AND(Table1[[#This Row],[Cplex MC nonDual Cost]]=Table1[[#This Row],[ORTools FZN2 Cost]],Table1[[#This Row],[ORTools FZN2 State]]="Optimal",Table1[[#This Row],[Cplex MC nonDual State]]="Suboptimal"),1,"")</f>
        <v/>
      </c>
      <c r="DQ23" s="5" t="s">
        <v>42</v>
      </c>
      <c r="DR23" s="2"/>
      <c r="DS23" s="2">
        <v>300.04250000000002</v>
      </c>
      <c r="DT23" s="2" t="str">
        <f>IF(AND(Table1[[#This Row],[Cplex MIP DM''z Cost]]=Table1[[#This Row],[ORTools FZN2 Cost]],Table1[[#This Row],[ORTools FZN2 State]]="Optimal",Table1[[#This Row],[Cplex MIP DM''z  State]]="Suboptimal"),1,"")</f>
        <v/>
      </c>
      <c r="DU2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" s="5" t="s">
        <v>42</v>
      </c>
      <c r="DW23" s="2"/>
      <c r="DX23" s="2">
        <v>300.02690000000001</v>
      </c>
      <c r="DY23" s="4" t="str">
        <f>IF(AND(Table1[[#This Row],[Gurobi DM''z  Cost]]=Table1[[#This Row],[ORTools FZN2 Cost]],Table1[[#This Row],[ORTools FZN2 State]]="Optimal",Table1[[#This Row],[Gurobi DM''z  State]]="Suboptimal"),1,"")</f>
        <v/>
      </c>
      <c r="DZ2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" spans="1:130" ht="15.75" x14ac:dyDescent="0.25">
      <c r="A24" s="46" t="s">
        <v>48</v>
      </c>
      <c r="B24" s="5">
        <v>80</v>
      </c>
      <c r="C24" s="2">
        <v>40</v>
      </c>
      <c r="D24" s="5">
        <v>377</v>
      </c>
      <c r="E24" s="3">
        <v>74</v>
      </c>
      <c r="F24" s="34">
        <v>200</v>
      </c>
      <c r="G24" s="3">
        <v>40</v>
      </c>
      <c r="H24" s="4">
        <f t="shared" si="0"/>
        <v>0</v>
      </c>
      <c r="I24" s="4">
        <f>Table1[[#This Row],[B]]+Table1[[#This Row],[Atomic Constraints]]+Table1[[#This Row],[Soft Atomic Constraints]]+Table1[[#This Row],[Disjunctive Constraints]]+Table1[[#This Row],[Direct Successors]]</f>
        <v>731</v>
      </c>
      <c r="J24" s="5" t="s">
        <v>42</v>
      </c>
      <c r="K24" s="2">
        <v>-518481</v>
      </c>
      <c r="L24" s="2">
        <v>304.31648730000001</v>
      </c>
      <c r="M24" s="2" t="str">
        <f>IF(AND(Table1[[#This Row],[Chuffed MZ1 Cost]]=Table1[[#This Row],[ORTools FZN2 Cost]],Table1[[#This Row],[ORTools FZN2 State]]="Optimal",Table1[[#This Row],[Chuffed MZ1 State]]="Suboptimal"),1,"")</f>
        <v/>
      </c>
      <c r="N24" s="5" t="s">
        <v>26</v>
      </c>
      <c r="O24" s="2">
        <v>18149865</v>
      </c>
      <c r="P24" s="2">
        <v>304.25427359999998</v>
      </c>
      <c r="Q24" s="2" t="str">
        <f>IF(AND(Table1[[#This Row],[Chuffed MZ2 Cost]]=Table1[[#This Row],[ORTools FZN2 Cost]],Table1[[#This Row],[ORTools FZN2 State]]="Optimal",Table1[[#This Row],[Chuffed MZ2 State]]="Suboptimal"),1,"")</f>
        <v/>
      </c>
      <c r="R24" s="5" t="s">
        <v>26</v>
      </c>
      <c r="S24" s="2">
        <v>7229542</v>
      </c>
      <c r="T24" s="2">
        <v>300.03699999999998</v>
      </c>
      <c r="U24" s="2"/>
      <c r="V24" s="5" t="s">
        <v>25</v>
      </c>
      <c r="W24" s="2">
        <v>5153158</v>
      </c>
      <c r="X24" s="2">
        <v>180.0212186</v>
      </c>
      <c r="Y24" s="2" t="str">
        <f>IF(AND(Table1[[#This Row],[ORTools FZN1 Cost]]=Table1[[#This Row],[ORTools FZN2 Cost]],Table1[[#This Row],[ORTools FZN2 State]]="Optimal",Table1[[#This Row],[ORTools FZN1 State]]="Suboptimal"),1,"")</f>
        <v/>
      </c>
      <c r="Z24" s="5" t="s">
        <v>25</v>
      </c>
      <c r="AA24" s="2">
        <v>5153158</v>
      </c>
      <c r="AB24" s="2">
        <v>108.3949373</v>
      </c>
      <c r="AC24" s="39" t="s">
        <v>42</v>
      </c>
      <c r="AD24" s="39">
        <v>-518481</v>
      </c>
      <c r="AE24" s="2">
        <v>300.18871530000001</v>
      </c>
      <c r="AF24" s="2" t="str">
        <f>IF(AND(Table1[[#This Row],[Cplex MB Cost]]=Table1[[#This Row],[ORTools FZN2 Cost]],Table1[[#This Row],[ORTools FZN2 State]]="Optimal",Table1[[#This Row],[Cplex MB State]]="Suboptimal"),1,"")</f>
        <v/>
      </c>
      <c r="AG24" s="4">
        <f>IF(AND(AC24="Optimal",AD24&lt;&gt;AA24,Table1[[#This Row],[Example]]&lt;&gt;"R001",Table1[[#This Row],[Example]]&lt;&gt;"R002"),AD24-AA24,)</f>
        <v>0</v>
      </c>
      <c r="AH24" s="5" t="s">
        <v>42</v>
      </c>
      <c r="AI24" s="2">
        <v>-518481</v>
      </c>
      <c r="AJ24" s="2">
        <v>300.27831680000003</v>
      </c>
      <c r="AK24" s="2" t="str">
        <f>IF(AND(Table1[[#This Row],[Cplex MD Cost]]=Table1[[#This Row],[ORTools FZN2 Cost]],Table1[[#This Row],[ORTools FZN2 State]]="Optimal",Table1[[#This Row],[Cplex MD State]]="Suboptimal"),1,"")</f>
        <v/>
      </c>
      <c r="AL24" s="4">
        <f>IF(AND(AH24="Optimal",AI24&lt;&gt;AA24,Table1[[#This Row],[Example]]&lt;&gt;"R001",Table1[[#This Row],[Example]]&lt;&gt;"R002"),AI24-AA24,)</f>
        <v>0</v>
      </c>
      <c r="AM24" s="39" t="s">
        <v>42</v>
      </c>
      <c r="AN24" s="39">
        <v>-518481</v>
      </c>
      <c r="AO24" s="2">
        <v>300.15525639999998</v>
      </c>
      <c r="AP2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" s="4" t="str">
        <f>IF(AND(Table1[[#This Row],[Cplex MI Cost]]=Table1[[#This Row],[ORTools FZN2 Cost]],Table1[[#This Row],[ORTools FZN2 State]]="Optimal",Table1[[#This Row],[Cplex MI State]]="Suboptimal"),1,"")</f>
        <v/>
      </c>
      <c r="AR24" s="5" t="s">
        <v>42</v>
      </c>
      <c r="AS24" s="2">
        <v>-518481</v>
      </c>
      <c r="AT24" s="2">
        <v>300.07803389999998</v>
      </c>
      <c r="AU24" s="2" t="str">
        <f>IF(AND(Table1[[#This Row],[Z3 SMT2-1 Maxres Cost]]=Table1[[#This Row],[ORTools FZN2 Cost]],Table1[[#This Row],[ORTools FZN2 State]]="Optimal"),1,"")</f>
        <v/>
      </c>
      <c r="AV24" s="39" t="s">
        <v>42</v>
      </c>
      <c r="AW24" s="39">
        <v>-518481</v>
      </c>
      <c r="AX24" s="2">
        <v>300.09432550000002</v>
      </c>
      <c r="AY24" s="2" t="str">
        <f>IF(AND(Table1[[#This Row],[Z3 SMT2-1 PdMaxres Cost]]=Table1[[#This Row],[ORTools FZN2 Cost]],Table1[[#This Row],[ORTools FZN2 State]]="Optimal"),1,"")</f>
        <v/>
      </c>
      <c r="AZ24" s="5" t="s">
        <v>42</v>
      </c>
      <c r="BA24" s="2">
        <v>-518481</v>
      </c>
      <c r="BB24" s="39">
        <v>300.1254361</v>
      </c>
      <c r="BC24" s="39" t="str">
        <f>IF(AND(Table1[[#This Row],[Z3 SMT2-1 WMax Cost]]=Table1[[#This Row],[ORTools FZN2 Cost]],Table1[[#This Row],[ORTools FZN2 State]]="Optimal"),1,"")</f>
        <v/>
      </c>
      <c r="BD24" s="39" t="s">
        <v>42</v>
      </c>
      <c r="BE24" s="39">
        <v>-518481</v>
      </c>
      <c r="BF24" s="2">
        <v>300.09137930000003</v>
      </c>
      <c r="BG24" s="2" t="str">
        <f>IF(AND(Table1[[#This Row],[Z3 SMT2-2 Maxres Cost]]=Table1[[#This Row],[ORTools FZN2 Cost]],Table1[[#This Row],[ORTools FZN2 State]]="Optimal"),1,"")</f>
        <v/>
      </c>
      <c r="BH24" s="5" t="s">
        <v>42</v>
      </c>
      <c r="BI24" s="2">
        <v>-518481</v>
      </c>
      <c r="BJ24" s="39">
        <v>300.07464119999997</v>
      </c>
      <c r="BK24" s="39" t="str">
        <f>IF(AND(Table1[[#This Row],[Z3 SMT2-2 PdMaxres Cost]]=Table1[[#This Row],[ORTools FZN2 Cost]],Table1[[#This Row],[ORTools FZN2 State]]="Optimal"),1,"")</f>
        <v/>
      </c>
      <c r="BL24" s="39" t="s">
        <v>42</v>
      </c>
      <c r="BM24" s="39">
        <v>-518481</v>
      </c>
      <c r="BN24" s="2">
        <v>300.07773279999998</v>
      </c>
      <c r="BO24" s="4" t="str">
        <f>IF(AND(Table1[[#This Row],[Z3 SMT2-2 PdMaxres Cost]]=Table1[[#This Row],[ORTools FZN2 Cost]],Table1[[#This Row],[ORTools FZN2 State]]="Optimal"),1,"")</f>
        <v/>
      </c>
      <c r="BP24" s="5" t="s">
        <v>42</v>
      </c>
      <c r="BQ24" s="2">
        <v>-518481</v>
      </c>
      <c r="BR24" s="2">
        <v>300.1461807</v>
      </c>
      <c r="BS24" s="2" t="str">
        <f>IF(AND(Table1[[#This Row],[Gurobi MB Cost]]=Table1[[#This Row],[ORTools FZN2 Cost]],Table1[[#This Row],[ORTools FZN2 State]]="Optimal",Table1[[#This Row],[Gurobi MB State]]="Suboptimal"),1,"")</f>
        <v/>
      </c>
      <c r="BT2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" s="5" t="s">
        <v>42</v>
      </c>
      <c r="BV24" s="2">
        <v>-518481</v>
      </c>
      <c r="BW24" s="2">
        <v>300.59924119999999</v>
      </c>
      <c r="BX24" s="2" t="str">
        <f>IF(AND(Table1[[#This Row],[Gurobi MD Cost]]=Table1[[#This Row],[ORTools FZN2 Cost]],Table1[[#This Row],[ORTools FZN2 State]]="Optimal",Table1[[#This Row],[Gurobi MD State]]="Suboptimal"),1,"")</f>
        <v/>
      </c>
      <c r="BY2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" s="5" t="s">
        <v>42</v>
      </c>
      <c r="CA24" s="2">
        <v>-518481</v>
      </c>
      <c r="CB24" s="2">
        <v>300.12297769999998</v>
      </c>
      <c r="CC24" s="2" t="str">
        <f>IF(AND(Table1[[#This Row],[Gurobi MI Cost]]=Table1[[#This Row],[ORTools FZN2 Cost]],Table1[[#This Row],[ORTools FZN2 State]]="Optimal",Table1[[#This Row],[Gurobi MI State]]="Suboptimal"),1,"")</f>
        <v/>
      </c>
      <c r="CD2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" s="39" t="s">
        <v>42</v>
      </c>
      <c r="CF24" s="2">
        <v>-518481</v>
      </c>
      <c r="CG24" s="39">
        <v>306.13856420000002</v>
      </c>
      <c r="CH24" s="39" t="s">
        <v>42</v>
      </c>
      <c r="CI24" s="39">
        <v>-518481</v>
      </c>
      <c r="CJ24" s="2">
        <v>306.18575900000002</v>
      </c>
      <c r="CK24" s="5" t="s">
        <v>26</v>
      </c>
      <c r="CL24" s="2">
        <v>5153956</v>
      </c>
      <c r="CM24" s="2">
        <v>300.339</v>
      </c>
      <c r="CN24" s="5" t="s">
        <v>26</v>
      </c>
      <c r="CO24" s="2">
        <v>15512584</v>
      </c>
      <c r="CP24" s="2">
        <v>304.32455620000002</v>
      </c>
      <c r="CQ24" s="5" t="s">
        <v>25</v>
      </c>
      <c r="CR24" s="2">
        <v>5153158</v>
      </c>
      <c r="CS24" s="2">
        <v>156.12201479999999</v>
      </c>
      <c r="CT24" s="6" t="s">
        <v>25</v>
      </c>
      <c r="CU24" s="4">
        <v>5153158</v>
      </c>
      <c r="CV24" s="4">
        <v>90.187289899999996</v>
      </c>
      <c r="CW24" s="39" t="s">
        <v>42</v>
      </c>
      <c r="CX24" s="39"/>
      <c r="CY24" s="2">
        <v>300.0532</v>
      </c>
      <c r="CZ24" s="2" t="str">
        <f>IF(AND(Table1[[#This Row],[Cplex MZ1 Cost]]=Table1[[#This Row],[ORTools FZN2 Cost]],Table1[[#This Row],[ORTools FZN2 State]]="Optimal",Table1[[#This Row],[Cplex MZ1 State]]="Suboptimal"),1,"")</f>
        <v/>
      </c>
      <c r="DA24" s="5" t="s">
        <v>42</v>
      </c>
      <c r="DB24" s="2"/>
      <c r="DC24" s="2">
        <v>300.0308</v>
      </c>
      <c r="DD24" s="2" t="str">
        <f>IF(AND(Table1[[#This Row],[Cplex MZ2 Cost]]=Table1[[#This Row],[ORTools FZN2 Cost]],Table1[[#This Row],[ORTools FZN2 State]]="Optimal",Table1[[#This Row],[Cplex MZ2 State]]="Suboptimal"),1,"")</f>
        <v/>
      </c>
      <c r="DE24" s="39" t="s">
        <v>42</v>
      </c>
      <c r="DF24" s="39"/>
      <c r="DG24" s="2">
        <v>300.01580000000001</v>
      </c>
      <c r="DH24" s="2" t="str">
        <f>IF(AND(Table1[[#This Row],[Gurobi MZ1 Cost]]=Table1[[#This Row],[ORTools FZN2 Cost]],Table1[[#This Row],[ORTools FZN2 State]]="Optimal",Table1[[#This Row],[Gurobi MZ1 State]]="Suboptimal"),1,"")</f>
        <v/>
      </c>
      <c r="DI24" s="5" t="s">
        <v>42</v>
      </c>
      <c r="DJ24" s="2"/>
      <c r="DK24" s="2">
        <v>300.00839999999999</v>
      </c>
      <c r="DL24" s="4" t="str">
        <f>IF(AND(Table1[[#This Row],[Gurobi MZ2 Cost]]=Table1[[#This Row],[ORTools FZN2 Cost]],Table1[[#This Row],[ORTools FZN2 State]]="Optimal",Table1[[#This Row],[Gurobi MZ2 State]]="Suboptimal"),1,"")</f>
        <v/>
      </c>
      <c r="DM24" s="39" t="s">
        <v>26</v>
      </c>
      <c r="DN24" s="39">
        <v>5153956</v>
      </c>
      <c r="DO24" s="65">
        <v>300.10599999999999</v>
      </c>
      <c r="DP24" s="4" t="str">
        <f>IF(AND(Table1[[#This Row],[Cplex MC nonDual Cost]]=Table1[[#This Row],[ORTools FZN2 Cost]],Table1[[#This Row],[ORTools FZN2 State]]="Optimal",Table1[[#This Row],[Cplex MC nonDual State]]="Suboptimal"),1,"")</f>
        <v/>
      </c>
      <c r="DQ24" s="5" t="s">
        <v>42</v>
      </c>
      <c r="DR24" s="2"/>
      <c r="DS24" s="2">
        <v>300.03800000000001</v>
      </c>
      <c r="DT24" s="2" t="str">
        <f>IF(AND(Table1[[#This Row],[Cplex MIP DM''z Cost]]=Table1[[#This Row],[ORTools FZN2 Cost]],Table1[[#This Row],[ORTools FZN2 State]]="Optimal",Table1[[#This Row],[Cplex MIP DM''z  State]]="Suboptimal"),1,"")</f>
        <v/>
      </c>
      <c r="DU2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" s="5" t="s">
        <v>42</v>
      </c>
      <c r="DW24" s="2"/>
      <c r="DX24" s="2">
        <v>300.00360000000001</v>
      </c>
      <c r="DY24" s="4" t="str">
        <f>IF(AND(Table1[[#This Row],[Gurobi DM''z  Cost]]=Table1[[#This Row],[ORTools FZN2 Cost]],Table1[[#This Row],[ORTools FZN2 State]]="Optimal",Table1[[#This Row],[Gurobi DM''z  State]]="Suboptimal"),1,"")</f>
        <v/>
      </c>
      <c r="DZ2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" spans="1:130" ht="15.75" x14ac:dyDescent="0.25">
      <c r="A25" s="46" t="s">
        <v>49</v>
      </c>
      <c r="B25" s="5">
        <v>86</v>
      </c>
      <c r="C25" s="2">
        <v>43</v>
      </c>
      <c r="D25" s="5">
        <v>680</v>
      </c>
      <c r="E25" s="3">
        <v>76</v>
      </c>
      <c r="F25" s="34">
        <v>275</v>
      </c>
      <c r="G25" s="3">
        <v>34</v>
      </c>
      <c r="H25" s="4">
        <f t="shared" si="0"/>
        <v>0</v>
      </c>
      <c r="I25" s="4">
        <f>Table1[[#This Row],[B]]+Table1[[#This Row],[Atomic Constraints]]+Table1[[#This Row],[Soft Atomic Constraints]]+Table1[[#This Row],[Disjunctive Constraints]]+Table1[[#This Row],[Direct Successors]]</f>
        <v>1108</v>
      </c>
      <c r="J25" s="5" t="s">
        <v>42</v>
      </c>
      <c r="K25" s="2">
        <v>-643539</v>
      </c>
      <c r="L25" s="2">
        <v>305.03557330000001</v>
      </c>
      <c r="M25" s="2" t="str">
        <f>IF(AND(Table1[[#This Row],[Chuffed MZ1 Cost]]=Table1[[#This Row],[ORTools FZN2 Cost]],Table1[[#This Row],[ORTools FZN2 State]]="Optimal",Table1[[#This Row],[Chuffed MZ1 State]]="Suboptimal"),1,"")</f>
        <v/>
      </c>
      <c r="N25" s="5" t="s">
        <v>42</v>
      </c>
      <c r="O25" s="2">
        <v>-643539</v>
      </c>
      <c r="P25" s="2">
        <v>304.87179079999999</v>
      </c>
      <c r="Q25" s="2" t="str">
        <f>IF(AND(Table1[[#This Row],[Chuffed MZ2 Cost]]=Table1[[#This Row],[ORTools FZN2 Cost]],Table1[[#This Row],[ORTools FZN2 State]]="Optimal",Table1[[#This Row],[Chuffed MZ2 State]]="Suboptimal"),1,"")</f>
        <v/>
      </c>
      <c r="R25" s="5" t="s">
        <v>26</v>
      </c>
      <c r="S25" s="2">
        <v>12798716</v>
      </c>
      <c r="T25" s="4">
        <v>300.25700000000001</v>
      </c>
      <c r="U25" s="2"/>
      <c r="V25" s="5" t="s">
        <v>42</v>
      </c>
      <c r="W25" s="2">
        <v>-643539</v>
      </c>
      <c r="X25" s="2">
        <v>301.74520269999999</v>
      </c>
      <c r="Y25" s="2" t="str">
        <f>IF(AND(Table1[[#This Row],[ORTools FZN1 Cost]]=Table1[[#This Row],[ORTools FZN2 Cost]],Table1[[#This Row],[ORTools FZN2 State]]="Optimal",Table1[[#This Row],[ORTools FZN1 State]]="Suboptimal"),1,"")</f>
        <v/>
      </c>
      <c r="Z25" s="5" t="s">
        <v>26</v>
      </c>
      <c r="AA25" s="2">
        <v>13442360</v>
      </c>
      <c r="AB25" s="2">
        <v>301.90806250000003</v>
      </c>
      <c r="AC25" s="39" t="s">
        <v>42</v>
      </c>
      <c r="AD25" s="39">
        <v>-643539</v>
      </c>
      <c r="AE25" s="2">
        <v>300.26484420000003</v>
      </c>
      <c r="AF25" s="2" t="str">
        <f>IF(AND(Table1[[#This Row],[Cplex MB Cost]]=Table1[[#This Row],[ORTools FZN2 Cost]],Table1[[#This Row],[ORTools FZN2 State]]="Optimal",Table1[[#This Row],[Cplex MB State]]="Suboptimal"),1,"")</f>
        <v/>
      </c>
      <c r="AG25" s="4">
        <f>IF(AND(AC25="Optimal",AD25&lt;&gt;AA25,Table1[[#This Row],[Example]]&lt;&gt;"R001",Table1[[#This Row],[Example]]&lt;&gt;"R002"),AD25-AA25,)</f>
        <v>0</v>
      </c>
      <c r="AH25" s="5" t="s">
        <v>42</v>
      </c>
      <c r="AI25" s="2">
        <v>-643539</v>
      </c>
      <c r="AJ25" s="2">
        <v>301.29927859999998</v>
      </c>
      <c r="AK25" s="2" t="str">
        <f>IF(AND(Table1[[#This Row],[Cplex MD Cost]]=Table1[[#This Row],[ORTools FZN2 Cost]],Table1[[#This Row],[ORTools FZN2 State]]="Optimal",Table1[[#This Row],[Cplex MD State]]="Suboptimal"),1,"")</f>
        <v/>
      </c>
      <c r="AL25" s="4">
        <f>IF(AND(AH25="Optimal",AI25&lt;&gt;AA25,Table1[[#This Row],[Example]]&lt;&gt;"R001",Table1[[#This Row],[Example]]&lt;&gt;"R002"),AI25-AA25,)</f>
        <v>0</v>
      </c>
      <c r="AM25" s="39" t="s">
        <v>42</v>
      </c>
      <c r="AN25" s="39">
        <v>-643539</v>
      </c>
      <c r="AO25" s="2">
        <v>300.15137129999999</v>
      </c>
      <c r="AP2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" s="4" t="str">
        <f>IF(AND(Table1[[#This Row],[Cplex MI Cost]]=Table1[[#This Row],[ORTools FZN2 Cost]],Table1[[#This Row],[ORTools FZN2 State]]="Optimal",Table1[[#This Row],[Cplex MI State]]="Suboptimal"),1,"")</f>
        <v/>
      </c>
      <c r="AR25" s="5" t="s">
        <v>42</v>
      </c>
      <c r="AS25" s="2">
        <v>-643539</v>
      </c>
      <c r="AT25" s="2">
        <v>300.08695360000002</v>
      </c>
      <c r="AU25" s="2" t="str">
        <f>IF(AND(Table1[[#This Row],[Z3 SMT2-1 Maxres Cost]]=Table1[[#This Row],[ORTools FZN2 Cost]],Table1[[#This Row],[ORTools FZN2 State]]="Optimal"),1,"")</f>
        <v/>
      </c>
      <c r="AV25" s="39" t="s">
        <v>42</v>
      </c>
      <c r="AW25" s="39">
        <v>-643539</v>
      </c>
      <c r="AX25" s="2">
        <v>300.09192519999999</v>
      </c>
      <c r="AY25" s="2" t="str">
        <f>IF(AND(Table1[[#This Row],[Z3 SMT2-1 PdMaxres Cost]]=Table1[[#This Row],[ORTools FZN2 Cost]],Table1[[#This Row],[ORTools FZN2 State]]="Optimal"),1,"")</f>
        <v/>
      </c>
      <c r="AZ25" s="5" t="s">
        <v>42</v>
      </c>
      <c r="BA25" s="2">
        <v>-643539</v>
      </c>
      <c r="BB25" s="39">
        <v>300.1145391</v>
      </c>
      <c r="BC25" s="39" t="str">
        <f>IF(AND(Table1[[#This Row],[Z3 SMT2-1 WMax Cost]]=Table1[[#This Row],[ORTools FZN2 Cost]],Table1[[#This Row],[ORTools FZN2 State]]="Optimal"),1,"")</f>
        <v/>
      </c>
      <c r="BD25" s="39" t="s">
        <v>42</v>
      </c>
      <c r="BE25" s="39">
        <v>-643539</v>
      </c>
      <c r="BF25" s="2">
        <v>300.0825342</v>
      </c>
      <c r="BG25" s="2" t="str">
        <f>IF(AND(Table1[[#This Row],[Z3 SMT2-2 Maxres Cost]]=Table1[[#This Row],[ORTools FZN2 Cost]],Table1[[#This Row],[ORTools FZN2 State]]="Optimal"),1,"")</f>
        <v/>
      </c>
      <c r="BH25" s="5" t="s">
        <v>42</v>
      </c>
      <c r="BI25" s="2">
        <v>-643539</v>
      </c>
      <c r="BJ25" s="39">
        <v>300.08371360000001</v>
      </c>
      <c r="BK25" s="39" t="str">
        <f>IF(AND(Table1[[#This Row],[Z3 SMT2-2 PdMaxres Cost]]=Table1[[#This Row],[ORTools FZN2 Cost]],Table1[[#This Row],[ORTools FZN2 State]]="Optimal"),1,"")</f>
        <v/>
      </c>
      <c r="BL25" s="39" t="s">
        <v>42</v>
      </c>
      <c r="BM25" s="39">
        <v>-643539</v>
      </c>
      <c r="BN25" s="2">
        <v>300.08309350000002</v>
      </c>
      <c r="BO25" s="4" t="str">
        <f>IF(AND(Table1[[#This Row],[Z3 SMT2-2 PdMaxres Cost]]=Table1[[#This Row],[ORTools FZN2 Cost]],Table1[[#This Row],[ORTools FZN2 State]]="Optimal"),1,"")</f>
        <v/>
      </c>
      <c r="BP25" s="5" t="s">
        <v>42</v>
      </c>
      <c r="BQ25" s="2">
        <v>-643539</v>
      </c>
      <c r="BR25" s="2">
        <v>300.43591500000002</v>
      </c>
      <c r="BS25" s="2" t="str">
        <f>IF(AND(Table1[[#This Row],[Gurobi MB Cost]]=Table1[[#This Row],[ORTools FZN2 Cost]],Table1[[#This Row],[ORTools FZN2 State]]="Optimal",Table1[[#This Row],[Gurobi MB State]]="Suboptimal"),1,"")</f>
        <v/>
      </c>
      <c r="BT2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" s="5" t="s">
        <v>42</v>
      </c>
      <c r="BV25" s="2">
        <v>-643539</v>
      </c>
      <c r="BW25" s="2">
        <v>300.1949548</v>
      </c>
      <c r="BX25" s="2" t="str">
        <f>IF(AND(Table1[[#This Row],[Gurobi MD Cost]]=Table1[[#This Row],[ORTools FZN2 Cost]],Table1[[#This Row],[ORTools FZN2 State]]="Optimal",Table1[[#This Row],[Gurobi MD State]]="Suboptimal"),1,"")</f>
        <v/>
      </c>
      <c r="BY2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" s="5" t="s">
        <v>42</v>
      </c>
      <c r="CA25" s="2">
        <v>-643539</v>
      </c>
      <c r="CB25" s="2">
        <v>300.19754239999997</v>
      </c>
      <c r="CC25" s="2" t="str">
        <f>IF(AND(Table1[[#This Row],[Gurobi MI Cost]]=Table1[[#This Row],[ORTools FZN2 Cost]],Table1[[#This Row],[ORTools FZN2 State]]="Optimal",Table1[[#This Row],[Gurobi MI State]]="Suboptimal"),1,"")</f>
        <v/>
      </c>
      <c r="CD2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" s="39" t="s">
        <v>42</v>
      </c>
      <c r="CF25" s="2">
        <v>-643539</v>
      </c>
      <c r="CG25" s="39">
        <v>306.15823779999999</v>
      </c>
      <c r="CH25" s="39" t="s">
        <v>42</v>
      </c>
      <c r="CI25" s="39">
        <v>-643539</v>
      </c>
      <c r="CJ25" s="2">
        <v>306.25706539999999</v>
      </c>
      <c r="CK25" s="5" t="s">
        <v>26</v>
      </c>
      <c r="CL25" s="2">
        <v>13428573</v>
      </c>
      <c r="CM25" s="2">
        <v>300.27999999999997</v>
      </c>
      <c r="CN25" s="5" t="s">
        <v>26</v>
      </c>
      <c r="CO25" s="2">
        <v>19249309</v>
      </c>
      <c r="CP25" s="2">
        <v>304.76118589999999</v>
      </c>
      <c r="CQ25" s="5" t="s">
        <v>25</v>
      </c>
      <c r="CR25" s="2">
        <v>11518877</v>
      </c>
      <c r="CS25" s="2">
        <v>233.89948269999999</v>
      </c>
      <c r="CT25" s="6" t="s">
        <v>25</v>
      </c>
      <c r="CU25" s="4">
        <v>11518877</v>
      </c>
      <c r="CV25" s="4">
        <v>92.6130371</v>
      </c>
      <c r="CW25" s="39" t="s">
        <v>42</v>
      </c>
      <c r="CX25" s="39"/>
      <c r="CY25" s="2">
        <v>300.03149999999999</v>
      </c>
      <c r="CZ25" s="2" t="str">
        <f>IF(AND(Table1[[#This Row],[Cplex MZ1 Cost]]=Table1[[#This Row],[ORTools FZN2 Cost]],Table1[[#This Row],[ORTools FZN2 State]]="Optimal",Table1[[#This Row],[Cplex MZ1 State]]="Suboptimal"),1,"")</f>
        <v/>
      </c>
      <c r="DA25" s="5" t="s">
        <v>42</v>
      </c>
      <c r="DB25" s="2"/>
      <c r="DC25" s="2">
        <v>300.04880000000003</v>
      </c>
      <c r="DD25" s="2" t="str">
        <f>IF(AND(Table1[[#This Row],[Cplex MZ2 Cost]]=Table1[[#This Row],[ORTools FZN2 Cost]],Table1[[#This Row],[ORTools FZN2 State]]="Optimal",Table1[[#This Row],[Cplex MZ2 State]]="Suboptimal"),1,"")</f>
        <v/>
      </c>
      <c r="DE25" s="39" t="s">
        <v>42</v>
      </c>
      <c r="DF25" s="39"/>
      <c r="DG25" s="2">
        <v>300.00720000000001</v>
      </c>
      <c r="DH25" s="2" t="str">
        <f>IF(AND(Table1[[#This Row],[Gurobi MZ1 Cost]]=Table1[[#This Row],[ORTools FZN2 Cost]],Table1[[#This Row],[ORTools FZN2 State]]="Optimal",Table1[[#This Row],[Gurobi MZ1 State]]="Suboptimal"),1,"")</f>
        <v/>
      </c>
      <c r="DI25" s="5" t="s">
        <v>42</v>
      </c>
      <c r="DJ25" s="2"/>
      <c r="DK25" s="2">
        <v>300.06319999999999</v>
      </c>
      <c r="DL25" s="4" t="str">
        <f>IF(AND(Table1[[#This Row],[Gurobi MZ2 Cost]]=Table1[[#This Row],[ORTools FZN2 Cost]],Table1[[#This Row],[ORTools FZN2 State]]="Optimal",Table1[[#This Row],[Gurobi MZ2 State]]="Suboptimal"),1,"")</f>
        <v/>
      </c>
      <c r="DM25" s="39" t="s">
        <v>26</v>
      </c>
      <c r="DN25" s="39">
        <v>13464791</v>
      </c>
      <c r="DO25" s="65">
        <v>300.10399999999998</v>
      </c>
      <c r="DP25" s="4" t="str">
        <f>IF(AND(Table1[[#This Row],[Cplex MC nonDual Cost]]=Table1[[#This Row],[ORTools FZN2 Cost]],Table1[[#This Row],[ORTools FZN2 State]]="Optimal",Table1[[#This Row],[Cplex MC nonDual State]]="Suboptimal"),1,"")</f>
        <v/>
      </c>
      <c r="DQ25" s="5" t="s">
        <v>42</v>
      </c>
      <c r="DR25" s="2"/>
      <c r="DS25" s="2">
        <v>300.0215</v>
      </c>
      <c r="DT25" s="2" t="str">
        <f>IF(AND(Table1[[#This Row],[Cplex MIP DM''z Cost]]=Table1[[#This Row],[ORTools FZN2 Cost]],Table1[[#This Row],[ORTools FZN2 State]]="Optimal",Table1[[#This Row],[Cplex MIP DM''z  State]]="Suboptimal"),1,"")</f>
        <v/>
      </c>
      <c r="DU2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" s="5" t="s">
        <v>42</v>
      </c>
      <c r="DW25" s="2"/>
      <c r="DX25" s="2">
        <v>299.99119999999999</v>
      </c>
      <c r="DY25" s="4" t="str">
        <f>IF(AND(Table1[[#This Row],[Gurobi DM''z  Cost]]=Table1[[#This Row],[ORTools FZN2 Cost]],Table1[[#This Row],[ORTools FZN2 State]]="Optimal",Table1[[#This Row],[Gurobi DM''z  State]]="Suboptimal"),1,"")</f>
        <v/>
      </c>
      <c r="DZ2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" spans="1:130" ht="15.75" x14ac:dyDescent="0.25">
      <c r="A26" s="46" t="s">
        <v>50</v>
      </c>
      <c r="B26" s="5">
        <v>86</v>
      </c>
      <c r="C26" s="2">
        <v>43</v>
      </c>
      <c r="D26" s="5">
        <v>680</v>
      </c>
      <c r="E26" s="3">
        <v>76</v>
      </c>
      <c r="F26" s="34">
        <v>275</v>
      </c>
      <c r="G26" s="3">
        <v>34</v>
      </c>
      <c r="H26" s="4">
        <f t="shared" si="0"/>
        <v>0</v>
      </c>
      <c r="I26" s="4">
        <f>Table1[[#This Row],[B]]+Table1[[#This Row],[Atomic Constraints]]+Table1[[#This Row],[Soft Atomic Constraints]]+Table1[[#This Row],[Disjunctive Constraints]]+Table1[[#This Row],[Direct Successors]]</f>
        <v>1108</v>
      </c>
      <c r="J26" s="5" t="s">
        <v>42</v>
      </c>
      <c r="K26" s="2">
        <v>-643539</v>
      </c>
      <c r="L26" s="2">
        <v>304.94455929999998</v>
      </c>
      <c r="M26" s="2" t="str">
        <f>IF(AND(Table1[[#This Row],[Chuffed MZ1 Cost]]=Table1[[#This Row],[ORTools FZN2 Cost]],Table1[[#This Row],[ORTools FZN2 State]]="Optimal",Table1[[#This Row],[Chuffed MZ1 State]]="Suboptimal"),1,"")</f>
        <v/>
      </c>
      <c r="N26" s="5" t="s">
        <v>42</v>
      </c>
      <c r="O26" s="2">
        <v>-643539</v>
      </c>
      <c r="P26" s="2">
        <v>304.82788260000001</v>
      </c>
      <c r="Q26" s="2" t="str">
        <f>IF(AND(Table1[[#This Row],[Chuffed MZ2 Cost]]=Table1[[#This Row],[ORTools FZN2 Cost]],Table1[[#This Row],[ORTools FZN2 State]]="Optimal",Table1[[#This Row],[Chuffed MZ2 State]]="Suboptimal"),1,"")</f>
        <v/>
      </c>
      <c r="R26" s="5" t="s">
        <v>26</v>
      </c>
      <c r="S26" s="2">
        <v>12798716</v>
      </c>
      <c r="T26" s="2">
        <v>300.32499999999999</v>
      </c>
      <c r="U26" s="2"/>
      <c r="V26" s="5" t="s">
        <v>42</v>
      </c>
      <c r="W26" s="2">
        <v>-643539</v>
      </c>
      <c r="X26" s="2">
        <v>301.7011827</v>
      </c>
      <c r="Y26" s="2" t="str">
        <f>IF(AND(Table1[[#This Row],[ORTools FZN1 Cost]]=Table1[[#This Row],[ORTools FZN2 Cost]],Table1[[#This Row],[ORTools FZN2 State]]="Optimal",Table1[[#This Row],[ORTools FZN1 State]]="Suboptimal"),1,"")</f>
        <v/>
      </c>
      <c r="Z26" s="5" t="s">
        <v>42</v>
      </c>
      <c r="AA26" s="2">
        <v>-643539</v>
      </c>
      <c r="AB26" s="2">
        <v>301.91188849999998</v>
      </c>
      <c r="AC26" s="39" t="s">
        <v>42</v>
      </c>
      <c r="AD26" s="39">
        <v>-643539</v>
      </c>
      <c r="AE26" s="2">
        <v>300.28455730000002</v>
      </c>
      <c r="AF26" s="2" t="str">
        <f>IF(AND(Table1[[#This Row],[Cplex MB Cost]]=Table1[[#This Row],[ORTools FZN2 Cost]],Table1[[#This Row],[ORTools FZN2 State]]="Optimal",Table1[[#This Row],[Cplex MB State]]="Suboptimal"),1,"")</f>
        <v/>
      </c>
      <c r="AG26" s="4">
        <f>IF(AND(AC26="Optimal",AD26&lt;&gt;AA26,Table1[[#This Row],[Example]]&lt;&gt;"R001",Table1[[#This Row],[Example]]&lt;&gt;"R002"),AD26-AA26,)</f>
        <v>0</v>
      </c>
      <c r="AH26" s="5" t="s">
        <v>42</v>
      </c>
      <c r="AI26" s="2">
        <v>-643539</v>
      </c>
      <c r="AJ26" s="2">
        <v>306.51603790000001</v>
      </c>
      <c r="AK26" s="2" t="str">
        <f>IF(AND(Table1[[#This Row],[Cplex MD Cost]]=Table1[[#This Row],[ORTools FZN2 Cost]],Table1[[#This Row],[ORTools FZN2 State]]="Optimal",Table1[[#This Row],[Cplex MD State]]="Suboptimal"),1,"")</f>
        <v/>
      </c>
      <c r="AL26" s="4">
        <f>IF(AND(AH26="Optimal",AI26&lt;&gt;AA26,Table1[[#This Row],[Example]]&lt;&gt;"R001",Table1[[#This Row],[Example]]&lt;&gt;"R002"),AI26-AA26,)</f>
        <v>0</v>
      </c>
      <c r="AM26" s="39" t="s">
        <v>51</v>
      </c>
      <c r="AN26" s="39">
        <v>-643539</v>
      </c>
      <c r="AO26" s="2">
        <v>91.329431400000004</v>
      </c>
      <c r="AP2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" s="4" t="str">
        <f>IF(AND(Table1[[#This Row],[Cplex MI Cost]]=Table1[[#This Row],[ORTools FZN2 Cost]],Table1[[#This Row],[ORTools FZN2 State]]="Optimal",Table1[[#This Row],[Cplex MI State]]="Suboptimal"),1,"")</f>
        <v/>
      </c>
      <c r="AR26" s="5" t="s">
        <v>42</v>
      </c>
      <c r="AS26" s="2">
        <v>-643539</v>
      </c>
      <c r="AT26" s="2">
        <v>300.08483260000003</v>
      </c>
      <c r="AU26" s="2" t="str">
        <f>IF(AND(Table1[[#This Row],[Z3 SMT2-1 Maxres Cost]]=Table1[[#This Row],[ORTools FZN2 Cost]],Table1[[#This Row],[ORTools FZN2 State]]="Optimal"),1,"")</f>
        <v/>
      </c>
      <c r="AV26" s="39" t="s">
        <v>42</v>
      </c>
      <c r="AW26" s="39">
        <v>-643539</v>
      </c>
      <c r="AX26" s="2">
        <v>300.08506699999998</v>
      </c>
      <c r="AY26" s="2" t="str">
        <f>IF(AND(Table1[[#This Row],[Z3 SMT2-1 PdMaxres Cost]]=Table1[[#This Row],[ORTools FZN2 Cost]],Table1[[#This Row],[ORTools FZN2 State]]="Optimal"),1,"")</f>
        <v/>
      </c>
      <c r="AZ26" s="5" t="s">
        <v>42</v>
      </c>
      <c r="BA26" s="2">
        <v>-643539</v>
      </c>
      <c r="BB26" s="39">
        <v>300.11991030000002</v>
      </c>
      <c r="BC26" s="39" t="str">
        <f>IF(AND(Table1[[#This Row],[Z3 SMT2-1 WMax Cost]]=Table1[[#This Row],[ORTools FZN2 Cost]],Table1[[#This Row],[ORTools FZN2 State]]="Optimal"),1,"")</f>
        <v/>
      </c>
      <c r="BD26" s="39" t="s">
        <v>42</v>
      </c>
      <c r="BE26" s="39">
        <v>-643539</v>
      </c>
      <c r="BF26" s="2">
        <v>300.09040110000001</v>
      </c>
      <c r="BG26" s="2" t="str">
        <f>IF(AND(Table1[[#This Row],[Z3 SMT2-2 Maxres Cost]]=Table1[[#This Row],[ORTools FZN2 Cost]],Table1[[#This Row],[ORTools FZN2 State]]="Optimal"),1,"")</f>
        <v/>
      </c>
      <c r="BH26" s="5" t="s">
        <v>42</v>
      </c>
      <c r="BI26" s="2">
        <v>-643539</v>
      </c>
      <c r="BJ26" s="39">
        <v>300.09114820000002</v>
      </c>
      <c r="BK26" s="39" t="str">
        <f>IF(AND(Table1[[#This Row],[Z3 SMT2-2 PdMaxres Cost]]=Table1[[#This Row],[ORTools FZN2 Cost]],Table1[[#This Row],[ORTools FZN2 State]]="Optimal"),1,"")</f>
        <v/>
      </c>
      <c r="BL26" s="39" t="s">
        <v>42</v>
      </c>
      <c r="BM26" s="39">
        <v>-643539</v>
      </c>
      <c r="BN26" s="2">
        <v>300.08659440000002</v>
      </c>
      <c r="BO26" s="4" t="str">
        <f>IF(AND(Table1[[#This Row],[Z3 SMT2-2 PdMaxres Cost]]=Table1[[#This Row],[ORTools FZN2 Cost]],Table1[[#This Row],[ORTools FZN2 State]]="Optimal"),1,"")</f>
        <v/>
      </c>
      <c r="BP26" s="5" t="s">
        <v>42</v>
      </c>
      <c r="BQ26" s="2">
        <v>-643539</v>
      </c>
      <c r="BR26" s="2">
        <v>300.49278079999999</v>
      </c>
      <c r="BS26" s="2" t="str">
        <f>IF(AND(Table1[[#This Row],[Gurobi MB Cost]]=Table1[[#This Row],[ORTools FZN2 Cost]],Table1[[#This Row],[ORTools FZN2 State]]="Optimal",Table1[[#This Row],[Gurobi MB State]]="Suboptimal"),1,"")</f>
        <v/>
      </c>
      <c r="BT2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" s="5" t="s">
        <v>42</v>
      </c>
      <c r="BV26" s="2">
        <v>-643539</v>
      </c>
      <c r="BW26" s="2">
        <v>300.18995489999998</v>
      </c>
      <c r="BX26" s="2" t="str">
        <f>IF(AND(Table1[[#This Row],[Gurobi MD Cost]]=Table1[[#This Row],[ORTools FZN2 Cost]],Table1[[#This Row],[ORTools FZN2 State]]="Optimal",Table1[[#This Row],[Gurobi MD State]]="Suboptimal"),1,"")</f>
        <v/>
      </c>
      <c r="BY2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" s="5" t="s">
        <v>42</v>
      </c>
      <c r="CA26" s="2">
        <v>-643539</v>
      </c>
      <c r="CB26" s="2">
        <v>300.25772899999998</v>
      </c>
      <c r="CC26" s="2" t="str">
        <f>IF(AND(Table1[[#This Row],[Gurobi MI Cost]]=Table1[[#This Row],[ORTools FZN2 Cost]],Table1[[#This Row],[ORTools FZN2 State]]="Optimal",Table1[[#This Row],[Gurobi MI State]]="Suboptimal"),1,"")</f>
        <v/>
      </c>
      <c r="CD2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" s="39" t="s">
        <v>42</v>
      </c>
      <c r="CF26" s="2">
        <v>-643539</v>
      </c>
      <c r="CG26" s="39">
        <v>306.23362079999998</v>
      </c>
      <c r="CH26" s="39" t="s">
        <v>42</v>
      </c>
      <c r="CI26" s="39">
        <v>-643539</v>
      </c>
      <c r="CJ26" s="2">
        <v>306.2268158</v>
      </c>
      <c r="CK26" s="5" t="s">
        <v>26</v>
      </c>
      <c r="CL26" s="2">
        <v>13428573</v>
      </c>
      <c r="CM26" s="2">
        <v>300.06900000000002</v>
      </c>
      <c r="CN26" s="5" t="s">
        <v>26</v>
      </c>
      <c r="CO26" s="2">
        <v>26306658</v>
      </c>
      <c r="CP26" s="2">
        <v>304.72682839999999</v>
      </c>
      <c r="CQ26" s="5" t="s">
        <v>25</v>
      </c>
      <c r="CR26" s="2">
        <v>11518877</v>
      </c>
      <c r="CS26" s="2">
        <v>238.93289050000001</v>
      </c>
      <c r="CT26" s="6" t="s">
        <v>25</v>
      </c>
      <c r="CU26" s="4">
        <v>11518877</v>
      </c>
      <c r="CV26" s="4">
        <v>85.893367400000002</v>
      </c>
      <c r="CW26" s="39" t="s">
        <v>42</v>
      </c>
      <c r="CX26" s="39"/>
      <c r="CY26" s="2">
        <v>300.0204</v>
      </c>
      <c r="CZ26" s="2" t="str">
        <f>IF(AND(Table1[[#This Row],[Cplex MZ1 Cost]]=Table1[[#This Row],[ORTools FZN2 Cost]],Table1[[#This Row],[ORTools FZN2 State]]="Optimal",Table1[[#This Row],[Cplex MZ1 State]]="Suboptimal"),1,"")</f>
        <v/>
      </c>
      <c r="DA26" s="5" t="s">
        <v>42</v>
      </c>
      <c r="DB26" s="2"/>
      <c r="DC26" s="2">
        <v>300.07819999999998</v>
      </c>
      <c r="DD26" s="2" t="str">
        <f>IF(AND(Table1[[#This Row],[Cplex MZ2 Cost]]=Table1[[#This Row],[ORTools FZN2 Cost]],Table1[[#This Row],[ORTools FZN2 State]]="Optimal",Table1[[#This Row],[Cplex MZ2 State]]="Suboptimal"),1,"")</f>
        <v/>
      </c>
      <c r="DE26" s="39" t="s">
        <v>42</v>
      </c>
      <c r="DF26" s="39"/>
      <c r="DG26" s="2">
        <v>300.00819999999999</v>
      </c>
      <c r="DH26" s="2" t="str">
        <f>IF(AND(Table1[[#This Row],[Gurobi MZ1 Cost]]=Table1[[#This Row],[ORTools FZN2 Cost]],Table1[[#This Row],[ORTools FZN2 State]]="Optimal",Table1[[#This Row],[Gurobi MZ1 State]]="Suboptimal"),1,"")</f>
        <v/>
      </c>
      <c r="DI26" s="5" t="s">
        <v>42</v>
      </c>
      <c r="DJ26" s="2"/>
      <c r="DK26" s="2">
        <v>300.00740000000002</v>
      </c>
      <c r="DL26" s="4" t="str">
        <f>IF(AND(Table1[[#This Row],[Gurobi MZ2 Cost]]=Table1[[#This Row],[ORTools FZN2 Cost]],Table1[[#This Row],[ORTools FZN2 State]]="Optimal",Table1[[#This Row],[Gurobi MZ2 State]]="Suboptimal"),1,"")</f>
        <v/>
      </c>
      <c r="DM26" s="39" t="s">
        <v>26</v>
      </c>
      <c r="DN26" s="39">
        <v>13464791</v>
      </c>
      <c r="DO26" s="65">
        <v>300.43900000000002</v>
      </c>
      <c r="DP26" s="4" t="str">
        <f>IF(AND(Table1[[#This Row],[Cplex MC nonDual Cost]]=Table1[[#This Row],[ORTools FZN2 Cost]],Table1[[#This Row],[ORTools FZN2 State]]="Optimal",Table1[[#This Row],[Cplex MC nonDual State]]="Suboptimal"),1,"")</f>
        <v/>
      </c>
      <c r="DQ26" s="5" t="s">
        <v>42</v>
      </c>
      <c r="DR26" s="2"/>
      <c r="DS26" s="2">
        <v>300.04349999999999</v>
      </c>
      <c r="DT26" s="2" t="str">
        <f>IF(AND(Table1[[#This Row],[Cplex MIP DM''z Cost]]=Table1[[#This Row],[ORTools FZN2 Cost]],Table1[[#This Row],[ORTools FZN2 State]]="Optimal",Table1[[#This Row],[Cplex MIP DM''z  State]]="Suboptimal"),1,"")</f>
        <v/>
      </c>
      <c r="DU2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" s="5" t="s">
        <v>42</v>
      </c>
      <c r="DW26" s="2"/>
      <c r="DX26" s="2">
        <v>300.01499999999999</v>
      </c>
      <c r="DY26" s="4" t="str">
        <f>IF(AND(Table1[[#This Row],[Gurobi DM''z  Cost]]=Table1[[#This Row],[ORTools FZN2 Cost]],Table1[[#This Row],[ORTools FZN2 State]]="Optimal",Table1[[#This Row],[Gurobi DM''z  State]]="Suboptimal"),1,"")</f>
        <v/>
      </c>
      <c r="DZ2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" spans="1:130" ht="15.75" x14ac:dyDescent="0.25">
      <c r="A27" s="46" t="s">
        <v>52</v>
      </c>
      <c r="B27" s="5">
        <v>20</v>
      </c>
      <c r="C27" s="2">
        <v>10</v>
      </c>
      <c r="D27" s="5">
        <v>22</v>
      </c>
      <c r="E27" s="3">
        <v>15</v>
      </c>
      <c r="F27" s="34">
        <v>29</v>
      </c>
      <c r="G27" s="3">
        <v>0</v>
      </c>
      <c r="H27" s="4">
        <f t="shared" si="0"/>
        <v>0</v>
      </c>
      <c r="I27" s="4">
        <f>Table1[[#This Row],[B]]+Table1[[#This Row],[Atomic Constraints]]+Table1[[#This Row],[Soft Atomic Constraints]]+Table1[[#This Row],[Disjunctive Constraints]]+Table1[[#This Row],[Direct Successors]]</f>
        <v>76</v>
      </c>
      <c r="J27" s="5" t="s">
        <v>25</v>
      </c>
      <c r="K27" s="2">
        <v>9</v>
      </c>
      <c r="L27" s="2">
        <v>1.1929703</v>
      </c>
      <c r="M27" s="2" t="str">
        <f>IF(AND(Table1[[#This Row],[Chuffed MZ1 Cost]]=Table1[[#This Row],[ORTools FZN2 Cost]],Table1[[#This Row],[ORTools FZN2 State]]="Optimal",Table1[[#This Row],[Chuffed MZ1 State]]="Suboptimal"),1,"")</f>
        <v/>
      </c>
      <c r="N27" s="5" t="s">
        <v>25</v>
      </c>
      <c r="O27" s="2">
        <v>9</v>
      </c>
      <c r="P27" s="2">
        <v>1.2199331</v>
      </c>
      <c r="Q27" s="2" t="str">
        <f>IF(AND(Table1[[#This Row],[Chuffed MZ2 Cost]]=Table1[[#This Row],[ORTools FZN2 Cost]],Table1[[#This Row],[ORTools FZN2 State]]="Optimal",Table1[[#This Row],[Chuffed MZ2 State]]="Suboptimal"),1,"")</f>
        <v/>
      </c>
      <c r="R27" s="5" t="s">
        <v>25</v>
      </c>
      <c r="S27" s="2">
        <v>9</v>
      </c>
      <c r="T27" s="2">
        <v>0.38100000000008499</v>
      </c>
      <c r="U27" s="2"/>
      <c r="V27" s="5" t="s">
        <v>25</v>
      </c>
      <c r="W27" s="2">
        <v>9</v>
      </c>
      <c r="X27" s="2">
        <v>0.78334999999999999</v>
      </c>
      <c r="Y27" s="2" t="str">
        <f>IF(AND(Table1[[#This Row],[ORTools FZN1 Cost]]=Table1[[#This Row],[ORTools FZN2 Cost]],Table1[[#This Row],[ORTools FZN2 State]]="Optimal",Table1[[#This Row],[ORTools FZN1 State]]="Suboptimal"),1,"")</f>
        <v/>
      </c>
      <c r="Z27" s="5" t="s">
        <v>25</v>
      </c>
      <c r="AA27" s="2">
        <v>9</v>
      </c>
      <c r="AB27" s="2">
        <v>0.70026109999999997</v>
      </c>
      <c r="AC27" s="39" t="s">
        <v>25</v>
      </c>
      <c r="AD27" s="39">
        <v>9</v>
      </c>
      <c r="AE27" s="2">
        <v>2.8664698999999998</v>
      </c>
      <c r="AF27" s="2" t="str">
        <f>IF(AND(Table1[[#This Row],[Cplex MB Cost]]=Table1[[#This Row],[ORTools FZN2 Cost]],Table1[[#This Row],[ORTools FZN2 State]]="Optimal",Table1[[#This Row],[Cplex MB State]]="Suboptimal"),1,"")</f>
        <v/>
      </c>
      <c r="AG27" s="4">
        <f>IF(AND(AC27="Optimal",AD27&lt;&gt;AA27,Table1[[#This Row],[Example]]&lt;&gt;"R001",Table1[[#This Row],[Example]]&lt;&gt;"R002"),AD27-AA27,)</f>
        <v>0</v>
      </c>
      <c r="AH27" s="5" t="s">
        <v>25</v>
      </c>
      <c r="AI27" s="2">
        <v>9</v>
      </c>
      <c r="AJ27" s="2">
        <v>22.4584701</v>
      </c>
      <c r="AK27" s="2" t="str">
        <f>IF(AND(Table1[[#This Row],[Cplex MD Cost]]=Table1[[#This Row],[ORTools FZN2 Cost]],Table1[[#This Row],[ORTools FZN2 State]]="Optimal",Table1[[#This Row],[Cplex MD State]]="Suboptimal"),1,"")</f>
        <v/>
      </c>
      <c r="AL27" s="4">
        <f>IF(AND(AH27="Optimal",AI27&lt;&gt;AA27,Table1[[#This Row],[Example]]&lt;&gt;"R001",Table1[[#This Row],[Example]]&lt;&gt;"R002"),AI27-AA27,)</f>
        <v>0</v>
      </c>
      <c r="AM27" s="39" t="s">
        <v>25</v>
      </c>
      <c r="AN27" s="39">
        <v>9</v>
      </c>
      <c r="AO27" s="2">
        <v>0.80423310000000003</v>
      </c>
      <c r="AP2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" s="2" t="str">
        <f>IF(AND(Table1[[#This Row],[Cplex MI Cost]]=Table1[[#This Row],[ORTools FZN2 Cost]],Table1[[#This Row],[ORTools FZN2 State]]="Optimal",Table1[[#This Row],[Cplex MI State]]="Suboptimal"),1,"")</f>
        <v/>
      </c>
      <c r="AR27" s="12" t="s">
        <v>26</v>
      </c>
      <c r="AS27" s="12">
        <v>9</v>
      </c>
      <c r="AT27" s="12">
        <v>17.6893691</v>
      </c>
      <c r="AU27" s="12">
        <f>IF(AND(Table1[[#This Row],[Z3 SMT2-1 Maxres Cost]]=Table1[[#This Row],[ORTools FZN2 Cost]],Table1[[#This Row],[ORTools FZN2 State]]="Optimal"),1,"")</f>
        <v>1</v>
      </c>
      <c r="AV27" s="12" t="s">
        <v>26</v>
      </c>
      <c r="AW27" s="12">
        <v>9</v>
      </c>
      <c r="AX27" s="12">
        <v>18.2928107</v>
      </c>
      <c r="AY27" s="12">
        <f>IF(AND(Table1[[#This Row],[Z3 SMT2-1 PdMaxres Cost]]=Table1[[#This Row],[ORTools FZN2 Cost]],Table1[[#This Row],[ORTools FZN2 State]]="Optimal"),1,"")</f>
        <v>1</v>
      </c>
      <c r="AZ27" s="12" t="s">
        <v>26</v>
      </c>
      <c r="BA27" s="12">
        <v>9</v>
      </c>
      <c r="BB27" s="12">
        <v>21.812449000000001</v>
      </c>
      <c r="BC27" s="12">
        <f>IF(AND(Table1[[#This Row],[Z3 SMT2-1 WMax Cost]]=Table1[[#This Row],[ORTools FZN2 Cost]],Table1[[#This Row],[ORTools FZN2 State]]="Optimal"),1,"")</f>
        <v>1</v>
      </c>
      <c r="BD27" s="12" t="s">
        <v>26</v>
      </c>
      <c r="BE27" s="12">
        <v>9</v>
      </c>
      <c r="BF27" s="12">
        <v>11.920671799999999</v>
      </c>
      <c r="BG27" s="12">
        <f>IF(AND(Table1[[#This Row],[Z3 SMT2-2 Maxres Cost]]=Table1[[#This Row],[ORTools FZN2 Cost]],Table1[[#This Row],[ORTools FZN2 State]]="Optimal"),1,"")</f>
        <v>1</v>
      </c>
      <c r="BH27" s="12" t="s">
        <v>26</v>
      </c>
      <c r="BI27" s="12">
        <v>9</v>
      </c>
      <c r="BJ27" s="12">
        <v>11.8001456</v>
      </c>
      <c r="BK27" s="12">
        <f>IF(AND(Table1[[#This Row],[Z3 SMT2-2 PdMaxres Cost]]=Table1[[#This Row],[ORTools FZN2 Cost]],Table1[[#This Row],[ORTools FZN2 State]]="Optimal"),1,"")</f>
        <v>1</v>
      </c>
      <c r="BL27" s="12" t="s">
        <v>26</v>
      </c>
      <c r="BM27" s="12">
        <v>9</v>
      </c>
      <c r="BN27" s="12">
        <v>11.6983411</v>
      </c>
      <c r="BO27" s="11">
        <f>IF(AND(Table1[[#This Row],[Z3 SMT2-2 PdMaxres Cost]]=Table1[[#This Row],[ORTools FZN2 Cost]],Table1[[#This Row],[ORTools FZN2 State]]="Optimal"),1,"")</f>
        <v>1</v>
      </c>
      <c r="BP27" s="5" t="s">
        <v>25</v>
      </c>
      <c r="BQ27" s="2">
        <v>9</v>
      </c>
      <c r="BR27" s="2">
        <v>5.1019379999999996</v>
      </c>
      <c r="BS27" s="2" t="str">
        <f>IF(AND(Table1[[#This Row],[Gurobi MB Cost]]=Table1[[#This Row],[ORTools FZN2 Cost]],Table1[[#This Row],[ORTools FZN2 State]]="Optimal",Table1[[#This Row],[Gurobi MB State]]="Suboptimal"),1,"")</f>
        <v/>
      </c>
      <c r="BT2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" s="5" t="s">
        <v>25</v>
      </c>
      <c r="BV27" s="2">
        <v>9</v>
      </c>
      <c r="BW27" s="2">
        <v>19.224820699999999</v>
      </c>
      <c r="BX27" s="2" t="str">
        <f>IF(AND(Table1[[#This Row],[Gurobi MD Cost]]=Table1[[#This Row],[ORTools FZN2 Cost]],Table1[[#This Row],[ORTools FZN2 State]]="Optimal",Table1[[#This Row],[Gurobi MD State]]="Suboptimal"),1,"")</f>
        <v/>
      </c>
      <c r="BY2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" s="5" t="s">
        <v>25</v>
      </c>
      <c r="CA27" s="2">
        <v>9</v>
      </c>
      <c r="CB27" s="2">
        <v>2.8802298</v>
      </c>
      <c r="CC27" s="2" t="str">
        <f>IF(AND(Table1[[#This Row],[Gurobi MI Cost]]=Table1[[#This Row],[ORTools FZN2 Cost]],Table1[[#This Row],[ORTools FZN2 State]]="Optimal",Table1[[#This Row],[Gurobi MI State]]="Suboptimal"),1,"")</f>
        <v/>
      </c>
      <c r="CD2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" s="39" t="s">
        <v>42</v>
      </c>
      <c r="CF27" s="2">
        <v>-8421</v>
      </c>
      <c r="CG27" s="39">
        <v>306.00206050000003</v>
      </c>
      <c r="CH27" s="39" t="s">
        <v>42</v>
      </c>
      <c r="CI27" s="39">
        <v>-8421</v>
      </c>
      <c r="CJ27" s="2">
        <v>305.97293459999997</v>
      </c>
      <c r="CK27" s="5" t="s">
        <v>25</v>
      </c>
      <c r="CL27" s="2">
        <v>9</v>
      </c>
      <c r="CM27" s="2">
        <v>0.42000000000007298</v>
      </c>
      <c r="CN27" s="5" t="s">
        <v>25</v>
      </c>
      <c r="CO27" s="2">
        <v>9</v>
      </c>
      <c r="CP27" s="2">
        <v>1.0474711000000001</v>
      </c>
      <c r="CQ27" s="5" t="s">
        <v>25</v>
      </c>
      <c r="CR27" s="2">
        <v>9</v>
      </c>
      <c r="CS27" s="2">
        <v>1.4383068000000001</v>
      </c>
      <c r="CT27" s="6" t="s">
        <v>25</v>
      </c>
      <c r="CU27" s="4">
        <v>9</v>
      </c>
      <c r="CV27" s="4">
        <v>1.3493379999999999</v>
      </c>
      <c r="CW27" s="39" t="s">
        <v>25</v>
      </c>
      <c r="CX27" s="39">
        <v>9</v>
      </c>
      <c r="CY27" s="2">
        <v>5.8902000000000001</v>
      </c>
      <c r="CZ27" s="2" t="str">
        <f>IF(AND(Table1[[#This Row],[Cplex MZ1 Cost]]=Table1[[#This Row],[ORTools FZN2 Cost]],Table1[[#This Row],[ORTools FZN2 State]]="Optimal",Table1[[#This Row],[Cplex MZ1 State]]="Suboptimal"),1,"")</f>
        <v/>
      </c>
      <c r="DA27" s="5" t="s">
        <v>25</v>
      </c>
      <c r="DB27" s="2">
        <v>9</v>
      </c>
      <c r="DC27" s="2">
        <v>16.297599999999999</v>
      </c>
      <c r="DD27" s="2" t="str">
        <f>IF(AND(Table1[[#This Row],[Cplex MZ2 Cost]]=Table1[[#This Row],[ORTools FZN2 Cost]],Table1[[#This Row],[ORTools FZN2 State]]="Optimal",Table1[[#This Row],[Cplex MZ2 State]]="Suboptimal"),1,"")</f>
        <v/>
      </c>
      <c r="DE27" s="39" t="s">
        <v>25</v>
      </c>
      <c r="DF27" s="39">
        <v>9</v>
      </c>
      <c r="DG27" s="2">
        <v>11.0517</v>
      </c>
      <c r="DH27" s="2" t="str">
        <f>IF(AND(Table1[[#This Row],[Gurobi MZ1 Cost]]=Table1[[#This Row],[ORTools FZN2 Cost]],Table1[[#This Row],[ORTools FZN2 State]]="Optimal",Table1[[#This Row],[Gurobi MZ1 State]]="Suboptimal"),1,"")</f>
        <v/>
      </c>
      <c r="DI27" s="5" t="s">
        <v>25</v>
      </c>
      <c r="DJ27" s="2">
        <v>9</v>
      </c>
      <c r="DK27" s="2">
        <v>10.107799999999999</v>
      </c>
      <c r="DL27" s="4" t="str">
        <f>IF(AND(Table1[[#This Row],[Gurobi MZ2 Cost]]=Table1[[#This Row],[ORTools FZN2 Cost]],Table1[[#This Row],[ORTools FZN2 State]]="Optimal",Table1[[#This Row],[Gurobi MZ2 State]]="Suboptimal"),1,"")</f>
        <v/>
      </c>
      <c r="DM27" s="39" t="s">
        <v>25</v>
      </c>
      <c r="DN27" s="39">
        <v>9</v>
      </c>
      <c r="DO27" s="65">
        <v>0.37699999999995198</v>
      </c>
      <c r="DP27" s="4" t="str">
        <f>IF(AND(Table1[[#This Row],[Cplex MC nonDual Cost]]=Table1[[#This Row],[ORTools FZN2 Cost]],Table1[[#This Row],[ORTools FZN2 State]]="Optimal",Table1[[#This Row],[Cplex MC nonDual State]]="Suboptimal"),1,"")</f>
        <v/>
      </c>
      <c r="DQ27" s="5" t="s">
        <v>25</v>
      </c>
      <c r="DR27" s="2">
        <v>9</v>
      </c>
      <c r="DS27" s="2">
        <v>5.5388000000000002</v>
      </c>
      <c r="DT27" s="2" t="str">
        <f>IF(AND(Table1[[#This Row],[Cplex MIP DM''z Cost]]=Table1[[#This Row],[ORTools FZN2 Cost]],Table1[[#This Row],[ORTools FZN2 State]]="Optimal",Table1[[#This Row],[Cplex MIP DM''z  State]]="Suboptimal"),1,"")</f>
        <v/>
      </c>
      <c r="DU2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" s="5" t="s">
        <v>25</v>
      </c>
      <c r="DW27" s="2">
        <v>9</v>
      </c>
      <c r="DX27" s="2">
        <v>14.0542</v>
      </c>
      <c r="DY27" s="4" t="str">
        <f>IF(AND(Table1[[#This Row],[Gurobi DM''z  Cost]]=Table1[[#This Row],[ORTools FZN2 Cost]],Table1[[#This Row],[ORTools FZN2 State]]="Optimal",Table1[[#This Row],[Gurobi DM''z  State]]="Suboptimal"),1,"")</f>
        <v/>
      </c>
      <c r="DZ2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8" spans="1:130" ht="15.75" x14ac:dyDescent="0.25">
      <c r="A28" s="46" t="s">
        <v>53</v>
      </c>
      <c r="B28" s="5">
        <v>12</v>
      </c>
      <c r="C28" s="2">
        <v>6</v>
      </c>
      <c r="D28" s="5">
        <v>11</v>
      </c>
      <c r="E28" s="3">
        <v>8</v>
      </c>
      <c r="F28" s="34">
        <v>13</v>
      </c>
      <c r="G28" s="3">
        <v>0</v>
      </c>
      <c r="H28" s="4">
        <f t="shared" si="0"/>
        <v>0</v>
      </c>
      <c r="I28" s="4">
        <f>Table1[[#This Row],[B]]+Table1[[#This Row],[Atomic Constraints]]+Table1[[#This Row],[Soft Atomic Constraints]]+Table1[[#This Row],[Disjunctive Constraints]]+Table1[[#This Row],[Direct Successors]]</f>
        <v>38</v>
      </c>
      <c r="J28" s="5" t="s">
        <v>25</v>
      </c>
      <c r="K28" s="2">
        <v>6</v>
      </c>
      <c r="L28" s="2">
        <v>0.71635700000000002</v>
      </c>
      <c r="M28" s="2" t="str">
        <f>IF(AND(Table1[[#This Row],[Chuffed MZ1 Cost]]=Table1[[#This Row],[ORTools FZN2 Cost]],Table1[[#This Row],[ORTools FZN2 State]]="Optimal",Table1[[#This Row],[Chuffed MZ1 State]]="Suboptimal"),1,"")</f>
        <v/>
      </c>
      <c r="N28" s="5" t="s">
        <v>25</v>
      </c>
      <c r="O28" s="2">
        <v>6</v>
      </c>
      <c r="P28" s="2">
        <v>0.64214530000000003</v>
      </c>
      <c r="Q28" s="2" t="str">
        <f>IF(AND(Table1[[#This Row],[Chuffed MZ2 Cost]]=Table1[[#This Row],[ORTools FZN2 Cost]],Table1[[#This Row],[ORTools FZN2 State]]="Optimal",Table1[[#This Row],[Chuffed MZ2 State]]="Suboptimal"),1,"")</f>
        <v/>
      </c>
      <c r="R28" s="6" t="s">
        <v>25</v>
      </c>
      <c r="S28" s="4">
        <v>6</v>
      </c>
      <c r="T28" s="4">
        <v>6.7999999999983601E-2</v>
      </c>
      <c r="U28" s="4"/>
      <c r="V28" s="5" t="s">
        <v>25</v>
      </c>
      <c r="W28" s="2">
        <v>6</v>
      </c>
      <c r="X28" s="2">
        <v>0.19903499999999999</v>
      </c>
      <c r="Y28" s="2" t="str">
        <f>IF(AND(Table1[[#This Row],[ORTools FZN1 Cost]]=Table1[[#This Row],[ORTools FZN2 Cost]],Table1[[#This Row],[ORTools FZN2 State]]="Optimal",Table1[[#This Row],[ORTools FZN1 State]]="Suboptimal"),1,"")</f>
        <v/>
      </c>
      <c r="Z28" s="5" t="s">
        <v>25</v>
      </c>
      <c r="AA28" s="2">
        <v>6</v>
      </c>
      <c r="AB28" s="2">
        <v>0.1664718</v>
      </c>
      <c r="AC28" s="39" t="s">
        <v>25</v>
      </c>
      <c r="AD28" s="39">
        <v>6</v>
      </c>
      <c r="AE28" s="2">
        <v>0.35027469999999999</v>
      </c>
      <c r="AF28" s="2" t="str">
        <f>IF(AND(Table1[[#This Row],[Cplex MB Cost]]=Table1[[#This Row],[ORTools FZN2 Cost]],Table1[[#This Row],[ORTools FZN2 State]]="Optimal",Table1[[#This Row],[Cplex MB State]]="Suboptimal"),1,"")</f>
        <v/>
      </c>
      <c r="AG28" s="4">
        <f>IF(AND(AC28="Optimal",AD28&lt;&gt;AA28,Table1[[#This Row],[Example]]&lt;&gt;"R001",Table1[[#This Row],[Example]]&lt;&gt;"R002"),AD28-AA28,)</f>
        <v>0</v>
      </c>
      <c r="AH28" s="5" t="s">
        <v>25</v>
      </c>
      <c r="AI28" s="2">
        <v>6</v>
      </c>
      <c r="AJ28" s="2">
        <v>1.4603271</v>
      </c>
      <c r="AK28" s="2" t="str">
        <f>IF(AND(Table1[[#This Row],[Cplex MD Cost]]=Table1[[#This Row],[ORTools FZN2 Cost]],Table1[[#This Row],[ORTools FZN2 State]]="Optimal",Table1[[#This Row],[Cplex MD State]]="Suboptimal"),1,"")</f>
        <v/>
      </c>
      <c r="AL28" s="4">
        <f>IF(AND(AH28="Optimal",AI28&lt;&gt;AA28,Table1[[#This Row],[Example]]&lt;&gt;"R001",Table1[[#This Row],[Example]]&lt;&gt;"R002"),AI28-AA28,)</f>
        <v>0</v>
      </c>
      <c r="AM28" s="39" t="s">
        <v>25</v>
      </c>
      <c r="AN28" s="39">
        <v>6</v>
      </c>
      <c r="AO28" s="2">
        <v>0.19569610000000001</v>
      </c>
      <c r="AP2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8" s="4" t="str">
        <f>IF(AND(Table1[[#This Row],[Cplex MI Cost]]=Table1[[#This Row],[ORTools FZN2 Cost]],Table1[[#This Row],[ORTools FZN2 State]]="Optimal",Table1[[#This Row],[Cplex MI State]]="Suboptimal"),1,"")</f>
        <v/>
      </c>
      <c r="AR28" s="12" t="s">
        <v>26</v>
      </c>
      <c r="AS28" s="12">
        <v>6</v>
      </c>
      <c r="AT28" s="12">
        <v>1.7927797999999999</v>
      </c>
      <c r="AU28" s="12">
        <f>IF(AND(Table1[[#This Row],[Z3 SMT2-1 Maxres Cost]]=Table1[[#This Row],[ORTools FZN2 Cost]],Table1[[#This Row],[ORTools FZN2 State]]="Optimal"),1,"")</f>
        <v>1</v>
      </c>
      <c r="AV28" s="12" t="s">
        <v>26</v>
      </c>
      <c r="AW28" s="12">
        <v>6</v>
      </c>
      <c r="AX28" s="12">
        <v>1.7211875999999999</v>
      </c>
      <c r="AY28" s="12">
        <f>IF(AND(Table1[[#This Row],[Z3 SMT2-1 PdMaxres Cost]]=Table1[[#This Row],[ORTools FZN2 Cost]],Table1[[#This Row],[ORTools FZN2 State]]="Optimal"),1,"")</f>
        <v>1</v>
      </c>
      <c r="AZ28" s="12" t="s">
        <v>26</v>
      </c>
      <c r="BA28" s="12">
        <v>6</v>
      </c>
      <c r="BB28" s="12">
        <v>2.2137042</v>
      </c>
      <c r="BC28" s="12">
        <f>IF(AND(Table1[[#This Row],[Z3 SMT2-1 WMax Cost]]=Table1[[#This Row],[ORTools FZN2 Cost]],Table1[[#This Row],[ORTools FZN2 State]]="Optimal"),1,"")</f>
        <v>1</v>
      </c>
      <c r="BD28" s="12" t="s">
        <v>26</v>
      </c>
      <c r="BE28" s="12">
        <v>6</v>
      </c>
      <c r="BF28" s="12">
        <v>1.2373675</v>
      </c>
      <c r="BG28" s="12">
        <f>IF(AND(Table1[[#This Row],[Z3 SMT2-2 Maxres Cost]]=Table1[[#This Row],[ORTools FZN2 Cost]],Table1[[#This Row],[ORTools FZN2 State]]="Optimal"),1,"")</f>
        <v>1</v>
      </c>
      <c r="BH28" s="12" t="s">
        <v>26</v>
      </c>
      <c r="BI28" s="12">
        <v>6</v>
      </c>
      <c r="BJ28" s="12">
        <v>1.2547375000000001</v>
      </c>
      <c r="BK28" s="12">
        <f>IF(AND(Table1[[#This Row],[Z3 SMT2-2 PdMaxres Cost]]=Table1[[#This Row],[ORTools FZN2 Cost]],Table1[[#This Row],[ORTools FZN2 State]]="Optimal"),1,"")</f>
        <v>1</v>
      </c>
      <c r="BL28" s="12" t="s">
        <v>26</v>
      </c>
      <c r="BM28" s="12">
        <v>6</v>
      </c>
      <c r="BN28" s="12">
        <v>1.2134670999999999</v>
      </c>
      <c r="BO28" s="11">
        <f>IF(AND(Table1[[#This Row],[Z3 SMT2-2 PdMaxres Cost]]=Table1[[#This Row],[ORTools FZN2 Cost]],Table1[[#This Row],[ORTools FZN2 State]]="Optimal"),1,"")</f>
        <v>1</v>
      </c>
      <c r="BP28" s="5" t="s">
        <v>25</v>
      </c>
      <c r="BQ28" s="2">
        <v>6</v>
      </c>
      <c r="BR28" s="2">
        <v>0.44802110000000001</v>
      </c>
      <c r="BS28" s="2" t="str">
        <f>IF(AND(Table1[[#This Row],[Gurobi MB Cost]]=Table1[[#This Row],[ORTools FZN2 Cost]],Table1[[#This Row],[ORTools FZN2 State]]="Optimal",Table1[[#This Row],[Gurobi MB State]]="Suboptimal"),1,"")</f>
        <v/>
      </c>
      <c r="BT2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8" s="5" t="s">
        <v>25</v>
      </c>
      <c r="BV28" s="2">
        <v>6</v>
      </c>
      <c r="BW28" s="2">
        <v>1.7422162000000001</v>
      </c>
      <c r="BX28" s="2" t="str">
        <f>IF(AND(Table1[[#This Row],[Gurobi MD Cost]]=Table1[[#This Row],[ORTools FZN2 Cost]],Table1[[#This Row],[ORTools FZN2 State]]="Optimal",Table1[[#This Row],[Gurobi MD State]]="Suboptimal"),1,"")</f>
        <v/>
      </c>
      <c r="BY2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8" s="5" t="s">
        <v>25</v>
      </c>
      <c r="CA28" s="2">
        <v>6</v>
      </c>
      <c r="CB28" s="2">
        <v>0.6097072</v>
      </c>
      <c r="CC28" s="2" t="str">
        <f>IF(AND(Table1[[#This Row],[Gurobi MI Cost]]=Table1[[#This Row],[ORTools FZN2 Cost]],Table1[[#This Row],[ORTools FZN2 State]]="Optimal",Table1[[#This Row],[Gurobi MI State]]="Suboptimal"),1,"")</f>
        <v/>
      </c>
      <c r="CD2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8" s="39" t="s">
        <v>25</v>
      </c>
      <c r="CF28" s="2">
        <v>6</v>
      </c>
      <c r="CG28" s="39">
        <v>100.36408950000001</v>
      </c>
      <c r="CH28" s="39" t="s">
        <v>25</v>
      </c>
      <c r="CI28" s="39">
        <v>6</v>
      </c>
      <c r="CJ28" s="2">
        <v>100.37103569999999</v>
      </c>
      <c r="CK28" s="5" t="s">
        <v>25</v>
      </c>
      <c r="CL28" s="2">
        <v>6</v>
      </c>
      <c r="CM28" s="2">
        <v>7.5000000000045502E-2</v>
      </c>
      <c r="CN28" s="5" t="s">
        <v>25</v>
      </c>
      <c r="CO28" s="2">
        <v>6</v>
      </c>
      <c r="CP28" s="2">
        <v>0.65340240000000005</v>
      </c>
      <c r="CQ28" s="5" t="s">
        <v>25</v>
      </c>
      <c r="CR28" s="2">
        <v>6</v>
      </c>
      <c r="CS28" s="2">
        <v>0.39500540000000001</v>
      </c>
      <c r="CT28" s="6" t="s">
        <v>25</v>
      </c>
      <c r="CU28" s="4">
        <v>6</v>
      </c>
      <c r="CV28" s="4">
        <v>0.38021569999999999</v>
      </c>
      <c r="CW28" s="39" t="s">
        <v>25</v>
      </c>
      <c r="CX28" s="39">
        <v>6</v>
      </c>
      <c r="CY28" s="2">
        <v>0.88029999999999997</v>
      </c>
      <c r="CZ28" s="2" t="str">
        <f>IF(AND(Table1[[#This Row],[Cplex MZ1 Cost]]=Table1[[#This Row],[ORTools FZN2 Cost]],Table1[[#This Row],[ORTools FZN2 State]]="Optimal",Table1[[#This Row],[Cplex MZ1 State]]="Suboptimal"),1,"")</f>
        <v/>
      </c>
      <c r="DA28" s="5" t="s">
        <v>25</v>
      </c>
      <c r="DB28" s="2">
        <v>6</v>
      </c>
      <c r="DC28" s="2">
        <v>0.79179999999999995</v>
      </c>
      <c r="DD28" s="2" t="str">
        <f>IF(AND(Table1[[#This Row],[Cplex MZ2 Cost]]=Table1[[#This Row],[ORTools FZN2 Cost]],Table1[[#This Row],[ORTools FZN2 State]]="Optimal",Table1[[#This Row],[Cplex MZ2 State]]="Suboptimal"),1,"")</f>
        <v/>
      </c>
      <c r="DE28" s="39" t="s">
        <v>25</v>
      </c>
      <c r="DF28" s="39">
        <v>6</v>
      </c>
      <c r="DG28" s="2">
        <v>0.87509999999999999</v>
      </c>
      <c r="DH28" s="2" t="str">
        <f>IF(AND(Table1[[#This Row],[Gurobi MZ1 Cost]]=Table1[[#This Row],[ORTools FZN2 Cost]],Table1[[#This Row],[ORTools FZN2 State]]="Optimal",Table1[[#This Row],[Gurobi MZ1 State]]="Suboptimal"),1,"")</f>
        <v/>
      </c>
      <c r="DI28" s="5" t="s">
        <v>25</v>
      </c>
      <c r="DJ28" s="2">
        <v>6</v>
      </c>
      <c r="DK28" s="2">
        <v>1.1793</v>
      </c>
      <c r="DL28" s="4" t="str">
        <f>IF(AND(Table1[[#This Row],[Gurobi MZ2 Cost]]=Table1[[#This Row],[ORTools FZN2 Cost]],Table1[[#This Row],[ORTools FZN2 State]]="Optimal",Table1[[#This Row],[Gurobi MZ2 State]]="Suboptimal"),1,"")</f>
        <v/>
      </c>
      <c r="DM28" s="39" t="s">
        <v>25</v>
      </c>
      <c r="DN28" s="39">
        <v>6</v>
      </c>
      <c r="DO28" s="65">
        <v>6.0999999999694403E-2</v>
      </c>
      <c r="DP28" s="4" t="str">
        <f>IF(AND(Table1[[#This Row],[Cplex MC nonDual Cost]]=Table1[[#This Row],[ORTools FZN2 Cost]],Table1[[#This Row],[ORTools FZN2 State]]="Optimal",Table1[[#This Row],[Cplex MC nonDual State]]="Suboptimal"),1,"")</f>
        <v/>
      </c>
      <c r="DQ28" s="5" t="s">
        <v>25</v>
      </c>
      <c r="DR28" s="2">
        <v>6</v>
      </c>
      <c r="DS28" s="2">
        <v>0.74270000000000003</v>
      </c>
      <c r="DT28" s="2" t="str">
        <f>IF(AND(Table1[[#This Row],[Cplex MIP DM''z Cost]]=Table1[[#This Row],[ORTools FZN2 Cost]],Table1[[#This Row],[ORTools FZN2 State]]="Optimal",Table1[[#This Row],[Cplex MIP DM''z  State]]="Suboptimal"),1,"")</f>
        <v/>
      </c>
      <c r="DU2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8" s="5" t="s">
        <v>25</v>
      </c>
      <c r="DW28" s="2">
        <v>6</v>
      </c>
      <c r="DX28" s="2">
        <v>0.3095</v>
      </c>
      <c r="DY28" s="4" t="str">
        <f>IF(AND(Table1[[#This Row],[Gurobi DM''z  Cost]]=Table1[[#This Row],[ORTools FZN2 Cost]],Table1[[#This Row],[ORTools FZN2 State]]="Optimal",Table1[[#This Row],[Gurobi DM''z  State]]="Suboptimal"),1,"")</f>
        <v/>
      </c>
      <c r="DZ2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9" spans="1:130" ht="15.75" x14ac:dyDescent="0.25">
      <c r="A29" s="46" t="s">
        <v>54</v>
      </c>
      <c r="B29" s="5">
        <v>12</v>
      </c>
      <c r="C29" s="2">
        <v>6</v>
      </c>
      <c r="D29" s="5">
        <v>5</v>
      </c>
      <c r="E29" s="3">
        <v>9</v>
      </c>
      <c r="F29" s="34">
        <v>13</v>
      </c>
      <c r="G29" s="3">
        <v>0</v>
      </c>
      <c r="H29" s="4">
        <f t="shared" si="0"/>
        <v>0</v>
      </c>
      <c r="I29" s="4">
        <f>Table1[[#This Row],[B]]+Table1[[#This Row],[Atomic Constraints]]+Table1[[#This Row],[Soft Atomic Constraints]]+Table1[[#This Row],[Disjunctive Constraints]]+Table1[[#This Row],[Direct Successors]]</f>
        <v>33</v>
      </c>
      <c r="J29" s="5" t="s">
        <v>25</v>
      </c>
      <c r="K29" s="2">
        <v>3</v>
      </c>
      <c r="L29" s="2">
        <v>0.72063699999999997</v>
      </c>
      <c r="M29" s="2" t="str">
        <f>IF(AND(Table1[[#This Row],[Chuffed MZ1 Cost]]=Table1[[#This Row],[ORTools FZN2 Cost]],Table1[[#This Row],[ORTools FZN2 State]]="Optimal",Table1[[#This Row],[Chuffed MZ1 State]]="Suboptimal"),1,"")</f>
        <v/>
      </c>
      <c r="N29" s="5" t="s">
        <v>25</v>
      </c>
      <c r="O29" s="2">
        <v>3</v>
      </c>
      <c r="P29" s="2">
        <v>0.65263450000000001</v>
      </c>
      <c r="Q29" s="2" t="str">
        <f>IF(AND(Table1[[#This Row],[Chuffed MZ2 Cost]]=Table1[[#This Row],[ORTools FZN2 Cost]],Table1[[#This Row],[ORTools FZN2 State]]="Optimal",Table1[[#This Row],[Chuffed MZ2 State]]="Suboptimal"),1,"")</f>
        <v/>
      </c>
      <c r="R29" s="5" t="s">
        <v>25</v>
      </c>
      <c r="S29" s="2">
        <v>3</v>
      </c>
      <c r="T29" s="2">
        <v>6.4999999999827196E-2</v>
      </c>
      <c r="U29" s="2"/>
      <c r="V29" s="5" t="s">
        <v>25</v>
      </c>
      <c r="W29" s="2">
        <v>3</v>
      </c>
      <c r="X29" s="2">
        <v>0.21055370000000001</v>
      </c>
      <c r="Y29" s="2" t="str">
        <f>IF(AND(Table1[[#This Row],[ORTools FZN1 Cost]]=Table1[[#This Row],[ORTools FZN2 Cost]],Table1[[#This Row],[ORTools FZN2 State]]="Optimal",Table1[[#This Row],[ORTools FZN1 State]]="Suboptimal"),1,"")</f>
        <v/>
      </c>
      <c r="Z29" s="5" t="s">
        <v>25</v>
      </c>
      <c r="AA29" s="2">
        <v>3</v>
      </c>
      <c r="AB29" s="2">
        <v>0.20387340000000001</v>
      </c>
      <c r="AC29" s="39" t="s">
        <v>25</v>
      </c>
      <c r="AD29" s="39">
        <v>3</v>
      </c>
      <c r="AE29" s="2">
        <v>0.323739</v>
      </c>
      <c r="AF29" s="2" t="str">
        <f>IF(AND(Table1[[#This Row],[Cplex MB Cost]]=Table1[[#This Row],[ORTools FZN2 Cost]],Table1[[#This Row],[ORTools FZN2 State]]="Optimal",Table1[[#This Row],[Cplex MB State]]="Suboptimal"),1,"")</f>
        <v/>
      </c>
      <c r="AG29" s="4">
        <f>IF(AND(AC29="Optimal",AD29&lt;&gt;AA29,Table1[[#This Row],[Example]]&lt;&gt;"R001",Table1[[#This Row],[Example]]&lt;&gt;"R002"),AD29-AA29,)</f>
        <v>0</v>
      </c>
      <c r="AH29" s="5" t="s">
        <v>25</v>
      </c>
      <c r="AI29" s="2">
        <v>3</v>
      </c>
      <c r="AJ29" s="2">
        <v>1.0213903</v>
      </c>
      <c r="AK29" s="2" t="str">
        <f>IF(AND(Table1[[#This Row],[Cplex MD Cost]]=Table1[[#This Row],[ORTools FZN2 Cost]],Table1[[#This Row],[ORTools FZN2 State]]="Optimal",Table1[[#This Row],[Cplex MD State]]="Suboptimal"),1,"")</f>
        <v/>
      </c>
      <c r="AL29" s="4">
        <f>IF(AND(AH29="Optimal",AI29&lt;&gt;AA29,Table1[[#This Row],[Example]]&lt;&gt;"R001",Table1[[#This Row],[Example]]&lt;&gt;"R002"),AI29-AA29,)</f>
        <v>0</v>
      </c>
      <c r="AM29" s="39" t="s">
        <v>25</v>
      </c>
      <c r="AN29" s="39">
        <v>3</v>
      </c>
      <c r="AO29" s="2">
        <v>0.18344299999999999</v>
      </c>
      <c r="AP2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9" s="2" t="str">
        <f>IF(AND(Table1[[#This Row],[Cplex MI Cost]]=Table1[[#This Row],[ORTools FZN2 Cost]],Table1[[#This Row],[ORTools FZN2 State]]="Optimal",Table1[[#This Row],[Cplex MI State]]="Suboptimal"),1,"")</f>
        <v/>
      </c>
      <c r="AR29" s="12" t="s">
        <v>26</v>
      </c>
      <c r="AS29" s="12">
        <v>3</v>
      </c>
      <c r="AT29" s="12">
        <v>1.4083483000000001</v>
      </c>
      <c r="AU29" s="12">
        <f>IF(AND(Table1[[#This Row],[Z3 SMT2-1 Maxres Cost]]=Table1[[#This Row],[ORTools FZN2 Cost]],Table1[[#This Row],[ORTools FZN2 State]]="Optimal"),1,"")</f>
        <v>1</v>
      </c>
      <c r="AV29" s="12" t="s">
        <v>26</v>
      </c>
      <c r="AW29" s="12">
        <v>3</v>
      </c>
      <c r="AX29" s="12">
        <v>1.4240207</v>
      </c>
      <c r="AY29" s="12">
        <f>IF(AND(Table1[[#This Row],[Z3 SMT2-1 PdMaxres Cost]]=Table1[[#This Row],[ORTools FZN2 Cost]],Table1[[#This Row],[ORTools FZN2 State]]="Optimal"),1,"")</f>
        <v>1</v>
      </c>
      <c r="AZ29" s="12" t="s">
        <v>26</v>
      </c>
      <c r="BA29" s="12">
        <v>3</v>
      </c>
      <c r="BB29" s="12">
        <v>1.7217784</v>
      </c>
      <c r="BC29" s="12">
        <f>IF(AND(Table1[[#This Row],[Z3 SMT2-1 WMax Cost]]=Table1[[#This Row],[ORTools FZN2 Cost]],Table1[[#This Row],[ORTools FZN2 State]]="Optimal"),1,"")</f>
        <v>1</v>
      </c>
      <c r="BD29" s="12" t="s">
        <v>26</v>
      </c>
      <c r="BE29" s="12">
        <v>3</v>
      </c>
      <c r="BF29" s="12">
        <v>1.0647034</v>
      </c>
      <c r="BG29" s="12">
        <f>IF(AND(Table1[[#This Row],[Z3 SMT2-2 Maxres Cost]]=Table1[[#This Row],[ORTools FZN2 Cost]],Table1[[#This Row],[ORTools FZN2 State]]="Optimal"),1,"")</f>
        <v>1</v>
      </c>
      <c r="BH29" s="12" t="s">
        <v>26</v>
      </c>
      <c r="BI29" s="12">
        <v>3</v>
      </c>
      <c r="BJ29" s="12">
        <v>1.0721307</v>
      </c>
      <c r="BK29" s="12">
        <f>IF(AND(Table1[[#This Row],[Z3 SMT2-2 PdMaxres Cost]]=Table1[[#This Row],[ORTools FZN2 Cost]],Table1[[#This Row],[ORTools FZN2 State]]="Optimal"),1,"")</f>
        <v>1</v>
      </c>
      <c r="BL29" s="12" t="s">
        <v>26</v>
      </c>
      <c r="BM29" s="12">
        <v>3</v>
      </c>
      <c r="BN29" s="12">
        <v>1.0864298999999999</v>
      </c>
      <c r="BO29" s="11">
        <f>IF(AND(Table1[[#This Row],[Z3 SMT2-2 PdMaxres Cost]]=Table1[[#This Row],[ORTools FZN2 Cost]],Table1[[#This Row],[ORTools FZN2 State]]="Optimal"),1,"")</f>
        <v>1</v>
      </c>
      <c r="BP29" s="5" t="s">
        <v>25</v>
      </c>
      <c r="BQ29" s="2">
        <v>3</v>
      </c>
      <c r="BR29" s="2">
        <v>0.4113947</v>
      </c>
      <c r="BS29" s="2" t="str">
        <f>IF(AND(Table1[[#This Row],[Gurobi MB Cost]]=Table1[[#This Row],[ORTools FZN2 Cost]],Table1[[#This Row],[ORTools FZN2 State]]="Optimal",Table1[[#This Row],[Gurobi MB State]]="Suboptimal"),1,"")</f>
        <v/>
      </c>
      <c r="BT2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9" s="5" t="s">
        <v>25</v>
      </c>
      <c r="BV29" s="2">
        <v>3</v>
      </c>
      <c r="BW29" s="2">
        <v>1.8309451000000001</v>
      </c>
      <c r="BX29" s="2" t="str">
        <f>IF(AND(Table1[[#This Row],[Gurobi MD Cost]]=Table1[[#This Row],[ORTools FZN2 Cost]],Table1[[#This Row],[ORTools FZN2 State]]="Optimal",Table1[[#This Row],[Gurobi MD State]]="Suboptimal"),1,"")</f>
        <v/>
      </c>
      <c r="BY2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9" s="5" t="s">
        <v>25</v>
      </c>
      <c r="CA29" s="2">
        <v>3</v>
      </c>
      <c r="CB29" s="2">
        <v>0.45218619999999998</v>
      </c>
      <c r="CC29" s="2" t="str">
        <f>IF(AND(Table1[[#This Row],[Gurobi MI Cost]]=Table1[[#This Row],[ORTools FZN2 Cost]],Table1[[#This Row],[ORTools FZN2 State]]="Optimal",Table1[[#This Row],[Gurobi MI State]]="Suboptimal"),1,"")</f>
        <v/>
      </c>
      <c r="CD2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9" s="39" t="s">
        <v>42</v>
      </c>
      <c r="CF29" s="2">
        <v>-1885</v>
      </c>
      <c r="CG29" s="39">
        <v>306.02751239999998</v>
      </c>
      <c r="CH29" s="39" t="s">
        <v>42</v>
      </c>
      <c r="CI29" s="39">
        <v>-1885</v>
      </c>
      <c r="CJ29" s="2">
        <v>305.99116429999998</v>
      </c>
      <c r="CK29" s="5" t="s">
        <v>25</v>
      </c>
      <c r="CL29" s="2">
        <v>3</v>
      </c>
      <c r="CM29" s="2">
        <v>7.4000000000069094E-2</v>
      </c>
      <c r="CN29" s="5" t="s">
        <v>25</v>
      </c>
      <c r="CO29" s="2">
        <v>3</v>
      </c>
      <c r="CP29" s="2">
        <v>0.74224570000000001</v>
      </c>
      <c r="CQ29" s="5" t="s">
        <v>25</v>
      </c>
      <c r="CR29" s="2">
        <v>3</v>
      </c>
      <c r="CS29" s="2">
        <v>0.3691352</v>
      </c>
      <c r="CT29" s="6" t="s">
        <v>25</v>
      </c>
      <c r="CU29" s="4">
        <v>3</v>
      </c>
      <c r="CV29" s="4">
        <v>0.40169830000000001</v>
      </c>
      <c r="CW29" s="39" t="s">
        <v>25</v>
      </c>
      <c r="CX29" s="39">
        <v>3</v>
      </c>
      <c r="CY29" s="2">
        <v>0.51680000000000004</v>
      </c>
      <c r="CZ29" s="2" t="str">
        <f>IF(AND(Table1[[#This Row],[Cplex MZ1 Cost]]=Table1[[#This Row],[ORTools FZN2 Cost]],Table1[[#This Row],[ORTools FZN2 State]]="Optimal",Table1[[#This Row],[Cplex MZ1 State]]="Suboptimal"),1,"")</f>
        <v/>
      </c>
      <c r="DA29" s="5" t="s">
        <v>25</v>
      </c>
      <c r="DB29" s="2">
        <v>3</v>
      </c>
      <c r="DC29" s="2">
        <v>0.3407</v>
      </c>
      <c r="DD29" s="2" t="str">
        <f>IF(AND(Table1[[#This Row],[Cplex MZ2 Cost]]=Table1[[#This Row],[ORTools FZN2 Cost]],Table1[[#This Row],[ORTools FZN2 State]]="Optimal",Table1[[#This Row],[Cplex MZ2 State]]="Suboptimal"),1,"")</f>
        <v/>
      </c>
      <c r="DE29" s="39" t="s">
        <v>25</v>
      </c>
      <c r="DF29" s="39">
        <v>3</v>
      </c>
      <c r="DG29" s="2">
        <v>1.1831</v>
      </c>
      <c r="DH29" s="2" t="str">
        <f>IF(AND(Table1[[#This Row],[Gurobi MZ1 Cost]]=Table1[[#This Row],[ORTools FZN2 Cost]],Table1[[#This Row],[ORTools FZN2 State]]="Optimal",Table1[[#This Row],[Gurobi MZ1 State]]="Suboptimal"),1,"")</f>
        <v/>
      </c>
      <c r="DI29" s="5" t="s">
        <v>25</v>
      </c>
      <c r="DJ29" s="2">
        <v>3</v>
      </c>
      <c r="DK29" s="2">
        <v>0.51649999999999996</v>
      </c>
      <c r="DL29" s="4" t="str">
        <f>IF(AND(Table1[[#This Row],[Gurobi MZ2 Cost]]=Table1[[#This Row],[ORTools FZN2 Cost]],Table1[[#This Row],[ORTools FZN2 State]]="Optimal",Table1[[#This Row],[Gurobi MZ2 State]]="Suboptimal"),1,"")</f>
        <v/>
      </c>
      <c r="DM29" s="39" t="s">
        <v>25</v>
      </c>
      <c r="DN29" s="39">
        <v>3</v>
      </c>
      <c r="DO29" s="65">
        <v>5.7999999999992703E-2</v>
      </c>
      <c r="DP29" s="4" t="str">
        <f>IF(AND(Table1[[#This Row],[Cplex MC nonDual Cost]]=Table1[[#This Row],[ORTools FZN2 Cost]],Table1[[#This Row],[ORTools FZN2 State]]="Optimal",Table1[[#This Row],[Cplex MC nonDual State]]="Suboptimal"),1,"")</f>
        <v/>
      </c>
      <c r="DQ29" s="5" t="s">
        <v>25</v>
      </c>
      <c r="DR29" s="2">
        <v>3</v>
      </c>
      <c r="DS29" s="2">
        <v>0.81710000000000005</v>
      </c>
      <c r="DT29" s="2" t="str">
        <f>IF(AND(Table1[[#This Row],[Cplex MIP DM''z Cost]]=Table1[[#This Row],[ORTools FZN2 Cost]],Table1[[#This Row],[ORTools FZN2 State]]="Optimal",Table1[[#This Row],[Cplex MIP DM''z  State]]="Suboptimal"),1,"")</f>
        <v/>
      </c>
      <c r="DU2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9" s="5" t="s">
        <v>25</v>
      </c>
      <c r="DW29" s="2">
        <v>3</v>
      </c>
      <c r="DX29" s="2">
        <v>0.8226</v>
      </c>
      <c r="DY29" s="4" t="str">
        <f>IF(AND(Table1[[#This Row],[Gurobi DM''z  Cost]]=Table1[[#This Row],[ORTools FZN2 Cost]],Table1[[#This Row],[ORTools FZN2 State]]="Optimal",Table1[[#This Row],[Gurobi DM''z  State]]="Suboptimal"),1,"")</f>
        <v/>
      </c>
      <c r="DZ2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0" spans="1:130" ht="15.75" x14ac:dyDescent="0.25">
      <c r="A30" s="46" t="s">
        <v>55</v>
      </c>
      <c r="B30" s="5">
        <v>40</v>
      </c>
      <c r="C30" s="2">
        <v>20</v>
      </c>
      <c r="D30" s="5">
        <v>98</v>
      </c>
      <c r="E30" s="3">
        <v>35</v>
      </c>
      <c r="F30" s="34">
        <v>96</v>
      </c>
      <c r="G30" s="3">
        <v>0</v>
      </c>
      <c r="H30" s="4">
        <f t="shared" si="0"/>
        <v>0</v>
      </c>
      <c r="I30" s="4">
        <f>Table1[[#This Row],[B]]+Table1[[#This Row],[Atomic Constraints]]+Table1[[#This Row],[Soft Atomic Constraints]]+Table1[[#This Row],[Disjunctive Constraints]]+Table1[[#This Row],[Direct Successors]]</f>
        <v>249</v>
      </c>
      <c r="J30" s="5" t="s">
        <v>25</v>
      </c>
      <c r="K30" s="2">
        <v>389338</v>
      </c>
      <c r="L30" s="2">
        <v>164.47588709999999</v>
      </c>
      <c r="M30" s="2" t="str">
        <f>IF(AND(Table1[[#This Row],[Chuffed MZ1 Cost]]=Table1[[#This Row],[ORTools FZN2 Cost]],Table1[[#This Row],[ORTools FZN2 State]]="Optimal",Table1[[#This Row],[Chuffed MZ1 State]]="Suboptimal"),1,"")</f>
        <v/>
      </c>
      <c r="N30" s="5" t="s">
        <v>25</v>
      </c>
      <c r="O30" s="2">
        <v>389338</v>
      </c>
      <c r="P30" s="2">
        <v>126.60814360000001</v>
      </c>
      <c r="Q30" s="2" t="str">
        <f>IF(AND(Table1[[#This Row],[Chuffed MZ2 Cost]]=Table1[[#This Row],[ORTools FZN2 Cost]],Table1[[#This Row],[ORTools FZN2 State]]="Optimal",Table1[[#This Row],[Chuffed MZ2 State]]="Suboptimal"),1,"")</f>
        <v/>
      </c>
      <c r="R30" s="6" t="s">
        <v>25</v>
      </c>
      <c r="S30" s="4">
        <v>389338</v>
      </c>
      <c r="T30" s="4">
        <v>112.254</v>
      </c>
      <c r="U30" s="4"/>
      <c r="V30" s="5" t="s">
        <v>25</v>
      </c>
      <c r="W30" s="2">
        <v>389338</v>
      </c>
      <c r="X30" s="2">
        <v>11.3762644</v>
      </c>
      <c r="Y30" s="2" t="str">
        <f>IF(AND(Table1[[#This Row],[ORTools FZN1 Cost]]=Table1[[#This Row],[ORTools FZN2 Cost]],Table1[[#This Row],[ORTools FZN2 State]]="Optimal",Table1[[#This Row],[ORTools FZN1 State]]="Suboptimal"),1,"")</f>
        <v/>
      </c>
      <c r="Z30" s="5" t="s">
        <v>25</v>
      </c>
      <c r="AA30" s="2">
        <v>389338</v>
      </c>
      <c r="AB30" s="2">
        <v>13.229728100000001</v>
      </c>
      <c r="AC30" s="39" t="s">
        <v>26</v>
      </c>
      <c r="AD30" s="39">
        <v>453378</v>
      </c>
      <c r="AE30" s="2">
        <v>300.1124423</v>
      </c>
      <c r="AF30" s="2" t="str">
        <f>IF(AND(Table1[[#This Row],[Cplex MB Cost]]=Table1[[#This Row],[ORTools FZN2 Cost]],Table1[[#This Row],[ORTools FZN2 State]]="Optimal",Table1[[#This Row],[Cplex MB State]]="Suboptimal"),1,"")</f>
        <v/>
      </c>
      <c r="AG30" s="4">
        <f>IF(AND(AC30="Optimal",AD30&lt;&gt;AA30,Table1[[#This Row],[Example]]&lt;&gt;"R001",Table1[[#This Row],[Example]]&lt;&gt;"R002"),AD30-AA30,)</f>
        <v>0</v>
      </c>
      <c r="AH30" s="5" t="s">
        <v>26</v>
      </c>
      <c r="AI30" s="2">
        <v>1302049</v>
      </c>
      <c r="AJ30" s="2">
        <v>300.30135610000002</v>
      </c>
      <c r="AK30" s="2" t="str">
        <f>IF(AND(Table1[[#This Row],[Cplex MD Cost]]=Table1[[#This Row],[ORTools FZN2 Cost]],Table1[[#This Row],[ORTools FZN2 State]]="Optimal",Table1[[#This Row],[Cplex MD State]]="Suboptimal"),1,"")</f>
        <v/>
      </c>
      <c r="AL30" s="2">
        <f>IF(AND(AH30="Optimal",AI30&lt;&gt;AA30,Table1[[#This Row],[Example]]&lt;&gt;"R001",Table1[[#This Row],[Example]]&lt;&gt;"R002"),AI30-AA30,)</f>
        <v>0</v>
      </c>
      <c r="AM30" s="39" t="s">
        <v>26</v>
      </c>
      <c r="AN30" s="39">
        <v>645334</v>
      </c>
      <c r="AO30" s="2">
        <v>300.07346219999999</v>
      </c>
      <c r="AP30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0" s="2" t="str">
        <f>IF(AND(Table1[[#This Row],[Cplex MI Cost]]=Table1[[#This Row],[ORTools FZN2 Cost]],Table1[[#This Row],[ORTools FZN2 State]]="Optimal",Table1[[#This Row],[Cplex MI State]]="Suboptimal"),1,"")</f>
        <v/>
      </c>
      <c r="AR30" s="5" t="s">
        <v>42</v>
      </c>
      <c r="AS30" s="2">
        <v>-65641</v>
      </c>
      <c r="AT30" s="2">
        <v>300.04548510000001</v>
      </c>
      <c r="AU30" s="2" t="str">
        <f>IF(AND(Table1[[#This Row],[Z3 SMT2-1 Maxres Cost]]=Table1[[#This Row],[ORTools FZN2 Cost]],Table1[[#This Row],[ORTools FZN2 State]]="Optimal"),1,"")</f>
        <v/>
      </c>
      <c r="AV30" s="39" t="s">
        <v>42</v>
      </c>
      <c r="AW30" s="39">
        <v>-65641</v>
      </c>
      <c r="AX30" s="2">
        <v>300.05338940000001</v>
      </c>
      <c r="AY30" s="2" t="str">
        <f>IF(AND(Table1[[#This Row],[Z3 SMT2-1 PdMaxres Cost]]=Table1[[#This Row],[ORTools FZN2 Cost]],Table1[[#This Row],[ORTools FZN2 State]]="Optimal"),1,"")</f>
        <v/>
      </c>
      <c r="AZ30" s="5" t="s">
        <v>42</v>
      </c>
      <c r="BA30" s="2">
        <v>-65641</v>
      </c>
      <c r="BB30" s="39">
        <v>300.06651499999998</v>
      </c>
      <c r="BC30" s="39" t="str">
        <f>IF(AND(Table1[[#This Row],[Z3 SMT2-1 WMax Cost]]=Table1[[#This Row],[ORTools FZN2 Cost]],Table1[[#This Row],[ORTools FZN2 State]]="Optimal"),1,"")</f>
        <v/>
      </c>
      <c r="BD30" s="39" t="s">
        <v>42</v>
      </c>
      <c r="BE30" s="39">
        <v>-65641</v>
      </c>
      <c r="BF30" s="2">
        <v>300.04997689999999</v>
      </c>
      <c r="BG30" s="2" t="str">
        <f>IF(AND(Table1[[#This Row],[Z3 SMT2-2 Maxres Cost]]=Table1[[#This Row],[ORTools FZN2 Cost]],Table1[[#This Row],[ORTools FZN2 State]]="Optimal"),1,"")</f>
        <v/>
      </c>
      <c r="BH30" s="5" t="s">
        <v>42</v>
      </c>
      <c r="BI30" s="2">
        <v>-65641</v>
      </c>
      <c r="BJ30" s="39">
        <v>300.04726570000003</v>
      </c>
      <c r="BK30" s="39" t="str">
        <f>IF(AND(Table1[[#This Row],[Z3 SMT2-2 PdMaxres Cost]]=Table1[[#This Row],[ORTools FZN2 Cost]],Table1[[#This Row],[ORTools FZN2 State]]="Optimal"),1,"")</f>
        <v/>
      </c>
      <c r="BL30" s="39" t="s">
        <v>42</v>
      </c>
      <c r="BM30" s="39">
        <v>-65641</v>
      </c>
      <c r="BN30" s="2">
        <v>300.05153289999998</v>
      </c>
      <c r="BO30" s="4" t="str">
        <f>IF(AND(Table1[[#This Row],[Z3 SMT2-2 PdMaxres Cost]]=Table1[[#This Row],[ORTools FZN2 Cost]],Table1[[#This Row],[ORTools FZN2 State]]="Optimal"),1,"")</f>
        <v/>
      </c>
      <c r="BP30" s="5" t="s">
        <v>26</v>
      </c>
      <c r="BQ30" s="2">
        <v>389338</v>
      </c>
      <c r="BR30" s="2">
        <v>300.10876080000003</v>
      </c>
      <c r="BS30" s="2">
        <f>IF(AND(Table1[[#This Row],[Gurobi MB Cost]]=Table1[[#This Row],[ORTools FZN2 Cost]],Table1[[#This Row],[ORTools FZN2 State]]="Optimal",Table1[[#This Row],[Gurobi MB State]]="Suboptimal"),1,"")</f>
        <v>1</v>
      </c>
      <c r="BT3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0" s="5" t="s">
        <v>42</v>
      </c>
      <c r="BV30" s="2">
        <v>-65641</v>
      </c>
      <c r="BW30" s="2">
        <v>300.12209760000002</v>
      </c>
      <c r="BX30" s="2" t="str">
        <f>IF(AND(Table1[[#This Row],[Gurobi MD Cost]]=Table1[[#This Row],[ORTools FZN2 Cost]],Table1[[#This Row],[ORTools FZN2 State]]="Optimal",Table1[[#This Row],[Gurobi MD State]]="Suboptimal"),1,"")</f>
        <v/>
      </c>
      <c r="BY3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0" s="5" t="s">
        <v>26</v>
      </c>
      <c r="CA30" s="2">
        <v>389338</v>
      </c>
      <c r="CB30" s="2">
        <v>300.15243650000002</v>
      </c>
      <c r="CC30" s="2">
        <f>IF(AND(Table1[[#This Row],[Gurobi MI Cost]]=Table1[[#This Row],[ORTools FZN2 Cost]],Table1[[#This Row],[ORTools FZN2 State]]="Optimal",Table1[[#This Row],[Gurobi MI State]]="Suboptimal"),1,"")</f>
        <v>1</v>
      </c>
      <c r="CD3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0" s="39" t="s">
        <v>42</v>
      </c>
      <c r="CF30" s="2">
        <v>-65641</v>
      </c>
      <c r="CG30" s="39">
        <v>305.9849499</v>
      </c>
      <c r="CH30" s="39" t="s">
        <v>42</v>
      </c>
      <c r="CI30" s="39">
        <v>-65641</v>
      </c>
      <c r="CJ30" s="2">
        <v>306.00854459999999</v>
      </c>
      <c r="CK30" s="5" t="s">
        <v>25</v>
      </c>
      <c r="CL30" s="2">
        <v>389338</v>
      </c>
      <c r="CM30" s="2">
        <v>106.84399999999999</v>
      </c>
      <c r="CN30" s="5" t="s">
        <v>25</v>
      </c>
      <c r="CO30" s="2">
        <v>389338</v>
      </c>
      <c r="CP30" s="2">
        <v>133.61317579999999</v>
      </c>
      <c r="CQ30" s="5" t="s">
        <v>25</v>
      </c>
      <c r="CR30" s="2">
        <v>389338</v>
      </c>
      <c r="CS30" s="2">
        <v>23.302226999999998</v>
      </c>
      <c r="CT30" s="6" t="s">
        <v>25</v>
      </c>
      <c r="CU30" s="4">
        <v>389338</v>
      </c>
      <c r="CV30" s="4">
        <v>15.006389499999999</v>
      </c>
      <c r="CW30" s="39" t="s">
        <v>26</v>
      </c>
      <c r="CX30" s="39">
        <v>908655</v>
      </c>
      <c r="CY30" s="2">
        <v>300.01609999999999</v>
      </c>
      <c r="CZ30" s="2" t="str">
        <f>IF(AND(Table1[[#This Row],[Cplex MZ1 Cost]]=Table1[[#This Row],[ORTools FZN2 Cost]],Table1[[#This Row],[ORTools FZN2 State]]="Optimal",Table1[[#This Row],[Cplex MZ1 State]]="Suboptimal"),1,"")</f>
        <v/>
      </c>
      <c r="DA30" s="5" t="s">
        <v>26</v>
      </c>
      <c r="DB30" s="2">
        <v>779858</v>
      </c>
      <c r="DC30" s="2">
        <v>300.0181</v>
      </c>
      <c r="DD30" s="2" t="str">
        <f>IF(AND(Table1[[#This Row],[Cplex MZ2 Cost]]=Table1[[#This Row],[ORTools FZN2 Cost]],Table1[[#This Row],[ORTools FZN2 State]]="Optimal",Table1[[#This Row],[Cplex MZ2 State]]="Suboptimal"),1,"")</f>
        <v/>
      </c>
      <c r="DE30" s="39" t="s">
        <v>42</v>
      </c>
      <c r="DF30" s="39"/>
      <c r="DG30" s="2">
        <v>300.00709999999998</v>
      </c>
      <c r="DH30" s="2" t="str">
        <f>IF(AND(Table1[[#This Row],[Gurobi MZ1 Cost]]=Table1[[#This Row],[ORTools FZN2 Cost]],Table1[[#This Row],[ORTools FZN2 State]]="Optimal",Table1[[#This Row],[Gurobi MZ1 State]]="Suboptimal"),1,"")</f>
        <v/>
      </c>
      <c r="DI30" s="5" t="s">
        <v>42</v>
      </c>
      <c r="DJ30" s="2"/>
      <c r="DK30" s="2">
        <v>300.25549999999998</v>
      </c>
      <c r="DL30" s="4" t="str">
        <f>IF(AND(Table1[[#This Row],[Gurobi MZ2 Cost]]=Table1[[#This Row],[ORTools FZN2 Cost]],Table1[[#This Row],[ORTools FZN2 State]]="Optimal",Table1[[#This Row],[Gurobi MZ2 State]]="Suboptimal"),1,"")</f>
        <v/>
      </c>
      <c r="DM30" s="39" t="s">
        <v>26</v>
      </c>
      <c r="DN30" s="12">
        <v>389338</v>
      </c>
      <c r="DO30" s="69">
        <v>300.04199999999997</v>
      </c>
      <c r="DP30" s="11">
        <f>IF(AND(Table1[[#This Row],[Cplex MC nonDual Cost]]=Table1[[#This Row],[ORTools FZN2 Cost]],Table1[[#This Row],[ORTools FZN2 State]]="Optimal",Table1[[#This Row],[Cplex MC nonDual State]]="Suboptimal"),1,"")</f>
        <v>1</v>
      </c>
      <c r="DQ30" s="5" t="s">
        <v>26</v>
      </c>
      <c r="DR30" s="2">
        <v>586421</v>
      </c>
      <c r="DS30" s="2">
        <v>300.0145</v>
      </c>
      <c r="DT30" s="2" t="str">
        <f>IF(AND(Table1[[#This Row],[Cplex MIP DM''z Cost]]=Table1[[#This Row],[ORTools FZN2 Cost]],Table1[[#This Row],[ORTools FZN2 State]]="Optimal",Table1[[#This Row],[Cplex MIP DM''z  State]]="Suboptimal"),1,"")</f>
        <v/>
      </c>
      <c r="DU3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0" s="5" t="s">
        <v>42</v>
      </c>
      <c r="DW30" s="2"/>
      <c r="DX30" s="2">
        <v>299.99770000000001</v>
      </c>
      <c r="DY30" s="4" t="str">
        <f>IF(AND(Table1[[#This Row],[Gurobi DM''z  Cost]]=Table1[[#This Row],[ORTools FZN2 Cost]],Table1[[#This Row],[ORTools FZN2 State]]="Optimal",Table1[[#This Row],[Gurobi DM''z  State]]="Suboptimal"),1,"")</f>
        <v/>
      </c>
      <c r="DZ3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1" spans="1:130" ht="15.75" x14ac:dyDescent="0.25">
      <c r="A31" s="46" t="s">
        <v>56</v>
      </c>
      <c r="B31" s="5">
        <v>40</v>
      </c>
      <c r="C31" s="2">
        <v>20</v>
      </c>
      <c r="D31" s="5">
        <v>186</v>
      </c>
      <c r="E31" s="3">
        <v>30</v>
      </c>
      <c r="F31" s="34">
        <v>90</v>
      </c>
      <c r="G31" s="3">
        <v>0</v>
      </c>
      <c r="H31" s="4">
        <f t="shared" si="0"/>
        <v>0</v>
      </c>
      <c r="I31" s="4">
        <f>Table1[[#This Row],[B]]+Table1[[#This Row],[Atomic Constraints]]+Table1[[#This Row],[Soft Atomic Constraints]]+Table1[[#This Row],[Disjunctive Constraints]]+Table1[[#This Row],[Direct Successors]]</f>
        <v>326</v>
      </c>
      <c r="J31" s="5" t="s">
        <v>25</v>
      </c>
      <c r="K31" s="2">
        <v>590012</v>
      </c>
      <c r="L31" s="2">
        <v>239.91844510000001</v>
      </c>
      <c r="M31" s="2" t="str">
        <f>IF(AND(Table1[[#This Row],[Chuffed MZ1 Cost]]=Table1[[#This Row],[ORTools FZN2 Cost]],Table1[[#This Row],[ORTools FZN2 State]]="Optimal",Table1[[#This Row],[Chuffed MZ1 State]]="Suboptimal"),1,"")</f>
        <v/>
      </c>
      <c r="N31" s="5" t="s">
        <v>25</v>
      </c>
      <c r="O31" s="2">
        <v>590012</v>
      </c>
      <c r="P31" s="2">
        <v>167.2184474</v>
      </c>
      <c r="Q31" s="2" t="str">
        <f>IF(AND(Table1[[#This Row],[Chuffed MZ2 Cost]]=Table1[[#This Row],[ORTools FZN2 Cost]],Table1[[#This Row],[ORTools FZN2 State]]="Optimal",Table1[[#This Row],[Chuffed MZ2 State]]="Suboptimal"),1,"")</f>
        <v/>
      </c>
      <c r="R31" s="11" t="s">
        <v>26</v>
      </c>
      <c r="S31" s="11">
        <v>590012</v>
      </c>
      <c r="T31" s="11">
        <v>300.09300000000002</v>
      </c>
      <c r="U31" s="11">
        <v>1</v>
      </c>
      <c r="V31" s="5" t="s">
        <v>25</v>
      </c>
      <c r="W31" s="2">
        <v>590012</v>
      </c>
      <c r="X31" s="2">
        <v>11.424113</v>
      </c>
      <c r="Y31" s="2" t="str">
        <f>IF(AND(Table1[[#This Row],[ORTools FZN1 Cost]]=Table1[[#This Row],[ORTools FZN2 Cost]],Table1[[#This Row],[ORTools FZN2 State]]="Optimal",Table1[[#This Row],[ORTools FZN1 State]]="Suboptimal"),1,"")</f>
        <v/>
      </c>
      <c r="Z31" s="5" t="s">
        <v>25</v>
      </c>
      <c r="AA31" s="2">
        <v>590012</v>
      </c>
      <c r="AB31" s="2">
        <v>13.207376</v>
      </c>
      <c r="AC31" s="39" t="s">
        <v>26</v>
      </c>
      <c r="AD31" s="39">
        <v>590255</v>
      </c>
      <c r="AE31" s="2">
        <v>300.11717229999999</v>
      </c>
      <c r="AF31" s="2" t="str">
        <f>IF(AND(Table1[[#This Row],[Cplex MB Cost]]=Table1[[#This Row],[ORTools FZN2 Cost]],Table1[[#This Row],[ORTools FZN2 State]]="Optimal",Table1[[#This Row],[Cplex MB State]]="Suboptimal"),1,"")</f>
        <v/>
      </c>
      <c r="AG31" s="4">
        <f>IF(AND(AC31="Optimal",AD31&lt;&gt;AA31,Table1[[#This Row],[Example]]&lt;&gt;"R001",Table1[[#This Row],[Example]]&lt;&gt;"R002"),AD31-AA31,)</f>
        <v>0</v>
      </c>
      <c r="AH31" s="5" t="s">
        <v>26</v>
      </c>
      <c r="AI31" s="2">
        <v>1300405</v>
      </c>
      <c r="AJ31" s="2">
        <v>300.17675539999999</v>
      </c>
      <c r="AK31" s="2" t="str">
        <f>IF(AND(Table1[[#This Row],[Cplex MD Cost]]=Table1[[#This Row],[ORTools FZN2 Cost]],Table1[[#This Row],[ORTools FZN2 State]]="Optimal",Table1[[#This Row],[Cplex MD State]]="Suboptimal"),1,"")</f>
        <v/>
      </c>
      <c r="AL31" s="2">
        <f>IF(AND(AH31="Optimal",AI31&lt;&gt;AA31,Table1[[#This Row],[Example]]&lt;&gt;"R001",Table1[[#This Row],[Example]]&lt;&gt;"R002"),AI31-AA31,)</f>
        <v>0</v>
      </c>
      <c r="AM31" s="39" t="s">
        <v>26</v>
      </c>
      <c r="AN31" s="39">
        <v>1039569</v>
      </c>
      <c r="AO31" s="2">
        <v>300.09309469999999</v>
      </c>
      <c r="AP3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1" s="4" t="str">
        <f>IF(AND(Table1[[#This Row],[Cplex MI Cost]]=Table1[[#This Row],[ORTools FZN2 Cost]],Table1[[#This Row],[ORTools FZN2 State]]="Optimal",Table1[[#This Row],[Cplex MI State]]="Suboptimal"),1,"")</f>
        <v/>
      </c>
      <c r="AR31" s="5" t="s">
        <v>42</v>
      </c>
      <c r="AS31" s="2">
        <v>-65641</v>
      </c>
      <c r="AT31" s="2">
        <v>300.04357809999999</v>
      </c>
      <c r="AU31" s="2" t="str">
        <f>IF(AND(Table1[[#This Row],[Z3 SMT2-1 Maxres Cost]]=Table1[[#This Row],[ORTools FZN2 Cost]],Table1[[#This Row],[ORTools FZN2 State]]="Optimal"),1,"")</f>
        <v/>
      </c>
      <c r="AV31" s="39" t="s">
        <v>42</v>
      </c>
      <c r="AW31" s="39">
        <v>-65641</v>
      </c>
      <c r="AX31" s="2">
        <v>300.04914919999999</v>
      </c>
      <c r="AY31" s="2" t="str">
        <f>IF(AND(Table1[[#This Row],[Z3 SMT2-1 PdMaxres Cost]]=Table1[[#This Row],[ORTools FZN2 Cost]],Table1[[#This Row],[ORTools FZN2 State]]="Optimal"),1,"")</f>
        <v/>
      </c>
      <c r="AZ31" s="5" t="s">
        <v>42</v>
      </c>
      <c r="BA31" s="2">
        <v>-65641</v>
      </c>
      <c r="BB31" s="39">
        <v>300.04645299999999</v>
      </c>
      <c r="BC31" s="39" t="str">
        <f>IF(AND(Table1[[#This Row],[Z3 SMT2-1 WMax Cost]]=Table1[[#This Row],[ORTools FZN2 Cost]],Table1[[#This Row],[ORTools FZN2 State]]="Optimal"),1,"")</f>
        <v/>
      </c>
      <c r="BD31" s="39" t="s">
        <v>42</v>
      </c>
      <c r="BE31" s="39">
        <v>-65641</v>
      </c>
      <c r="BF31" s="2">
        <v>300.03468140000001</v>
      </c>
      <c r="BG31" s="2" t="str">
        <f>IF(AND(Table1[[#This Row],[Z3 SMT2-2 Maxres Cost]]=Table1[[#This Row],[ORTools FZN2 Cost]],Table1[[#This Row],[ORTools FZN2 State]]="Optimal"),1,"")</f>
        <v/>
      </c>
      <c r="BH31" s="5" t="s">
        <v>42</v>
      </c>
      <c r="BI31" s="2">
        <v>-65641</v>
      </c>
      <c r="BJ31" s="39">
        <v>300.04632099999998</v>
      </c>
      <c r="BK31" s="39" t="str">
        <f>IF(AND(Table1[[#This Row],[Z3 SMT2-2 PdMaxres Cost]]=Table1[[#This Row],[ORTools FZN2 Cost]],Table1[[#This Row],[ORTools FZN2 State]]="Optimal"),1,"")</f>
        <v/>
      </c>
      <c r="BL31" s="39" t="s">
        <v>42</v>
      </c>
      <c r="BM31" s="39">
        <v>-65641</v>
      </c>
      <c r="BN31" s="2">
        <v>300.04071049999999</v>
      </c>
      <c r="BO31" s="4" t="str">
        <f>IF(AND(Table1[[#This Row],[Z3 SMT2-2 PdMaxres Cost]]=Table1[[#This Row],[ORTools FZN2 Cost]],Table1[[#This Row],[ORTools FZN2 State]]="Optimal"),1,"")</f>
        <v/>
      </c>
      <c r="BP31" s="5" t="s">
        <v>26</v>
      </c>
      <c r="BQ31" s="2">
        <v>913134</v>
      </c>
      <c r="BR31" s="2">
        <v>300.1201987</v>
      </c>
      <c r="BS31" s="2" t="str">
        <f>IF(AND(Table1[[#This Row],[Gurobi MB Cost]]=Table1[[#This Row],[ORTools FZN2 Cost]],Table1[[#This Row],[ORTools FZN2 State]]="Optimal",Table1[[#This Row],[Gurobi MB State]]="Suboptimal"),1,"")</f>
        <v/>
      </c>
      <c r="BT3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1" s="5" t="s">
        <v>26</v>
      </c>
      <c r="BV31" s="2">
        <v>1298687</v>
      </c>
      <c r="BW31" s="2">
        <v>300.14830210000002</v>
      </c>
      <c r="BX31" s="2" t="str">
        <f>IF(AND(Table1[[#This Row],[Gurobi MD Cost]]=Table1[[#This Row],[ORTools FZN2 Cost]],Table1[[#This Row],[ORTools FZN2 State]]="Optimal",Table1[[#This Row],[Gurobi MD State]]="Suboptimal"),1,"")</f>
        <v/>
      </c>
      <c r="BY3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1" s="5" t="s">
        <v>26</v>
      </c>
      <c r="CA31" s="2">
        <v>590012</v>
      </c>
      <c r="CB31" s="2">
        <v>300.29149840000002</v>
      </c>
      <c r="CC31" s="2">
        <f>IF(AND(Table1[[#This Row],[Gurobi MI Cost]]=Table1[[#This Row],[ORTools FZN2 Cost]],Table1[[#This Row],[ORTools FZN2 State]]="Optimal",Table1[[#This Row],[Gurobi MI State]]="Suboptimal"),1,"")</f>
        <v>1</v>
      </c>
      <c r="CD3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1" s="39" t="s">
        <v>42</v>
      </c>
      <c r="CF31" s="2">
        <v>-65641</v>
      </c>
      <c r="CG31" s="39">
        <v>306.03314289999997</v>
      </c>
      <c r="CH31" s="39" t="s">
        <v>42</v>
      </c>
      <c r="CI31" s="39">
        <v>-65641</v>
      </c>
      <c r="CJ31" s="2">
        <v>306.03836480000001</v>
      </c>
      <c r="CK31" s="5" t="s">
        <v>26</v>
      </c>
      <c r="CL31" s="2">
        <v>590012</v>
      </c>
      <c r="CM31" s="2">
        <v>300.03100000000001</v>
      </c>
      <c r="CN31" s="5" t="s">
        <v>25</v>
      </c>
      <c r="CO31" s="2">
        <v>590012</v>
      </c>
      <c r="CP31" s="2">
        <v>75.875828299999995</v>
      </c>
      <c r="CQ31" s="5" t="s">
        <v>25</v>
      </c>
      <c r="CR31" s="2">
        <v>590012</v>
      </c>
      <c r="CS31" s="2">
        <v>18.6037614</v>
      </c>
      <c r="CT31" s="6" t="s">
        <v>25</v>
      </c>
      <c r="CU31" s="4">
        <v>590012</v>
      </c>
      <c r="CV31" s="4">
        <v>11.7748299</v>
      </c>
      <c r="CW31" s="39" t="s">
        <v>26</v>
      </c>
      <c r="CX31" s="39">
        <v>980459</v>
      </c>
      <c r="CY31" s="2">
        <v>300.01580000000001</v>
      </c>
      <c r="CZ31" s="2" t="str">
        <f>IF(AND(Table1[[#This Row],[Cplex MZ1 Cost]]=Table1[[#This Row],[ORTools FZN2 Cost]],Table1[[#This Row],[ORTools FZN2 State]]="Optimal",Table1[[#This Row],[Cplex MZ1 State]]="Suboptimal"),1,"")</f>
        <v/>
      </c>
      <c r="DA31" s="5" t="s">
        <v>26</v>
      </c>
      <c r="DB31" s="2">
        <v>911770</v>
      </c>
      <c r="DC31" s="2">
        <v>300.00920000000002</v>
      </c>
      <c r="DD31" s="2" t="str">
        <f>IF(AND(Table1[[#This Row],[Cplex MZ2 Cost]]=Table1[[#This Row],[ORTools FZN2 Cost]],Table1[[#This Row],[ORTools FZN2 State]]="Optimal",Table1[[#This Row],[Cplex MZ2 State]]="Suboptimal"),1,"")</f>
        <v/>
      </c>
      <c r="DE31" s="39" t="s">
        <v>42</v>
      </c>
      <c r="DF31" s="39"/>
      <c r="DG31" s="2">
        <v>300.0061</v>
      </c>
      <c r="DH31" s="2" t="str">
        <f>IF(AND(Table1[[#This Row],[Gurobi MZ1 Cost]]=Table1[[#This Row],[ORTools FZN2 Cost]],Table1[[#This Row],[ORTools FZN2 State]]="Optimal",Table1[[#This Row],[Gurobi MZ1 State]]="Suboptimal"),1,"")</f>
        <v/>
      </c>
      <c r="DI31" s="5" t="s">
        <v>42</v>
      </c>
      <c r="DJ31" s="2"/>
      <c r="DK31" s="2">
        <v>300.0086</v>
      </c>
      <c r="DL31" s="4" t="str">
        <f>IF(AND(Table1[[#This Row],[Gurobi MZ2 Cost]]=Table1[[#This Row],[ORTools FZN2 Cost]],Table1[[#This Row],[ORTools FZN2 State]]="Optimal",Table1[[#This Row],[Gurobi MZ2 State]]="Suboptimal"),1,"")</f>
        <v/>
      </c>
      <c r="DM31" s="39" t="s">
        <v>26</v>
      </c>
      <c r="DN31" s="12">
        <v>590012</v>
      </c>
      <c r="DO31" s="69">
        <v>300.06099999999998</v>
      </c>
      <c r="DP31" s="11">
        <f>IF(AND(Table1[[#This Row],[Cplex MC nonDual Cost]]=Table1[[#This Row],[ORTools FZN2 Cost]],Table1[[#This Row],[ORTools FZN2 State]]="Optimal",Table1[[#This Row],[Cplex MC nonDual State]]="Suboptimal"),1,"")</f>
        <v>1</v>
      </c>
      <c r="DQ31" s="5" t="s">
        <v>26</v>
      </c>
      <c r="DR31" s="2">
        <v>977177</v>
      </c>
      <c r="DS31" s="2">
        <v>300.37720000000002</v>
      </c>
      <c r="DT31" s="2" t="str">
        <f>IF(AND(Table1[[#This Row],[Cplex MIP DM''z Cost]]=Table1[[#This Row],[ORTools FZN2 Cost]],Table1[[#This Row],[ORTools FZN2 State]]="Optimal",Table1[[#This Row],[Cplex MIP DM''z  State]]="Suboptimal"),1,"")</f>
        <v/>
      </c>
      <c r="DU3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1" s="5" t="s">
        <v>26</v>
      </c>
      <c r="DW31" s="2">
        <v>909899</v>
      </c>
      <c r="DX31" s="2">
        <v>300.00349999999997</v>
      </c>
      <c r="DY31" s="4" t="str">
        <f>IF(AND(Table1[[#This Row],[Gurobi DM''z  Cost]]=Table1[[#This Row],[ORTools FZN2 Cost]],Table1[[#This Row],[ORTools FZN2 State]]="Optimal",Table1[[#This Row],[Gurobi DM''z  State]]="Suboptimal"),1,"")</f>
        <v/>
      </c>
      <c r="DZ3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2" spans="1:130" ht="15.75" x14ac:dyDescent="0.25">
      <c r="A32" s="46" t="s">
        <v>57</v>
      </c>
      <c r="B32" s="5">
        <v>10</v>
      </c>
      <c r="C32" s="2">
        <v>5</v>
      </c>
      <c r="D32" s="5">
        <v>8</v>
      </c>
      <c r="E32" s="3">
        <v>6</v>
      </c>
      <c r="F32" s="34">
        <v>2</v>
      </c>
      <c r="G32" s="3">
        <v>0</v>
      </c>
      <c r="H32" s="4">
        <f t="shared" si="0"/>
        <v>0</v>
      </c>
      <c r="I32" s="4">
        <f>Table1[[#This Row],[B]]+Table1[[#This Row],[Atomic Constraints]]+Table1[[#This Row],[Soft Atomic Constraints]]+Table1[[#This Row],[Disjunctive Constraints]]+Table1[[#This Row],[Direct Successors]]</f>
        <v>21</v>
      </c>
      <c r="J32" s="5" t="s">
        <v>25</v>
      </c>
      <c r="K32" s="2">
        <v>2253</v>
      </c>
      <c r="L32" s="2">
        <v>0.70663089999999995</v>
      </c>
      <c r="M32" s="2" t="str">
        <f>IF(AND(Table1[[#This Row],[Chuffed MZ1 Cost]]=Table1[[#This Row],[ORTools FZN2 Cost]],Table1[[#This Row],[ORTools FZN2 State]]="Optimal",Table1[[#This Row],[Chuffed MZ1 State]]="Suboptimal"),1,"")</f>
        <v/>
      </c>
      <c r="N32" s="5" t="s">
        <v>25</v>
      </c>
      <c r="O32" s="2">
        <v>2253</v>
      </c>
      <c r="P32" s="2">
        <v>0.6483873</v>
      </c>
      <c r="Q32" s="2" t="str">
        <f>IF(AND(Table1[[#This Row],[Chuffed MZ2 Cost]]=Table1[[#This Row],[ORTools FZN2 Cost]],Table1[[#This Row],[ORTools FZN2 State]]="Optimal",Table1[[#This Row],[Chuffed MZ2 State]]="Suboptimal"),1,"")</f>
        <v/>
      </c>
      <c r="R32" s="6" t="s">
        <v>25</v>
      </c>
      <c r="S32" s="4">
        <v>2253</v>
      </c>
      <c r="T32" s="4">
        <v>7.4000000000069094E-2</v>
      </c>
      <c r="U32" s="4"/>
      <c r="V32" s="5" t="s">
        <v>25</v>
      </c>
      <c r="W32" s="2">
        <v>2253</v>
      </c>
      <c r="X32" s="2">
        <v>0.1948522</v>
      </c>
      <c r="Y32" s="2" t="str">
        <f>IF(AND(Table1[[#This Row],[ORTools FZN1 Cost]]=Table1[[#This Row],[ORTools FZN2 Cost]],Table1[[#This Row],[ORTools FZN2 State]]="Optimal",Table1[[#This Row],[ORTools FZN1 State]]="Suboptimal"),1,"")</f>
        <v/>
      </c>
      <c r="Z32" s="5" t="s">
        <v>25</v>
      </c>
      <c r="AA32" s="2">
        <v>2253</v>
      </c>
      <c r="AB32" s="2">
        <v>0.15962009999999999</v>
      </c>
      <c r="AC32" s="39" t="s">
        <v>25</v>
      </c>
      <c r="AD32" s="39">
        <v>2253</v>
      </c>
      <c r="AE32" s="2">
        <v>0.41972789999999999</v>
      </c>
      <c r="AF32" s="2" t="str">
        <f>IF(AND(Table1[[#This Row],[Cplex MB Cost]]=Table1[[#This Row],[ORTools FZN2 Cost]],Table1[[#This Row],[ORTools FZN2 State]]="Optimal",Table1[[#This Row],[Cplex MB State]]="Suboptimal"),1,"")</f>
        <v/>
      </c>
      <c r="AG32" s="4">
        <f>IF(AND(AC32="Optimal",AD32&lt;&gt;AA32,Table1[[#This Row],[Example]]&lt;&gt;"R001",Table1[[#This Row],[Example]]&lt;&gt;"R002"),AD32-AA32,)</f>
        <v>0</v>
      </c>
      <c r="AH32" s="5" t="s">
        <v>25</v>
      </c>
      <c r="AI32" s="2">
        <v>2253</v>
      </c>
      <c r="AJ32" s="2">
        <v>1.5766665</v>
      </c>
      <c r="AK32" s="2" t="str">
        <f>IF(AND(Table1[[#This Row],[Cplex MD Cost]]=Table1[[#This Row],[ORTools FZN2 Cost]],Table1[[#This Row],[ORTools FZN2 State]]="Optimal",Table1[[#This Row],[Cplex MD State]]="Suboptimal"),1,"")</f>
        <v/>
      </c>
      <c r="AL32" s="4">
        <f>IF(AND(AH32="Optimal",AI32&lt;&gt;AA32,Table1[[#This Row],[Example]]&lt;&gt;"R001",Table1[[#This Row],[Example]]&lt;&gt;"R002"),AI32-AA32,)</f>
        <v>0</v>
      </c>
      <c r="AM32" s="39" t="s">
        <v>25</v>
      </c>
      <c r="AN32" s="39">
        <v>2253</v>
      </c>
      <c r="AO32" s="2">
        <v>0.42773349999999999</v>
      </c>
      <c r="AP3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2" s="4" t="str">
        <f>IF(AND(Table1[[#This Row],[Cplex MI Cost]]=Table1[[#This Row],[ORTools FZN2 Cost]],Table1[[#This Row],[ORTools FZN2 State]]="Optimal",Table1[[#This Row],[Cplex MI State]]="Suboptimal"),1,"")</f>
        <v/>
      </c>
      <c r="AR32" s="12" t="s">
        <v>26</v>
      </c>
      <c r="AS32" s="12">
        <v>2253</v>
      </c>
      <c r="AT32" s="12">
        <v>1.2049076999999999</v>
      </c>
      <c r="AU32" s="12">
        <f>IF(AND(Table1[[#This Row],[Z3 SMT2-1 Maxres Cost]]=Table1[[#This Row],[ORTools FZN2 Cost]],Table1[[#This Row],[ORTools FZN2 State]]="Optimal"),1,"")</f>
        <v>1</v>
      </c>
      <c r="AV32" s="12" t="s">
        <v>26</v>
      </c>
      <c r="AW32" s="12">
        <v>2253</v>
      </c>
      <c r="AX32" s="12">
        <v>1.2641418</v>
      </c>
      <c r="AY32" s="12">
        <f>IF(AND(Table1[[#This Row],[Z3 SMT2-1 PdMaxres Cost]]=Table1[[#This Row],[ORTools FZN2 Cost]],Table1[[#This Row],[ORTools FZN2 State]]="Optimal"),1,"")</f>
        <v>1</v>
      </c>
      <c r="AZ32" s="12" t="s">
        <v>26</v>
      </c>
      <c r="BA32" s="12">
        <v>2253</v>
      </c>
      <c r="BB32" s="12">
        <v>1.3439828</v>
      </c>
      <c r="BC32" s="12">
        <f>IF(AND(Table1[[#This Row],[Z3 SMT2-1 WMax Cost]]=Table1[[#This Row],[ORTools FZN2 Cost]],Table1[[#This Row],[ORTools FZN2 State]]="Optimal"),1,"")</f>
        <v>1</v>
      </c>
      <c r="BD32" s="12" t="s">
        <v>26</v>
      </c>
      <c r="BE32" s="12">
        <v>2253</v>
      </c>
      <c r="BF32" s="12">
        <v>1.1619918</v>
      </c>
      <c r="BG32" s="12">
        <f>IF(AND(Table1[[#This Row],[Z3 SMT2-2 Maxres Cost]]=Table1[[#This Row],[ORTools FZN2 Cost]],Table1[[#This Row],[ORTools FZN2 State]]="Optimal"),1,"")</f>
        <v>1</v>
      </c>
      <c r="BH32" s="12" t="s">
        <v>26</v>
      </c>
      <c r="BI32" s="12">
        <v>2253</v>
      </c>
      <c r="BJ32" s="12">
        <v>1.1938679000000001</v>
      </c>
      <c r="BK32" s="12">
        <f>IF(AND(Table1[[#This Row],[Z3 SMT2-2 PdMaxres Cost]]=Table1[[#This Row],[ORTools FZN2 Cost]],Table1[[#This Row],[ORTools FZN2 State]]="Optimal"),1,"")</f>
        <v>1</v>
      </c>
      <c r="BL32" s="12" t="s">
        <v>26</v>
      </c>
      <c r="BM32" s="12">
        <v>2253</v>
      </c>
      <c r="BN32" s="12">
        <v>1.2337761</v>
      </c>
      <c r="BO32" s="11">
        <f>IF(AND(Table1[[#This Row],[Z3 SMT2-2 PdMaxres Cost]]=Table1[[#This Row],[ORTools FZN2 Cost]],Table1[[#This Row],[ORTools FZN2 State]]="Optimal"),1,"")</f>
        <v>1</v>
      </c>
      <c r="BP32" s="5" t="s">
        <v>25</v>
      </c>
      <c r="BQ32" s="2">
        <v>2253</v>
      </c>
      <c r="BR32" s="2">
        <v>1.5081933999999999</v>
      </c>
      <c r="BS32" s="2" t="str">
        <f>IF(AND(Table1[[#This Row],[Gurobi MB Cost]]=Table1[[#This Row],[ORTools FZN2 Cost]],Table1[[#This Row],[ORTools FZN2 State]]="Optimal",Table1[[#This Row],[Gurobi MB State]]="Suboptimal"),1,"")</f>
        <v/>
      </c>
      <c r="BT3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2" s="5" t="s">
        <v>25</v>
      </c>
      <c r="BV32" s="2">
        <v>2253</v>
      </c>
      <c r="BW32" s="2">
        <v>1.6686966999999999</v>
      </c>
      <c r="BX32" s="2" t="str">
        <f>IF(AND(Table1[[#This Row],[Gurobi MD Cost]]=Table1[[#This Row],[ORTools FZN2 Cost]],Table1[[#This Row],[ORTools FZN2 State]]="Optimal",Table1[[#This Row],[Gurobi MD State]]="Suboptimal"),1,"")</f>
        <v/>
      </c>
      <c r="BY3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2" s="5" t="s">
        <v>25</v>
      </c>
      <c r="CA32" s="2">
        <v>2253</v>
      </c>
      <c r="CB32" s="2">
        <v>0.83796859999999995</v>
      </c>
      <c r="CC32" s="2" t="str">
        <f>IF(AND(Table1[[#This Row],[Gurobi MI Cost]]=Table1[[#This Row],[ORTools FZN2 Cost]],Table1[[#This Row],[ORTools FZN2 State]]="Optimal",Table1[[#This Row],[Gurobi MI State]]="Suboptimal"),1,"")</f>
        <v/>
      </c>
      <c r="CD3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2" s="39" t="s">
        <v>42</v>
      </c>
      <c r="CF32" s="2">
        <v>-1111</v>
      </c>
      <c r="CG32" s="39">
        <v>305.9810617</v>
      </c>
      <c r="CH32" s="39" t="s">
        <v>42</v>
      </c>
      <c r="CI32" s="39">
        <v>-1111</v>
      </c>
      <c r="CJ32" s="2">
        <v>305.9687902</v>
      </c>
      <c r="CK32" s="5" t="s">
        <v>25</v>
      </c>
      <c r="CL32" s="2">
        <v>2253</v>
      </c>
      <c r="CM32" s="2">
        <v>0.105000000000018</v>
      </c>
      <c r="CN32" s="5" t="s">
        <v>25</v>
      </c>
      <c r="CO32" s="2">
        <v>2253</v>
      </c>
      <c r="CP32" s="2">
        <v>0.6153132</v>
      </c>
      <c r="CQ32" s="5" t="s">
        <v>25</v>
      </c>
      <c r="CR32" s="2">
        <v>2253</v>
      </c>
      <c r="CS32" s="2">
        <v>0.25948739999999998</v>
      </c>
      <c r="CT32" s="6" t="s">
        <v>25</v>
      </c>
      <c r="CU32" s="4">
        <v>2253</v>
      </c>
      <c r="CV32" s="4">
        <v>0.24829100000000001</v>
      </c>
      <c r="CW32" s="39" t="s">
        <v>25</v>
      </c>
      <c r="CX32" s="39">
        <v>2253</v>
      </c>
      <c r="CY32" s="2">
        <v>0.73950000000000005</v>
      </c>
      <c r="CZ32" s="2" t="str">
        <f>IF(AND(Table1[[#This Row],[Cplex MZ1 Cost]]=Table1[[#This Row],[ORTools FZN2 Cost]],Table1[[#This Row],[ORTools FZN2 State]]="Optimal",Table1[[#This Row],[Cplex MZ1 State]]="Suboptimal"),1,"")</f>
        <v/>
      </c>
      <c r="DA32" s="5" t="s">
        <v>25</v>
      </c>
      <c r="DB32" s="2">
        <v>2253</v>
      </c>
      <c r="DC32" s="2">
        <v>0.95989999999999998</v>
      </c>
      <c r="DD32" s="2" t="str">
        <f>IF(AND(Table1[[#This Row],[Cplex MZ2 Cost]]=Table1[[#This Row],[ORTools FZN2 Cost]],Table1[[#This Row],[ORTools FZN2 State]]="Optimal",Table1[[#This Row],[Cplex MZ2 State]]="Suboptimal"),1,"")</f>
        <v/>
      </c>
      <c r="DE32" s="39" t="s">
        <v>25</v>
      </c>
      <c r="DF32" s="39">
        <v>2253</v>
      </c>
      <c r="DG32" s="2">
        <v>2.4508000000000001</v>
      </c>
      <c r="DH32" s="2" t="str">
        <f>IF(AND(Table1[[#This Row],[Gurobi MZ1 Cost]]=Table1[[#This Row],[ORTools FZN2 Cost]],Table1[[#This Row],[ORTools FZN2 State]]="Optimal",Table1[[#This Row],[Gurobi MZ1 State]]="Suboptimal"),1,"")</f>
        <v/>
      </c>
      <c r="DI32" s="5" t="s">
        <v>25</v>
      </c>
      <c r="DJ32" s="2">
        <v>2253</v>
      </c>
      <c r="DK32" s="2">
        <v>1.3905000000000001</v>
      </c>
      <c r="DL32" s="4" t="str">
        <f>IF(AND(Table1[[#This Row],[Gurobi MZ2 Cost]]=Table1[[#This Row],[ORTools FZN2 Cost]],Table1[[#This Row],[ORTools FZN2 State]]="Optimal",Table1[[#This Row],[Gurobi MZ2 State]]="Suboptimal"),1,"")</f>
        <v/>
      </c>
      <c r="DM32" s="39" t="s">
        <v>25</v>
      </c>
      <c r="DN32" s="39">
        <v>2253</v>
      </c>
      <c r="DO32" s="65">
        <v>0.21499999999968999</v>
      </c>
      <c r="DP32" s="4" t="str">
        <f>IF(AND(Table1[[#This Row],[Cplex MC nonDual Cost]]=Table1[[#This Row],[ORTools FZN2 Cost]],Table1[[#This Row],[ORTools FZN2 State]]="Optimal",Table1[[#This Row],[Cplex MC nonDual State]]="Suboptimal"),1,"")</f>
        <v/>
      </c>
      <c r="DQ32" s="5" t="s">
        <v>25</v>
      </c>
      <c r="DR32" s="2">
        <v>2253</v>
      </c>
      <c r="DS32" s="2">
        <v>1.0071000000000001</v>
      </c>
      <c r="DT32" s="2" t="str">
        <f>IF(AND(Table1[[#This Row],[Cplex MIP DM''z Cost]]=Table1[[#This Row],[ORTools FZN2 Cost]],Table1[[#This Row],[ORTools FZN2 State]]="Optimal",Table1[[#This Row],[Cplex MIP DM''z  State]]="Suboptimal"),1,"")</f>
        <v/>
      </c>
      <c r="DU3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2" s="5" t="s">
        <v>25</v>
      </c>
      <c r="DW32" s="2">
        <v>2253</v>
      </c>
      <c r="DX32" s="2">
        <v>1.2665</v>
      </c>
      <c r="DY32" s="4" t="str">
        <f>IF(AND(Table1[[#This Row],[Gurobi DM''z  Cost]]=Table1[[#This Row],[ORTools FZN2 Cost]],Table1[[#This Row],[ORTools FZN2 State]]="Optimal",Table1[[#This Row],[Gurobi DM''z  State]]="Suboptimal"),1,"")</f>
        <v/>
      </c>
      <c r="DZ3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3" spans="1:130" ht="15.75" x14ac:dyDescent="0.25">
      <c r="A33" s="46" t="s">
        <v>58</v>
      </c>
      <c r="B33" s="5">
        <v>18</v>
      </c>
      <c r="C33" s="2">
        <v>9</v>
      </c>
      <c r="D33" s="5">
        <v>28</v>
      </c>
      <c r="E33" s="3">
        <v>12</v>
      </c>
      <c r="F33" s="34">
        <v>6</v>
      </c>
      <c r="G33" s="3">
        <v>0</v>
      </c>
      <c r="H33" s="4">
        <f t="shared" si="0"/>
        <v>0</v>
      </c>
      <c r="I33" s="4">
        <f>Table1[[#This Row],[B]]+Table1[[#This Row],[Atomic Constraints]]+Table1[[#This Row],[Soft Atomic Constraints]]+Table1[[#This Row],[Disjunctive Constraints]]+Table1[[#This Row],[Direct Successors]]</f>
        <v>55</v>
      </c>
      <c r="J33" s="5" t="s">
        <v>25</v>
      </c>
      <c r="K33" s="2">
        <v>24104</v>
      </c>
      <c r="L33" s="2">
        <v>4.6569057000000003</v>
      </c>
      <c r="M33" s="2" t="str">
        <f>IF(AND(Table1[[#This Row],[Chuffed MZ1 Cost]]=Table1[[#This Row],[ORTools FZN2 Cost]],Table1[[#This Row],[ORTools FZN2 State]]="Optimal",Table1[[#This Row],[Chuffed MZ1 State]]="Suboptimal"),1,"")</f>
        <v/>
      </c>
      <c r="N33" s="5" t="s">
        <v>25</v>
      </c>
      <c r="O33" s="2">
        <v>24104</v>
      </c>
      <c r="P33" s="2">
        <v>3.4223359000000002</v>
      </c>
      <c r="Q33" s="2" t="str">
        <f>IF(AND(Table1[[#This Row],[Chuffed MZ2 Cost]]=Table1[[#This Row],[ORTools FZN2 Cost]],Table1[[#This Row],[ORTools FZN2 State]]="Optimal",Table1[[#This Row],[Chuffed MZ2 State]]="Suboptimal"),1,"")</f>
        <v/>
      </c>
      <c r="R33" s="5" t="s">
        <v>25</v>
      </c>
      <c r="S33" s="2">
        <v>24104</v>
      </c>
      <c r="T33" s="2">
        <v>2.5939999999996002</v>
      </c>
      <c r="U33" s="2"/>
      <c r="V33" s="5" t="s">
        <v>25</v>
      </c>
      <c r="W33" s="2">
        <v>24104</v>
      </c>
      <c r="X33" s="2">
        <v>0.92513769999999995</v>
      </c>
      <c r="Y33" s="2" t="str">
        <f>IF(AND(Table1[[#This Row],[ORTools FZN1 Cost]]=Table1[[#This Row],[ORTools FZN2 Cost]],Table1[[#This Row],[ORTools FZN2 State]]="Optimal",Table1[[#This Row],[ORTools FZN1 State]]="Suboptimal"),1,"")</f>
        <v/>
      </c>
      <c r="Z33" s="5" t="s">
        <v>25</v>
      </c>
      <c r="AA33" s="2">
        <v>24104</v>
      </c>
      <c r="AB33" s="2">
        <v>0.66021169999999996</v>
      </c>
      <c r="AC33" s="39" t="s">
        <v>25</v>
      </c>
      <c r="AD33" s="39">
        <v>24104</v>
      </c>
      <c r="AE33" s="2">
        <v>9.1569222999999997</v>
      </c>
      <c r="AF33" s="2" t="str">
        <f>IF(AND(Table1[[#This Row],[Cplex MB Cost]]=Table1[[#This Row],[ORTools FZN2 Cost]],Table1[[#This Row],[ORTools FZN2 State]]="Optimal",Table1[[#This Row],[Cplex MB State]]="Suboptimal"),1,"")</f>
        <v/>
      </c>
      <c r="AG33" s="4">
        <f>IF(AND(AC33="Optimal",AD33&lt;&gt;AA33,Table1[[#This Row],[Example]]&lt;&gt;"R001",Table1[[#This Row],[Example]]&lt;&gt;"R002"),AD33-AA33,)</f>
        <v>0</v>
      </c>
      <c r="AH33" s="5" t="s">
        <v>25</v>
      </c>
      <c r="AI33" s="2">
        <v>24104</v>
      </c>
      <c r="AJ33" s="2">
        <v>194.60839110000001</v>
      </c>
      <c r="AK33" s="2" t="str">
        <f>IF(AND(Table1[[#This Row],[Cplex MD Cost]]=Table1[[#This Row],[ORTools FZN2 Cost]],Table1[[#This Row],[ORTools FZN2 State]]="Optimal",Table1[[#This Row],[Cplex MD State]]="Suboptimal"),1,"")</f>
        <v/>
      </c>
      <c r="AL33" s="4">
        <f>IF(AND(AH33="Optimal",AI33&lt;&gt;AA33,Table1[[#This Row],[Example]]&lt;&gt;"R001",Table1[[#This Row],[Example]]&lt;&gt;"R002"),AI33-AA33,)</f>
        <v>0</v>
      </c>
      <c r="AM33" s="39" t="s">
        <v>25</v>
      </c>
      <c r="AN33" s="39">
        <v>24104</v>
      </c>
      <c r="AO33" s="2">
        <v>6.1429678000000001</v>
      </c>
      <c r="AP3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3" s="2" t="str">
        <f>IF(AND(Table1[[#This Row],[Cplex MI Cost]]=Table1[[#This Row],[ORTools FZN2 Cost]],Table1[[#This Row],[ORTools FZN2 State]]="Optimal",Table1[[#This Row],[Cplex MI State]]="Suboptimal"),1,"")</f>
        <v/>
      </c>
      <c r="AR33" s="12" t="s">
        <v>26</v>
      </c>
      <c r="AS33" s="12">
        <v>24104</v>
      </c>
      <c r="AT33" s="12">
        <v>20.415006900000002</v>
      </c>
      <c r="AU33" s="12">
        <f>IF(AND(Table1[[#This Row],[Z3 SMT2-1 Maxres Cost]]=Table1[[#This Row],[ORTools FZN2 Cost]],Table1[[#This Row],[ORTools FZN2 State]]="Optimal"),1,"")</f>
        <v>1</v>
      </c>
      <c r="AV33" s="12" t="s">
        <v>26</v>
      </c>
      <c r="AW33" s="12">
        <v>24104</v>
      </c>
      <c r="AX33" s="12">
        <v>20.127726500000001</v>
      </c>
      <c r="AY33" s="12">
        <f>IF(AND(Table1[[#This Row],[Z3 SMT2-1 PdMaxres Cost]]=Table1[[#This Row],[ORTools FZN2 Cost]],Table1[[#This Row],[ORTools FZN2 State]]="Optimal"),1,"")</f>
        <v>1</v>
      </c>
      <c r="AZ33" s="12" t="s">
        <v>26</v>
      </c>
      <c r="BA33" s="12">
        <v>24104</v>
      </c>
      <c r="BB33" s="12">
        <v>19.916364999999999</v>
      </c>
      <c r="BC33" s="12">
        <f>IF(AND(Table1[[#This Row],[Z3 SMT2-1 WMax Cost]]=Table1[[#This Row],[ORTools FZN2 Cost]],Table1[[#This Row],[ORTools FZN2 State]]="Optimal"),1,"")</f>
        <v>1</v>
      </c>
      <c r="BD33" s="12" t="s">
        <v>26</v>
      </c>
      <c r="BE33" s="12">
        <v>24104</v>
      </c>
      <c r="BF33" s="12">
        <v>10.832150499999999</v>
      </c>
      <c r="BG33" s="12">
        <f>IF(AND(Table1[[#This Row],[Z3 SMT2-2 Maxres Cost]]=Table1[[#This Row],[ORTools FZN2 Cost]],Table1[[#This Row],[ORTools FZN2 State]]="Optimal"),1,"")</f>
        <v>1</v>
      </c>
      <c r="BH33" s="12" t="s">
        <v>26</v>
      </c>
      <c r="BI33" s="12">
        <v>24104</v>
      </c>
      <c r="BJ33" s="12">
        <v>10.9401049</v>
      </c>
      <c r="BK33" s="12">
        <f>IF(AND(Table1[[#This Row],[Z3 SMT2-2 PdMaxres Cost]]=Table1[[#This Row],[ORTools FZN2 Cost]],Table1[[#This Row],[ORTools FZN2 State]]="Optimal"),1,"")</f>
        <v>1</v>
      </c>
      <c r="BL33" s="12" t="s">
        <v>26</v>
      </c>
      <c r="BM33" s="12">
        <v>24104</v>
      </c>
      <c r="BN33" s="12">
        <v>10.851179800000001</v>
      </c>
      <c r="BO33" s="11">
        <f>IF(AND(Table1[[#This Row],[Z3 SMT2-2 PdMaxres Cost]]=Table1[[#This Row],[ORTools FZN2 Cost]],Table1[[#This Row],[ORTools FZN2 State]]="Optimal"),1,"")</f>
        <v>1</v>
      </c>
      <c r="BP33" s="5" t="s">
        <v>25</v>
      </c>
      <c r="BQ33" s="2">
        <v>24104</v>
      </c>
      <c r="BR33" s="2">
        <v>6.8275971999999996</v>
      </c>
      <c r="BS33" s="2" t="str">
        <f>IF(AND(Table1[[#This Row],[Gurobi MB Cost]]=Table1[[#This Row],[ORTools FZN2 Cost]],Table1[[#This Row],[ORTools FZN2 State]]="Optimal",Table1[[#This Row],[Gurobi MB State]]="Suboptimal"),1,"")</f>
        <v/>
      </c>
      <c r="BT3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3" s="5" t="s">
        <v>25</v>
      </c>
      <c r="BV33" s="2">
        <v>24104</v>
      </c>
      <c r="BW33" s="2">
        <v>59.9227104</v>
      </c>
      <c r="BX33" s="2" t="str">
        <f>IF(AND(Table1[[#This Row],[Gurobi MD Cost]]=Table1[[#This Row],[ORTools FZN2 Cost]],Table1[[#This Row],[ORTools FZN2 State]]="Optimal",Table1[[#This Row],[Gurobi MD State]]="Suboptimal"),1,"")</f>
        <v/>
      </c>
      <c r="BY3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3" s="5" t="s">
        <v>25</v>
      </c>
      <c r="CA33" s="2">
        <v>24104</v>
      </c>
      <c r="CB33" s="2">
        <v>8.8162453000000003</v>
      </c>
      <c r="CC33" s="2" t="str">
        <f>IF(AND(Table1[[#This Row],[Gurobi MI Cost]]=Table1[[#This Row],[ORTools FZN2 Cost]],Table1[[#This Row],[ORTools FZN2 State]]="Optimal",Table1[[#This Row],[Gurobi MI State]]="Suboptimal"),1,"")</f>
        <v/>
      </c>
      <c r="CD3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3" s="39" t="s">
        <v>42</v>
      </c>
      <c r="CF33" s="2">
        <v>-6175</v>
      </c>
      <c r="CG33" s="39">
        <v>306.06189380000001</v>
      </c>
      <c r="CH33" s="39" t="s">
        <v>42</v>
      </c>
      <c r="CI33" s="39">
        <v>-6175</v>
      </c>
      <c r="CJ33" s="2">
        <v>305.97624980000001</v>
      </c>
      <c r="CK33" s="5" t="s">
        <v>25</v>
      </c>
      <c r="CL33" s="2">
        <v>24104</v>
      </c>
      <c r="CM33" s="2">
        <v>2.8340000000002901</v>
      </c>
      <c r="CN33" s="5" t="s">
        <v>25</v>
      </c>
      <c r="CO33" s="2">
        <v>24104</v>
      </c>
      <c r="CP33" s="2">
        <v>1.2911364000000001</v>
      </c>
      <c r="CQ33" s="5" t="s">
        <v>25</v>
      </c>
      <c r="CR33" s="2">
        <v>24104</v>
      </c>
      <c r="CS33" s="2">
        <v>1.5636516</v>
      </c>
      <c r="CT33" s="6" t="s">
        <v>25</v>
      </c>
      <c r="CU33" s="4">
        <v>24104</v>
      </c>
      <c r="CV33" s="4">
        <v>1.2166698</v>
      </c>
      <c r="CW33" s="39" t="s">
        <v>25</v>
      </c>
      <c r="CX33" s="39">
        <v>24104</v>
      </c>
      <c r="CY33" s="2">
        <v>10.8292</v>
      </c>
      <c r="CZ33" s="2" t="str">
        <f>IF(AND(Table1[[#This Row],[Cplex MZ1 Cost]]=Table1[[#This Row],[ORTools FZN2 Cost]],Table1[[#This Row],[ORTools FZN2 State]]="Optimal",Table1[[#This Row],[Cplex MZ1 State]]="Suboptimal"),1,"")</f>
        <v/>
      </c>
      <c r="DA33" s="5" t="s">
        <v>25</v>
      </c>
      <c r="DB33" s="2">
        <v>24104</v>
      </c>
      <c r="DC33" s="2">
        <v>19.840599999999998</v>
      </c>
      <c r="DD33" s="2" t="str">
        <f>IF(AND(Table1[[#This Row],[Cplex MZ2 Cost]]=Table1[[#This Row],[ORTools FZN2 Cost]],Table1[[#This Row],[ORTools FZN2 State]]="Optimal",Table1[[#This Row],[Cplex MZ2 State]]="Suboptimal"),1,"")</f>
        <v/>
      </c>
      <c r="DE33" s="39" t="s">
        <v>25</v>
      </c>
      <c r="DF33" s="39">
        <v>24104</v>
      </c>
      <c r="DG33" s="2">
        <v>153.51220000000001</v>
      </c>
      <c r="DH33" s="2" t="str">
        <f>IF(AND(Table1[[#This Row],[Gurobi MZ1 Cost]]=Table1[[#This Row],[ORTools FZN2 Cost]],Table1[[#This Row],[ORTools FZN2 State]]="Optimal",Table1[[#This Row],[Gurobi MZ1 State]]="Suboptimal"),1,"")</f>
        <v/>
      </c>
      <c r="DI33" s="5" t="s">
        <v>25</v>
      </c>
      <c r="DJ33" s="2">
        <v>24104</v>
      </c>
      <c r="DK33" s="2">
        <v>131.4118</v>
      </c>
      <c r="DL33" s="4" t="str">
        <f>IF(AND(Table1[[#This Row],[Gurobi MZ2 Cost]]=Table1[[#This Row],[ORTools FZN2 Cost]],Table1[[#This Row],[ORTools FZN2 State]]="Optimal",Table1[[#This Row],[Gurobi MZ2 State]]="Suboptimal"),1,"")</f>
        <v/>
      </c>
      <c r="DM33" s="39" t="s">
        <v>25</v>
      </c>
      <c r="DN33" s="39">
        <v>24104</v>
      </c>
      <c r="DO33" s="65">
        <v>92.939000000000306</v>
      </c>
      <c r="DP33" s="4" t="str">
        <f>IF(AND(Table1[[#This Row],[Cplex MC nonDual Cost]]=Table1[[#This Row],[ORTools FZN2 Cost]],Table1[[#This Row],[ORTools FZN2 State]]="Optimal",Table1[[#This Row],[Cplex MC nonDual State]]="Suboptimal"),1,"")</f>
        <v/>
      </c>
      <c r="DQ33" s="5" t="s">
        <v>25</v>
      </c>
      <c r="DR33" s="2">
        <v>24104</v>
      </c>
      <c r="DS33" s="2">
        <v>13.673</v>
      </c>
      <c r="DT33" s="2" t="str">
        <f>IF(AND(Table1[[#This Row],[Cplex MIP DM''z Cost]]=Table1[[#This Row],[ORTools FZN2 Cost]],Table1[[#This Row],[ORTools FZN2 State]]="Optimal",Table1[[#This Row],[Cplex MIP DM''z  State]]="Suboptimal"),1,"")</f>
        <v/>
      </c>
      <c r="DU3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3" s="5" t="s">
        <v>25</v>
      </c>
      <c r="DW33" s="2">
        <v>24104</v>
      </c>
      <c r="DX33" s="2">
        <v>49.366100000000003</v>
      </c>
      <c r="DY33" s="4" t="str">
        <f>IF(AND(Table1[[#This Row],[Gurobi DM''z  Cost]]=Table1[[#This Row],[ORTools FZN2 Cost]],Table1[[#This Row],[ORTools FZN2 State]]="Optimal",Table1[[#This Row],[Gurobi DM''z  State]]="Suboptimal"),1,"")</f>
        <v/>
      </c>
      <c r="DZ3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4" spans="1:130" ht="15.75" x14ac:dyDescent="0.25">
      <c r="A34" s="46" t="s">
        <v>59</v>
      </c>
      <c r="B34" s="5">
        <v>40</v>
      </c>
      <c r="C34" s="2">
        <v>20</v>
      </c>
      <c r="D34" s="5">
        <v>134</v>
      </c>
      <c r="E34" s="3">
        <v>34</v>
      </c>
      <c r="F34" s="34">
        <v>95</v>
      </c>
      <c r="G34" s="3">
        <v>0</v>
      </c>
      <c r="H34" s="4">
        <f t="shared" si="0"/>
        <v>0</v>
      </c>
      <c r="I34" s="4">
        <f>Table1[[#This Row],[B]]+Table1[[#This Row],[Atomic Constraints]]+Table1[[#This Row],[Soft Atomic Constraints]]+Table1[[#This Row],[Disjunctive Constraints]]+Table1[[#This Row],[Direct Successors]]</f>
        <v>283</v>
      </c>
      <c r="J34" s="5" t="s">
        <v>25</v>
      </c>
      <c r="K34" s="2">
        <v>329390</v>
      </c>
      <c r="L34" s="2">
        <v>285.48154260000001</v>
      </c>
      <c r="M34" s="2" t="str">
        <f>IF(AND(Table1[[#This Row],[Chuffed MZ1 Cost]]=Table1[[#This Row],[ORTools FZN2 Cost]],Table1[[#This Row],[ORTools FZN2 State]]="Optimal",Table1[[#This Row],[Chuffed MZ1 State]]="Suboptimal"),1,"")</f>
        <v/>
      </c>
      <c r="N34" s="5" t="s">
        <v>25</v>
      </c>
      <c r="O34" s="2">
        <v>329390</v>
      </c>
      <c r="P34" s="2">
        <v>265.1937499</v>
      </c>
      <c r="Q34" s="2" t="str">
        <f>IF(AND(Table1[[#This Row],[Chuffed MZ2 Cost]]=Table1[[#This Row],[ORTools FZN2 Cost]],Table1[[#This Row],[ORTools FZN2 State]]="Optimal",Table1[[#This Row],[Chuffed MZ2 State]]="Suboptimal"),1,"")</f>
        <v/>
      </c>
      <c r="R34" s="6" t="s">
        <v>25</v>
      </c>
      <c r="S34" s="4">
        <v>329390</v>
      </c>
      <c r="T34" s="4">
        <v>5.4430000000002101</v>
      </c>
      <c r="U34" s="4"/>
      <c r="V34" s="5" t="s">
        <v>25</v>
      </c>
      <c r="W34" s="2">
        <v>329390</v>
      </c>
      <c r="X34" s="2">
        <v>12.2284869</v>
      </c>
      <c r="Y34" s="2" t="str">
        <f>IF(AND(Table1[[#This Row],[ORTools FZN1 Cost]]=Table1[[#This Row],[ORTools FZN2 Cost]],Table1[[#This Row],[ORTools FZN2 State]]="Optimal",Table1[[#This Row],[ORTools FZN1 State]]="Suboptimal"),1,"")</f>
        <v/>
      </c>
      <c r="Z34" s="5" t="s">
        <v>25</v>
      </c>
      <c r="AA34" s="2">
        <v>329390</v>
      </c>
      <c r="AB34" s="2">
        <v>13.0880805</v>
      </c>
      <c r="AC34" s="12" t="s">
        <v>26</v>
      </c>
      <c r="AD34" s="12">
        <v>329390</v>
      </c>
      <c r="AE34" s="12">
        <v>300.0966401</v>
      </c>
      <c r="AF34" s="2">
        <f>IF(AND(Table1[[#This Row],[Cplex MB Cost]]=Table1[[#This Row],[ORTools FZN2 Cost]],Table1[[#This Row],[ORTools FZN2 State]]="Optimal",Table1[[#This Row],[Cplex MB State]]="Suboptimal"),1,"")</f>
        <v>1</v>
      </c>
      <c r="AG34" s="4">
        <f>IF(AND(AC34="Optimal",AD34&lt;&gt;AA34,Table1[[#This Row],[Example]]&lt;&gt;"R001",Table1[[#This Row],[Example]]&lt;&gt;"R002"),AD34-AA34,)</f>
        <v>0</v>
      </c>
      <c r="AH34" s="5" t="s">
        <v>26</v>
      </c>
      <c r="AI34" s="2">
        <v>1242810</v>
      </c>
      <c r="AJ34" s="2">
        <v>300.1823243</v>
      </c>
      <c r="AK34" s="2" t="str">
        <f>IF(AND(Table1[[#This Row],[Cplex MD Cost]]=Table1[[#This Row],[ORTools FZN2 Cost]],Table1[[#This Row],[ORTools FZN2 State]]="Optimal",Table1[[#This Row],[Cplex MD State]]="Suboptimal"),1,"")</f>
        <v/>
      </c>
      <c r="AL34" s="2">
        <f>IF(AND(AH34="Optimal",AI34&lt;&gt;AA34,Table1[[#This Row],[Example]]&lt;&gt;"R001",Table1[[#This Row],[Example]]&lt;&gt;"R002"),AI34-AA34,)</f>
        <v>0</v>
      </c>
      <c r="AM34" s="39" t="s">
        <v>26</v>
      </c>
      <c r="AN34" s="39">
        <v>459066</v>
      </c>
      <c r="AO34" s="2">
        <v>300.10329200000001</v>
      </c>
      <c r="AP3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4" s="4" t="str">
        <f>IF(AND(Table1[[#This Row],[Cplex MI Cost]]=Table1[[#This Row],[ORTools FZN2 Cost]],Table1[[#This Row],[ORTools FZN2 State]]="Optimal",Table1[[#This Row],[Cplex MI State]]="Suboptimal"),1,"")</f>
        <v/>
      </c>
      <c r="AR34" s="5" t="s">
        <v>42</v>
      </c>
      <c r="AS34" s="2">
        <v>-65641</v>
      </c>
      <c r="AT34" s="2">
        <v>300.05506889999998</v>
      </c>
      <c r="AU34" s="2" t="str">
        <f>IF(AND(Table1[[#This Row],[Z3 SMT2-1 Maxres Cost]]=Table1[[#This Row],[ORTools FZN2 Cost]],Table1[[#This Row],[ORTools FZN2 State]]="Optimal"),1,"")</f>
        <v/>
      </c>
      <c r="AV34" s="39" t="s">
        <v>42</v>
      </c>
      <c r="AW34" s="39">
        <v>-65641</v>
      </c>
      <c r="AX34" s="2">
        <v>300.04073010000002</v>
      </c>
      <c r="AY34" s="2" t="str">
        <f>IF(AND(Table1[[#This Row],[Z3 SMT2-1 PdMaxres Cost]]=Table1[[#This Row],[ORTools FZN2 Cost]],Table1[[#This Row],[ORTools FZN2 State]]="Optimal"),1,"")</f>
        <v/>
      </c>
      <c r="AZ34" s="5" t="s">
        <v>42</v>
      </c>
      <c r="BA34" s="2">
        <v>-65641</v>
      </c>
      <c r="BB34" s="39">
        <v>300.04409870000001</v>
      </c>
      <c r="BC34" s="39" t="str">
        <f>IF(AND(Table1[[#This Row],[Z3 SMT2-1 WMax Cost]]=Table1[[#This Row],[ORTools FZN2 Cost]],Table1[[#This Row],[ORTools FZN2 State]]="Optimal"),1,"")</f>
        <v/>
      </c>
      <c r="BD34" s="39" t="s">
        <v>42</v>
      </c>
      <c r="BE34" s="39">
        <v>-65641</v>
      </c>
      <c r="BF34" s="2">
        <v>300.04645490000001</v>
      </c>
      <c r="BG34" s="2" t="str">
        <f>IF(AND(Table1[[#This Row],[Z3 SMT2-2 Maxres Cost]]=Table1[[#This Row],[ORTools FZN2 Cost]],Table1[[#This Row],[ORTools FZN2 State]]="Optimal"),1,"")</f>
        <v/>
      </c>
      <c r="BH34" s="5" t="s">
        <v>42</v>
      </c>
      <c r="BI34" s="2">
        <v>-65641</v>
      </c>
      <c r="BJ34" s="39">
        <v>300.0393292</v>
      </c>
      <c r="BK34" s="39" t="str">
        <f>IF(AND(Table1[[#This Row],[Z3 SMT2-2 PdMaxres Cost]]=Table1[[#This Row],[ORTools FZN2 Cost]],Table1[[#This Row],[ORTools FZN2 State]]="Optimal"),1,"")</f>
        <v/>
      </c>
      <c r="BL34" s="39" t="s">
        <v>42</v>
      </c>
      <c r="BM34" s="39">
        <v>-65641</v>
      </c>
      <c r="BN34" s="2">
        <v>300.04631380000001</v>
      </c>
      <c r="BO34" s="4" t="str">
        <f>IF(AND(Table1[[#This Row],[Z3 SMT2-2 PdMaxres Cost]]=Table1[[#This Row],[ORTools FZN2 Cost]],Table1[[#This Row],[ORTools FZN2 State]]="Optimal"),1,"")</f>
        <v/>
      </c>
      <c r="BP34" s="5" t="s">
        <v>42</v>
      </c>
      <c r="BQ34" s="2">
        <v>-65641</v>
      </c>
      <c r="BR34" s="2">
        <v>300.14453909999997</v>
      </c>
      <c r="BS34" s="2" t="str">
        <f>IF(AND(Table1[[#This Row],[Gurobi MB Cost]]=Table1[[#This Row],[ORTools FZN2 Cost]],Table1[[#This Row],[ORTools FZN2 State]]="Optimal",Table1[[#This Row],[Gurobi MB State]]="Suboptimal"),1,"")</f>
        <v/>
      </c>
      <c r="BT3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4" s="5" t="s">
        <v>42</v>
      </c>
      <c r="BV34" s="2">
        <v>-65641</v>
      </c>
      <c r="BW34" s="2">
        <v>300.1118596</v>
      </c>
      <c r="BX34" s="2" t="str">
        <f>IF(AND(Table1[[#This Row],[Gurobi MD Cost]]=Table1[[#This Row],[ORTools FZN2 Cost]],Table1[[#This Row],[ORTools FZN2 State]]="Optimal",Table1[[#This Row],[Gurobi MD State]]="Suboptimal"),1,"")</f>
        <v/>
      </c>
      <c r="BY3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4" s="5" t="s">
        <v>26</v>
      </c>
      <c r="CA34" s="2">
        <v>718101</v>
      </c>
      <c r="CB34" s="2">
        <v>300.16403200000002</v>
      </c>
      <c r="CC34" s="2" t="str">
        <f>IF(AND(Table1[[#This Row],[Gurobi MI Cost]]=Table1[[#This Row],[ORTools FZN2 Cost]],Table1[[#This Row],[ORTools FZN2 State]]="Optimal",Table1[[#This Row],[Gurobi MI State]]="Suboptimal"),1,"")</f>
        <v/>
      </c>
      <c r="CD3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4" s="39" t="s">
        <v>42</v>
      </c>
      <c r="CF34" s="2">
        <v>-65641</v>
      </c>
      <c r="CG34" s="39">
        <v>306.01744430000002</v>
      </c>
      <c r="CH34" s="39" t="s">
        <v>42</v>
      </c>
      <c r="CI34" s="39">
        <v>-65641</v>
      </c>
      <c r="CJ34" s="2">
        <v>305.98553889999999</v>
      </c>
      <c r="CK34" s="5" t="s">
        <v>25</v>
      </c>
      <c r="CL34" s="2">
        <v>329390</v>
      </c>
      <c r="CM34" s="2">
        <v>7.4979999999995899</v>
      </c>
      <c r="CN34" s="5" t="s">
        <v>25</v>
      </c>
      <c r="CO34" s="2">
        <v>329390</v>
      </c>
      <c r="CP34" s="2">
        <v>92.685083599999999</v>
      </c>
      <c r="CQ34" s="5" t="s">
        <v>25</v>
      </c>
      <c r="CR34" s="2">
        <v>329390</v>
      </c>
      <c r="CS34" s="2">
        <v>18.2484146</v>
      </c>
      <c r="CT34" s="6" t="s">
        <v>25</v>
      </c>
      <c r="CU34" s="4">
        <v>329390</v>
      </c>
      <c r="CV34" s="4">
        <v>11.7145274</v>
      </c>
      <c r="CW34" s="39" t="s">
        <v>26</v>
      </c>
      <c r="CX34" s="39">
        <v>1044446</v>
      </c>
      <c r="CY34" s="2">
        <v>300.02719999999999</v>
      </c>
      <c r="CZ34" s="2" t="str">
        <f>IF(AND(Table1[[#This Row],[Cplex MZ1 Cost]]=Table1[[#This Row],[ORTools FZN2 Cost]],Table1[[#This Row],[ORTools FZN2 State]]="Optimal",Table1[[#This Row],[Cplex MZ1 State]]="Suboptimal"),1,"")</f>
        <v/>
      </c>
      <c r="DA34" s="5" t="s">
        <v>26</v>
      </c>
      <c r="DB34" s="2">
        <v>1177453</v>
      </c>
      <c r="DC34" s="2">
        <v>300.01420000000002</v>
      </c>
      <c r="DD34" s="2" t="str">
        <f>IF(AND(Table1[[#This Row],[Cplex MZ2 Cost]]=Table1[[#This Row],[ORTools FZN2 Cost]],Table1[[#This Row],[ORTools FZN2 State]]="Optimal",Table1[[#This Row],[Cplex MZ2 State]]="Suboptimal"),1,"")</f>
        <v/>
      </c>
      <c r="DE34" s="39" t="s">
        <v>42</v>
      </c>
      <c r="DF34" s="39"/>
      <c r="DG34" s="2">
        <v>300.01339999999999</v>
      </c>
      <c r="DH34" s="2" t="str">
        <f>IF(AND(Table1[[#This Row],[Gurobi MZ1 Cost]]=Table1[[#This Row],[ORTools FZN2 Cost]],Table1[[#This Row],[ORTools FZN2 State]]="Optimal",Table1[[#This Row],[Gurobi MZ1 State]]="Suboptimal"),1,"")</f>
        <v/>
      </c>
      <c r="DI34" s="5" t="s">
        <v>26</v>
      </c>
      <c r="DJ34" s="2">
        <v>911784</v>
      </c>
      <c r="DK34" s="2">
        <v>300.00650000000002</v>
      </c>
      <c r="DL34" s="4" t="str">
        <f>IF(AND(Table1[[#This Row],[Gurobi MZ2 Cost]]=Table1[[#This Row],[ORTools FZN2 Cost]],Table1[[#This Row],[ORTools FZN2 State]]="Optimal",Table1[[#This Row],[Gurobi MZ2 State]]="Suboptimal"),1,"")</f>
        <v/>
      </c>
      <c r="DM34" s="39" t="s">
        <v>26</v>
      </c>
      <c r="DN34" s="12">
        <v>329390</v>
      </c>
      <c r="DO34" s="69">
        <v>300.02999999999997</v>
      </c>
      <c r="DP34" s="11">
        <f>IF(AND(Table1[[#This Row],[Cplex MC nonDual Cost]]=Table1[[#This Row],[ORTools FZN2 Cost]],Table1[[#This Row],[ORTools FZN2 State]]="Optimal",Table1[[#This Row],[Cplex MC nonDual State]]="Suboptimal"),1,"")</f>
        <v>1</v>
      </c>
      <c r="DQ34" s="5" t="s">
        <v>26</v>
      </c>
      <c r="DR34" s="2">
        <v>654186</v>
      </c>
      <c r="DS34" s="2">
        <v>300.0111</v>
      </c>
      <c r="DT34" s="2" t="str">
        <f>IF(AND(Table1[[#This Row],[Cplex MIP DM''z Cost]]=Table1[[#This Row],[ORTools FZN2 Cost]],Table1[[#This Row],[ORTools FZN2 State]]="Optimal",Table1[[#This Row],[Cplex MIP DM''z  State]]="Suboptimal"),1,"")</f>
        <v/>
      </c>
      <c r="DU3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4" s="5" t="s">
        <v>42</v>
      </c>
      <c r="DW34" s="2"/>
      <c r="DX34" s="2">
        <v>300.0068</v>
      </c>
      <c r="DY34" s="4" t="str">
        <f>IF(AND(Table1[[#This Row],[Gurobi DM''z  Cost]]=Table1[[#This Row],[ORTools FZN2 Cost]],Table1[[#This Row],[ORTools FZN2 State]]="Optimal",Table1[[#This Row],[Gurobi DM''z  State]]="Suboptimal"),1,"")</f>
        <v/>
      </c>
      <c r="DZ3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5" spans="1:130" ht="15.75" x14ac:dyDescent="0.25">
      <c r="A35" s="46" t="s">
        <v>60</v>
      </c>
      <c r="B35" s="5">
        <v>80</v>
      </c>
      <c r="C35" s="2">
        <v>40</v>
      </c>
      <c r="D35" s="5">
        <v>418</v>
      </c>
      <c r="E35" s="3">
        <v>74</v>
      </c>
      <c r="F35" s="34">
        <v>224</v>
      </c>
      <c r="G35" s="3">
        <v>0</v>
      </c>
      <c r="H35" s="4">
        <f t="shared" si="0"/>
        <v>0</v>
      </c>
      <c r="I35" s="4">
        <f>Table1[[#This Row],[B]]+Table1[[#This Row],[Atomic Constraints]]+Table1[[#This Row],[Soft Atomic Constraints]]+Table1[[#This Row],[Disjunctive Constraints]]+Table1[[#This Row],[Direct Successors]]</f>
        <v>756</v>
      </c>
      <c r="J35" s="5" t="s">
        <v>26</v>
      </c>
      <c r="K35" s="2">
        <v>20671476</v>
      </c>
      <c r="L35" s="2">
        <v>304.31651140000002</v>
      </c>
      <c r="M35" s="2" t="str">
        <f>IF(AND(Table1[[#This Row],[Chuffed MZ1 Cost]]=Table1[[#This Row],[ORTools FZN2 Cost]],Table1[[#This Row],[ORTools FZN2 State]]="Optimal",Table1[[#This Row],[Chuffed MZ1 State]]="Suboptimal"),1,"")</f>
        <v/>
      </c>
      <c r="N35" s="5" t="s">
        <v>26</v>
      </c>
      <c r="O35" s="2">
        <v>20099646</v>
      </c>
      <c r="P35" s="2">
        <v>304.305927</v>
      </c>
      <c r="Q35" s="2" t="str">
        <f>IF(AND(Table1[[#This Row],[Chuffed MZ2 Cost]]=Table1[[#This Row],[ORTools FZN2 Cost]],Table1[[#This Row],[ORTools FZN2 State]]="Optimal",Table1[[#This Row],[Chuffed MZ2 State]]="Suboptimal"),1,"")</f>
        <v/>
      </c>
      <c r="R35" s="6" t="s">
        <v>26</v>
      </c>
      <c r="S35" s="4">
        <v>7742021</v>
      </c>
      <c r="T35" s="4">
        <v>300.31400000000002</v>
      </c>
      <c r="U35" s="4"/>
      <c r="V35" s="5" t="s">
        <v>25</v>
      </c>
      <c r="W35" s="2">
        <v>5153238</v>
      </c>
      <c r="X35" s="2">
        <v>276.11910710000001</v>
      </c>
      <c r="Y35" s="2" t="str">
        <f>IF(AND(Table1[[#This Row],[ORTools FZN1 Cost]]=Table1[[#This Row],[ORTools FZN2 Cost]],Table1[[#This Row],[ORTools FZN2 State]]="Optimal",Table1[[#This Row],[ORTools FZN1 State]]="Suboptimal"),1,"")</f>
        <v/>
      </c>
      <c r="Z35" s="5" t="s">
        <v>25</v>
      </c>
      <c r="AA35" s="2">
        <v>5153238</v>
      </c>
      <c r="AB35" s="2">
        <v>199.63062450000001</v>
      </c>
      <c r="AC35" s="39" t="s">
        <v>42</v>
      </c>
      <c r="AD35" s="39">
        <v>-518481</v>
      </c>
      <c r="AE35" s="2">
        <v>300.20541709999998</v>
      </c>
      <c r="AF35" s="2" t="str">
        <f>IF(AND(Table1[[#This Row],[Cplex MB Cost]]=Table1[[#This Row],[ORTools FZN2 Cost]],Table1[[#This Row],[ORTools FZN2 State]]="Optimal",Table1[[#This Row],[Cplex MB State]]="Suboptimal"),1,"")</f>
        <v/>
      </c>
      <c r="AG35" s="4">
        <f>IF(AND(AC35="Optimal",AD35&lt;&gt;AA35,Table1[[#This Row],[Example]]&lt;&gt;"R001",Table1[[#This Row],[Example]]&lt;&gt;"R002"),AD35-AA35,)</f>
        <v>0</v>
      </c>
      <c r="AH35" s="5" t="s">
        <v>42</v>
      </c>
      <c r="AI35" s="2">
        <v>-518481</v>
      </c>
      <c r="AJ35" s="2">
        <v>300.239081</v>
      </c>
      <c r="AK35" s="2" t="str">
        <f>IF(AND(Table1[[#This Row],[Cplex MD Cost]]=Table1[[#This Row],[ORTools FZN2 Cost]],Table1[[#This Row],[ORTools FZN2 State]]="Optimal",Table1[[#This Row],[Cplex MD State]]="Suboptimal"),1,"")</f>
        <v/>
      </c>
      <c r="AL35" s="4">
        <f>IF(AND(AH35="Optimal",AI35&lt;&gt;AA35,Table1[[#This Row],[Example]]&lt;&gt;"R001",Table1[[#This Row],[Example]]&lt;&gt;"R002"),AI35-AA35,)</f>
        <v>0</v>
      </c>
      <c r="AM35" s="39" t="s">
        <v>42</v>
      </c>
      <c r="AN35" s="39">
        <v>-518481</v>
      </c>
      <c r="AO35" s="2">
        <v>300.7345158</v>
      </c>
      <c r="AP3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5" s="4" t="str">
        <f>IF(AND(Table1[[#This Row],[Cplex MI Cost]]=Table1[[#This Row],[ORTools FZN2 Cost]],Table1[[#This Row],[ORTools FZN2 State]]="Optimal",Table1[[#This Row],[Cplex MI State]]="Suboptimal"),1,"")</f>
        <v/>
      </c>
      <c r="AR35" s="5" t="s">
        <v>42</v>
      </c>
      <c r="AS35" s="2">
        <v>-518481</v>
      </c>
      <c r="AT35" s="2">
        <v>300.09599780000002</v>
      </c>
      <c r="AU35" s="2" t="str">
        <f>IF(AND(Table1[[#This Row],[Z3 SMT2-1 Maxres Cost]]=Table1[[#This Row],[ORTools FZN2 Cost]],Table1[[#This Row],[ORTools FZN2 State]]="Optimal"),1,"")</f>
        <v/>
      </c>
      <c r="AV35" s="39" t="s">
        <v>42</v>
      </c>
      <c r="AW35" s="39">
        <v>-518481</v>
      </c>
      <c r="AX35" s="2">
        <v>300.09620239999998</v>
      </c>
      <c r="AY35" s="2" t="str">
        <f>IF(AND(Table1[[#This Row],[Z3 SMT2-1 PdMaxres Cost]]=Table1[[#This Row],[ORTools FZN2 Cost]],Table1[[#This Row],[ORTools FZN2 State]]="Optimal"),1,"")</f>
        <v/>
      </c>
      <c r="AZ35" s="5" t="s">
        <v>42</v>
      </c>
      <c r="BA35" s="2">
        <v>-518481</v>
      </c>
      <c r="BB35" s="39">
        <v>300.08807039999999</v>
      </c>
      <c r="BC35" s="39" t="str">
        <f>IF(AND(Table1[[#This Row],[Z3 SMT2-1 WMax Cost]]=Table1[[#This Row],[ORTools FZN2 Cost]],Table1[[#This Row],[ORTools FZN2 State]]="Optimal"),1,"")</f>
        <v/>
      </c>
      <c r="BD35" s="39" t="s">
        <v>42</v>
      </c>
      <c r="BE35" s="39">
        <v>-518481</v>
      </c>
      <c r="BF35" s="2">
        <v>300.08867629999997</v>
      </c>
      <c r="BG35" s="2" t="str">
        <f>IF(AND(Table1[[#This Row],[Z3 SMT2-2 Maxres Cost]]=Table1[[#This Row],[ORTools FZN2 Cost]],Table1[[#This Row],[ORTools FZN2 State]]="Optimal"),1,"")</f>
        <v/>
      </c>
      <c r="BH35" s="5" t="s">
        <v>42</v>
      </c>
      <c r="BI35" s="2">
        <v>-518481</v>
      </c>
      <c r="BJ35" s="39">
        <v>300.07759149999998</v>
      </c>
      <c r="BK35" s="39" t="str">
        <f>IF(AND(Table1[[#This Row],[Z3 SMT2-2 PdMaxres Cost]]=Table1[[#This Row],[ORTools FZN2 Cost]],Table1[[#This Row],[ORTools FZN2 State]]="Optimal"),1,"")</f>
        <v/>
      </c>
      <c r="BL35" s="39" t="s">
        <v>42</v>
      </c>
      <c r="BM35" s="39">
        <v>-518481</v>
      </c>
      <c r="BN35" s="2">
        <v>300.08198160000001</v>
      </c>
      <c r="BO35" s="4" t="str">
        <f>IF(AND(Table1[[#This Row],[Z3 SMT2-2 PdMaxres Cost]]=Table1[[#This Row],[ORTools FZN2 Cost]],Table1[[#This Row],[ORTools FZN2 State]]="Optimal"),1,"")</f>
        <v/>
      </c>
      <c r="BP35" s="5" t="s">
        <v>42</v>
      </c>
      <c r="BQ35" s="2">
        <v>-518481</v>
      </c>
      <c r="BR35" s="2">
        <v>300.14813570000001</v>
      </c>
      <c r="BS35" s="2" t="str">
        <f>IF(AND(Table1[[#This Row],[Gurobi MB Cost]]=Table1[[#This Row],[ORTools FZN2 Cost]],Table1[[#This Row],[ORTools FZN2 State]]="Optimal",Table1[[#This Row],[Gurobi MB State]]="Suboptimal"),1,"")</f>
        <v/>
      </c>
      <c r="BT3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5" s="5" t="s">
        <v>42</v>
      </c>
      <c r="BV35" s="2">
        <v>-518481</v>
      </c>
      <c r="BW35" s="2">
        <v>300.1866756</v>
      </c>
      <c r="BX35" s="2" t="str">
        <f>IF(AND(Table1[[#This Row],[Gurobi MD Cost]]=Table1[[#This Row],[ORTools FZN2 Cost]],Table1[[#This Row],[ORTools FZN2 State]]="Optimal",Table1[[#This Row],[Gurobi MD State]]="Suboptimal"),1,"")</f>
        <v/>
      </c>
      <c r="BY3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5" s="5" t="s">
        <v>42</v>
      </c>
      <c r="CA35" s="2">
        <v>-518481</v>
      </c>
      <c r="CB35" s="2">
        <v>300.13225949999998</v>
      </c>
      <c r="CC35" s="2" t="str">
        <f>IF(AND(Table1[[#This Row],[Gurobi MI Cost]]=Table1[[#This Row],[ORTools FZN2 Cost]],Table1[[#This Row],[ORTools FZN2 State]]="Optimal",Table1[[#This Row],[Gurobi MI State]]="Suboptimal"),1,"")</f>
        <v/>
      </c>
      <c r="CD3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5" s="39" t="s">
        <v>42</v>
      </c>
      <c r="CF35" s="2">
        <v>-518481</v>
      </c>
      <c r="CG35" s="39">
        <v>306.29015829999997</v>
      </c>
      <c r="CH35" s="39" t="s">
        <v>42</v>
      </c>
      <c r="CI35" s="39">
        <v>-518481</v>
      </c>
      <c r="CJ35" s="2">
        <v>306.2023307</v>
      </c>
      <c r="CK35" s="5" t="s">
        <v>26</v>
      </c>
      <c r="CL35" s="2">
        <v>7734820</v>
      </c>
      <c r="CM35" s="2">
        <v>300.28100000000001</v>
      </c>
      <c r="CN35" s="5" t="s">
        <v>26</v>
      </c>
      <c r="CO35" s="2">
        <v>20671483</v>
      </c>
      <c r="CP35" s="2">
        <v>304.23378070000001</v>
      </c>
      <c r="CQ35" s="5" t="s">
        <v>26</v>
      </c>
      <c r="CR35" s="2">
        <v>5666039</v>
      </c>
      <c r="CS35" s="2">
        <v>302.32492059999998</v>
      </c>
      <c r="CT35" s="6" t="s">
        <v>25</v>
      </c>
      <c r="CU35" s="4">
        <v>5153238</v>
      </c>
      <c r="CV35" s="4">
        <v>111.0702234</v>
      </c>
      <c r="CW35" s="39" t="s">
        <v>42</v>
      </c>
      <c r="CX35" s="39"/>
      <c r="CY35" s="2">
        <v>300.03789999999998</v>
      </c>
      <c r="CZ35" s="2" t="str">
        <f>IF(AND(Table1[[#This Row],[Cplex MZ1 Cost]]=Table1[[#This Row],[ORTools FZN2 Cost]],Table1[[#This Row],[ORTools FZN2 State]]="Optimal",Table1[[#This Row],[Cplex MZ1 State]]="Suboptimal"),1,"")</f>
        <v/>
      </c>
      <c r="DA35" s="5" t="s">
        <v>42</v>
      </c>
      <c r="DB35" s="2"/>
      <c r="DC35" s="2">
        <v>300.06420000000003</v>
      </c>
      <c r="DD35" s="2" t="str">
        <f>IF(AND(Table1[[#This Row],[Cplex MZ2 Cost]]=Table1[[#This Row],[ORTools FZN2 Cost]],Table1[[#This Row],[ORTools FZN2 State]]="Optimal",Table1[[#This Row],[Cplex MZ2 State]]="Suboptimal"),1,"")</f>
        <v/>
      </c>
      <c r="DE35" s="39" t="s">
        <v>42</v>
      </c>
      <c r="DF35" s="39"/>
      <c r="DG35" s="2">
        <v>300.01280000000003</v>
      </c>
      <c r="DH35" s="2" t="str">
        <f>IF(AND(Table1[[#This Row],[Gurobi MZ1 Cost]]=Table1[[#This Row],[ORTools FZN2 Cost]],Table1[[#This Row],[ORTools FZN2 State]]="Optimal",Table1[[#This Row],[Gurobi MZ1 State]]="Suboptimal"),1,"")</f>
        <v/>
      </c>
      <c r="DI35" s="5" t="s">
        <v>42</v>
      </c>
      <c r="DJ35" s="2"/>
      <c r="DK35" s="2">
        <v>300.00659999999999</v>
      </c>
      <c r="DL35" s="4" t="str">
        <f>IF(AND(Table1[[#This Row],[Gurobi MZ2 Cost]]=Table1[[#This Row],[ORTools FZN2 Cost]],Table1[[#This Row],[ORTools FZN2 State]]="Optimal",Table1[[#This Row],[Gurobi MZ2 State]]="Suboptimal"),1,"")</f>
        <v/>
      </c>
      <c r="DM35" s="39" t="s">
        <v>26</v>
      </c>
      <c r="DN35" s="39">
        <v>5160118</v>
      </c>
      <c r="DO35" s="65">
        <v>300.18</v>
      </c>
      <c r="DP35" s="4" t="str">
        <f>IF(AND(Table1[[#This Row],[Cplex MC nonDual Cost]]=Table1[[#This Row],[ORTools FZN2 Cost]],Table1[[#This Row],[ORTools FZN2 State]]="Optimal",Table1[[#This Row],[Cplex MC nonDual State]]="Suboptimal"),1,"")</f>
        <v/>
      </c>
      <c r="DQ35" s="5" t="s">
        <v>42</v>
      </c>
      <c r="DR35" s="2"/>
      <c r="DS35" s="2">
        <v>300.0247</v>
      </c>
      <c r="DT35" s="2" t="str">
        <f>IF(AND(Table1[[#This Row],[Cplex MIP DM''z Cost]]=Table1[[#This Row],[ORTools FZN2 Cost]],Table1[[#This Row],[ORTools FZN2 State]]="Optimal",Table1[[#This Row],[Cplex MIP DM''z  State]]="Suboptimal"),1,"")</f>
        <v/>
      </c>
      <c r="DU3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5" s="5" t="s">
        <v>42</v>
      </c>
      <c r="DW35" s="2"/>
      <c r="DX35" s="2">
        <v>300.02609999999999</v>
      </c>
      <c r="DY35" s="4" t="str">
        <f>IF(AND(Table1[[#This Row],[Gurobi DM''z  Cost]]=Table1[[#This Row],[ORTools FZN2 Cost]],Table1[[#This Row],[ORTools FZN2 State]]="Optimal",Table1[[#This Row],[Gurobi DM''z  State]]="Suboptimal"),1,"")</f>
        <v/>
      </c>
      <c r="DZ3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6" spans="1:130" ht="15.75" x14ac:dyDescent="0.25">
      <c r="A36" s="46" t="s">
        <v>61</v>
      </c>
      <c r="B36" s="5">
        <v>76</v>
      </c>
      <c r="C36" s="2">
        <v>38</v>
      </c>
      <c r="D36" s="5">
        <v>481</v>
      </c>
      <c r="E36" s="3">
        <v>66</v>
      </c>
      <c r="F36" s="34">
        <v>248</v>
      </c>
      <c r="G36" s="3">
        <v>0</v>
      </c>
      <c r="H36" s="4">
        <f t="shared" si="0"/>
        <v>0</v>
      </c>
      <c r="I36" s="4">
        <f>Table1[[#This Row],[B]]+Table1[[#This Row],[Atomic Constraints]]+Table1[[#This Row],[Soft Atomic Constraints]]+Table1[[#This Row],[Disjunctive Constraints]]+Table1[[#This Row],[Direct Successors]]</f>
        <v>833</v>
      </c>
      <c r="J36" s="5" t="s">
        <v>26</v>
      </c>
      <c r="K36" s="2">
        <v>16841571</v>
      </c>
      <c r="L36" s="2">
        <v>303.96151470000001</v>
      </c>
      <c r="M36" s="2" t="str">
        <f>IF(AND(Table1[[#This Row],[Chuffed MZ1 Cost]]=Table1[[#This Row],[ORTools FZN2 Cost]],Table1[[#This Row],[ORTools FZN2 State]]="Optimal",Table1[[#This Row],[Chuffed MZ1 State]]="Suboptimal"),1,"")</f>
        <v/>
      </c>
      <c r="N36" s="5" t="s">
        <v>42</v>
      </c>
      <c r="O36" s="2">
        <v>-444829</v>
      </c>
      <c r="P36" s="2">
        <v>303.8776909</v>
      </c>
      <c r="Q36" s="2" t="str">
        <f>IF(AND(Table1[[#This Row],[Chuffed MZ2 Cost]]=Table1[[#This Row],[ORTools FZN2 Cost]],Table1[[#This Row],[ORTools FZN2 State]]="Optimal",Table1[[#This Row],[Chuffed MZ2 State]]="Suboptimal"),1,"")</f>
        <v/>
      </c>
      <c r="R36" s="5" t="s">
        <v>26</v>
      </c>
      <c r="S36" s="2">
        <v>6206023</v>
      </c>
      <c r="T36" s="2">
        <v>300.14400000000001</v>
      </c>
      <c r="U36" s="2"/>
      <c r="V36" s="5" t="s">
        <v>25</v>
      </c>
      <c r="W36" s="2">
        <v>4877477</v>
      </c>
      <c r="X36" s="2">
        <v>154.0768018</v>
      </c>
      <c r="Y36" s="2" t="str">
        <f>IF(AND(Table1[[#This Row],[ORTools FZN1 Cost]]=Table1[[#This Row],[ORTools FZN2 Cost]],Table1[[#This Row],[ORTools FZN2 State]]="Optimal",Table1[[#This Row],[ORTools FZN1 State]]="Suboptimal"),1,"")</f>
        <v/>
      </c>
      <c r="Z36" s="5" t="s">
        <v>25</v>
      </c>
      <c r="AA36" s="2">
        <v>4877477</v>
      </c>
      <c r="AB36" s="2">
        <v>220.36179100000001</v>
      </c>
      <c r="AC36" s="39" t="s">
        <v>42</v>
      </c>
      <c r="AD36" s="39">
        <v>-444829</v>
      </c>
      <c r="AE36" s="2">
        <v>300.18639780000001</v>
      </c>
      <c r="AF36" s="2" t="str">
        <f>IF(AND(Table1[[#This Row],[Cplex MB Cost]]=Table1[[#This Row],[ORTools FZN2 Cost]],Table1[[#This Row],[ORTools FZN2 State]]="Optimal",Table1[[#This Row],[Cplex MB State]]="Suboptimal"),1,"")</f>
        <v/>
      </c>
      <c r="AG36" s="4">
        <f>IF(AND(AC36="Optimal",AD36&lt;&gt;AA36,Table1[[#This Row],[Example]]&lt;&gt;"R001",Table1[[#This Row],[Example]]&lt;&gt;"R002"),AD36-AA36,)</f>
        <v>0</v>
      </c>
      <c r="AH36" s="5" t="s">
        <v>42</v>
      </c>
      <c r="AI36" s="2">
        <v>-444829</v>
      </c>
      <c r="AJ36" s="2">
        <v>300.31512989999999</v>
      </c>
      <c r="AK36" s="2" t="str">
        <f>IF(AND(Table1[[#This Row],[Cplex MD Cost]]=Table1[[#This Row],[ORTools FZN2 Cost]],Table1[[#This Row],[ORTools FZN2 State]]="Optimal",Table1[[#This Row],[Cplex MD State]]="Suboptimal"),1,"")</f>
        <v/>
      </c>
      <c r="AL36" s="2">
        <f>IF(AND(AH36="Optimal",AI36&lt;&gt;AA36,Table1[[#This Row],[Example]]&lt;&gt;"R001",Table1[[#This Row],[Example]]&lt;&gt;"R002"),AI36-AA36,)</f>
        <v>0</v>
      </c>
      <c r="AM36" s="39" t="s">
        <v>42</v>
      </c>
      <c r="AN36" s="39">
        <v>-444829</v>
      </c>
      <c r="AO36" s="2">
        <v>300.1292752</v>
      </c>
      <c r="AP3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6" s="4" t="str">
        <f>IF(AND(Table1[[#This Row],[Cplex MI Cost]]=Table1[[#This Row],[ORTools FZN2 Cost]],Table1[[#This Row],[ORTools FZN2 State]]="Optimal",Table1[[#This Row],[Cplex MI State]]="Suboptimal"),1,"")</f>
        <v/>
      </c>
      <c r="AR36" s="5" t="s">
        <v>42</v>
      </c>
      <c r="AS36" s="2">
        <v>-444829</v>
      </c>
      <c r="AT36" s="2">
        <v>300.08486319999997</v>
      </c>
      <c r="AU36" s="2" t="str">
        <f>IF(AND(Table1[[#This Row],[Z3 SMT2-1 Maxres Cost]]=Table1[[#This Row],[ORTools FZN2 Cost]],Table1[[#This Row],[ORTools FZN2 State]]="Optimal"),1,"")</f>
        <v/>
      </c>
      <c r="AV36" s="39" t="s">
        <v>42</v>
      </c>
      <c r="AW36" s="39">
        <v>-444829</v>
      </c>
      <c r="AX36" s="2">
        <v>300.08625180000001</v>
      </c>
      <c r="AY36" s="2" t="str">
        <f>IF(AND(Table1[[#This Row],[Z3 SMT2-1 PdMaxres Cost]]=Table1[[#This Row],[ORTools FZN2 Cost]],Table1[[#This Row],[ORTools FZN2 State]]="Optimal"),1,"")</f>
        <v/>
      </c>
      <c r="AZ36" s="5" t="s">
        <v>42</v>
      </c>
      <c r="BA36" s="2">
        <v>-444829</v>
      </c>
      <c r="BB36" s="39">
        <v>300.08555059999998</v>
      </c>
      <c r="BC36" s="39" t="str">
        <f>IF(AND(Table1[[#This Row],[Z3 SMT2-1 WMax Cost]]=Table1[[#This Row],[ORTools FZN2 Cost]],Table1[[#This Row],[ORTools FZN2 State]]="Optimal"),1,"")</f>
        <v/>
      </c>
      <c r="BD36" s="39" t="s">
        <v>42</v>
      </c>
      <c r="BE36" s="39">
        <v>-444829</v>
      </c>
      <c r="BF36" s="2">
        <v>300.06626560000001</v>
      </c>
      <c r="BG36" s="2" t="str">
        <f>IF(AND(Table1[[#This Row],[Z3 SMT2-2 Maxres Cost]]=Table1[[#This Row],[ORTools FZN2 Cost]],Table1[[#This Row],[ORTools FZN2 State]]="Optimal"),1,"")</f>
        <v/>
      </c>
      <c r="BH36" s="5" t="s">
        <v>42</v>
      </c>
      <c r="BI36" s="2">
        <v>-444829</v>
      </c>
      <c r="BJ36" s="39">
        <v>300.07722860000001</v>
      </c>
      <c r="BK36" s="39" t="str">
        <f>IF(AND(Table1[[#This Row],[Z3 SMT2-2 PdMaxres Cost]]=Table1[[#This Row],[ORTools FZN2 Cost]],Table1[[#This Row],[ORTools FZN2 State]]="Optimal"),1,"")</f>
        <v/>
      </c>
      <c r="BL36" s="39" t="s">
        <v>42</v>
      </c>
      <c r="BM36" s="39">
        <v>-444829</v>
      </c>
      <c r="BN36" s="2">
        <v>300.08513240000002</v>
      </c>
      <c r="BO36" s="4" t="str">
        <f>IF(AND(Table1[[#This Row],[Z3 SMT2-2 PdMaxres Cost]]=Table1[[#This Row],[ORTools FZN2 Cost]],Table1[[#This Row],[ORTools FZN2 State]]="Optimal"),1,"")</f>
        <v/>
      </c>
      <c r="BP36" s="5" t="s">
        <v>42</v>
      </c>
      <c r="BQ36" s="2">
        <v>-444829</v>
      </c>
      <c r="BR36" s="2">
        <v>300.2025744</v>
      </c>
      <c r="BS36" s="2" t="str">
        <f>IF(AND(Table1[[#This Row],[Gurobi MB Cost]]=Table1[[#This Row],[ORTools FZN2 Cost]],Table1[[#This Row],[ORTools FZN2 State]]="Optimal",Table1[[#This Row],[Gurobi MB State]]="Suboptimal"),1,"")</f>
        <v/>
      </c>
      <c r="BT3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6" s="5" t="s">
        <v>42</v>
      </c>
      <c r="BV36" s="2">
        <v>-444829</v>
      </c>
      <c r="BW36" s="2">
        <v>300.1751903</v>
      </c>
      <c r="BX36" s="2" t="str">
        <f>IF(AND(Table1[[#This Row],[Gurobi MD Cost]]=Table1[[#This Row],[ORTools FZN2 Cost]],Table1[[#This Row],[ORTools FZN2 State]]="Optimal",Table1[[#This Row],[Gurobi MD State]]="Suboptimal"),1,"")</f>
        <v/>
      </c>
      <c r="BY3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6" s="5" t="s">
        <v>42</v>
      </c>
      <c r="CA36" s="2">
        <v>-444829</v>
      </c>
      <c r="CB36" s="2">
        <v>300.13093930000002</v>
      </c>
      <c r="CC36" s="2" t="str">
        <f>IF(AND(Table1[[#This Row],[Gurobi MI Cost]]=Table1[[#This Row],[ORTools FZN2 Cost]],Table1[[#This Row],[ORTools FZN2 State]]="Optimal",Table1[[#This Row],[Gurobi MI State]]="Suboptimal"),1,"")</f>
        <v/>
      </c>
      <c r="CD3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6" s="39" t="s">
        <v>42</v>
      </c>
      <c r="CF36" s="2">
        <v>-444829</v>
      </c>
      <c r="CG36" s="39">
        <v>306.28167250000001</v>
      </c>
      <c r="CH36" s="39" t="s">
        <v>42</v>
      </c>
      <c r="CI36" s="39">
        <v>-444829</v>
      </c>
      <c r="CJ36" s="2">
        <v>306.14672890000003</v>
      </c>
      <c r="CK36" s="5" t="s">
        <v>26</v>
      </c>
      <c r="CL36" s="2">
        <v>5322615</v>
      </c>
      <c r="CM36" s="2">
        <v>300.25299999999999</v>
      </c>
      <c r="CN36" s="5" t="s">
        <v>26</v>
      </c>
      <c r="CO36" s="2">
        <v>16397121</v>
      </c>
      <c r="CP36" s="2">
        <v>303.87263840000003</v>
      </c>
      <c r="CQ36" s="5" t="s">
        <v>25</v>
      </c>
      <c r="CR36" s="2">
        <v>4877477</v>
      </c>
      <c r="CS36" s="2">
        <v>257.5506092</v>
      </c>
      <c r="CT36" s="6" t="s">
        <v>25</v>
      </c>
      <c r="CU36" s="4">
        <v>4877477</v>
      </c>
      <c r="CV36" s="4">
        <v>73.913711899999996</v>
      </c>
      <c r="CW36" s="39" t="s">
        <v>42</v>
      </c>
      <c r="CX36" s="39"/>
      <c r="CY36" s="2">
        <v>300.01459999999997</v>
      </c>
      <c r="CZ36" s="2" t="str">
        <f>IF(AND(Table1[[#This Row],[Cplex MZ1 Cost]]=Table1[[#This Row],[ORTools FZN2 Cost]],Table1[[#This Row],[ORTools FZN2 State]]="Optimal",Table1[[#This Row],[Cplex MZ1 State]]="Suboptimal"),1,"")</f>
        <v/>
      </c>
      <c r="DA36" s="5" t="s">
        <v>42</v>
      </c>
      <c r="DB36" s="2"/>
      <c r="DC36" s="2">
        <v>300.02229999999997</v>
      </c>
      <c r="DD36" s="2" t="str">
        <f>IF(AND(Table1[[#This Row],[Cplex MZ2 Cost]]=Table1[[#This Row],[ORTools FZN2 Cost]],Table1[[#This Row],[ORTools FZN2 State]]="Optimal",Table1[[#This Row],[Cplex MZ2 State]]="Suboptimal"),1,"")</f>
        <v/>
      </c>
      <c r="DE36" s="39" t="s">
        <v>42</v>
      </c>
      <c r="DF36" s="39"/>
      <c r="DG36" s="2">
        <v>300.00560000000002</v>
      </c>
      <c r="DH36" s="2" t="str">
        <f>IF(AND(Table1[[#This Row],[Gurobi MZ1 Cost]]=Table1[[#This Row],[ORTools FZN2 Cost]],Table1[[#This Row],[ORTools FZN2 State]]="Optimal",Table1[[#This Row],[Gurobi MZ1 State]]="Suboptimal"),1,"")</f>
        <v/>
      </c>
      <c r="DI36" s="5" t="s">
        <v>42</v>
      </c>
      <c r="DJ36" s="2"/>
      <c r="DK36" s="2">
        <v>300.01299999999998</v>
      </c>
      <c r="DL36" s="4" t="str">
        <f>IF(AND(Table1[[#This Row],[Gurobi MZ2 Cost]]=Table1[[#This Row],[ORTools FZN2 Cost]],Table1[[#This Row],[ORTools FZN2 State]]="Optimal",Table1[[#This Row],[Gurobi MZ2 State]]="Suboptimal"),1,"")</f>
        <v/>
      </c>
      <c r="DM36" s="39" t="s">
        <v>26</v>
      </c>
      <c r="DN36" s="39">
        <v>6200552</v>
      </c>
      <c r="DO36" s="65">
        <v>300.22199999999901</v>
      </c>
      <c r="DP36" s="4" t="str">
        <f>IF(AND(Table1[[#This Row],[Cplex MC nonDual Cost]]=Table1[[#This Row],[ORTools FZN2 Cost]],Table1[[#This Row],[ORTools FZN2 State]]="Optimal",Table1[[#This Row],[Cplex MC nonDual State]]="Suboptimal"),1,"")</f>
        <v/>
      </c>
      <c r="DQ36" s="5" t="s">
        <v>42</v>
      </c>
      <c r="DR36" s="2"/>
      <c r="DS36" s="2">
        <v>300.02210000000002</v>
      </c>
      <c r="DT36" s="2" t="str">
        <f>IF(AND(Table1[[#This Row],[Cplex MIP DM''z Cost]]=Table1[[#This Row],[ORTools FZN2 Cost]],Table1[[#This Row],[ORTools FZN2 State]]="Optimal",Table1[[#This Row],[Cplex MIP DM''z  State]]="Suboptimal"),1,"")</f>
        <v/>
      </c>
      <c r="DU3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6" s="5" t="s">
        <v>42</v>
      </c>
      <c r="DW36" s="2"/>
      <c r="DX36" s="2">
        <v>300.01940000000002</v>
      </c>
      <c r="DY36" s="4" t="str">
        <f>IF(AND(Table1[[#This Row],[Gurobi DM''z  Cost]]=Table1[[#This Row],[ORTools FZN2 Cost]],Table1[[#This Row],[ORTools FZN2 State]]="Optimal",Table1[[#This Row],[Gurobi DM''z  State]]="Suboptimal"),1,"")</f>
        <v/>
      </c>
      <c r="DZ3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7" spans="1:130" ht="15.75" x14ac:dyDescent="0.25">
      <c r="A37" s="46" t="s">
        <v>62</v>
      </c>
      <c r="B37" s="5">
        <v>78</v>
      </c>
      <c r="C37" s="2">
        <v>39</v>
      </c>
      <c r="D37" s="5">
        <v>537</v>
      </c>
      <c r="E37" s="3">
        <v>68</v>
      </c>
      <c r="F37" s="34">
        <v>258</v>
      </c>
      <c r="G37" s="3">
        <v>0</v>
      </c>
      <c r="H37" s="4">
        <f t="shared" si="0"/>
        <v>0</v>
      </c>
      <c r="I37" s="4">
        <f>Table1[[#This Row],[B]]+Table1[[#This Row],[Atomic Constraints]]+Table1[[#This Row],[Soft Atomic Constraints]]+Table1[[#This Row],[Disjunctive Constraints]]+Table1[[#This Row],[Direct Successors]]</f>
        <v>902</v>
      </c>
      <c r="J37" s="5" t="s">
        <v>26</v>
      </c>
      <c r="K37" s="2">
        <v>16724004</v>
      </c>
      <c r="L37" s="2">
        <v>304.12079519999998</v>
      </c>
      <c r="M37" s="2" t="str">
        <f>IF(AND(Table1[[#This Row],[Chuffed MZ1 Cost]]=Table1[[#This Row],[ORTools FZN2 Cost]],Table1[[#This Row],[ORTools FZN2 State]]="Optimal",Table1[[#This Row],[Chuffed MZ1 State]]="Suboptimal"),1,"")</f>
        <v/>
      </c>
      <c r="N37" s="5" t="s">
        <v>42</v>
      </c>
      <c r="O37" s="2">
        <v>-480715</v>
      </c>
      <c r="P37" s="2">
        <v>304.02892830000002</v>
      </c>
      <c r="Q37" s="2" t="str">
        <f>IF(AND(Table1[[#This Row],[Chuffed MZ2 Cost]]=Table1[[#This Row],[ORTools FZN2 Cost]],Table1[[#This Row],[ORTools FZN2 State]]="Optimal",Table1[[#This Row],[Chuffed MZ2 State]]="Suboptimal"),1,"")</f>
        <v/>
      </c>
      <c r="R37" s="5" t="s">
        <v>26</v>
      </c>
      <c r="S37" s="2">
        <v>7668042</v>
      </c>
      <c r="T37" s="4">
        <v>300.01799999999997</v>
      </c>
      <c r="U37" s="2"/>
      <c r="V37" s="5" t="s">
        <v>25</v>
      </c>
      <c r="W37" s="2">
        <v>6220447</v>
      </c>
      <c r="X37" s="2">
        <v>253.88685770000001</v>
      </c>
      <c r="Y37" s="2" t="str">
        <f>IF(AND(Table1[[#This Row],[ORTools FZN1 Cost]]=Table1[[#This Row],[ORTools FZN2 Cost]],Table1[[#This Row],[ORTools FZN2 State]]="Optimal",Table1[[#This Row],[ORTools FZN1 State]]="Suboptimal"),1,"")</f>
        <v/>
      </c>
      <c r="Z37" s="5" t="s">
        <v>25</v>
      </c>
      <c r="AA37" s="2">
        <v>6220447</v>
      </c>
      <c r="AB37" s="2">
        <v>269.25003700000002</v>
      </c>
      <c r="AC37" s="39" t="s">
        <v>42</v>
      </c>
      <c r="AD37" s="39">
        <v>-480715</v>
      </c>
      <c r="AE37" s="2">
        <v>300.24016790000002</v>
      </c>
      <c r="AF37" s="2" t="str">
        <f>IF(AND(Table1[[#This Row],[Cplex MB Cost]]=Table1[[#This Row],[ORTools FZN2 Cost]],Table1[[#This Row],[ORTools FZN2 State]]="Optimal",Table1[[#This Row],[Cplex MB State]]="Suboptimal"),1,"")</f>
        <v/>
      </c>
      <c r="AG37" s="4">
        <f>IF(AND(AC37="Optimal",AD37&lt;&gt;AA37,Table1[[#This Row],[Example]]&lt;&gt;"R001",Table1[[#This Row],[Example]]&lt;&gt;"R002"),AD37-AA37,)</f>
        <v>0</v>
      </c>
      <c r="AH37" s="5" t="s">
        <v>42</v>
      </c>
      <c r="AI37" s="2">
        <v>-480715</v>
      </c>
      <c r="AJ37" s="2">
        <v>300.29046690000001</v>
      </c>
      <c r="AK37" s="2" t="str">
        <f>IF(AND(Table1[[#This Row],[Cplex MD Cost]]=Table1[[#This Row],[ORTools FZN2 Cost]],Table1[[#This Row],[ORTools FZN2 State]]="Optimal",Table1[[#This Row],[Cplex MD State]]="Suboptimal"),1,"")</f>
        <v/>
      </c>
      <c r="AL37" s="2">
        <f>IF(AND(AH37="Optimal",AI37&lt;&gt;AA37,Table1[[#This Row],[Example]]&lt;&gt;"R001",Table1[[#This Row],[Example]]&lt;&gt;"R002"),AI37-AA37,)</f>
        <v>0</v>
      </c>
      <c r="AM37" s="39" t="s">
        <v>51</v>
      </c>
      <c r="AN37" s="39">
        <v>-480715</v>
      </c>
      <c r="AO37" s="2">
        <v>95.269538400000002</v>
      </c>
      <c r="AP3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7" s="4" t="str">
        <f>IF(AND(Table1[[#This Row],[Cplex MI Cost]]=Table1[[#This Row],[ORTools FZN2 Cost]],Table1[[#This Row],[ORTools FZN2 State]]="Optimal",Table1[[#This Row],[Cplex MI State]]="Suboptimal"),1,"")</f>
        <v/>
      </c>
      <c r="AR37" s="5" t="s">
        <v>42</v>
      </c>
      <c r="AS37" s="2">
        <v>-480715</v>
      </c>
      <c r="AT37" s="2">
        <v>300.08855290000002</v>
      </c>
      <c r="AU37" s="2" t="str">
        <f>IF(AND(Table1[[#This Row],[Z3 SMT2-1 Maxres Cost]]=Table1[[#This Row],[ORTools FZN2 Cost]],Table1[[#This Row],[ORTools FZN2 State]]="Optimal"),1,"")</f>
        <v/>
      </c>
      <c r="AV37" s="39" t="s">
        <v>42</v>
      </c>
      <c r="AW37" s="39">
        <v>-480715</v>
      </c>
      <c r="AX37" s="2">
        <v>300.09000600000002</v>
      </c>
      <c r="AY37" s="2" t="str">
        <f>IF(AND(Table1[[#This Row],[Z3 SMT2-1 PdMaxres Cost]]=Table1[[#This Row],[ORTools FZN2 Cost]],Table1[[#This Row],[ORTools FZN2 State]]="Optimal"),1,"")</f>
        <v/>
      </c>
      <c r="AZ37" s="5" t="s">
        <v>42</v>
      </c>
      <c r="BA37" s="2">
        <v>-480715</v>
      </c>
      <c r="BB37" s="39">
        <v>300.08032809999997</v>
      </c>
      <c r="BC37" s="39" t="str">
        <f>IF(AND(Table1[[#This Row],[Z3 SMT2-1 WMax Cost]]=Table1[[#This Row],[ORTools FZN2 Cost]],Table1[[#This Row],[ORTools FZN2 State]]="Optimal"),1,"")</f>
        <v/>
      </c>
      <c r="BD37" s="39" t="s">
        <v>42</v>
      </c>
      <c r="BE37" s="39">
        <v>-480715</v>
      </c>
      <c r="BF37" s="2">
        <v>300.0748327</v>
      </c>
      <c r="BG37" s="2" t="str">
        <f>IF(AND(Table1[[#This Row],[Z3 SMT2-2 Maxres Cost]]=Table1[[#This Row],[ORTools FZN2 Cost]],Table1[[#This Row],[ORTools FZN2 State]]="Optimal"),1,"")</f>
        <v/>
      </c>
      <c r="BH37" s="5" t="s">
        <v>42</v>
      </c>
      <c r="BI37" s="2">
        <v>-480715</v>
      </c>
      <c r="BJ37" s="39">
        <v>300.07266709999999</v>
      </c>
      <c r="BK37" s="39" t="str">
        <f>IF(AND(Table1[[#This Row],[Z3 SMT2-2 PdMaxres Cost]]=Table1[[#This Row],[ORTools FZN2 Cost]],Table1[[#This Row],[ORTools FZN2 State]]="Optimal"),1,"")</f>
        <v/>
      </c>
      <c r="BL37" s="39" t="s">
        <v>42</v>
      </c>
      <c r="BM37" s="39">
        <v>-480715</v>
      </c>
      <c r="BN37" s="2">
        <v>300.08492230000002</v>
      </c>
      <c r="BO37" s="4" t="str">
        <f>IF(AND(Table1[[#This Row],[Z3 SMT2-2 PdMaxres Cost]]=Table1[[#This Row],[ORTools FZN2 Cost]],Table1[[#This Row],[ORTools FZN2 State]]="Optimal"),1,"")</f>
        <v/>
      </c>
      <c r="BP37" s="5" t="s">
        <v>42</v>
      </c>
      <c r="BQ37" s="2">
        <v>-480715</v>
      </c>
      <c r="BR37" s="2">
        <v>300.25754649999999</v>
      </c>
      <c r="BS37" s="2" t="str">
        <f>IF(AND(Table1[[#This Row],[Gurobi MB Cost]]=Table1[[#This Row],[ORTools FZN2 Cost]],Table1[[#This Row],[ORTools FZN2 State]]="Optimal",Table1[[#This Row],[Gurobi MB State]]="Suboptimal"),1,"")</f>
        <v/>
      </c>
      <c r="BT3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7" s="5" t="s">
        <v>42</v>
      </c>
      <c r="BV37" s="2">
        <v>-480715</v>
      </c>
      <c r="BW37" s="2">
        <v>300.15469080000003</v>
      </c>
      <c r="BX37" s="2" t="str">
        <f>IF(AND(Table1[[#This Row],[Gurobi MD Cost]]=Table1[[#This Row],[ORTools FZN2 Cost]],Table1[[#This Row],[ORTools FZN2 State]]="Optimal",Table1[[#This Row],[Gurobi MD State]]="Suboptimal"),1,"")</f>
        <v/>
      </c>
      <c r="BY3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7" s="5" t="s">
        <v>42</v>
      </c>
      <c r="CA37" s="2">
        <v>-480715</v>
      </c>
      <c r="CB37" s="2">
        <v>301.62326100000001</v>
      </c>
      <c r="CC37" s="2" t="str">
        <f>IF(AND(Table1[[#This Row],[Gurobi MI Cost]]=Table1[[#This Row],[ORTools FZN2 Cost]],Table1[[#This Row],[ORTools FZN2 State]]="Optimal",Table1[[#This Row],[Gurobi MI State]]="Suboptimal"),1,"")</f>
        <v/>
      </c>
      <c r="CD3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7" s="39" t="s">
        <v>42</v>
      </c>
      <c r="CF37" s="2">
        <v>-480715</v>
      </c>
      <c r="CG37" s="39">
        <v>306.25789680000003</v>
      </c>
      <c r="CH37" s="39" t="s">
        <v>42</v>
      </c>
      <c r="CI37" s="39">
        <v>-480715</v>
      </c>
      <c r="CJ37" s="2">
        <v>306.12684350000001</v>
      </c>
      <c r="CK37" s="5" t="s">
        <v>26</v>
      </c>
      <c r="CL37" s="2">
        <v>7182104</v>
      </c>
      <c r="CM37" s="2">
        <v>300.16800000000001</v>
      </c>
      <c r="CN37" s="5" t="s">
        <v>26</v>
      </c>
      <c r="CO37" s="2">
        <v>16705447</v>
      </c>
      <c r="CP37" s="2">
        <v>304.18146439999998</v>
      </c>
      <c r="CQ37" s="5" t="s">
        <v>25</v>
      </c>
      <c r="CR37" s="2">
        <v>6220447</v>
      </c>
      <c r="CS37" s="2">
        <v>259.64425770000003</v>
      </c>
      <c r="CT37" s="6" t="s">
        <v>25</v>
      </c>
      <c r="CU37" s="4">
        <v>6220447</v>
      </c>
      <c r="CV37" s="4">
        <v>83.790368200000003</v>
      </c>
      <c r="CW37" s="39" t="s">
        <v>42</v>
      </c>
      <c r="CX37" s="39"/>
      <c r="CY37" s="2">
        <v>300.04079999999999</v>
      </c>
      <c r="CZ37" s="2" t="str">
        <f>IF(AND(Table1[[#This Row],[Cplex MZ1 Cost]]=Table1[[#This Row],[ORTools FZN2 Cost]],Table1[[#This Row],[ORTools FZN2 State]]="Optimal",Table1[[#This Row],[Cplex MZ1 State]]="Suboptimal"),1,"")</f>
        <v/>
      </c>
      <c r="DA37" s="5" t="s">
        <v>42</v>
      </c>
      <c r="DB37" s="2"/>
      <c r="DC37" s="2">
        <v>300.0129</v>
      </c>
      <c r="DD37" s="2" t="str">
        <f>IF(AND(Table1[[#This Row],[Cplex MZ2 Cost]]=Table1[[#This Row],[ORTools FZN2 Cost]],Table1[[#This Row],[ORTools FZN2 State]]="Optimal",Table1[[#This Row],[Cplex MZ2 State]]="Suboptimal"),1,"")</f>
        <v/>
      </c>
      <c r="DE37" s="39" t="s">
        <v>42</v>
      </c>
      <c r="DF37" s="39"/>
      <c r="DG37" s="2">
        <v>300.0068</v>
      </c>
      <c r="DH37" s="2" t="str">
        <f>IF(AND(Table1[[#This Row],[Gurobi MZ1 Cost]]=Table1[[#This Row],[ORTools FZN2 Cost]],Table1[[#This Row],[ORTools FZN2 State]]="Optimal",Table1[[#This Row],[Gurobi MZ1 State]]="Suboptimal"),1,"")</f>
        <v/>
      </c>
      <c r="DI37" s="5" t="s">
        <v>42</v>
      </c>
      <c r="DJ37" s="2"/>
      <c r="DK37" s="2">
        <v>300.00650000000002</v>
      </c>
      <c r="DL37" s="4" t="str">
        <f>IF(AND(Table1[[#This Row],[Gurobi MZ2 Cost]]=Table1[[#This Row],[ORTools FZN2 Cost]],Table1[[#This Row],[ORTools FZN2 State]]="Optimal",Table1[[#This Row],[Gurobi MZ2 State]]="Suboptimal"),1,"")</f>
        <v/>
      </c>
      <c r="DM37" s="39" t="s">
        <v>26</v>
      </c>
      <c r="DN37" s="39">
        <v>7182260</v>
      </c>
      <c r="DO37" s="65">
        <v>300.274</v>
      </c>
      <c r="DP37" s="4" t="str">
        <f>IF(AND(Table1[[#This Row],[Cplex MC nonDual Cost]]=Table1[[#This Row],[ORTools FZN2 Cost]],Table1[[#This Row],[ORTools FZN2 State]]="Optimal",Table1[[#This Row],[Cplex MC nonDual State]]="Suboptimal"),1,"")</f>
        <v/>
      </c>
      <c r="DQ37" s="5" t="s">
        <v>42</v>
      </c>
      <c r="DR37" s="2"/>
      <c r="DS37" s="2">
        <v>300.01819999999998</v>
      </c>
      <c r="DT37" s="2" t="str">
        <f>IF(AND(Table1[[#This Row],[Cplex MIP DM''z Cost]]=Table1[[#This Row],[ORTools FZN2 Cost]],Table1[[#This Row],[ORTools FZN2 State]]="Optimal",Table1[[#This Row],[Cplex MIP DM''z  State]]="Suboptimal"),1,"")</f>
        <v/>
      </c>
      <c r="DU3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7" s="5" t="s">
        <v>42</v>
      </c>
      <c r="DW37" s="2"/>
      <c r="DX37" s="2">
        <v>300.01510000000002</v>
      </c>
      <c r="DY37" s="4" t="str">
        <f>IF(AND(Table1[[#This Row],[Gurobi DM''z  Cost]]=Table1[[#This Row],[ORTools FZN2 Cost]],Table1[[#This Row],[ORTools FZN2 State]]="Optimal",Table1[[#This Row],[Gurobi DM''z  State]]="Suboptimal"),1,"")</f>
        <v/>
      </c>
      <c r="DZ3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8" spans="1:130" ht="15.75" x14ac:dyDescent="0.25">
      <c r="A38" s="46" t="s">
        <v>63</v>
      </c>
      <c r="B38" s="5">
        <v>80</v>
      </c>
      <c r="C38" s="2">
        <v>40</v>
      </c>
      <c r="D38" s="5">
        <v>596</v>
      </c>
      <c r="E38" s="3">
        <v>70</v>
      </c>
      <c r="F38" s="34">
        <v>268</v>
      </c>
      <c r="G38" s="3">
        <v>0</v>
      </c>
      <c r="H38" s="4">
        <f t="shared" si="0"/>
        <v>0</v>
      </c>
      <c r="I38" s="4">
        <f>Table1[[#This Row],[B]]+Table1[[#This Row],[Atomic Constraints]]+Table1[[#This Row],[Soft Atomic Constraints]]+Table1[[#This Row],[Disjunctive Constraints]]+Table1[[#This Row],[Direct Successors]]</f>
        <v>974</v>
      </c>
      <c r="J38" s="5" t="s">
        <v>26</v>
      </c>
      <c r="K38" s="2">
        <v>19077082</v>
      </c>
      <c r="L38" s="2">
        <v>304.3744178</v>
      </c>
      <c r="M38" s="2" t="str">
        <f>IF(AND(Table1[[#This Row],[Chuffed MZ1 Cost]]=Table1[[#This Row],[ORTools FZN2 Cost]],Table1[[#This Row],[ORTools FZN2 State]]="Optimal",Table1[[#This Row],[Chuffed MZ1 State]]="Suboptimal"),1,"")</f>
        <v/>
      </c>
      <c r="N38" s="5" t="s">
        <v>26</v>
      </c>
      <c r="O38" s="2">
        <v>20689872</v>
      </c>
      <c r="P38" s="2">
        <v>304.28638949999998</v>
      </c>
      <c r="Q38" s="2" t="str">
        <f>IF(AND(Table1[[#This Row],[Chuffed MZ2 Cost]]=Table1[[#This Row],[ORTools FZN2 Cost]],Table1[[#This Row],[ORTools FZN2 State]]="Optimal",Table1[[#This Row],[Chuffed MZ2 State]]="Suboptimal"),1,"")</f>
        <v/>
      </c>
      <c r="R38" s="6" t="s">
        <v>26</v>
      </c>
      <c r="S38" s="4">
        <v>8777616</v>
      </c>
      <c r="T38" s="4">
        <v>300.02999999999997</v>
      </c>
      <c r="U38" s="4"/>
      <c r="V38" s="5" t="s">
        <v>26</v>
      </c>
      <c r="W38" s="2">
        <v>7741548</v>
      </c>
      <c r="X38" s="2">
        <v>301.64649009999999</v>
      </c>
      <c r="Y38" s="2" t="str">
        <f>IF(AND(Table1[[#This Row],[ORTools FZN1 Cost]]=Table1[[#This Row],[ORTools FZN2 Cost]],Table1[[#This Row],[ORTools FZN2 State]]="Optimal",Table1[[#This Row],[ORTools FZN1 State]]="Suboptimal"),1,"")</f>
        <v/>
      </c>
      <c r="Z38" s="5" t="s">
        <v>25</v>
      </c>
      <c r="AA38" s="2">
        <v>7221865</v>
      </c>
      <c r="AB38" s="2">
        <v>281.25132789999998</v>
      </c>
      <c r="AC38" s="39" t="s">
        <v>42</v>
      </c>
      <c r="AD38" s="39">
        <v>-518481</v>
      </c>
      <c r="AE38" s="2">
        <v>300.26890780000002</v>
      </c>
      <c r="AF38" s="2" t="str">
        <f>IF(AND(Table1[[#This Row],[Cplex MB Cost]]=Table1[[#This Row],[ORTools FZN2 Cost]],Table1[[#This Row],[ORTools FZN2 State]]="Optimal",Table1[[#This Row],[Cplex MB State]]="Suboptimal"),1,"")</f>
        <v/>
      </c>
      <c r="AG38" s="4">
        <f>IF(AND(AC38="Optimal",AD38&lt;&gt;AA38,Table1[[#This Row],[Example]]&lt;&gt;"R001",Table1[[#This Row],[Example]]&lt;&gt;"R002"),AD38-AA38,)</f>
        <v>0</v>
      </c>
      <c r="AH38" s="5" t="s">
        <v>42</v>
      </c>
      <c r="AI38" s="2">
        <v>-518481</v>
      </c>
      <c r="AJ38" s="2">
        <v>300.27421459999999</v>
      </c>
      <c r="AK38" s="2" t="str">
        <f>IF(AND(Table1[[#This Row],[Cplex MD Cost]]=Table1[[#This Row],[ORTools FZN2 Cost]],Table1[[#This Row],[ORTools FZN2 State]]="Optimal",Table1[[#This Row],[Cplex MD State]]="Suboptimal"),1,"")</f>
        <v/>
      </c>
      <c r="AL38" s="4">
        <f>IF(AND(AH38="Optimal",AI38&lt;&gt;AA38,Table1[[#This Row],[Example]]&lt;&gt;"R001",Table1[[#This Row],[Example]]&lt;&gt;"R002"),AI38-AA38,)</f>
        <v>0</v>
      </c>
      <c r="AM38" s="39" t="s">
        <v>51</v>
      </c>
      <c r="AN38" s="39">
        <v>-518481</v>
      </c>
      <c r="AO38" s="2">
        <v>29.413319999999999</v>
      </c>
      <c r="AP3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8" s="4" t="str">
        <f>IF(AND(Table1[[#This Row],[Cplex MI Cost]]=Table1[[#This Row],[ORTools FZN2 Cost]],Table1[[#This Row],[ORTools FZN2 State]]="Optimal",Table1[[#This Row],[Cplex MI State]]="Suboptimal"),1,"")</f>
        <v/>
      </c>
      <c r="AR38" s="5" t="s">
        <v>42</v>
      </c>
      <c r="AS38" s="2">
        <v>-518481</v>
      </c>
      <c r="AT38" s="2">
        <v>300.08068709999998</v>
      </c>
      <c r="AU38" s="2" t="str">
        <f>IF(AND(Table1[[#This Row],[Z3 SMT2-1 Maxres Cost]]=Table1[[#This Row],[ORTools FZN2 Cost]],Table1[[#This Row],[ORTools FZN2 State]]="Optimal"),1,"")</f>
        <v/>
      </c>
      <c r="AV38" s="39" t="s">
        <v>42</v>
      </c>
      <c r="AW38" s="39">
        <v>-518481</v>
      </c>
      <c r="AX38" s="2">
        <v>300.07682190000003</v>
      </c>
      <c r="AY38" s="2" t="str">
        <f>IF(AND(Table1[[#This Row],[Z3 SMT2-1 PdMaxres Cost]]=Table1[[#This Row],[ORTools FZN2 Cost]],Table1[[#This Row],[ORTools FZN2 State]]="Optimal"),1,"")</f>
        <v/>
      </c>
      <c r="AZ38" s="5" t="s">
        <v>42</v>
      </c>
      <c r="BA38" s="2">
        <v>-518481</v>
      </c>
      <c r="BB38" s="39">
        <v>300.07774210000002</v>
      </c>
      <c r="BC38" s="39" t="str">
        <f>IF(AND(Table1[[#This Row],[Z3 SMT2-1 WMax Cost]]=Table1[[#This Row],[ORTools FZN2 Cost]],Table1[[#This Row],[ORTools FZN2 State]]="Optimal"),1,"")</f>
        <v/>
      </c>
      <c r="BD38" s="39" t="s">
        <v>42</v>
      </c>
      <c r="BE38" s="39">
        <v>-518481</v>
      </c>
      <c r="BF38" s="2">
        <v>300.08872079999998</v>
      </c>
      <c r="BG38" s="2" t="str">
        <f>IF(AND(Table1[[#This Row],[Z3 SMT2-2 Maxres Cost]]=Table1[[#This Row],[ORTools FZN2 Cost]],Table1[[#This Row],[ORTools FZN2 State]]="Optimal"),1,"")</f>
        <v/>
      </c>
      <c r="BH38" s="5" t="s">
        <v>42</v>
      </c>
      <c r="BI38" s="2">
        <v>-518481</v>
      </c>
      <c r="BJ38" s="39">
        <v>300.08159410000002</v>
      </c>
      <c r="BK38" s="39" t="str">
        <f>IF(AND(Table1[[#This Row],[Z3 SMT2-2 PdMaxres Cost]]=Table1[[#This Row],[ORTools FZN2 Cost]],Table1[[#This Row],[ORTools FZN2 State]]="Optimal"),1,"")</f>
        <v/>
      </c>
      <c r="BL38" s="39" t="s">
        <v>42</v>
      </c>
      <c r="BM38" s="39">
        <v>-518481</v>
      </c>
      <c r="BN38" s="2">
        <v>300.08142179999999</v>
      </c>
      <c r="BO38" s="4" t="str">
        <f>IF(AND(Table1[[#This Row],[Z3 SMT2-2 PdMaxres Cost]]=Table1[[#This Row],[ORTools FZN2 Cost]],Table1[[#This Row],[ORTools FZN2 State]]="Optimal"),1,"")</f>
        <v/>
      </c>
      <c r="BP38" s="5" t="s">
        <v>42</v>
      </c>
      <c r="BQ38" s="2">
        <v>-518481</v>
      </c>
      <c r="BR38" s="2">
        <v>300.26767130000002</v>
      </c>
      <c r="BS38" s="2" t="str">
        <f>IF(AND(Table1[[#This Row],[Gurobi MB Cost]]=Table1[[#This Row],[ORTools FZN2 Cost]],Table1[[#This Row],[ORTools FZN2 State]]="Optimal",Table1[[#This Row],[Gurobi MB State]]="Suboptimal"),1,"")</f>
        <v/>
      </c>
      <c r="BT3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8" s="5" t="s">
        <v>42</v>
      </c>
      <c r="BV38" s="2">
        <v>-518481</v>
      </c>
      <c r="BW38" s="2">
        <v>300.14736269999997</v>
      </c>
      <c r="BX38" s="2" t="str">
        <f>IF(AND(Table1[[#This Row],[Gurobi MD Cost]]=Table1[[#This Row],[ORTools FZN2 Cost]],Table1[[#This Row],[ORTools FZN2 State]]="Optimal",Table1[[#This Row],[Gurobi MD State]]="Suboptimal"),1,"")</f>
        <v/>
      </c>
      <c r="BY3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8" s="5" t="s">
        <v>42</v>
      </c>
      <c r="CA38" s="2">
        <v>-518481</v>
      </c>
      <c r="CB38" s="2">
        <v>300.18285909999997</v>
      </c>
      <c r="CC38" s="2" t="str">
        <f>IF(AND(Table1[[#This Row],[Gurobi MI Cost]]=Table1[[#This Row],[ORTools FZN2 Cost]],Table1[[#This Row],[ORTools FZN2 State]]="Optimal",Table1[[#This Row],[Gurobi MI State]]="Suboptimal"),1,"")</f>
        <v/>
      </c>
      <c r="CD3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8" s="39" t="s">
        <v>42</v>
      </c>
      <c r="CF38" s="2">
        <v>-518481</v>
      </c>
      <c r="CG38" s="39">
        <v>306.25849640000001</v>
      </c>
      <c r="CH38" s="39" t="s">
        <v>42</v>
      </c>
      <c r="CI38" s="39">
        <v>-518481</v>
      </c>
      <c r="CJ38" s="2">
        <v>306.22287080000001</v>
      </c>
      <c r="CK38" s="5" t="s">
        <v>26</v>
      </c>
      <c r="CL38" s="2">
        <v>8770738</v>
      </c>
      <c r="CM38" s="2">
        <v>300.14</v>
      </c>
      <c r="CN38" s="5" t="s">
        <v>26</v>
      </c>
      <c r="CO38" s="2">
        <v>19569958</v>
      </c>
      <c r="CP38" s="2">
        <v>304.2283764</v>
      </c>
      <c r="CQ38" s="5" t="s">
        <v>26</v>
      </c>
      <c r="CR38" s="2">
        <v>7740429</v>
      </c>
      <c r="CS38" s="2">
        <v>302.25841689999999</v>
      </c>
      <c r="CT38" s="6" t="s">
        <v>25</v>
      </c>
      <c r="CU38" s="4">
        <v>7221865</v>
      </c>
      <c r="CV38" s="4">
        <v>90.289358100000001</v>
      </c>
      <c r="CW38" s="39" t="s">
        <v>42</v>
      </c>
      <c r="CX38" s="39"/>
      <c r="CY38" s="2">
        <v>300.02249999999998</v>
      </c>
      <c r="CZ38" s="2" t="str">
        <f>IF(AND(Table1[[#This Row],[Cplex MZ1 Cost]]=Table1[[#This Row],[ORTools FZN2 Cost]],Table1[[#This Row],[ORTools FZN2 State]]="Optimal",Table1[[#This Row],[Cplex MZ1 State]]="Suboptimal"),1,"")</f>
        <v/>
      </c>
      <c r="DA38" s="5" t="s">
        <v>42</v>
      </c>
      <c r="DB38" s="2"/>
      <c r="DC38" s="2">
        <v>300.01280000000003</v>
      </c>
      <c r="DD38" s="2" t="str">
        <f>IF(AND(Table1[[#This Row],[Cplex MZ2 Cost]]=Table1[[#This Row],[ORTools FZN2 Cost]],Table1[[#This Row],[ORTools FZN2 State]]="Optimal",Table1[[#This Row],[Cplex MZ2 State]]="Suboptimal"),1,"")</f>
        <v/>
      </c>
      <c r="DE38" s="39" t="s">
        <v>42</v>
      </c>
      <c r="DF38" s="39"/>
      <c r="DG38" s="2">
        <v>300.00760000000002</v>
      </c>
      <c r="DH38" s="2" t="str">
        <f>IF(AND(Table1[[#This Row],[Gurobi MZ1 Cost]]=Table1[[#This Row],[ORTools FZN2 Cost]],Table1[[#This Row],[ORTools FZN2 State]]="Optimal",Table1[[#This Row],[Gurobi MZ1 State]]="Suboptimal"),1,"")</f>
        <v/>
      </c>
      <c r="DI38" s="5" t="s">
        <v>42</v>
      </c>
      <c r="DJ38" s="2"/>
      <c r="DK38" s="2">
        <v>300.00459999999998</v>
      </c>
      <c r="DL38" s="4" t="str">
        <f>IF(AND(Table1[[#This Row],[Gurobi MZ2 Cost]]=Table1[[#This Row],[ORTools FZN2 Cost]],Table1[[#This Row],[ORTools FZN2 State]]="Optimal",Table1[[#This Row],[Gurobi MZ2 State]]="Suboptimal"),1,"")</f>
        <v/>
      </c>
      <c r="DM38" s="39" t="s">
        <v>26</v>
      </c>
      <c r="DN38" s="39">
        <v>8770899</v>
      </c>
      <c r="DO38" s="65">
        <v>300.18499999999898</v>
      </c>
      <c r="DP38" s="4" t="str">
        <f>IF(AND(Table1[[#This Row],[Cplex MC nonDual Cost]]=Table1[[#This Row],[ORTools FZN2 Cost]],Table1[[#This Row],[ORTools FZN2 State]]="Optimal",Table1[[#This Row],[Cplex MC nonDual State]]="Suboptimal"),1,"")</f>
        <v/>
      </c>
      <c r="DQ38" s="5" t="s">
        <v>42</v>
      </c>
      <c r="DR38" s="2"/>
      <c r="DS38" s="2">
        <v>300.0265</v>
      </c>
      <c r="DT38" s="2" t="str">
        <f>IF(AND(Table1[[#This Row],[Cplex MIP DM''z Cost]]=Table1[[#This Row],[ORTools FZN2 Cost]],Table1[[#This Row],[ORTools FZN2 State]]="Optimal",Table1[[#This Row],[Cplex MIP DM''z  State]]="Suboptimal"),1,"")</f>
        <v/>
      </c>
      <c r="DU3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8" s="5" t="s">
        <v>42</v>
      </c>
      <c r="DW38" s="2"/>
      <c r="DX38" s="2">
        <v>299.9991</v>
      </c>
      <c r="DY38" s="4" t="str">
        <f>IF(AND(Table1[[#This Row],[Gurobi DM''z  Cost]]=Table1[[#This Row],[ORTools FZN2 Cost]],Table1[[#This Row],[ORTools FZN2 State]]="Optimal",Table1[[#This Row],[Gurobi DM''z  State]]="Suboptimal"),1,"")</f>
        <v/>
      </c>
      <c r="DZ3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39" spans="1:130" ht="15.75" x14ac:dyDescent="0.25">
      <c r="A39" s="46" t="s">
        <v>64</v>
      </c>
      <c r="B39" s="5">
        <v>86</v>
      </c>
      <c r="C39" s="2">
        <v>43</v>
      </c>
      <c r="D39" s="5">
        <v>728</v>
      </c>
      <c r="E39" s="3">
        <v>76</v>
      </c>
      <c r="F39" s="34">
        <v>300</v>
      </c>
      <c r="G39" s="3">
        <v>0</v>
      </c>
      <c r="H39" s="4">
        <f t="shared" si="0"/>
        <v>0</v>
      </c>
      <c r="I39" s="4">
        <f>Table1[[#This Row],[B]]+Table1[[#This Row],[Atomic Constraints]]+Table1[[#This Row],[Soft Atomic Constraints]]+Table1[[#This Row],[Disjunctive Constraints]]+Table1[[#This Row],[Direct Successors]]</f>
        <v>1147</v>
      </c>
      <c r="J39" s="5" t="s">
        <v>26</v>
      </c>
      <c r="K39" s="2">
        <v>27585932</v>
      </c>
      <c r="L39" s="2">
        <v>304.88506159999997</v>
      </c>
      <c r="M39" s="2" t="str">
        <f>IF(AND(Table1[[#This Row],[Chuffed MZ1 Cost]]=Table1[[#This Row],[ORTools FZN2 Cost]],Table1[[#This Row],[ORTools FZN2 State]]="Optimal",Table1[[#This Row],[Chuffed MZ1 State]]="Suboptimal"),1,"")</f>
        <v/>
      </c>
      <c r="N39" s="5" t="s">
        <v>42</v>
      </c>
      <c r="O39" s="2">
        <v>-643539</v>
      </c>
      <c r="P39" s="2">
        <v>304.78472749999997</v>
      </c>
      <c r="Q39" s="2" t="str">
        <f>IF(AND(Table1[[#This Row],[Chuffed MZ2 Cost]]=Table1[[#This Row],[ORTools FZN2 Cost]],Table1[[#This Row],[ORTools FZN2 State]]="Optimal",Table1[[#This Row],[Chuffed MZ2 State]]="Suboptimal"),1,"")</f>
        <v/>
      </c>
      <c r="R39" s="6" t="s">
        <v>26</v>
      </c>
      <c r="S39" s="4">
        <v>14078049</v>
      </c>
      <c r="T39" s="4">
        <v>300.34100000000001</v>
      </c>
      <c r="U39" s="4"/>
      <c r="V39" s="5" t="s">
        <v>42</v>
      </c>
      <c r="W39" s="2">
        <v>-643539</v>
      </c>
      <c r="X39" s="2">
        <v>301.7668741</v>
      </c>
      <c r="Y39" s="2" t="str">
        <f>IF(AND(Table1[[#This Row],[ORTools FZN1 Cost]]=Table1[[#This Row],[ORTools FZN2 Cost]],Table1[[#This Row],[ORTools FZN2 State]]="Optimal",Table1[[#This Row],[ORTools FZN1 State]]="Suboptimal"),1,"")</f>
        <v/>
      </c>
      <c r="Z39" s="5" t="s">
        <v>42</v>
      </c>
      <c r="AA39" s="2">
        <v>-643539</v>
      </c>
      <c r="AB39" s="2">
        <v>301.85150909999999</v>
      </c>
      <c r="AC39" s="39" t="s">
        <v>42</v>
      </c>
      <c r="AD39" s="39">
        <v>-643539</v>
      </c>
      <c r="AE39" s="2">
        <v>300.261349</v>
      </c>
      <c r="AF39" s="2" t="str">
        <f>IF(AND(Table1[[#This Row],[Cplex MB Cost]]=Table1[[#This Row],[ORTools FZN2 Cost]],Table1[[#This Row],[ORTools FZN2 State]]="Optimal",Table1[[#This Row],[Cplex MB State]]="Suboptimal"),1,"")</f>
        <v/>
      </c>
      <c r="AG39" s="4">
        <f>IF(AND(AC39="Optimal",AD39&lt;&gt;AA39,Table1[[#This Row],[Example]]&lt;&gt;"R001",Table1[[#This Row],[Example]]&lt;&gt;"R002"),AD39-AA39,)</f>
        <v>0</v>
      </c>
      <c r="AH39" s="5" t="s">
        <v>42</v>
      </c>
      <c r="AI39" s="2">
        <v>-643539</v>
      </c>
      <c r="AJ39" s="2">
        <v>300.44709210000002</v>
      </c>
      <c r="AK39" s="2" t="str">
        <f>IF(AND(Table1[[#This Row],[Cplex MD Cost]]=Table1[[#This Row],[ORTools FZN2 Cost]],Table1[[#This Row],[ORTools FZN2 State]]="Optimal",Table1[[#This Row],[Cplex MD State]]="Suboptimal"),1,"")</f>
        <v/>
      </c>
      <c r="AL39" s="4">
        <f>IF(AND(AH39="Optimal",AI39&lt;&gt;AA39,Table1[[#This Row],[Example]]&lt;&gt;"R001",Table1[[#This Row],[Example]]&lt;&gt;"R002"),AI39-AA39,)</f>
        <v>0</v>
      </c>
      <c r="AM39" s="39" t="s">
        <v>42</v>
      </c>
      <c r="AN39" s="39">
        <v>-643539</v>
      </c>
      <c r="AO39" s="2">
        <v>300.1667898</v>
      </c>
      <c r="AP3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39" s="2" t="str">
        <f>IF(AND(Table1[[#This Row],[Cplex MI Cost]]=Table1[[#This Row],[ORTools FZN2 Cost]],Table1[[#This Row],[ORTools FZN2 State]]="Optimal",Table1[[#This Row],[Cplex MI State]]="Suboptimal"),1,"")</f>
        <v/>
      </c>
      <c r="AR39" s="5" t="s">
        <v>42</v>
      </c>
      <c r="AS39" s="2">
        <v>-643539</v>
      </c>
      <c r="AT39" s="2">
        <v>300.09374229999997</v>
      </c>
      <c r="AU39" s="2" t="str">
        <f>IF(AND(Table1[[#This Row],[Z3 SMT2-1 Maxres Cost]]=Table1[[#This Row],[ORTools FZN2 Cost]],Table1[[#This Row],[ORTools FZN2 State]]="Optimal"),1,"")</f>
        <v/>
      </c>
      <c r="AV39" s="39" t="s">
        <v>42</v>
      </c>
      <c r="AW39" s="39">
        <v>-643539</v>
      </c>
      <c r="AX39" s="2">
        <v>300.09918959999999</v>
      </c>
      <c r="AY39" s="2" t="str">
        <f>IF(AND(Table1[[#This Row],[Z3 SMT2-1 PdMaxres Cost]]=Table1[[#This Row],[ORTools FZN2 Cost]],Table1[[#This Row],[ORTools FZN2 State]]="Optimal"),1,"")</f>
        <v/>
      </c>
      <c r="AZ39" s="5" t="s">
        <v>42</v>
      </c>
      <c r="BA39" s="2">
        <v>-643539</v>
      </c>
      <c r="BB39" s="39">
        <v>300.09151739999999</v>
      </c>
      <c r="BC39" s="39" t="str">
        <f>IF(AND(Table1[[#This Row],[Z3 SMT2-1 WMax Cost]]=Table1[[#This Row],[ORTools FZN2 Cost]],Table1[[#This Row],[ORTools FZN2 State]]="Optimal"),1,"")</f>
        <v/>
      </c>
      <c r="BD39" s="39" t="s">
        <v>42</v>
      </c>
      <c r="BE39" s="39">
        <v>-643539</v>
      </c>
      <c r="BF39" s="2">
        <v>300.08546250000001</v>
      </c>
      <c r="BG39" s="2" t="str">
        <f>IF(AND(Table1[[#This Row],[Z3 SMT2-2 Maxres Cost]]=Table1[[#This Row],[ORTools FZN2 Cost]],Table1[[#This Row],[ORTools FZN2 State]]="Optimal"),1,"")</f>
        <v/>
      </c>
      <c r="BH39" s="5" t="s">
        <v>42</v>
      </c>
      <c r="BI39" s="2">
        <v>-643539</v>
      </c>
      <c r="BJ39" s="39">
        <v>300.09680179999998</v>
      </c>
      <c r="BK39" s="39" t="str">
        <f>IF(AND(Table1[[#This Row],[Z3 SMT2-2 PdMaxres Cost]]=Table1[[#This Row],[ORTools FZN2 Cost]],Table1[[#This Row],[ORTools FZN2 State]]="Optimal"),1,"")</f>
        <v/>
      </c>
      <c r="BL39" s="39" t="s">
        <v>42</v>
      </c>
      <c r="BM39" s="39">
        <v>-643539</v>
      </c>
      <c r="BN39" s="2">
        <v>300.10156490000003</v>
      </c>
      <c r="BO39" s="4" t="str">
        <f>IF(AND(Table1[[#This Row],[Z3 SMT2-2 PdMaxres Cost]]=Table1[[#This Row],[ORTools FZN2 Cost]],Table1[[#This Row],[ORTools FZN2 State]]="Optimal"),1,"")</f>
        <v/>
      </c>
      <c r="BP39" s="5" t="s">
        <v>42</v>
      </c>
      <c r="BQ39" s="2">
        <v>-643539</v>
      </c>
      <c r="BR39" s="2">
        <v>300.1450342</v>
      </c>
      <c r="BS39" s="2" t="str">
        <f>IF(AND(Table1[[#This Row],[Gurobi MB Cost]]=Table1[[#This Row],[ORTools FZN2 Cost]],Table1[[#This Row],[ORTools FZN2 State]]="Optimal",Table1[[#This Row],[Gurobi MB State]]="Suboptimal"),1,"")</f>
        <v/>
      </c>
      <c r="BT3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39" s="5" t="s">
        <v>42</v>
      </c>
      <c r="BV39" s="2">
        <v>-643539</v>
      </c>
      <c r="BW39" s="2">
        <v>300.18315469999999</v>
      </c>
      <c r="BX39" s="2" t="str">
        <f>IF(AND(Table1[[#This Row],[Gurobi MD Cost]]=Table1[[#This Row],[ORTools FZN2 Cost]],Table1[[#This Row],[ORTools FZN2 State]]="Optimal",Table1[[#This Row],[Gurobi MD State]]="Suboptimal"),1,"")</f>
        <v/>
      </c>
      <c r="BY3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39" s="5" t="s">
        <v>42</v>
      </c>
      <c r="CA39" s="2">
        <v>-643539</v>
      </c>
      <c r="CB39" s="2">
        <v>300.77381079999998</v>
      </c>
      <c r="CC39" s="2" t="str">
        <f>IF(AND(Table1[[#This Row],[Gurobi MI Cost]]=Table1[[#This Row],[ORTools FZN2 Cost]],Table1[[#This Row],[ORTools FZN2 State]]="Optimal",Table1[[#This Row],[Gurobi MI State]]="Suboptimal"),1,"")</f>
        <v/>
      </c>
      <c r="CD3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39" s="39" t="s">
        <v>42</v>
      </c>
      <c r="CF39" s="2">
        <v>-643539</v>
      </c>
      <c r="CG39" s="39">
        <v>306.30036749999999</v>
      </c>
      <c r="CH39" s="39" t="s">
        <v>42</v>
      </c>
      <c r="CI39" s="39">
        <v>-643539</v>
      </c>
      <c r="CJ39" s="2">
        <v>306.15152269999999</v>
      </c>
      <c r="CK39" s="5" t="s">
        <v>26</v>
      </c>
      <c r="CL39" s="2">
        <v>13441559</v>
      </c>
      <c r="CM39" s="2">
        <v>300.32600000000002</v>
      </c>
      <c r="CN39" s="5" t="s">
        <v>26</v>
      </c>
      <c r="CO39" s="2">
        <v>26956572</v>
      </c>
      <c r="CP39" s="2">
        <v>304.8826856</v>
      </c>
      <c r="CQ39" s="5" t="s">
        <v>26</v>
      </c>
      <c r="CR39" s="2">
        <v>16637410</v>
      </c>
      <c r="CS39" s="2">
        <v>302.53969039999998</v>
      </c>
      <c r="CT39" s="6" t="s">
        <v>25</v>
      </c>
      <c r="CU39" s="4">
        <v>10874983</v>
      </c>
      <c r="CV39" s="4">
        <v>100.565091</v>
      </c>
      <c r="CW39" s="39" t="s">
        <v>42</v>
      </c>
      <c r="CX39" s="39"/>
      <c r="CY39" s="2">
        <v>300.0256</v>
      </c>
      <c r="CZ39" s="2" t="str">
        <f>IF(AND(Table1[[#This Row],[Cplex MZ1 Cost]]=Table1[[#This Row],[ORTools FZN2 Cost]],Table1[[#This Row],[ORTools FZN2 State]]="Optimal",Table1[[#This Row],[Cplex MZ1 State]]="Suboptimal"),1,"")</f>
        <v/>
      </c>
      <c r="DA39" s="5" t="s">
        <v>42</v>
      </c>
      <c r="DB39" s="2"/>
      <c r="DC39" s="2">
        <v>300.05560000000003</v>
      </c>
      <c r="DD39" s="2" t="str">
        <f>IF(AND(Table1[[#This Row],[Cplex MZ2 Cost]]=Table1[[#This Row],[ORTools FZN2 Cost]],Table1[[#This Row],[ORTools FZN2 State]]="Optimal",Table1[[#This Row],[Cplex MZ2 State]]="Suboptimal"),1,"")</f>
        <v/>
      </c>
      <c r="DE39" s="39" t="s">
        <v>42</v>
      </c>
      <c r="DF39" s="39"/>
      <c r="DG39" s="2">
        <v>300.0052</v>
      </c>
      <c r="DH39" s="2" t="str">
        <f>IF(AND(Table1[[#This Row],[Gurobi MZ1 Cost]]=Table1[[#This Row],[ORTools FZN2 Cost]],Table1[[#This Row],[ORTools FZN2 State]]="Optimal",Table1[[#This Row],[Gurobi MZ1 State]]="Suboptimal"),1,"")</f>
        <v/>
      </c>
      <c r="DI39" s="5" t="s">
        <v>42</v>
      </c>
      <c r="DJ39" s="2"/>
      <c r="DK39" s="2">
        <v>300.00670000000002</v>
      </c>
      <c r="DL39" s="4" t="str">
        <f>IF(AND(Table1[[#This Row],[Gurobi MZ2 Cost]]=Table1[[#This Row],[ORTools FZN2 Cost]],Table1[[#This Row],[ORTools FZN2 State]]="Optimal",Table1[[#This Row],[Gurobi MZ2 State]]="Suboptimal"),1,"")</f>
        <v/>
      </c>
      <c r="DM39" s="39" t="s">
        <v>26</v>
      </c>
      <c r="DN39" s="39">
        <v>12162222</v>
      </c>
      <c r="DO39" s="65">
        <v>300.33599999999899</v>
      </c>
      <c r="DP39" s="4" t="str">
        <f>IF(AND(Table1[[#This Row],[Cplex MC nonDual Cost]]=Table1[[#This Row],[ORTools FZN2 Cost]],Table1[[#This Row],[ORTools FZN2 State]]="Optimal",Table1[[#This Row],[Cplex MC nonDual State]]="Suboptimal"),1,"")</f>
        <v/>
      </c>
      <c r="DQ39" s="5" t="s">
        <v>42</v>
      </c>
      <c r="DR39" s="2"/>
      <c r="DS39" s="2">
        <v>300.10169999999999</v>
      </c>
      <c r="DT39" s="2" t="str">
        <f>IF(AND(Table1[[#This Row],[Cplex MIP DM''z Cost]]=Table1[[#This Row],[ORTools FZN2 Cost]],Table1[[#This Row],[ORTools FZN2 State]]="Optimal",Table1[[#This Row],[Cplex MIP DM''z  State]]="Suboptimal"),1,"")</f>
        <v/>
      </c>
      <c r="DU3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39" s="5" t="s">
        <v>42</v>
      </c>
      <c r="DW39" s="2"/>
      <c r="DX39" s="2">
        <v>300.01589999999999</v>
      </c>
      <c r="DY39" s="4" t="str">
        <f>IF(AND(Table1[[#This Row],[Gurobi DM''z  Cost]]=Table1[[#This Row],[ORTools FZN2 Cost]],Table1[[#This Row],[ORTools FZN2 State]]="Optimal",Table1[[#This Row],[Gurobi DM''z  State]]="Suboptimal"),1,"")</f>
        <v/>
      </c>
      <c r="DZ3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0" spans="1:130" ht="15.75" x14ac:dyDescent="0.25">
      <c r="A40" s="46" t="s">
        <v>65</v>
      </c>
      <c r="B40" s="5">
        <v>20</v>
      </c>
      <c r="C40" s="2">
        <v>10</v>
      </c>
      <c r="D40" s="5">
        <v>56</v>
      </c>
      <c r="E40" s="3">
        <v>6</v>
      </c>
      <c r="F40" s="34">
        <v>52</v>
      </c>
      <c r="G40" s="3">
        <v>10</v>
      </c>
      <c r="H40" s="4">
        <f t="shared" si="0"/>
        <v>0</v>
      </c>
      <c r="I40" s="4">
        <f>Table1[[#This Row],[B]]+Table1[[#This Row],[Atomic Constraints]]+Table1[[#This Row],[Soft Atomic Constraints]]+Table1[[#This Row],[Disjunctive Constraints]]+Table1[[#This Row],[Direct Successors]]</f>
        <v>134</v>
      </c>
      <c r="J40" s="5" t="s">
        <v>25</v>
      </c>
      <c r="K40" s="2">
        <v>50660</v>
      </c>
      <c r="L40" s="2">
        <v>0.84110419999999997</v>
      </c>
      <c r="M40" s="2" t="str">
        <f>IF(AND(Table1[[#This Row],[Chuffed MZ1 Cost]]=Table1[[#This Row],[ORTools FZN2 Cost]],Table1[[#This Row],[ORTools FZN2 State]]="Optimal",Table1[[#This Row],[Chuffed MZ1 State]]="Suboptimal"),1,"")</f>
        <v/>
      </c>
      <c r="N40" s="5" t="s">
        <v>25</v>
      </c>
      <c r="O40" s="2">
        <v>50660</v>
      </c>
      <c r="P40" s="2">
        <v>0.81444110000000003</v>
      </c>
      <c r="Q40" s="2" t="str">
        <f>IF(AND(Table1[[#This Row],[Chuffed MZ2 Cost]]=Table1[[#This Row],[ORTools FZN2 Cost]],Table1[[#This Row],[ORTools FZN2 State]]="Optimal",Table1[[#This Row],[Chuffed MZ2 State]]="Suboptimal"),1,"")</f>
        <v/>
      </c>
      <c r="R40" s="6" t="s">
        <v>25</v>
      </c>
      <c r="S40" s="4">
        <v>50660</v>
      </c>
      <c r="T40" s="4">
        <v>0.32999999999992702</v>
      </c>
      <c r="U40" s="4"/>
      <c r="V40" s="5" t="s">
        <v>25</v>
      </c>
      <c r="W40" s="2">
        <v>50660</v>
      </c>
      <c r="X40" s="2">
        <v>0.40826420000000002</v>
      </c>
      <c r="Y40" s="2" t="str">
        <f>IF(AND(Table1[[#This Row],[ORTools FZN1 Cost]]=Table1[[#This Row],[ORTools FZN2 Cost]],Table1[[#This Row],[ORTools FZN2 State]]="Optimal",Table1[[#This Row],[ORTools FZN1 State]]="Suboptimal"),1,"")</f>
        <v/>
      </c>
      <c r="Z40" s="5" t="s">
        <v>25</v>
      </c>
      <c r="AA40" s="2">
        <v>50660</v>
      </c>
      <c r="AB40" s="2">
        <v>0.3836811</v>
      </c>
      <c r="AC40" s="39" t="s">
        <v>25</v>
      </c>
      <c r="AD40" s="39">
        <v>50660</v>
      </c>
      <c r="AE40" s="2">
        <v>0.57614960000000004</v>
      </c>
      <c r="AF40" s="2" t="str">
        <f>IF(AND(Table1[[#This Row],[Cplex MB Cost]]=Table1[[#This Row],[ORTools FZN2 Cost]],Table1[[#This Row],[ORTools FZN2 State]]="Optimal",Table1[[#This Row],[Cplex MB State]]="Suboptimal"),1,"")</f>
        <v/>
      </c>
      <c r="AG40" s="4">
        <f>IF(AND(AC40="Optimal",AD40&lt;&gt;AA40,Table1[[#This Row],[Example]]&lt;&gt;"R001",Table1[[#This Row],[Example]]&lt;&gt;"R002"),AD40-AA40,)</f>
        <v>0</v>
      </c>
      <c r="AH40" s="5" t="s">
        <v>25</v>
      </c>
      <c r="AI40" s="2">
        <v>50660</v>
      </c>
      <c r="AJ40" s="2">
        <v>1.3779659</v>
      </c>
      <c r="AK40" s="2" t="str">
        <f>IF(AND(Table1[[#This Row],[Cplex MD Cost]]=Table1[[#This Row],[ORTools FZN2 Cost]],Table1[[#This Row],[ORTools FZN2 State]]="Optimal",Table1[[#This Row],[Cplex MD State]]="Suboptimal"),1,"")</f>
        <v/>
      </c>
      <c r="AL40" s="4">
        <f>IF(AND(AH40="Optimal",AI40&lt;&gt;AA40,Table1[[#This Row],[Example]]&lt;&gt;"R001",Table1[[#This Row],[Example]]&lt;&gt;"R002"),AI40-AA40,)</f>
        <v>0</v>
      </c>
      <c r="AM40" s="39" t="s">
        <v>25</v>
      </c>
      <c r="AN40" s="39">
        <v>50660</v>
      </c>
      <c r="AO40" s="2">
        <v>0.40376139999999999</v>
      </c>
      <c r="AP4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0" s="4" t="str">
        <f>IF(AND(Table1[[#This Row],[Cplex MI Cost]]=Table1[[#This Row],[ORTools FZN2 Cost]],Table1[[#This Row],[ORTools FZN2 State]]="Optimal",Table1[[#This Row],[Cplex MI State]]="Suboptimal"),1,"")</f>
        <v/>
      </c>
      <c r="AR40" s="12" t="s">
        <v>26</v>
      </c>
      <c r="AS40" s="12">
        <v>50660</v>
      </c>
      <c r="AT40" s="12">
        <v>2.8841568</v>
      </c>
      <c r="AU40" s="12">
        <f>IF(AND(Table1[[#This Row],[Z3 SMT2-1 Maxres Cost]]=Table1[[#This Row],[ORTools FZN2 Cost]],Table1[[#This Row],[ORTools FZN2 State]]="Optimal"),1,"")</f>
        <v>1</v>
      </c>
      <c r="AV40" s="12" t="s">
        <v>26</v>
      </c>
      <c r="AW40" s="12">
        <v>50660</v>
      </c>
      <c r="AX40" s="12">
        <v>3.0569199</v>
      </c>
      <c r="AY40" s="12">
        <f>IF(AND(Table1[[#This Row],[Z3 SMT2-1 PdMaxres Cost]]=Table1[[#This Row],[ORTools FZN2 Cost]],Table1[[#This Row],[ORTools FZN2 State]]="Optimal"),1,"")</f>
        <v>1</v>
      </c>
      <c r="AZ40" s="12" t="s">
        <v>26</v>
      </c>
      <c r="BA40" s="12">
        <v>50660</v>
      </c>
      <c r="BB40" s="12">
        <v>3.5010420999999998</v>
      </c>
      <c r="BC40" s="12">
        <f>IF(AND(Table1[[#This Row],[Z3 SMT2-1 WMax Cost]]=Table1[[#This Row],[ORTools FZN2 Cost]],Table1[[#This Row],[ORTools FZN2 State]]="Optimal"),1,"")</f>
        <v>1</v>
      </c>
      <c r="BD40" s="12" t="s">
        <v>26</v>
      </c>
      <c r="BE40" s="12">
        <v>50660</v>
      </c>
      <c r="BF40" s="12">
        <v>3.237914</v>
      </c>
      <c r="BG40" s="12">
        <f>IF(AND(Table1[[#This Row],[Z3 SMT2-2 Maxres Cost]]=Table1[[#This Row],[ORTools FZN2 Cost]],Table1[[#This Row],[ORTools FZN2 State]]="Optimal"),1,"")</f>
        <v>1</v>
      </c>
      <c r="BH40" s="12" t="s">
        <v>26</v>
      </c>
      <c r="BI40" s="12">
        <v>50660</v>
      </c>
      <c r="BJ40" s="12">
        <v>3.2857641000000002</v>
      </c>
      <c r="BK40" s="12">
        <f>IF(AND(Table1[[#This Row],[Z3 SMT2-2 PdMaxres Cost]]=Table1[[#This Row],[ORTools FZN2 Cost]],Table1[[#This Row],[ORTools FZN2 State]]="Optimal"),1,"")</f>
        <v>1</v>
      </c>
      <c r="BL40" s="12" t="s">
        <v>26</v>
      </c>
      <c r="BM40" s="12">
        <v>50660</v>
      </c>
      <c r="BN40" s="12">
        <v>3.2753529000000001</v>
      </c>
      <c r="BO40" s="11">
        <f>IF(AND(Table1[[#This Row],[Z3 SMT2-2 PdMaxres Cost]]=Table1[[#This Row],[ORTools FZN2 Cost]],Table1[[#This Row],[ORTools FZN2 State]]="Optimal"),1,"")</f>
        <v>1</v>
      </c>
      <c r="BP40" s="5" t="s">
        <v>25</v>
      </c>
      <c r="BQ40" s="2">
        <v>50660</v>
      </c>
      <c r="BR40" s="2">
        <v>0.58563370000000003</v>
      </c>
      <c r="BS40" s="2" t="str">
        <f>IF(AND(Table1[[#This Row],[Gurobi MB Cost]]=Table1[[#This Row],[ORTools FZN2 Cost]],Table1[[#This Row],[ORTools FZN2 State]]="Optimal",Table1[[#This Row],[Gurobi MB State]]="Suboptimal"),1,"")</f>
        <v/>
      </c>
      <c r="BT4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0" s="5" t="s">
        <v>25</v>
      </c>
      <c r="BV40" s="2">
        <v>50660</v>
      </c>
      <c r="BW40" s="2">
        <v>1.9207923</v>
      </c>
      <c r="BX40" s="2" t="str">
        <f>IF(AND(Table1[[#This Row],[Gurobi MD Cost]]=Table1[[#This Row],[ORTools FZN2 Cost]],Table1[[#This Row],[ORTools FZN2 State]]="Optimal",Table1[[#This Row],[Gurobi MD State]]="Suboptimal"),1,"")</f>
        <v/>
      </c>
      <c r="BY4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0" s="5" t="s">
        <v>25</v>
      </c>
      <c r="CA40" s="2">
        <v>50660</v>
      </c>
      <c r="CB40" s="2">
        <v>0.49612220000000001</v>
      </c>
      <c r="CC40" s="2" t="str">
        <f>IF(AND(Table1[[#This Row],[Gurobi MI Cost]]=Table1[[#This Row],[ORTools FZN2 Cost]],Table1[[#This Row],[ORTools FZN2 State]]="Optimal",Table1[[#This Row],[Gurobi MI State]]="Suboptimal"),1,"")</f>
        <v/>
      </c>
      <c r="CD4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0" s="39" t="s">
        <v>42</v>
      </c>
      <c r="CF40" s="2">
        <v>-8421</v>
      </c>
      <c r="CG40" s="39">
        <v>306.04998660000001</v>
      </c>
      <c r="CH40" s="39" t="s">
        <v>42</v>
      </c>
      <c r="CI40" s="39">
        <v>-8421</v>
      </c>
      <c r="CJ40" s="2">
        <v>305.94828239999998</v>
      </c>
      <c r="CK40" s="5" t="s">
        <v>25</v>
      </c>
      <c r="CL40" s="2">
        <v>50660</v>
      </c>
      <c r="CM40" s="2">
        <v>0.20800000000008401</v>
      </c>
      <c r="CN40" s="5" t="s">
        <v>25</v>
      </c>
      <c r="CO40" s="2">
        <v>50660</v>
      </c>
      <c r="CP40" s="2">
        <v>0.8135076</v>
      </c>
      <c r="CQ40" s="5" t="s">
        <v>25</v>
      </c>
      <c r="CR40" s="2">
        <v>50660</v>
      </c>
      <c r="CS40" s="2">
        <v>0.65498179999999995</v>
      </c>
      <c r="CT40" s="6" t="s">
        <v>25</v>
      </c>
      <c r="CU40" s="4">
        <v>50660</v>
      </c>
      <c r="CV40" s="4">
        <v>0.78041899999999997</v>
      </c>
      <c r="CW40" s="39" t="s">
        <v>25</v>
      </c>
      <c r="CX40" s="39">
        <v>50660</v>
      </c>
      <c r="CY40" s="2">
        <v>0.53900000000000003</v>
      </c>
      <c r="CZ40" s="2" t="str">
        <f>IF(AND(Table1[[#This Row],[Cplex MZ1 Cost]]=Table1[[#This Row],[ORTools FZN2 Cost]],Table1[[#This Row],[ORTools FZN2 State]]="Optimal",Table1[[#This Row],[Cplex MZ1 State]]="Suboptimal"),1,"")</f>
        <v/>
      </c>
      <c r="DA40" s="5" t="s">
        <v>25</v>
      </c>
      <c r="DB40" s="2">
        <v>50660</v>
      </c>
      <c r="DC40" s="2">
        <v>0.85550000000000004</v>
      </c>
      <c r="DD40" s="2" t="str">
        <f>IF(AND(Table1[[#This Row],[Cplex MZ2 Cost]]=Table1[[#This Row],[ORTools FZN2 Cost]],Table1[[#This Row],[ORTools FZN2 State]]="Optimal",Table1[[#This Row],[Cplex MZ2 State]]="Suboptimal"),1,"")</f>
        <v/>
      </c>
      <c r="DE40" s="39" t="s">
        <v>25</v>
      </c>
      <c r="DF40" s="39">
        <v>50660</v>
      </c>
      <c r="DG40" s="2">
        <v>0.70140000000000002</v>
      </c>
      <c r="DH40" s="2" t="str">
        <f>IF(AND(Table1[[#This Row],[Gurobi MZ1 Cost]]=Table1[[#This Row],[ORTools FZN2 Cost]],Table1[[#This Row],[ORTools FZN2 State]]="Optimal",Table1[[#This Row],[Gurobi MZ1 State]]="Suboptimal"),1,"")</f>
        <v/>
      </c>
      <c r="DI40" s="5" t="s">
        <v>25</v>
      </c>
      <c r="DJ40" s="2">
        <v>50660</v>
      </c>
      <c r="DK40" s="2">
        <v>0.43669999999999998</v>
      </c>
      <c r="DL40" s="4" t="str">
        <f>IF(AND(Table1[[#This Row],[Gurobi MZ2 Cost]]=Table1[[#This Row],[ORTools FZN2 Cost]],Table1[[#This Row],[ORTools FZN2 State]]="Optimal",Table1[[#This Row],[Gurobi MZ2 State]]="Suboptimal"),1,"")</f>
        <v/>
      </c>
      <c r="DM40" s="39" t="s">
        <v>25</v>
      </c>
      <c r="DN40" s="39">
        <v>50660</v>
      </c>
      <c r="DO40" s="65">
        <v>0.42700000000058902</v>
      </c>
      <c r="DP40" s="4" t="str">
        <f>IF(AND(Table1[[#This Row],[Cplex MC nonDual Cost]]=Table1[[#This Row],[ORTools FZN2 Cost]],Table1[[#This Row],[ORTools FZN2 State]]="Optimal",Table1[[#This Row],[Cplex MC nonDual State]]="Suboptimal"),1,"")</f>
        <v/>
      </c>
      <c r="DQ40" s="5" t="s">
        <v>25</v>
      </c>
      <c r="DR40" s="2">
        <v>50660</v>
      </c>
      <c r="DS40" s="2">
        <v>0.58220000000000005</v>
      </c>
      <c r="DT40" s="2" t="str">
        <f>IF(AND(Table1[[#This Row],[Cplex MIP DM''z Cost]]=Table1[[#This Row],[ORTools FZN2 Cost]],Table1[[#This Row],[ORTools FZN2 State]]="Optimal",Table1[[#This Row],[Cplex MIP DM''z  State]]="Suboptimal"),1,"")</f>
        <v/>
      </c>
      <c r="DU4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0" s="5" t="s">
        <v>25</v>
      </c>
      <c r="DW40" s="2">
        <v>50660</v>
      </c>
      <c r="DX40" s="2">
        <v>0.72970000000000002</v>
      </c>
      <c r="DY40" s="4" t="str">
        <f>IF(AND(Table1[[#This Row],[Gurobi DM''z  Cost]]=Table1[[#This Row],[ORTools FZN2 Cost]],Table1[[#This Row],[ORTools FZN2 State]]="Optimal",Table1[[#This Row],[Gurobi DM''z  State]]="Suboptimal"),1,"")</f>
        <v/>
      </c>
      <c r="DZ4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1" spans="1:130" ht="15.75" x14ac:dyDescent="0.25">
      <c r="A41" s="46" t="s">
        <v>66</v>
      </c>
      <c r="B41" s="5">
        <v>20</v>
      </c>
      <c r="C41" s="2">
        <v>10</v>
      </c>
      <c r="D41" s="5">
        <v>61</v>
      </c>
      <c r="E41" s="3">
        <v>6</v>
      </c>
      <c r="F41" s="34">
        <v>41</v>
      </c>
      <c r="G41" s="3">
        <v>0</v>
      </c>
      <c r="H41" s="4">
        <f t="shared" si="0"/>
        <v>0</v>
      </c>
      <c r="I41" s="4">
        <f>Table1[[#This Row],[B]]+Table1[[#This Row],[Atomic Constraints]]+Table1[[#This Row],[Soft Atomic Constraints]]+Table1[[#This Row],[Disjunctive Constraints]]+Table1[[#This Row],[Direct Successors]]</f>
        <v>118</v>
      </c>
      <c r="J41" s="5" t="s">
        <v>25</v>
      </c>
      <c r="K41" s="2">
        <v>49380</v>
      </c>
      <c r="L41" s="2">
        <v>1.8640473</v>
      </c>
      <c r="M41" s="2" t="str">
        <f>IF(AND(Table1[[#This Row],[Chuffed MZ1 Cost]]=Table1[[#This Row],[ORTools FZN2 Cost]],Table1[[#This Row],[ORTools FZN2 State]]="Optimal",Table1[[#This Row],[Chuffed MZ1 State]]="Suboptimal"),1,"")</f>
        <v/>
      </c>
      <c r="N41" s="5" t="s">
        <v>25</v>
      </c>
      <c r="O41" s="2">
        <v>49380</v>
      </c>
      <c r="P41" s="2">
        <v>1.0327459999999999</v>
      </c>
      <c r="Q41" s="2" t="str">
        <f>IF(AND(Table1[[#This Row],[Chuffed MZ2 Cost]]=Table1[[#This Row],[ORTools FZN2 Cost]],Table1[[#This Row],[ORTools FZN2 State]]="Optimal",Table1[[#This Row],[Chuffed MZ2 State]]="Suboptimal"),1,"")</f>
        <v/>
      </c>
      <c r="R41" s="5" t="s">
        <v>25</v>
      </c>
      <c r="S41" s="2">
        <v>49380</v>
      </c>
      <c r="T41" s="2">
        <v>0.720999999999549</v>
      </c>
      <c r="U41" s="2"/>
      <c r="V41" s="5" t="s">
        <v>25</v>
      </c>
      <c r="W41" s="2">
        <v>49380</v>
      </c>
      <c r="X41" s="2">
        <v>0.67054760000000002</v>
      </c>
      <c r="Y41" s="2" t="str">
        <f>IF(AND(Table1[[#This Row],[ORTools FZN1 Cost]]=Table1[[#This Row],[ORTools FZN2 Cost]],Table1[[#This Row],[ORTools FZN2 State]]="Optimal",Table1[[#This Row],[ORTools FZN1 State]]="Suboptimal"),1,"")</f>
        <v/>
      </c>
      <c r="Z41" s="5" t="s">
        <v>25</v>
      </c>
      <c r="AA41" s="2">
        <v>49380</v>
      </c>
      <c r="AB41" s="2">
        <v>0.75220750000000003</v>
      </c>
      <c r="AC41" s="39" t="s">
        <v>25</v>
      </c>
      <c r="AD41" s="39">
        <v>49380</v>
      </c>
      <c r="AE41" s="2">
        <v>3.9275359999999999</v>
      </c>
      <c r="AF41" s="2" t="str">
        <f>IF(AND(Table1[[#This Row],[Cplex MB Cost]]=Table1[[#This Row],[ORTools FZN2 Cost]],Table1[[#This Row],[ORTools FZN2 State]]="Optimal",Table1[[#This Row],[Cplex MB State]]="Suboptimal"),1,"")</f>
        <v/>
      </c>
      <c r="AG41" s="4">
        <f>IF(AND(AC41="Optimal",AD41&lt;&gt;AA41,Table1[[#This Row],[Example]]&lt;&gt;"R001",Table1[[#This Row],[Example]]&lt;&gt;"R002"),AD41-AA41,)</f>
        <v>0</v>
      </c>
      <c r="AH41" s="5" t="s">
        <v>25</v>
      </c>
      <c r="AI41" s="2">
        <v>49380</v>
      </c>
      <c r="AJ41" s="2">
        <v>95.909522100000004</v>
      </c>
      <c r="AK41" s="2" t="str">
        <f>IF(AND(Table1[[#This Row],[Cplex MD Cost]]=Table1[[#This Row],[ORTools FZN2 Cost]],Table1[[#This Row],[ORTools FZN2 State]]="Optimal",Table1[[#This Row],[Cplex MD State]]="Suboptimal"),1,"")</f>
        <v/>
      </c>
      <c r="AL41" s="4">
        <f>IF(AND(AH41="Optimal",AI41&lt;&gt;AA41,Table1[[#This Row],[Example]]&lt;&gt;"R001",Table1[[#This Row],[Example]]&lt;&gt;"R002"),AI41-AA41,)</f>
        <v>0</v>
      </c>
      <c r="AM41" s="39" t="s">
        <v>25</v>
      </c>
      <c r="AN41" s="39">
        <v>49380</v>
      </c>
      <c r="AO41" s="2">
        <v>1.1155820999999999</v>
      </c>
      <c r="AP4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1" s="2" t="str">
        <f>IF(AND(Table1[[#This Row],[Cplex MI Cost]]=Table1[[#This Row],[ORTools FZN2 Cost]],Table1[[#This Row],[ORTools FZN2 State]]="Optimal",Table1[[#This Row],[Cplex MI State]]="Suboptimal"),1,"")</f>
        <v/>
      </c>
      <c r="AR41" s="12" t="s">
        <v>26</v>
      </c>
      <c r="AS41" s="12">
        <v>49380</v>
      </c>
      <c r="AT41" s="12">
        <v>8.4978268999999997</v>
      </c>
      <c r="AU41" s="12">
        <f>IF(AND(Table1[[#This Row],[Z3 SMT2-1 Maxres Cost]]=Table1[[#This Row],[ORTools FZN2 Cost]],Table1[[#This Row],[ORTools FZN2 State]]="Optimal"),1,"")</f>
        <v>1</v>
      </c>
      <c r="AV41" s="12" t="s">
        <v>26</v>
      </c>
      <c r="AW41" s="12">
        <v>49380</v>
      </c>
      <c r="AX41" s="12">
        <v>9.06935</v>
      </c>
      <c r="AY41" s="12">
        <f>IF(AND(Table1[[#This Row],[Z3 SMT2-1 PdMaxres Cost]]=Table1[[#This Row],[ORTools FZN2 Cost]],Table1[[#This Row],[ORTools FZN2 State]]="Optimal"),1,"")</f>
        <v>1</v>
      </c>
      <c r="AZ41" s="12" t="s">
        <v>26</v>
      </c>
      <c r="BA41" s="12">
        <v>49380</v>
      </c>
      <c r="BB41" s="12">
        <v>10.3406483</v>
      </c>
      <c r="BC41" s="12">
        <f>IF(AND(Table1[[#This Row],[Z3 SMT2-1 WMax Cost]]=Table1[[#This Row],[ORTools FZN2 Cost]],Table1[[#This Row],[ORTools FZN2 State]]="Optimal"),1,"")</f>
        <v>1</v>
      </c>
      <c r="BD41" s="12" t="s">
        <v>26</v>
      </c>
      <c r="BE41" s="12">
        <v>49380</v>
      </c>
      <c r="BF41" s="12">
        <v>6.1950637999999998</v>
      </c>
      <c r="BG41" s="12">
        <f>IF(AND(Table1[[#This Row],[Z3 SMT2-2 Maxres Cost]]=Table1[[#This Row],[ORTools FZN2 Cost]],Table1[[#This Row],[ORTools FZN2 State]]="Optimal"),1,"")</f>
        <v>1</v>
      </c>
      <c r="BH41" s="12" t="s">
        <v>26</v>
      </c>
      <c r="BI41" s="12">
        <v>49380</v>
      </c>
      <c r="BJ41" s="12">
        <v>6.2101196999999999</v>
      </c>
      <c r="BK41" s="12">
        <f>IF(AND(Table1[[#This Row],[Z3 SMT2-2 PdMaxres Cost]]=Table1[[#This Row],[ORTools FZN2 Cost]],Table1[[#This Row],[ORTools FZN2 State]]="Optimal"),1,"")</f>
        <v>1</v>
      </c>
      <c r="BL41" s="12" t="s">
        <v>26</v>
      </c>
      <c r="BM41" s="12">
        <v>49380</v>
      </c>
      <c r="BN41" s="12">
        <v>6.1778735999999999</v>
      </c>
      <c r="BO41" s="11">
        <f>IF(AND(Table1[[#This Row],[Z3 SMT2-2 PdMaxres Cost]]=Table1[[#This Row],[ORTools FZN2 Cost]],Table1[[#This Row],[ORTools FZN2 State]]="Optimal"),1,"")</f>
        <v>1</v>
      </c>
      <c r="BP41" s="5" t="s">
        <v>25</v>
      </c>
      <c r="BQ41" s="2">
        <v>49380</v>
      </c>
      <c r="BR41" s="2">
        <v>7.0463583999999999</v>
      </c>
      <c r="BS41" s="2" t="str">
        <f>IF(AND(Table1[[#This Row],[Gurobi MB Cost]]=Table1[[#This Row],[ORTools FZN2 Cost]],Table1[[#This Row],[ORTools FZN2 State]]="Optimal",Table1[[#This Row],[Gurobi MB State]]="Suboptimal"),1,"")</f>
        <v/>
      </c>
      <c r="BT4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1" s="5" t="s">
        <v>25</v>
      </c>
      <c r="BV41" s="2">
        <v>49380</v>
      </c>
      <c r="BW41" s="2">
        <v>16.962409999999998</v>
      </c>
      <c r="BX41" s="2" t="str">
        <f>IF(AND(Table1[[#This Row],[Gurobi MD Cost]]=Table1[[#This Row],[ORTools FZN2 Cost]],Table1[[#This Row],[ORTools FZN2 State]]="Optimal",Table1[[#This Row],[Gurobi MD State]]="Suboptimal"),1,"")</f>
        <v/>
      </c>
      <c r="BY4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1" s="5" t="s">
        <v>25</v>
      </c>
      <c r="CA41" s="2">
        <v>49380</v>
      </c>
      <c r="CB41" s="2">
        <v>3.4395905999999998</v>
      </c>
      <c r="CC41" s="2" t="str">
        <f>IF(AND(Table1[[#This Row],[Gurobi MI Cost]]=Table1[[#This Row],[ORTools FZN2 Cost]],Table1[[#This Row],[ORTools FZN2 State]]="Optimal",Table1[[#This Row],[Gurobi MI State]]="Suboptimal"),1,"")</f>
        <v/>
      </c>
      <c r="CD4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1" s="39" t="s">
        <v>42</v>
      </c>
      <c r="CF41" s="2">
        <v>-8421</v>
      </c>
      <c r="CG41" s="39">
        <v>306.0400631</v>
      </c>
      <c r="CH41" s="39" t="s">
        <v>42</v>
      </c>
      <c r="CI41" s="39">
        <v>-8421</v>
      </c>
      <c r="CJ41" s="2">
        <v>305.95869049999999</v>
      </c>
      <c r="CK41" s="5" t="s">
        <v>25</v>
      </c>
      <c r="CL41" s="2">
        <v>49380</v>
      </c>
      <c r="CM41" s="2">
        <v>0.85699999999997101</v>
      </c>
      <c r="CN41" s="5" t="s">
        <v>25</v>
      </c>
      <c r="CO41" s="2">
        <v>49380</v>
      </c>
      <c r="CP41" s="2">
        <v>0.83526230000000001</v>
      </c>
      <c r="CQ41" s="5" t="s">
        <v>25</v>
      </c>
      <c r="CR41" s="2">
        <v>49380</v>
      </c>
      <c r="CS41" s="2">
        <v>1.3630867</v>
      </c>
      <c r="CT41" s="6" t="s">
        <v>25</v>
      </c>
      <c r="CU41" s="4">
        <v>49380</v>
      </c>
      <c r="CV41" s="4">
        <v>1.3223674000000001</v>
      </c>
      <c r="CW41" s="39" t="s">
        <v>25</v>
      </c>
      <c r="CX41" s="39">
        <v>49380</v>
      </c>
      <c r="CY41" s="2">
        <v>2.8980999999999999</v>
      </c>
      <c r="CZ41" s="2" t="str">
        <f>IF(AND(Table1[[#This Row],[Cplex MZ1 Cost]]=Table1[[#This Row],[ORTools FZN2 Cost]],Table1[[#This Row],[ORTools FZN2 State]]="Optimal",Table1[[#This Row],[Cplex MZ1 State]]="Suboptimal"),1,"")</f>
        <v/>
      </c>
      <c r="DA41" s="5" t="s">
        <v>25</v>
      </c>
      <c r="DB41" s="2">
        <v>49380</v>
      </c>
      <c r="DC41" s="2">
        <v>3.9554999999999998</v>
      </c>
      <c r="DD41" s="2" t="str">
        <f>IF(AND(Table1[[#This Row],[Cplex MZ2 Cost]]=Table1[[#This Row],[ORTools FZN2 Cost]],Table1[[#This Row],[ORTools FZN2 State]]="Optimal",Table1[[#This Row],[Cplex MZ2 State]]="Suboptimal"),1,"")</f>
        <v/>
      </c>
      <c r="DE41" s="39" t="s">
        <v>25</v>
      </c>
      <c r="DF41" s="39">
        <v>49380</v>
      </c>
      <c r="DG41" s="2">
        <v>18.1492</v>
      </c>
      <c r="DH41" s="2" t="str">
        <f>IF(AND(Table1[[#This Row],[Gurobi MZ1 Cost]]=Table1[[#This Row],[ORTools FZN2 Cost]],Table1[[#This Row],[ORTools FZN2 State]]="Optimal",Table1[[#This Row],[Gurobi MZ1 State]]="Suboptimal"),1,"")</f>
        <v/>
      </c>
      <c r="DI41" s="5" t="s">
        <v>25</v>
      </c>
      <c r="DJ41" s="2">
        <v>49380</v>
      </c>
      <c r="DK41" s="2">
        <v>4.7275999999999998</v>
      </c>
      <c r="DL41" s="4" t="str">
        <f>IF(AND(Table1[[#This Row],[Gurobi MZ2 Cost]]=Table1[[#This Row],[ORTools FZN2 Cost]],Table1[[#This Row],[ORTools FZN2 State]]="Optimal",Table1[[#This Row],[Gurobi MZ2 State]]="Suboptimal"),1,"")</f>
        <v/>
      </c>
      <c r="DM41" s="39" t="s">
        <v>25</v>
      </c>
      <c r="DN41" s="39">
        <v>49380</v>
      </c>
      <c r="DO41" s="65">
        <v>2.1769999999996799</v>
      </c>
      <c r="DP41" s="4" t="str">
        <f>IF(AND(Table1[[#This Row],[Cplex MC nonDual Cost]]=Table1[[#This Row],[ORTools FZN2 Cost]],Table1[[#This Row],[ORTools FZN2 State]]="Optimal",Table1[[#This Row],[Cplex MC nonDual State]]="Suboptimal"),1,"")</f>
        <v/>
      </c>
      <c r="DQ41" s="5" t="s">
        <v>25</v>
      </c>
      <c r="DR41" s="2">
        <v>49380</v>
      </c>
      <c r="DS41" s="2">
        <v>1.3260000000000001</v>
      </c>
      <c r="DT41" s="2" t="str">
        <f>IF(AND(Table1[[#This Row],[Cplex MIP DM''z Cost]]=Table1[[#This Row],[ORTools FZN2 Cost]],Table1[[#This Row],[ORTools FZN2 State]]="Optimal",Table1[[#This Row],[Cplex MIP DM''z  State]]="Suboptimal"),1,"")</f>
        <v/>
      </c>
      <c r="DU4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1" s="5" t="s">
        <v>25</v>
      </c>
      <c r="DW41" s="2">
        <v>49380</v>
      </c>
      <c r="DX41" s="2">
        <v>21.235399999999998</v>
      </c>
      <c r="DY41" s="4" t="str">
        <f>IF(AND(Table1[[#This Row],[Gurobi DM''z  Cost]]=Table1[[#This Row],[ORTools FZN2 Cost]],Table1[[#This Row],[ORTools FZN2 State]]="Optimal",Table1[[#This Row],[Gurobi DM''z  State]]="Suboptimal"),1,"")</f>
        <v/>
      </c>
      <c r="DZ4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2" spans="1:130" ht="15.75" x14ac:dyDescent="0.25">
      <c r="A42" s="46" t="s">
        <v>67</v>
      </c>
      <c r="B42" s="5">
        <v>40</v>
      </c>
      <c r="C42" s="2">
        <v>20</v>
      </c>
      <c r="D42" s="5">
        <v>258</v>
      </c>
      <c r="E42" s="3">
        <v>17</v>
      </c>
      <c r="F42" s="34">
        <v>136</v>
      </c>
      <c r="G42" s="3">
        <v>0</v>
      </c>
      <c r="H42" s="4">
        <f t="shared" si="0"/>
        <v>0</v>
      </c>
      <c r="I42" s="4">
        <f>Table1[[#This Row],[B]]+Table1[[#This Row],[Atomic Constraints]]+Table1[[#This Row],[Soft Atomic Constraints]]+Table1[[#This Row],[Disjunctive Constraints]]+Table1[[#This Row],[Direct Successors]]</f>
        <v>431</v>
      </c>
      <c r="J42" s="5" t="s">
        <v>25</v>
      </c>
      <c r="K42" s="2">
        <v>524084</v>
      </c>
      <c r="L42" s="2">
        <v>98.411650399999999</v>
      </c>
      <c r="M42" s="2" t="str">
        <f>IF(AND(Table1[[#This Row],[Chuffed MZ1 Cost]]=Table1[[#This Row],[ORTools FZN2 Cost]],Table1[[#This Row],[ORTools FZN2 State]]="Optimal",Table1[[#This Row],[Chuffed MZ1 State]]="Suboptimal"),1,"")</f>
        <v/>
      </c>
      <c r="N42" s="5" t="s">
        <v>25</v>
      </c>
      <c r="O42" s="2">
        <v>524084</v>
      </c>
      <c r="P42" s="2">
        <v>29.9018269</v>
      </c>
      <c r="Q42" s="2" t="str">
        <f>IF(AND(Table1[[#This Row],[Chuffed MZ2 Cost]]=Table1[[#This Row],[ORTools FZN2 Cost]],Table1[[#This Row],[ORTools FZN2 State]]="Optimal",Table1[[#This Row],[Chuffed MZ2 State]]="Suboptimal"),1,"")</f>
        <v/>
      </c>
      <c r="R42" s="11" t="s">
        <v>26</v>
      </c>
      <c r="S42" s="11">
        <v>524084</v>
      </c>
      <c r="T42" s="11">
        <v>300.01100000000002</v>
      </c>
      <c r="U42" s="11">
        <v>1</v>
      </c>
      <c r="V42" s="5" t="s">
        <v>25</v>
      </c>
      <c r="W42" s="2">
        <v>524084</v>
      </c>
      <c r="X42" s="2">
        <v>6.2539724999999997</v>
      </c>
      <c r="Y42" s="2" t="str">
        <f>IF(AND(Table1[[#This Row],[ORTools FZN1 Cost]]=Table1[[#This Row],[ORTools FZN2 Cost]],Table1[[#This Row],[ORTools FZN2 State]]="Optimal",Table1[[#This Row],[ORTools FZN1 State]]="Suboptimal"),1,"")</f>
        <v/>
      </c>
      <c r="Z42" s="5" t="s">
        <v>25</v>
      </c>
      <c r="AA42" s="2">
        <v>524084</v>
      </c>
      <c r="AB42" s="2">
        <v>6.1793345000000004</v>
      </c>
      <c r="AC42" s="39" t="s">
        <v>26</v>
      </c>
      <c r="AD42" s="39">
        <v>589765</v>
      </c>
      <c r="AE42" s="2">
        <v>300.10627790000001</v>
      </c>
      <c r="AF42" s="2" t="str">
        <f>IF(AND(Table1[[#This Row],[Cplex MB Cost]]=Table1[[#This Row],[ORTools FZN2 Cost]],Table1[[#This Row],[ORTools FZN2 State]]="Optimal",Table1[[#This Row],[Cplex MB State]]="Suboptimal"),1,"")</f>
        <v/>
      </c>
      <c r="AG42" s="4">
        <f>IF(AND(AC42="Optimal",AD42&lt;&gt;AA42,Table1[[#This Row],[Example]]&lt;&gt;"R001",Table1[[#This Row],[Example]]&lt;&gt;"R002"),AD42-AA42,)</f>
        <v>0</v>
      </c>
      <c r="AH42" s="5" t="s">
        <v>26</v>
      </c>
      <c r="AI42" s="2">
        <v>976926</v>
      </c>
      <c r="AJ42" s="2">
        <v>303.66626689999998</v>
      </c>
      <c r="AK42" s="2" t="str">
        <f>IF(AND(Table1[[#This Row],[Cplex MD Cost]]=Table1[[#This Row],[ORTools FZN2 Cost]],Table1[[#This Row],[ORTools FZN2 State]]="Optimal",Table1[[#This Row],[Cplex MD State]]="Suboptimal"),1,"")</f>
        <v/>
      </c>
      <c r="AL42" s="4">
        <f>IF(AND(AH42="Optimal",AI42&lt;&gt;AA42,Table1[[#This Row],[Example]]&lt;&gt;"R001",Table1[[#This Row],[Example]]&lt;&gt;"R002"),AI42-AA42,)</f>
        <v>0</v>
      </c>
      <c r="AM42" s="39" t="s">
        <v>26</v>
      </c>
      <c r="AN42" s="39">
        <v>588124</v>
      </c>
      <c r="AO42" s="2">
        <v>300.06532620000002</v>
      </c>
      <c r="AP4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2" s="4" t="str">
        <f>IF(AND(Table1[[#This Row],[Cplex MI Cost]]=Table1[[#This Row],[ORTools FZN2 Cost]],Table1[[#This Row],[ORTools FZN2 State]]="Optimal",Table1[[#This Row],[Cplex MI State]]="Suboptimal"),1,"")</f>
        <v/>
      </c>
      <c r="AR42" s="5" t="s">
        <v>42</v>
      </c>
      <c r="AS42" s="2">
        <v>-65641</v>
      </c>
      <c r="AT42" s="2">
        <v>300.04530720000002</v>
      </c>
      <c r="AU42" s="2" t="str">
        <f>IF(AND(Table1[[#This Row],[Z3 SMT2-1 Maxres Cost]]=Table1[[#This Row],[ORTools FZN2 Cost]],Table1[[#This Row],[ORTools FZN2 State]]="Optimal"),1,"")</f>
        <v/>
      </c>
      <c r="AV42" s="39" t="s">
        <v>42</v>
      </c>
      <c r="AW42" s="39">
        <v>-65641</v>
      </c>
      <c r="AX42" s="2">
        <v>300.03804539999999</v>
      </c>
      <c r="AY42" s="2" t="str">
        <f>IF(AND(Table1[[#This Row],[Z3 SMT2-1 PdMaxres Cost]]=Table1[[#This Row],[ORTools FZN2 Cost]],Table1[[#This Row],[ORTools FZN2 State]]="Optimal"),1,"")</f>
        <v/>
      </c>
      <c r="AZ42" s="5" t="s">
        <v>42</v>
      </c>
      <c r="BA42" s="2">
        <v>-65641</v>
      </c>
      <c r="BB42" s="39">
        <v>300.0657195</v>
      </c>
      <c r="BC42" s="39" t="str">
        <f>IF(AND(Table1[[#This Row],[Z3 SMT2-1 WMax Cost]]=Table1[[#This Row],[ORTools FZN2 Cost]],Table1[[#This Row],[ORTools FZN2 State]]="Optimal"),1,"")</f>
        <v/>
      </c>
      <c r="BD42" s="39" t="s">
        <v>42</v>
      </c>
      <c r="BE42" s="39">
        <v>-65641</v>
      </c>
      <c r="BF42" s="2">
        <v>300.047617</v>
      </c>
      <c r="BG42" s="2" t="str">
        <f>IF(AND(Table1[[#This Row],[Z3 SMT2-2 Maxres Cost]]=Table1[[#This Row],[ORTools FZN2 Cost]],Table1[[#This Row],[ORTools FZN2 State]]="Optimal"),1,"")</f>
        <v/>
      </c>
      <c r="BH42" s="5" t="s">
        <v>42</v>
      </c>
      <c r="BI42" s="2">
        <v>-65641</v>
      </c>
      <c r="BJ42" s="39">
        <v>300.05130580000002</v>
      </c>
      <c r="BK42" s="39" t="str">
        <f>IF(AND(Table1[[#This Row],[Z3 SMT2-2 PdMaxres Cost]]=Table1[[#This Row],[ORTools FZN2 Cost]],Table1[[#This Row],[ORTools FZN2 State]]="Optimal"),1,"")</f>
        <v/>
      </c>
      <c r="BL42" s="39" t="s">
        <v>42</v>
      </c>
      <c r="BM42" s="39">
        <v>-65641</v>
      </c>
      <c r="BN42" s="2">
        <v>300.05128150000002</v>
      </c>
      <c r="BO42" s="4" t="str">
        <f>IF(AND(Table1[[#This Row],[Z3 SMT2-2 PdMaxres Cost]]=Table1[[#This Row],[ORTools FZN2 Cost]],Table1[[#This Row],[ORTools FZN2 State]]="Optimal"),1,"")</f>
        <v/>
      </c>
      <c r="BP42" s="5" t="s">
        <v>25</v>
      </c>
      <c r="BQ42" s="2">
        <v>524084</v>
      </c>
      <c r="BR42" s="2">
        <v>127.5016023</v>
      </c>
      <c r="BS42" s="2" t="str">
        <f>IF(AND(Table1[[#This Row],[Gurobi MB Cost]]=Table1[[#This Row],[ORTools FZN2 Cost]],Table1[[#This Row],[ORTools FZN2 State]]="Optimal",Table1[[#This Row],[Gurobi MB State]]="Suboptimal"),1,"")</f>
        <v/>
      </c>
      <c r="BT4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2" s="5" t="s">
        <v>26</v>
      </c>
      <c r="BV42" s="2">
        <v>717804</v>
      </c>
      <c r="BW42" s="2">
        <v>300.1581612</v>
      </c>
      <c r="BX42" s="2" t="str">
        <f>IF(AND(Table1[[#This Row],[Gurobi MD Cost]]=Table1[[#This Row],[ORTools FZN2 Cost]],Table1[[#This Row],[ORTools FZN2 State]]="Optimal",Table1[[#This Row],[Gurobi MD State]]="Suboptimal"),1,"")</f>
        <v/>
      </c>
      <c r="BY4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2" s="5" t="s">
        <v>26</v>
      </c>
      <c r="CA42" s="2">
        <v>524084</v>
      </c>
      <c r="CB42" s="2">
        <v>300.0382707</v>
      </c>
      <c r="CC42" s="2">
        <f>IF(AND(Table1[[#This Row],[Gurobi MI Cost]]=Table1[[#This Row],[ORTools FZN2 Cost]],Table1[[#This Row],[ORTools FZN2 State]]="Optimal",Table1[[#This Row],[Gurobi MI State]]="Suboptimal"),1,"")</f>
        <v>1</v>
      </c>
      <c r="CD4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2" s="39" t="s">
        <v>42</v>
      </c>
      <c r="CF42" s="2">
        <v>-65641</v>
      </c>
      <c r="CG42" s="39">
        <v>306.10820819999998</v>
      </c>
      <c r="CH42" s="39" t="s">
        <v>42</v>
      </c>
      <c r="CI42" s="39">
        <v>-65641</v>
      </c>
      <c r="CJ42" s="2">
        <v>306.05467299999998</v>
      </c>
      <c r="CK42" s="5" t="s">
        <v>26</v>
      </c>
      <c r="CL42" s="2">
        <v>524084</v>
      </c>
      <c r="CM42" s="2">
        <v>300.065</v>
      </c>
      <c r="CN42" s="5" t="s">
        <v>25</v>
      </c>
      <c r="CO42" s="2">
        <v>524084</v>
      </c>
      <c r="CP42" s="2">
        <v>31.360103599999999</v>
      </c>
      <c r="CQ42" s="5" t="s">
        <v>25</v>
      </c>
      <c r="CR42" s="2">
        <v>524084</v>
      </c>
      <c r="CS42" s="2">
        <v>12.849269700000001</v>
      </c>
      <c r="CT42" s="6" t="s">
        <v>25</v>
      </c>
      <c r="CU42" s="4">
        <v>524084</v>
      </c>
      <c r="CV42" s="4">
        <v>11.761008199999999</v>
      </c>
      <c r="CW42" s="39" t="s">
        <v>25</v>
      </c>
      <c r="CX42" s="39">
        <v>524084</v>
      </c>
      <c r="CY42" s="2">
        <v>174.98230000000001</v>
      </c>
      <c r="CZ42" s="2" t="str">
        <f>IF(AND(Table1[[#This Row],[Cplex MZ1 Cost]]=Table1[[#This Row],[ORTools FZN2 Cost]],Table1[[#This Row],[ORTools FZN2 State]]="Optimal",Table1[[#This Row],[Cplex MZ1 State]]="Suboptimal"),1,"")</f>
        <v/>
      </c>
      <c r="DA42" s="12" t="s">
        <v>26</v>
      </c>
      <c r="DB42" s="12">
        <v>524084</v>
      </c>
      <c r="DC42" s="12">
        <v>300.0179</v>
      </c>
      <c r="DD42" s="12">
        <f>IF(AND(Table1[[#This Row],[Cplex MZ2 Cost]]=Table1[[#This Row],[ORTools FZN2 Cost]],Table1[[#This Row],[ORTools FZN2 State]]="Optimal",Table1[[#This Row],[Cplex MZ2 State]]="Suboptimal"),1,"")</f>
        <v>1</v>
      </c>
      <c r="DE42" s="39" t="s">
        <v>26</v>
      </c>
      <c r="DF42" s="39">
        <v>783565</v>
      </c>
      <c r="DG42" s="2">
        <v>300.0077</v>
      </c>
      <c r="DH42" s="2" t="str">
        <f>IF(AND(Table1[[#This Row],[Gurobi MZ1 Cost]]=Table1[[#This Row],[ORTools FZN2 Cost]],Table1[[#This Row],[ORTools FZN2 State]]="Optimal",Table1[[#This Row],[Gurobi MZ1 State]]="Suboptimal"),1,"")</f>
        <v/>
      </c>
      <c r="DI42" s="5" t="s">
        <v>26</v>
      </c>
      <c r="DJ42" s="2">
        <v>524207</v>
      </c>
      <c r="DK42" s="2">
        <v>300.00459999999998</v>
      </c>
      <c r="DL42" s="4" t="str">
        <f>IF(AND(Table1[[#This Row],[Gurobi MZ2 Cost]]=Table1[[#This Row],[ORTools FZN2 Cost]],Table1[[#This Row],[ORTools FZN2 State]]="Optimal",Table1[[#This Row],[Gurobi MZ2 State]]="Suboptimal"),1,"")</f>
        <v/>
      </c>
      <c r="DM42" s="39" t="s">
        <v>26</v>
      </c>
      <c r="DN42" s="12">
        <v>524084</v>
      </c>
      <c r="DO42" s="69">
        <v>300.06499999999897</v>
      </c>
      <c r="DP42" s="11">
        <f>IF(AND(Table1[[#This Row],[Cplex MC nonDual Cost]]=Table1[[#This Row],[ORTools FZN2 Cost]],Table1[[#This Row],[ORTools FZN2 State]]="Optimal",Table1[[#This Row],[Cplex MC nonDual State]]="Suboptimal"),1,"")</f>
        <v>1</v>
      </c>
      <c r="DQ42" s="5" t="s">
        <v>26</v>
      </c>
      <c r="DR42" s="2">
        <v>524085</v>
      </c>
      <c r="DS42" s="2">
        <v>300.01940000000002</v>
      </c>
      <c r="DT42" s="2" t="str">
        <f>IF(AND(Table1[[#This Row],[Cplex MIP DM''z Cost]]=Table1[[#This Row],[ORTools FZN2 Cost]],Table1[[#This Row],[ORTools FZN2 State]]="Optimal",Table1[[#This Row],[Cplex MIP DM''z  State]]="Suboptimal"),1,"")</f>
        <v/>
      </c>
      <c r="DU4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2" s="5" t="s">
        <v>26</v>
      </c>
      <c r="DW42" s="2">
        <v>589725</v>
      </c>
      <c r="DX42" s="2">
        <v>300.01400000000001</v>
      </c>
      <c r="DY42" s="4" t="str">
        <f>IF(AND(Table1[[#This Row],[Gurobi DM''z  Cost]]=Table1[[#This Row],[ORTools FZN2 Cost]],Table1[[#This Row],[ORTools FZN2 State]]="Optimal",Table1[[#This Row],[Gurobi DM''z  State]]="Suboptimal"),1,"")</f>
        <v/>
      </c>
      <c r="DZ4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3" spans="1:130" ht="15.75" x14ac:dyDescent="0.25">
      <c r="A43" s="46" t="s">
        <v>68</v>
      </c>
      <c r="B43" s="5">
        <v>50</v>
      </c>
      <c r="C43" s="2">
        <v>25</v>
      </c>
      <c r="D43" s="5">
        <v>414</v>
      </c>
      <c r="E43" s="3">
        <v>25</v>
      </c>
      <c r="F43" s="34">
        <v>212</v>
      </c>
      <c r="G43" s="3">
        <v>0</v>
      </c>
      <c r="H43" s="4">
        <f t="shared" si="0"/>
        <v>0</v>
      </c>
      <c r="I43" s="4">
        <f>Table1[[#This Row],[B]]+Table1[[#This Row],[Atomic Constraints]]+Table1[[#This Row],[Soft Atomic Constraints]]+Table1[[#This Row],[Disjunctive Constraints]]+Table1[[#This Row],[Direct Successors]]</f>
        <v>676</v>
      </c>
      <c r="J43" s="5" t="s">
        <v>26</v>
      </c>
      <c r="K43" s="2">
        <v>2159411</v>
      </c>
      <c r="L43" s="2">
        <v>301.99769830000002</v>
      </c>
      <c r="M43" s="2" t="str">
        <f>IF(AND(Table1[[#This Row],[Chuffed MZ1 Cost]]=Table1[[#This Row],[ORTools FZN2 Cost]],Table1[[#This Row],[ORTools FZN2 State]]="Optimal",Table1[[#This Row],[Chuffed MZ1 State]]="Suboptimal"),1,"")</f>
        <v/>
      </c>
      <c r="N43" s="5" t="s">
        <v>25</v>
      </c>
      <c r="O43" s="2">
        <v>1524056</v>
      </c>
      <c r="P43" s="2">
        <v>82.428284000000005</v>
      </c>
      <c r="Q43" s="2" t="str">
        <f>IF(AND(Table1[[#This Row],[Chuffed MZ2 Cost]]=Table1[[#This Row],[ORTools FZN2 Cost]],Table1[[#This Row],[ORTools FZN2 State]]="Optimal",Table1[[#This Row],[Chuffed MZ2 State]]="Suboptimal"),1,"")</f>
        <v/>
      </c>
      <c r="R43" s="11" t="s">
        <v>26</v>
      </c>
      <c r="S43" s="11">
        <v>1524056</v>
      </c>
      <c r="T43" s="11">
        <v>300.10000000000002</v>
      </c>
      <c r="U43" s="11">
        <v>1</v>
      </c>
      <c r="V43" s="5" t="s">
        <v>25</v>
      </c>
      <c r="W43" s="2">
        <v>1524056</v>
      </c>
      <c r="X43" s="2">
        <v>19.484434499999999</v>
      </c>
      <c r="Y43" s="2" t="str">
        <f>IF(AND(Table1[[#This Row],[ORTools FZN1 Cost]]=Table1[[#This Row],[ORTools FZN2 Cost]],Table1[[#This Row],[ORTools FZN2 State]]="Optimal",Table1[[#This Row],[ORTools FZN1 State]]="Suboptimal"),1,"")</f>
        <v/>
      </c>
      <c r="Z43" s="5" t="s">
        <v>25</v>
      </c>
      <c r="AA43" s="2">
        <v>1524056</v>
      </c>
      <c r="AB43" s="2">
        <v>11.593964400000001</v>
      </c>
      <c r="AC43" s="39" t="s">
        <v>26</v>
      </c>
      <c r="AD43" s="39">
        <v>1526657</v>
      </c>
      <c r="AE43" s="2">
        <v>300.11282080000001</v>
      </c>
      <c r="AF43" s="2" t="str">
        <f>IF(AND(Table1[[#This Row],[Cplex MB Cost]]=Table1[[#This Row],[ORTools FZN2 Cost]],Table1[[#This Row],[ORTools FZN2 State]]="Optimal",Table1[[#This Row],[Cplex MB State]]="Suboptimal"),1,"")</f>
        <v/>
      </c>
      <c r="AG43" s="4">
        <f>IF(AND(AC43="Optimal",AD43&lt;&gt;AA43,Table1[[#This Row],[Example]]&lt;&gt;"R001",Table1[[#This Row],[Example]]&lt;&gt;"R002"),AD43-AA43,)</f>
        <v>0</v>
      </c>
      <c r="AH43" s="5" t="s">
        <v>26</v>
      </c>
      <c r="AI43" s="2">
        <v>3041714</v>
      </c>
      <c r="AJ43" s="2">
        <v>300.23925020000001</v>
      </c>
      <c r="AK43" s="2" t="str">
        <f>IF(AND(Table1[[#This Row],[Cplex MD Cost]]=Table1[[#This Row],[ORTools FZN2 Cost]],Table1[[#This Row],[ORTools FZN2 State]]="Optimal",Table1[[#This Row],[Cplex MD State]]="Suboptimal"),1,"")</f>
        <v/>
      </c>
      <c r="AL43" s="2">
        <f>IF(AND(AH43="Optimal",AI43&lt;&gt;AA43,Table1[[#This Row],[Example]]&lt;&gt;"R001",Table1[[#This Row],[Example]]&lt;&gt;"R002"),AI43-AA43,)</f>
        <v>0</v>
      </c>
      <c r="AM43" s="39" t="s">
        <v>26</v>
      </c>
      <c r="AN43" s="39">
        <v>2416357</v>
      </c>
      <c r="AO43" s="2">
        <v>300.0791547</v>
      </c>
      <c r="AP4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3" s="4" t="str">
        <f>IF(AND(Table1[[#This Row],[Cplex MI Cost]]=Table1[[#This Row],[ORTools FZN2 Cost]],Table1[[#This Row],[ORTools FZN2 State]]="Optimal",Table1[[#This Row],[Cplex MI State]]="Suboptimal"),1,"")</f>
        <v/>
      </c>
      <c r="AR43" s="5" t="s">
        <v>42</v>
      </c>
      <c r="AS43" s="2">
        <v>-127551</v>
      </c>
      <c r="AT43" s="2">
        <v>300.05163119999997</v>
      </c>
      <c r="AU43" s="2" t="str">
        <f>IF(AND(Table1[[#This Row],[Z3 SMT2-1 Maxres Cost]]=Table1[[#This Row],[ORTools FZN2 Cost]],Table1[[#This Row],[ORTools FZN2 State]]="Optimal"),1,"")</f>
        <v/>
      </c>
      <c r="AV43" s="39" t="s">
        <v>42</v>
      </c>
      <c r="AW43" s="39">
        <v>-127551</v>
      </c>
      <c r="AX43" s="2">
        <v>300.05645190000001</v>
      </c>
      <c r="AY43" s="2" t="str">
        <f>IF(AND(Table1[[#This Row],[Z3 SMT2-1 PdMaxres Cost]]=Table1[[#This Row],[ORTools FZN2 Cost]],Table1[[#This Row],[ORTools FZN2 State]]="Optimal"),1,"")</f>
        <v/>
      </c>
      <c r="AZ43" s="5" t="s">
        <v>42</v>
      </c>
      <c r="BA43" s="2">
        <v>-127551</v>
      </c>
      <c r="BB43" s="39">
        <v>300.07048459999999</v>
      </c>
      <c r="BC43" s="39" t="str">
        <f>IF(AND(Table1[[#This Row],[Z3 SMT2-1 WMax Cost]]=Table1[[#This Row],[ORTools FZN2 Cost]],Table1[[#This Row],[ORTools FZN2 State]]="Optimal"),1,"")</f>
        <v/>
      </c>
      <c r="BD43" s="39" t="s">
        <v>42</v>
      </c>
      <c r="BE43" s="39">
        <v>-127551</v>
      </c>
      <c r="BF43" s="2">
        <v>300.04410799999999</v>
      </c>
      <c r="BG43" s="2" t="str">
        <f>IF(AND(Table1[[#This Row],[Z3 SMT2-2 Maxres Cost]]=Table1[[#This Row],[ORTools FZN2 Cost]],Table1[[#This Row],[ORTools FZN2 State]]="Optimal"),1,"")</f>
        <v/>
      </c>
      <c r="BH43" s="5" t="s">
        <v>42</v>
      </c>
      <c r="BI43" s="2">
        <v>-127551</v>
      </c>
      <c r="BJ43" s="39">
        <v>300.04555820000002</v>
      </c>
      <c r="BK43" s="39" t="str">
        <f>IF(AND(Table1[[#This Row],[Z3 SMT2-2 PdMaxres Cost]]=Table1[[#This Row],[ORTools FZN2 Cost]],Table1[[#This Row],[ORTools FZN2 State]]="Optimal"),1,"")</f>
        <v/>
      </c>
      <c r="BL43" s="39" t="s">
        <v>42</v>
      </c>
      <c r="BM43" s="39">
        <v>-127551</v>
      </c>
      <c r="BN43" s="2">
        <v>300.05633349999999</v>
      </c>
      <c r="BO43" s="4" t="str">
        <f>IF(AND(Table1[[#This Row],[Z3 SMT2-2 PdMaxres Cost]]=Table1[[#This Row],[ORTools FZN2 Cost]],Table1[[#This Row],[ORTools FZN2 State]]="Optimal"),1,"")</f>
        <v/>
      </c>
      <c r="BP43" s="5" t="s">
        <v>26</v>
      </c>
      <c r="BQ43" s="2">
        <v>2029309</v>
      </c>
      <c r="BR43" s="2">
        <v>300.05907159999998</v>
      </c>
      <c r="BS43" s="2" t="str">
        <f>IF(AND(Table1[[#This Row],[Gurobi MB Cost]]=Table1[[#This Row],[ORTools FZN2 Cost]],Table1[[#This Row],[ORTools FZN2 State]]="Optimal",Table1[[#This Row],[Gurobi MB State]]="Suboptimal"),1,"")</f>
        <v/>
      </c>
      <c r="BT4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3" s="5" t="s">
        <v>42</v>
      </c>
      <c r="BV43" s="2">
        <v>-127551</v>
      </c>
      <c r="BW43" s="2">
        <v>300.15959650000002</v>
      </c>
      <c r="BX43" s="2" t="str">
        <f>IF(AND(Table1[[#This Row],[Gurobi MD Cost]]=Table1[[#This Row],[ORTools FZN2 Cost]],Table1[[#This Row],[ORTools FZN2 State]]="Optimal",Table1[[#This Row],[Gurobi MD State]]="Suboptimal"),1,"")</f>
        <v/>
      </c>
      <c r="BY4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3" s="5" t="s">
        <v>26</v>
      </c>
      <c r="CA43" s="2">
        <v>1524056</v>
      </c>
      <c r="CB43" s="2">
        <v>300.09919969999999</v>
      </c>
      <c r="CC43" s="2">
        <f>IF(AND(Table1[[#This Row],[Gurobi MI Cost]]=Table1[[#This Row],[ORTools FZN2 Cost]],Table1[[#This Row],[ORTools FZN2 State]]="Optimal",Table1[[#This Row],[Gurobi MI State]]="Suboptimal"),1,"")</f>
        <v>1</v>
      </c>
      <c r="CD4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3" s="39" t="s">
        <v>42</v>
      </c>
      <c r="CF43" s="2">
        <v>-127551</v>
      </c>
      <c r="CG43" s="39">
        <v>306.1357749</v>
      </c>
      <c r="CH43" s="39" t="s">
        <v>42</v>
      </c>
      <c r="CI43" s="39">
        <v>-127551</v>
      </c>
      <c r="CJ43" s="2">
        <v>306.03448459999998</v>
      </c>
      <c r="CK43" s="5" t="s">
        <v>26</v>
      </c>
      <c r="CL43" s="2">
        <v>1524056</v>
      </c>
      <c r="CM43" s="2">
        <v>300.11999999999898</v>
      </c>
      <c r="CN43" s="5" t="s">
        <v>26</v>
      </c>
      <c r="CO43" s="2">
        <v>2659361</v>
      </c>
      <c r="CP43" s="2">
        <v>301.9266255</v>
      </c>
      <c r="CQ43" s="5" t="s">
        <v>25</v>
      </c>
      <c r="CR43" s="2">
        <v>1524056</v>
      </c>
      <c r="CS43" s="2">
        <v>30.628334800000001</v>
      </c>
      <c r="CT43" s="6" t="s">
        <v>25</v>
      </c>
      <c r="CU43" s="4">
        <v>1524056</v>
      </c>
      <c r="CV43" s="4">
        <v>21.9152454</v>
      </c>
      <c r="CW43" s="39" t="s">
        <v>26</v>
      </c>
      <c r="CX43" s="39">
        <v>2794308</v>
      </c>
      <c r="CY43" s="2">
        <v>300.00880000000001</v>
      </c>
      <c r="CZ43" s="2" t="str">
        <f>IF(AND(Table1[[#This Row],[Cplex MZ1 Cost]]=Table1[[#This Row],[ORTools FZN2 Cost]],Table1[[#This Row],[ORTools FZN2 State]]="Optimal",Table1[[#This Row],[Cplex MZ1 State]]="Suboptimal"),1,"")</f>
        <v/>
      </c>
      <c r="DA43" s="5" t="s">
        <v>26</v>
      </c>
      <c r="DB43" s="2">
        <v>2279211</v>
      </c>
      <c r="DC43" s="2">
        <v>300.01850000000002</v>
      </c>
      <c r="DD43" s="2" t="str">
        <f>IF(AND(Table1[[#This Row],[Cplex MZ2 Cost]]=Table1[[#This Row],[ORTools FZN2 Cost]],Table1[[#This Row],[ORTools FZN2 State]]="Optimal",Table1[[#This Row],[Cplex MZ2 State]]="Suboptimal"),1,"")</f>
        <v/>
      </c>
      <c r="DE43" s="39" t="s">
        <v>42</v>
      </c>
      <c r="DF43" s="39"/>
      <c r="DG43" s="2">
        <v>300.00580000000002</v>
      </c>
      <c r="DH43" s="2" t="str">
        <f>IF(AND(Table1[[#This Row],[Gurobi MZ1 Cost]]=Table1[[#This Row],[ORTools FZN2 Cost]],Table1[[#This Row],[ORTools FZN2 State]]="Optimal",Table1[[#This Row],[Gurobi MZ1 State]]="Suboptimal"),1,"")</f>
        <v/>
      </c>
      <c r="DI43" s="5" t="s">
        <v>42</v>
      </c>
      <c r="DJ43" s="2"/>
      <c r="DK43" s="2">
        <v>300.0729</v>
      </c>
      <c r="DL43" s="4" t="str">
        <f>IF(AND(Table1[[#This Row],[Gurobi MZ2 Cost]]=Table1[[#This Row],[ORTools FZN2 Cost]],Table1[[#This Row],[ORTools FZN2 State]]="Optimal",Table1[[#This Row],[Gurobi MZ2 State]]="Suboptimal"),1,"")</f>
        <v/>
      </c>
      <c r="DM43" s="39" t="s">
        <v>26</v>
      </c>
      <c r="DN43" s="12">
        <v>1524056</v>
      </c>
      <c r="DO43" s="69">
        <v>300.08199999999903</v>
      </c>
      <c r="DP43" s="11">
        <f>IF(AND(Table1[[#This Row],[Cplex MC nonDual Cost]]=Table1[[#This Row],[ORTools FZN2 Cost]],Table1[[#This Row],[ORTools FZN2 State]]="Optimal",Table1[[#This Row],[Cplex MC nonDual State]]="Suboptimal"),1,"")</f>
        <v>1</v>
      </c>
      <c r="DQ43" s="5" t="s">
        <v>26</v>
      </c>
      <c r="DR43" s="2">
        <v>2406864</v>
      </c>
      <c r="DS43" s="2">
        <v>300.02</v>
      </c>
      <c r="DT43" s="2" t="str">
        <f>IF(AND(Table1[[#This Row],[Cplex MIP DM''z Cost]]=Table1[[#This Row],[ORTools FZN2 Cost]],Table1[[#This Row],[ORTools FZN2 State]]="Optimal",Table1[[#This Row],[Cplex MIP DM''z  State]]="Suboptimal"),1,"")</f>
        <v/>
      </c>
      <c r="DU4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3" s="5" t="s">
        <v>42</v>
      </c>
      <c r="DW43" s="2"/>
      <c r="DX43" s="2">
        <v>300.01209999999998</v>
      </c>
      <c r="DY43" s="4" t="str">
        <f>IF(AND(Table1[[#This Row],[Gurobi DM''z  Cost]]=Table1[[#This Row],[ORTools FZN2 Cost]],Table1[[#This Row],[ORTools FZN2 State]]="Optimal",Table1[[#This Row],[Gurobi DM''z  State]]="Suboptimal"),1,"")</f>
        <v/>
      </c>
      <c r="DZ4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4" spans="1:130" ht="15.75" x14ac:dyDescent="0.25">
      <c r="A44" s="46" t="s">
        <v>69</v>
      </c>
      <c r="B44" s="5">
        <v>76</v>
      </c>
      <c r="C44" s="2">
        <v>38</v>
      </c>
      <c r="D44" s="5">
        <v>944</v>
      </c>
      <c r="E44" s="3">
        <v>51</v>
      </c>
      <c r="F44" s="34">
        <v>485</v>
      </c>
      <c r="G44" s="3">
        <v>0</v>
      </c>
      <c r="H44" s="4">
        <f t="shared" si="0"/>
        <v>0</v>
      </c>
      <c r="I44" s="4">
        <f>Table1[[#This Row],[B]]+Table1[[#This Row],[Atomic Constraints]]+Table1[[#This Row],[Soft Atomic Constraints]]+Table1[[#This Row],[Disjunctive Constraints]]+Table1[[#This Row],[Direct Successors]]</f>
        <v>1518</v>
      </c>
      <c r="J44" s="5" t="s">
        <v>26</v>
      </c>
      <c r="K44" s="2">
        <v>15940937</v>
      </c>
      <c r="L44" s="2">
        <v>303.86444729999999</v>
      </c>
      <c r="M44" s="2" t="str">
        <f>IF(AND(Table1[[#This Row],[Chuffed MZ1 Cost]]=Table1[[#This Row],[ORTools FZN2 Cost]],Table1[[#This Row],[ORTools FZN2 State]]="Optimal",Table1[[#This Row],[Chuffed MZ1 State]]="Suboptimal"),1,"")</f>
        <v/>
      </c>
      <c r="N44" s="5" t="s">
        <v>26</v>
      </c>
      <c r="O44" s="2">
        <v>16819051</v>
      </c>
      <c r="P44" s="2">
        <v>303.79214619999999</v>
      </c>
      <c r="Q44" s="2" t="str">
        <f>IF(AND(Table1[[#This Row],[Chuffed MZ2 Cost]]=Table1[[#This Row],[ORTools FZN2 Cost]],Table1[[#This Row],[ORTools FZN2 State]]="Optimal",Table1[[#This Row],[Chuffed MZ2 State]]="Suboptimal"),1,"")</f>
        <v/>
      </c>
      <c r="R44" s="5" t="s">
        <v>26</v>
      </c>
      <c r="S44" s="2">
        <v>9735916</v>
      </c>
      <c r="T44" s="2">
        <v>300.263000000001</v>
      </c>
      <c r="U44" s="2"/>
      <c r="V44" s="5" t="s">
        <v>25</v>
      </c>
      <c r="W44" s="2">
        <v>9296940</v>
      </c>
      <c r="X44" s="2">
        <v>132.62664559999999</v>
      </c>
      <c r="Y44" s="2" t="str">
        <f>IF(AND(Table1[[#This Row],[ORTools FZN1 Cost]]=Table1[[#This Row],[ORTools FZN2 Cost]],Table1[[#This Row],[ORTools FZN2 State]]="Optimal",Table1[[#This Row],[ORTools FZN1 State]]="Suboptimal"),1,"")</f>
        <v/>
      </c>
      <c r="Z44" s="5" t="s">
        <v>25</v>
      </c>
      <c r="AA44" s="2">
        <v>9296940</v>
      </c>
      <c r="AB44" s="2">
        <v>196.24363890000001</v>
      </c>
      <c r="AC44" s="39" t="s">
        <v>42</v>
      </c>
      <c r="AD44" s="39">
        <v>-444829</v>
      </c>
      <c r="AE44" s="2">
        <v>300.54756880000002</v>
      </c>
      <c r="AF44" s="2" t="str">
        <f>IF(AND(Table1[[#This Row],[Cplex MB Cost]]=Table1[[#This Row],[ORTools FZN2 Cost]],Table1[[#This Row],[ORTools FZN2 State]]="Optimal",Table1[[#This Row],[Cplex MB State]]="Suboptimal"),1,"")</f>
        <v/>
      </c>
      <c r="AG44" s="4">
        <f>IF(AND(AC44="Optimal",AD44&lt;&gt;AA44,Table1[[#This Row],[Example]]&lt;&gt;"R001",Table1[[#This Row],[Example]]&lt;&gt;"R002"),AD44-AA44,)</f>
        <v>0</v>
      </c>
      <c r="AH44" s="5" t="s">
        <v>42</v>
      </c>
      <c r="AI44" s="2">
        <v>-444829</v>
      </c>
      <c r="AJ44" s="2">
        <v>300.25295770000002</v>
      </c>
      <c r="AK44" s="2" t="str">
        <f>IF(AND(Table1[[#This Row],[Cplex MD Cost]]=Table1[[#This Row],[ORTools FZN2 Cost]],Table1[[#This Row],[ORTools FZN2 State]]="Optimal",Table1[[#This Row],[Cplex MD State]]="Suboptimal"),1,"")</f>
        <v/>
      </c>
      <c r="AL44" s="2">
        <f>IF(AND(AH44="Optimal",AI44&lt;&gt;AA44,Table1[[#This Row],[Example]]&lt;&gt;"R001",Table1[[#This Row],[Example]]&lt;&gt;"R002"),AI44-AA44,)</f>
        <v>0</v>
      </c>
      <c r="AM44" s="39" t="s">
        <v>42</v>
      </c>
      <c r="AN44" s="39">
        <v>-444829</v>
      </c>
      <c r="AO44" s="2">
        <v>300.13164599999999</v>
      </c>
      <c r="AP4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4" s="4" t="str">
        <f>IF(AND(Table1[[#This Row],[Cplex MI Cost]]=Table1[[#This Row],[ORTools FZN2 Cost]],Table1[[#This Row],[ORTools FZN2 State]]="Optimal",Table1[[#This Row],[Cplex MI State]]="Suboptimal"),1,"")</f>
        <v/>
      </c>
      <c r="AR44" s="5" t="s">
        <v>42</v>
      </c>
      <c r="AS44" s="2">
        <v>-444829</v>
      </c>
      <c r="AT44" s="2">
        <v>300.07284779999998</v>
      </c>
      <c r="AU44" s="2" t="str">
        <f>IF(AND(Table1[[#This Row],[Z3 SMT2-1 Maxres Cost]]=Table1[[#This Row],[ORTools FZN2 Cost]],Table1[[#This Row],[ORTools FZN2 State]]="Optimal"),1,"")</f>
        <v/>
      </c>
      <c r="AV44" s="39" t="s">
        <v>42</v>
      </c>
      <c r="AW44" s="39">
        <v>-444829</v>
      </c>
      <c r="AX44" s="2">
        <v>300.08482559999999</v>
      </c>
      <c r="AY44" s="2" t="str">
        <f>IF(AND(Table1[[#This Row],[Z3 SMT2-1 PdMaxres Cost]]=Table1[[#This Row],[ORTools FZN2 Cost]],Table1[[#This Row],[ORTools FZN2 State]]="Optimal"),1,"")</f>
        <v/>
      </c>
      <c r="AZ44" s="5" t="s">
        <v>42</v>
      </c>
      <c r="BA44" s="2">
        <v>-444829</v>
      </c>
      <c r="BB44" s="39">
        <v>300.08148940000001</v>
      </c>
      <c r="BC44" s="39" t="str">
        <f>IF(AND(Table1[[#This Row],[Z3 SMT2-1 WMax Cost]]=Table1[[#This Row],[ORTools FZN2 Cost]],Table1[[#This Row],[ORTools FZN2 State]]="Optimal"),1,"")</f>
        <v/>
      </c>
      <c r="BD44" s="39" t="s">
        <v>42</v>
      </c>
      <c r="BE44" s="39">
        <v>-444829</v>
      </c>
      <c r="BF44" s="2">
        <v>300.06946099999999</v>
      </c>
      <c r="BG44" s="2" t="str">
        <f>IF(AND(Table1[[#This Row],[Z3 SMT2-2 Maxres Cost]]=Table1[[#This Row],[ORTools FZN2 Cost]],Table1[[#This Row],[ORTools FZN2 State]]="Optimal"),1,"")</f>
        <v/>
      </c>
      <c r="BH44" s="5" t="s">
        <v>42</v>
      </c>
      <c r="BI44" s="2">
        <v>-444829</v>
      </c>
      <c r="BJ44" s="39">
        <v>300.07259110000001</v>
      </c>
      <c r="BK44" s="39" t="str">
        <f>IF(AND(Table1[[#This Row],[Z3 SMT2-2 PdMaxres Cost]]=Table1[[#This Row],[ORTools FZN2 Cost]],Table1[[#This Row],[ORTools FZN2 State]]="Optimal"),1,"")</f>
        <v/>
      </c>
      <c r="BL44" s="39" t="s">
        <v>42</v>
      </c>
      <c r="BM44" s="39">
        <v>-444829</v>
      </c>
      <c r="BN44" s="2">
        <v>300.08039530000002</v>
      </c>
      <c r="BO44" s="4" t="str">
        <f>IF(AND(Table1[[#This Row],[Z3 SMT2-2 PdMaxres Cost]]=Table1[[#This Row],[ORTools FZN2 Cost]],Table1[[#This Row],[ORTools FZN2 State]]="Optimal"),1,"")</f>
        <v/>
      </c>
      <c r="BP44" s="5" t="s">
        <v>42</v>
      </c>
      <c r="BQ44" s="2">
        <v>-444829</v>
      </c>
      <c r="BR44" s="2">
        <v>300.21432019999997</v>
      </c>
      <c r="BS44" s="2" t="str">
        <f>IF(AND(Table1[[#This Row],[Gurobi MB Cost]]=Table1[[#This Row],[ORTools FZN2 Cost]],Table1[[#This Row],[ORTools FZN2 State]]="Optimal",Table1[[#This Row],[Gurobi MB State]]="Suboptimal"),1,"")</f>
        <v/>
      </c>
      <c r="BT4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4" s="5" t="s">
        <v>42</v>
      </c>
      <c r="BV44" s="2">
        <v>-444829</v>
      </c>
      <c r="BW44" s="2">
        <v>300.12270109999997</v>
      </c>
      <c r="BX44" s="2" t="str">
        <f>IF(AND(Table1[[#This Row],[Gurobi MD Cost]]=Table1[[#This Row],[ORTools FZN2 Cost]],Table1[[#This Row],[ORTools FZN2 State]]="Optimal",Table1[[#This Row],[Gurobi MD State]]="Suboptimal"),1,"")</f>
        <v/>
      </c>
      <c r="BY4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4" s="5" t="s">
        <v>42</v>
      </c>
      <c r="CA44" s="2">
        <v>-444829</v>
      </c>
      <c r="CB44" s="2">
        <v>303.0125324</v>
      </c>
      <c r="CC44" s="2" t="str">
        <f>IF(AND(Table1[[#This Row],[Gurobi MI Cost]]=Table1[[#This Row],[ORTools FZN2 Cost]],Table1[[#This Row],[ORTools FZN2 State]]="Optimal",Table1[[#This Row],[Gurobi MI State]]="Suboptimal"),1,"")</f>
        <v/>
      </c>
      <c r="CD4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4" s="39" t="s">
        <v>42</v>
      </c>
      <c r="CF44" s="2">
        <v>-444829</v>
      </c>
      <c r="CG44" s="39">
        <v>306.18520840000002</v>
      </c>
      <c r="CH44" s="39" t="s">
        <v>42</v>
      </c>
      <c r="CI44" s="39">
        <v>-444829</v>
      </c>
      <c r="CJ44" s="2">
        <v>306.1177745</v>
      </c>
      <c r="CK44" s="5" t="s">
        <v>26</v>
      </c>
      <c r="CL44" s="2">
        <v>10174588</v>
      </c>
      <c r="CM44" s="2">
        <v>300.262</v>
      </c>
      <c r="CN44" s="5" t="s">
        <v>26</v>
      </c>
      <c r="CO44" s="2">
        <v>15490111</v>
      </c>
      <c r="CP44" s="2">
        <v>303.76756699999999</v>
      </c>
      <c r="CQ44" s="5" t="s">
        <v>25</v>
      </c>
      <c r="CR44" s="2">
        <v>9296940</v>
      </c>
      <c r="CS44" s="2">
        <v>189.18323000000001</v>
      </c>
      <c r="CT44" s="6" t="s">
        <v>25</v>
      </c>
      <c r="CU44" s="4">
        <v>9296940</v>
      </c>
      <c r="CV44" s="4">
        <v>99.223707099999999</v>
      </c>
      <c r="CW44" s="39" t="s">
        <v>42</v>
      </c>
      <c r="CX44" s="39"/>
      <c r="CY44" s="2">
        <v>300.01280000000003</v>
      </c>
      <c r="CZ44" s="2" t="str">
        <f>IF(AND(Table1[[#This Row],[Cplex MZ1 Cost]]=Table1[[#This Row],[ORTools FZN2 Cost]],Table1[[#This Row],[ORTools FZN2 State]]="Optimal",Table1[[#This Row],[Cplex MZ1 State]]="Suboptimal"),1,"")</f>
        <v/>
      </c>
      <c r="DA44" s="5" t="s">
        <v>26</v>
      </c>
      <c r="DB44" s="2">
        <v>15535787</v>
      </c>
      <c r="DC44" s="2">
        <v>300.01749999999998</v>
      </c>
      <c r="DD44" s="2" t="str">
        <f>IF(AND(Table1[[#This Row],[Cplex MZ2 Cost]]=Table1[[#This Row],[ORTools FZN2 Cost]],Table1[[#This Row],[ORTools FZN2 State]]="Optimal",Table1[[#This Row],[Cplex MZ2 State]]="Suboptimal"),1,"")</f>
        <v/>
      </c>
      <c r="DE44" s="39" t="s">
        <v>42</v>
      </c>
      <c r="DF44" s="39"/>
      <c r="DG44" s="2">
        <v>300.00850000000003</v>
      </c>
      <c r="DH44" s="2" t="str">
        <f>IF(AND(Table1[[#This Row],[Gurobi MZ1 Cost]]=Table1[[#This Row],[ORTools FZN2 Cost]],Table1[[#This Row],[ORTools FZN2 State]]="Optimal",Table1[[#This Row],[Gurobi MZ1 State]]="Suboptimal"),1,"")</f>
        <v/>
      </c>
      <c r="DI44" s="5" t="s">
        <v>42</v>
      </c>
      <c r="DJ44" s="2"/>
      <c r="DK44" s="2">
        <v>300.01179999999999</v>
      </c>
      <c r="DL44" s="4" t="str">
        <f>IF(AND(Table1[[#This Row],[Gurobi MZ2 Cost]]=Table1[[#This Row],[ORTools FZN2 Cost]],Table1[[#This Row],[ORTools FZN2 State]]="Optimal",Table1[[#This Row],[Gurobi MZ2 State]]="Suboptimal"),1,"")</f>
        <v/>
      </c>
      <c r="DM44" s="39" t="s">
        <v>26</v>
      </c>
      <c r="DN44" s="39">
        <v>10174588</v>
      </c>
      <c r="DO44" s="65">
        <v>300.15099999999899</v>
      </c>
      <c r="DP44" s="4" t="str">
        <f>IF(AND(Table1[[#This Row],[Cplex MC nonDual Cost]]=Table1[[#This Row],[ORTools FZN2 Cost]],Table1[[#This Row],[ORTools FZN2 State]]="Optimal",Table1[[#This Row],[Cplex MC nonDual State]]="Suboptimal"),1,"")</f>
        <v/>
      </c>
      <c r="DQ44" s="5" t="s">
        <v>26</v>
      </c>
      <c r="DR44" s="2">
        <v>16852713</v>
      </c>
      <c r="DS44" s="2">
        <v>300.02359999999999</v>
      </c>
      <c r="DT44" s="2" t="str">
        <f>IF(AND(Table1[[#This Row],[Cplex MIP DM''z Cost]]=Table1[[#This Row],[ORTools FZN2 Cost]],Table1[[#This Row],[ORTools FZN2 State]]="Optimal",Table1[[#This Row],[Cplex MIP DM''z  State]]="Suboptimal"),1,"")</f>
        <v/>
      </c>
      <c r="DU4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4" s="5" t="s">
        <v>42</v>
      </c>
      <c r="DW44" s="2"/>
      <c r="DX44" s="2">
        <v>300.0179</v>
      </c>
      <c r="DY44" s="4" t="str">
        <f>IF(AND(Table1[[#This Row],[Gurobi DM''z  Cost]]=Table1[[#This Row],[ORTools FZN2 Cost]],Table1[[#This Row],[ORTools FZN2 State]]="Optimal",Table1[[#This Row],[Gurobi DM''z  State]]="Suboptimal"),1,"")</f>
        <v/>
      </c>
      <c r="DZ4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5" spans="1:130" ht="15.75" x14ac:dyDescent="0.25">
      <c r="A45" s="46" t="s">
        <v>70</v>
      </c>
      <c r="B45" s="5">
        <v>78</v>
      </c>
      <c r="C45" s="2">
        <v>39</v>
      </c>
      <c r="D45" s="5">
        <v>1000</v>
      </c>
      <c r="E45" s="3">
        <v>53</v>
      </c>
      <c r="F45" s="34">
        <v>495</v>
      </c>
      <c r="G45" s="3">
        <v>0</v>
      </c>
      <c r="H45" s="4">
        <f t="shared" si="0"/>
        <v>0</v>
      </c>
      <c r="I45" s="4">
        <f>Table1[[#This Row],[B]]+Table1[[#This Row],[Atomic Constraints]]+Table1[[#This Row],[Soft Atomic Constraints]]+Table1[[#This Row],[Disjunctive Constraints]]+Table1[[#This Row],[Direct Successors]]</f>
        <v>1587</v>
      </c>
      <c r="J45" s="5" t="s">
        <v>26</v>
      </c>
      <c r="K45" s="2">
        <v>18628067</v>
      </c>
      <c r="L45" s="2">
        <v>304.08101549999998</v>
      </c>
      <c r="M45" s="2" t="str">
        <f>IF(AND(Table1[[#This Row],[Chuffed MZ1 Cost]]=Table1[[#This Row],[ORTools FZN2 Cost]],Table1[[#This Row],[ORTools FZN2 State]]="Optimal",Table1[[#This Row],[Chuffed MZ1 State]]="Suboptimal"),1,"")</f>
        <v/>
      </c>
      <c r="N45" s="5" t="s">
        <v>42</v>
      </c>
      <c r="O45" s="2">
        <v>-480715</v>
      </c>
      <c r="P45" s="2">
        <v>304.00028120000002</v>
      </c>
      <c r="Q45" s="2" t="str">
        <f>IF(AND(Table1[[#This Row],[Chuffed MZ2 Cost]]=Table1[[#This Row],[ORTools FZN2 Cost]],Table1[[#This Row],[ORTools FZN2 State]]="Optimal",Table1[[#This Row],[Chuffed MZ2 State]]="Suboptimal"),1,"")</f>
        <v/>
      </c>
      <c r="R45" s="6" t="s">
        <v>26</v>
      </c>
      <c r="S45" s="4">
        <v>11015956</v>
      </c>
      <c r="T45" s="4">
        <v>300.09899999999902</v>
      </c>
      <c r="U45" s="4"/>
      <c r="V45" s="5" t="s">
        <v>25</v>
      </c>
      <c r="W45" s="2">
        <v>10522681</v>
      </c>
      <c r="X45" s="2">
        <v>138.0751659</v>
      </c>
      <c r="Y45" s="2" t="str">
        <f>IF(AND(Table1[[#This Row],[ORTools FZN1 Cost]]=Table1[[#This Row],[ORTools FZN2 Cost]],Table1[[#This Row],[ORTools FZN2 State]]="Optimal",Table1[[#This Row],[ORTools FZN1 State]]="Suboptimal"),1,"")</f>
        <v/>
      </c>
      <c r="Z45" s="5" t="s">
        <v>25</v>
      </c>
      <c r="AA45" s="2">
        <v>10522681</v>
      </c>
      <c r="AB45" s="2">
        <v>221.53566369999999</v>
      </c>
      <c r="AC45" s="39" t="s">
        <v>42</v>
      </c>
      <c r="AD45" s="39">
        <v>-480715</v>
      </c>
      <c r="AE45" s="2">
        <v>300.36232960000001</v>
      </c>
      <c r="AF45" s="2" t="str">
        <f>IF(AND(Table1[[#This Row],[Cplex MB Cost]]=Table1[[#This Row],[ORTools FZN2 Cost]],Table1[[#This Row],[ORTools FZN2 State]]="Optimal",Table1[[#This Row],[Cplex MB State]]="Suboptimal"),1,"")</f>
        <v/>
      </c>
      <c r="AG45" s="4">
        <f>IF(AND(AC45="Optimal",AD45&lt;&gt;AA45,Table1[[#This Row],[Example]]&lt;&gt;"R001",Table1[[#This Row],[Example]]&lt;&gt;"R002"),AD45-AA45,)</f>
        <v>0</v>
      </c>
      <c r="AH45" s="5" t="s">
        <v>42</v>
      </c>
      <c r="AI45" s="2">
        <v>-480715</v>
      </c>
      <c r="AJ45" s="2">
        <v>300.34197369999998</v>
      </c>
      <c r="AK45" s="2" t="str">
        <f>IF(AND(Table1[[#This Row],[Cplex MD Cost]]=Table1[[#This Row],[ORTools FZN2 Cost]],Table1[[#This Row],[ORTools FZN2 State]]="Optimal",Table1[[#This Row],[Cplex MD State]]="Suboptimal"),1,"")</f>
        <v/>
      </c>
      <c r="AL45" s="2">
        <f>IF(AND(AH45="Optimal",AI45&lt;&gt;AA45,Table1[[#This Row],[Example]]&lt;&gt;"R001",Table1[[#This Row],[Example]]&lt;&gt;"R002"),AI45-AA45,)</f>
        <v>0</v>
      </c>
      <c r="AM45" s="39" t="s">
        <v>42</v>
      </c>
      <c r="AN45" s="39">
        <v>-480715</v>
      </c>
      <c r="AO45" s="2">
        <v>300.17853489999999</v>
      </c>
      <c r="AP4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5" s="2" t="str">
        <f>IF(AND(Table1[[#This Row],[Cplex MI Cost]]=Table1[[#This Row],[ORTools FZN2 Cost]],Table1[[#This Row],[ORTools FZN2 State]]="Optimal",Table1[[#This Row],[Cplex MI State]]="Suboptimal"),1,"")</f>
        <v/>
      </c>
      <c r="AR45" s="5" t="s">
        <v>42</v>
      </c>
      <c r="AS45" s="2">
        <v>-480715</v>
      </c>
      <c r="AT45" s="2">
        <v>300.08680670000001</v>
      </c>
      <c r="AU45" s="2" t="str">
        <f>IF(AND(Table1[[#This Row],[Z3 SMT2-1 Maxres Cost]]=Table1[[#This Row],[ORTools FZN2 Cost]],Table1[[#This Row],[ORTools FZN2 State]]="Optimal"),1,"")</f>
        <v/>
      </c>
      <c r="AV45" s="39" t="s">
        <v>42</v>
      </c>
      <c r="AW45" s="39">
        <v>-480715</v>
      </c>
      <c r="AX45" s="2">
        <v>300.08076349999999</v>
      </c>
      <c r="AY45" s="2" t="str">
        <f>IF(AND(Table1[[#This Row],[Z3 SMT2-1 PdMaxres Cost]]=Table1[[#This Row],[ORTools FZN2 Cost]],Table1[[#This Row],[ORTools FZN2 State]]="Optimal"),1,"")</f>
        <v/>
      </c>
      <c r="AZ45" s="5" t="s">
        <v>42</v>
      </c>
      <c r="BA45" s="2">
        <v>-480715</v>
      </c>
      <c r="BB45" s="39">
        <v>300.28203079999997</v>
      </c>
      <c r="BC45" s="39" t="str">
        <f>IF(AND(Table1[[#This Row],[Z3 SMT2-1 WMax Cost]]=Table1[[#This Row],[ORTools FZN2 Cost]],Table1[[#This Row],[ORTools FZN2 State]]="Optimal"),1,"")</f>
        <v/>
      </c>
      <c r="BD45" s="39" t="s">
        <v>42</v>
      </c>
      <c r="BE45" s="39">
        <v>-480715</v>
      </c>
      <c r="BF45" s="2">
        <v>300.0849293</v>
      </c>
      <c r="BG45" s="2" t="str">
        <f>IF(AND(Table1[[#This Row],[Z3 SMT2-2 Maxres Cost]]=Table1[[#This Row],[ORTools FZN2 Cost]],Table1[[#This Row],[ORTools FZN2 State]]="Optimal"),1,"")</f>
        <v/>
      </c>
      <c r="BH45" s="5" t="s">
        <v>42</v>
      </c>
      <c r="BI45" s="2">
        <v>-480715</v>
      </c>
      <c r="BJ45" s="39">
        <v>300.07224459999998</v>
      </c>
      <c r="BK45" s="39" t="str">
        <f>IF(AND(Table1[[#This Row],[Z3 SMT2-2 PdMaxres Cost]]=Table1[[#This Row],[ORTools FZN2 Cost]],Table1[[#This Row],[ORTools FZN2 State]]="Optimal"),1,"")</f>
        <v/>
      </c>
      <c r="BL45" s="39" t="s">
        <v>42</v>
      </c>
      <c r="BM45" s="39">
        <v>-480715</v>
      </c>
      <c r="BN45" s="2">
        <v>300.07727619999997</v>
      </c>
      <c r="BO45" s="4" t="str">
        <f>IF(AND(Table1[[#This Row],[Z3 SMT2-2 PdMaxres Cost]]=Table1[[#This Row],[ORTools FZN2 Cost]],Table1[[#This Row],[ORTools FZN2 State]]="Optimal"),1,"")</f>
        <v/>
      </c>
      <c r="BP45" s="5" t="s">
        <v>42</v>
      </c>
      <c r="BQ45" s="2">
        <v>-480715</v>
      </c>
      <c r="BR45" s="2">
        <v>308.48379080000001</v>
      </c>
      <c r="BS45" s="2" t="str">
        <f>IF(AND(Table1[[#This Row],[Gurobi MB Cost]]=Table1[[#This Row],[ORTools FZN2 Cost]],Table1[[#This Row],[ORTools FZN2 State]]="Optimal",Table1[[#This Row],[Gurobi MB State]]="Suboptimal"),1,"")</f>
        <v/>
      </c>
      <c r="BT4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5" s="5" t="s">
        <v>42</v>
      </c>
      <c r="BV45" s="2">
        <v>-480715</v>
      </c>
      <c r="BW45" s="2">
        <v>300.25333899999998</v>
      </c>
      <c r="BX45" s="2" t="str">
        <f>IF(AND(Table1[[#This Row],[Gurobi MD Cost]]=Table1[[#This Row],[ORTools FZN2 Cost]],Table1[[#This Row],[ORTools FZN2 State]]="Optimal",Table1[[#This Row],[Gurobi MD State]]="Suboptimal"),1,"")</f>
        <v/>
      </c>
      <c r="BY4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5" s="5" t="s">
        <v>42</v>
      </c>
      <c r="CA45" s="2">
        <v>-480715</v>
      </c>
      <c r="CB45" s="2">
        <v>300.02496209999998</v>
      </c>
      <c r="CC45" s="2" t="str">
        <f>IF(AND(Table1[[#This Row],[Gurobi MI Cost]]=Table1[[#This Row],[ORTools FZN2 Cost]],Table1[[#This Row],[ORTools FZN2 State]]="Optimal",Table1[[#This Row],[Gurobi MI State]]="Suboptimal"),1,"")</f>
        <v/>
      </c>
      <c r="CD4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5" s="39" t="s">
        <v>42</v>
      </c>
      <c r="CF45" s="2">
        <v>-480715</v>
      </c>
      <c r="CG45" s="39">
        <v>306.23999049999998</v>
      </c>
      <c r="CH45" s="39" t="s">
        <v>42</v>
      </c>
      <c r="CI45" s="39">
        <v>-480715</v>
      </c>
      <c r="CJ45" s="2">
        <v>306.14050839999999</v>
      </c>
      <c r="CK45" s="5" t="s">
        <v>26</v>
      </c>
      <c r="CL45" s="2">
        <v>10522681</v>
      </c>
      <c r="CM45" s="2">
        <v>300.17099999999903</v>
      </c>
      <c r="CN45" s="5" t="s">
        <v>26</v>
      </c>
      <c r="CO45" s="2">
        <v>17683799</v>
      </c>
      <c r="CP45" s="2">
        <v>304.18017470000001</v>
      </c>
      <c r="CQ45" s="5" t="s">
        <v>25</v>
      </c>
      <c r="CR45" s="2">
        <v>10522681</v>
      </c>
      <c r="CS45" s="2">
        <v>222.43821729999999</v>
      </c>
      <c r="CT45" s="6" t="s">
        <v>25</v>
      </c>
      <c r="CU45" s="4">
        <v>10522681</v>
      </c>
      <c r="CV45" s="4">
        <v>95.186266399999994</v>
      </c>
      <c r="CW45" s="39" t="s">
        <v>42</v>
      </c>
      <c r="CX45" s="39"/>
      <c r="CY45" s="2">
        <v>300.0188</v>
      </c>
      <c r="CZ45" s="2" t="str">
        <f>IF(AND(Table1[[#This Row],[Cplex MZ1 Cost]]=Table1[[#This Row],[ORTools FZN2 Cost]],Table1[[#This Row],[ORTools FZN2 State]]="Optimal",Table1[[#This Row],[Cplex MZ1 State]]="Suboptimal"),1,"")</f>
        <v/>
      </c>
      <c r="DA45" s="5" t="s">
        <v>42</v>
      </c>
      <c r="DB45" s="2"/>
      <c r="DC45" s="2">
        <v>300.012</v>
      </c>
      <c r="DD45" s="2" t="str">
        <f>IF(AND(Table1[[#This Row],[Cplex MZ2 Cost]]=Table1[[#This Row],[ORTools FZN2 Cost]],Table1[[#This Row],[ORTools FZN2 State]]="Optimal",Table1[[#This Row],[Cplex MZ2 State]]="Suboptimal"),1,"")</f>
        <v/>
      </c>
      <c r="DE45" s="39" t="s">
        <v>42</v>
      </c>
      <c r="DF45" s="39"/>
      <c r="DG45" s="2">
        <v>300.00220000000002</v>
      </c>
      <c r="DH45" s="2" t="str">
        <f>IF(AND(Table1[[#This Row],[Gurobi MZ1 Cost]]=Table1[[#This Row],[ORTools FZN2 Cost]],Table1[[#This Row],[ORTools FZN2 State]]="Optimal",Table1[[#This Row],[Gurobi MZ1 State]]="Suboptimal"),1,"")</f>
        <v/>
      </c>
      <c r="DI45" s="5" t="s">
        <v>42</v>
      </c>
      <c r="DJ45" s="2"/>
      <c r="DK45" s="2">
        <v>300.00959999999998</v>
      </c>
      <c r="DL45" s="4" t="str">
        <f>IF(AND(Table1[[#This Row],[Gurobi MZ2 Cost]]=Table1[[#This Row],[ORTools FZN2 Cost]],Table1[[#This Row],[ORTools FZN2 State]]="Optimal",Table1[[#This Row],[Gurobi MZ2 State]]="Suboptimal"),1,"")</f>
        <v/>
      </c>
      <c r="DM45" s="39" t="s">
        <v>26</v>
      </c>
      <c r="DN45" s="39">
        <v>11945791</v>
      </c>
      <c r="DO45" s="65">
        <v>300.11200000000002</v>
      </c>
      <c r="DP45" s="4" t="str">
        <f>IF(AND(Table1[[#This Row],[Cplex MC nonDual Cost]]=Table1[[#This Row],[ORTools FZN2 Cost]],Table1[[#This Row],[ORTools FZN2 State]]="Optimal",Table1[[#This Row],[Cplex MC nonDual State]]="Suboptimal"),1,"")</f>
        <v/>
      </c>
      <c r="DQ45" s="5" t="s">
        <v>26</v>
      </c>
      <c r="DR45" s="2">
        <v>18219806</v>
      </c>
      <c r="DS45" s="2">
        <v>300.03429999999997</v>
      </c>
      <c r="DT45" s="2" t="str">
        <f>IF(AND(Table1[[#This Row],[Cplex MIP DM''z Cost]]=Table1[[#This Row],[ORTools FZN2 Cost]],Table1[[#This Row],[ORTools FZN2 State]]="Optimal",Table1[[#This Row],[Cplex MIP DM''z  State]]="Suboptimal"),1,"")</f>
        <v/>
      </c>
      <c r="DU4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5" s="5" t="s">
        <v>42</v>
      </c>
      <c r="DW45" s="2"/>
      <c r="DX45" s="2">
        <v>300.01220000000001</v>
      </c>
      <c r="DY45" s="4" t="str">
        <f>IF(AND(Table1[[#This Row],[Gurobi DM''z  Cost]]=Table1[[#This Row],[ORTools FZN2 Cost]],Table1[[#This Row],[ORTools FZN2 State]]="Optimal",Table1[[#This Row],[Gurobi DM''z  State]]="Suboptimal"),1,"")</f>
        <v/>
      </c>
      <c r="DZ4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6" spans="1:130" ht="15.75" x14ac:dyDescent="0.25">
      <c r="A46" s="46" t="s">
        <v>71</v>
      </c>
      <c r="B46" s="5">
        <v>80</v>
      </c>
      <c r="C46" s="2">
        <v>40</v>
      </c>
      <c r="D46" s="5">
        <v>1053</v>
      </c>
      <c r="E46" s="3">
        <v>55</v>
      </c>
      <c r="F46" s="34">
        <v>508</v>
      </c>
      <c r="G46" s="3">
        <v>0</v>
      </c>
      <c r="H46" s="4">
        <f t="shared" si="0"/>
        <v>0</v>
      </c>
      <c r="I46" s="4">
        <f>Table1[[#This Row],[B]]+Table1[[#This Row],[Atomic Constraints]]+Table1[[#This Row],[Soft Atomic Constraints]]+Table1[[#This Row],[Disjunctive Constraints]]+Table1[[#This Row],[Direct Successors]]</f>
        <v>1656</v>
      </c>
      <c r="J46" s="5" t="s">
        <v>26</v>
      </c>
      <c r="K46" s="2">
        <v>19096751</v>
      </c>
      <c r="L46" s="2">
        <v>304.22490479999999</v>
      </c>
      <c r="M46" s="2" t="str">
        <f>IF(AND(Table1[[#This Row],[Chuffed MZ1 Cost]]=Table1[[#This Row],[ORTools FZN2 Cost]],Table1[[#This Row],[ORTools FZN2 State]]="Optimal",Table1[[#This Row],[Chuffed MZ1 State]]="Suboptimal"),1,"")</f>
        <v/>
      </c>
      <c r="N46" s="5" t="s">
        <v>42</v>
      </c>
      <c r="O46" s="2">
        <v>-518481</v>
      </c>
      <c r="P46" s="2">
        <v>304.16549550000002</v>
      </c>
      <c r="Q46" s="2" t="str">
        <f>IF(AND(Table1[[#This Row],[Chuffed MZ2 Cost]]=Table1[[#This Row],[ORTools FZN2 Cost]],Table1[[#This Row],[ORTools FZN2 State]]="Optimal",Table1[[#This Row],[Chuffed MZ2 State]]="Suboptimal"),1,"")</f>
        <v/>
      </c>
      <c r="R46" s="5" t="s">
        <v>26</v>
      </c>
      <c r="S46" s="2">
        <v>12394978</v>
      </c>
      <c r="T46" s="2">
        <v>300.291</v>
      </c>
      <c r="U46" s="2"/>
      <c r="V46" s="5" t="s">
        <v>25</v>
      </c>
      <c r="W46" s="2">
        <v>11863458</v>
      </c>
      <c r="X46" s="2">
        <v>187.79855459999999</v>
      </c>
      <c r="Y46" s="2" t="str">
        <f>IF(AND(Table1[[#This Row],[ORTools FZN1 Cost]]=Table1[[#This Row],[ORTools FZN2 Cost]],Table1[[#This Row],[ORTools FZN2 State]]="Optimal",Table1[[#This Row],[ORTools FZN1 State]]="Suboptimal"),1,"")</f>
        <v/>
      </c>
      <c r="Z46" s="5" t="s">
        <v>25</v>
      </c>
      <c r="AA46" s="2">
        <v>11863458</v>
      </c>
      <c r="AB46" s="2">
        <v>178.29454709999999</v>
      </c>
      <c r="AC46" s="39" t="s">
        <v>42</v>
      </c>
      <c r="AD46" s="39">
        <v>-518481</v>
      </c>
      <c r="AE46" s="2">
        <v>300.23304130000002</v>
      </c>
      <c r="AF46" s="2" t="str">
        <f>IF(AND(Table1[[#This Row],[Cplex MB Cost]]=Table1[[#This Row],[ORTools FZN2 Cost]],Table1[[#This Row],[ORTools FZN2 State]]="Optimal",Table1[[#This Row],[Cplex MB State]]="Suboptimal"),1,"")</f>
        <v/>
      </c>
      <c r="AG46" s="4">
        <f>IF(AND(AC46="Optimal",AD46&lt;&gt;AA46,Table1[[#This Row],[Example]]&lt;&gt;"R001",Table1[[#This Row],[Example]]&lt;&gt;"R002"),AD46-AA46,)</f>
        <v>0</v>
      </c>
      <c r="AH46" s="5" t="s">
        <v>42</v>
      </c>
      <c r="AI46" s="2">
        <v>-518481</v>
      </c>
      <c r="AJ46" s="2">
        <v>300.30704889999998</v>
      </c>
      <c r="AK46" s="2" t="str">
        <f>IF(AND(Table1[[#This Row],[Cplex MD Cost]]=Table1[[#This Row],[ORTools FZN2 Cost]],Table1[[#This Row],[ORTools FZN2 State]]="Optimal",Table1[[#This Row],[Cplex MD State]]="Suboptimal"),1,"")</f>
        <v/>
      </c>
      <c r="AL46" s="2">
        <f>IF(AND(AH46="Optimal",AI46&lt;&gt;AA46,Table1[[#This Row],[Example]]&lt;&gt;"R001",Table1[[#This Row],[Example]]&lt;&gt;"R002"),AI46-AA46,)</f>
        <v>0</v>
      </c>
      <c r="AM46" s="39" t="s">
        <v>26</v>
      </c>
      <c r="AN46" s="39">
        <v>20611871</v>
      </c>
      <c r="AO46" s="2">
        <v>300.1428684</v>
      </c>
      <c r="AP4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6" s="4" t="str">
        <f>IF(AND(Table1[[#This Row],[Cplex MI Cost]]=Table1[[#This Row],[ORTools FZN2 Cost]],Table1[[#This Row],[ORTools FZN2 State]]="Optimal",Table1[[#This Row],[Cplex MI State]]="Suboptimal"),1,"")</f>
        <v/>
      </c>
      <c r="AR46" s="5" t="s">
        <v>42</v>
      </c>
      <c r="AS46" s="2">
        <v>-518481</v>
      </c>
      <c r="AT46" s="2">
        <v>300.09058870000001</v>
      </c>
      <c r="AU46" s="2" t="str">
        <f>IF(AND(Table1[[#This Row],[Z3 SMT2-1 Maxres Cost]]=Table1[[#This Row],[ORTools FZN2 Cost]],Table1[[#This Row],[ORTools FZN2 State]]="Optimal"),1,"")</f>
        <v/>
      </c>
      <c r="AV46" s="39" t="s">
        <v>42</v>
      </c>
      <c r="AW46" s="39">
        <v>-518481</v>
      </c>
      <c r="AX46" s="2">
        <v>300.09059980000001</v>
      </c>
      <c r="AY46" s="2" t="str">
        <f>IF(AND(Table1[[#This Row],[Z3 SMT2-1 PdMaxres Cost]]=Table1[[#This Row],[ORTools FZN2 Cost]],Table1[[#This Row],[ORTools FZN2 State]]="Optimal"),1,"")</f>
        <v/>
      </c>
      <c r="AZ46" s="5" t="s">
        <v>42</v>
      </c>
      <c r="BA46" s="2">
        <v>-518481</v>
      </c>
      <c r="BB46" s="39">
        <v>300.10745409999998</v>
      </c>
      <c r="BC46" s="39" t="str">
        <f>IF(AND(Table1[[#This Row],[Z3 SMT2-1 WMax Cost]]=Table1[[#This Row],[ORTools FZN2 Cost]],Table1[[#This Row],[ORTools FZN2 State]]="Optimal"),1,"")</f>
        <v/>
      </c>
      <c r="BD46" s="39" t="s">
        <v>42</v>
      </c>
      <c r="BE46" s="39">
        <v>-518481</v>
      </c>
      <c r="BF46" s="2">
        <v>300.08656489999998</v>
      </c>
      <c r="BG46" s="2" t="str">
        <f>IF(AND(Table1[[#This Row],[Z3 SMT2-2 Maxres Cost]]=Table1[[#This Row],[ORTools FZN2 Cost]],Table1[[#This Row],[ORTools FZN2 State]]="Optimal"),1,"")</f>
        <v/>
      </c>
      <c r="BH46" s="5" t="s">
        <v>42</v>
      </c>
      <c r="BI46" s="2">
        <v>-518481</v>
      </c>
      <c r="BJ46" s="39">
        <v>300.07210570000001</v>
      </c>
      <c r="BK46" s="39" t="str">
        <f>IF(AND(Table1[[#This Row],[Z3 SMT2-2 PdMaxres Cost]]=Table1[[#This Row],[ORTools FZN2 Cost]],Table1[[#This Row],[ORTools FZN2 State]]="Optimal"),1,"")</f>
        <v/>
      </c>
      <c r="BL46" s="39" t="s">
        <v>42</v>
      </c>
      <c r="BM46" s="39">
        <v>-518481</v>
      </c>
      <c r="BN46" s="2">
        <v>300.08707379999998</v>
      </c>
      <c r="BO46" s="4" t="str">
        <f>IF(AND(Table1[[#This Row],[Z3 SMT2-2 PdMaxres Cost]]=Table1[[#This Row],[ORTools FZN2 Cost]],Table1[[#This Row],[ORTools FZN2 State]]="Optimal"),1,"")</f>
        <v/>
      </c>
      <c r="BP46" s="5" t="s">
        <v>42</v>
      </c>
      <c r="BQ46" s="2">
        <v>-518481</v>
      </c>
      <c r="BR46" s="2">
        <v>300.32226109999999</v>
      </c>
      <c r="BS46" s="2" t="str">
        <f>IF(AND(Table1[[#This Row],[Gurobi MB Cost]]=Table1[[#This Row],[ORTools FZN2 Cost]],Table1[[#This Row],[ORTools FZN2 State]]="Optimal",Table1[[#This Row],[Gurobi MB State]]="Suboptimal"),1,"")</f>
        <v/>
      </c>
      <c r="BT4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6" s="5" t="s">
        <v>42</v>
      </c>
      <c r="BV46" s="2">
        <v>-518481</v>
      </c>
      <c r="BW46" s="2">
        <v>300.14452060000002</v>
      </c>
      <c r="BX46" s="2" t="str">
        <f>IF(AND(Table1[[#This Row],[Gurobi MD Cost]]=Table1[[#This Row],[ORTools FZN2 Cost]],Table1[[#This Row],[ORTools FZN2 State]]="Optimal",Table1[[#This Row],[Gurobi MD State]]="Suboptimal"),1,"")</f>
        <v/>
      </c>
      <c r="BY4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6" s="5" t="s">
        <v>42</v>
      </c>
      <c r="CA46" s="2">
        <v>-518481</v>
      </c>
      <c r="CB46" s="2">
        <v>300.95385420000002</v>
      </c>
      <c r="CC46" s="2" t="str">
        <f>IF(AND(Table1[[#This Row],[Gurobi MI Cost]]=Table1[[#This Row],[ORTools FZN2 Cost]],Table1[[#This Row],[ORTools FZN2 State]]="Optimal",Table1[[#This Row],[Gurobi MI State]]="Suboptimal"),1,"")</f>
        <v/>
      </c>
      <c r="CD4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6" s="39" t="s">
        <v>42</v>
      </c>
      <c r="CF46" s="2">
        <v>-518481</v>
      </c>
      <c r="CG46" s="39">
        <v>306.31712579999999</v>
      </c>
      <c r="CH46" s="39" t="s">
        <v>42</v>
      </c>
      <c r="CI46" s="39">
        <v>-518481</v>
      </c>
      <c r="CJ46" s="2">
        <v>306.14952419999997</v>
      </c>
      <c r="CK46" s="5" t="s">
        <v>26</v>
      </c>
      <c r="CL46" s="2">
        <v>11870419</v>
      </c>
      <c r="CM46" s="2">
        <v>300.12400000000002</v>
      </c>
      <c r="CN46" s="5" t="s">
        <v>26</v>
      </c>
      <c r="CO46" s="2">
        <v>18047147</v>
      </c>
      <c r="CP46" s="2">
        <v>304.1058567</v>
      </c>
      <c r="CQ46" s="5" t="s">
        <v>25</v>
      </c>
      <c r="CR46" s="2">
        <v>11863458</v>
      </c>
      <c r="CS46" s="2">
        <v>246.28020889999999</v>
      </c>
      <c r="CT46" s="6" t="s">
        <v>25</v>
      </c>
      <c r="CU46" s="4">
        <v>11863458</v>
      </c>
      <c r="CV46" s="4">
        <v>107.5032016</v>
      </c>
      <c r="CW46" s="39" t="s">
        <v>42</v>
      </c>
      <c r="CX46" s="39"/>
      <c r="CY46" s="2">
        <v>300.01049999999998</v>
      </c>
      <c r="CZ46" s="2" t="str">
        <f>IF(AND(Table1[[#This Row],[Cplex MZ1 Cost]]=Table1[[#This Row],[ORTools FZN2 Cost]],Table1[[#This Row],[ORTools FZN2 State]]="Optimal",Table1[[#This Row],[Cplex MZ1 State]]="Suboptimal"),1,"")</f>
        <v/>
      </c>
      <c r="DA46" s="5" t="s">
        <v>42</v>
      </c>
      <c r="DB46" s="2"/>
      <c r="DC46" s="2">
        <v>300.02109999999999</v>
      </c>
      <c r="DD46" s="2" t="str">
        <f>IF(AND(Table1[[#This Row],[Cplex MZ2 Cost]]=Table1[[#This Row],[ORTools FZN2 Cost]],Table1[[#This Row],[ORTools FZN2 State]]="Optimal",Table1[[#This Row],[Cplex MZ2 State]]="Suboptimal"),1,"")</f>
        <v/>
      </c>
      <c r="DE46" s="39" t="s">
        <v>42</v>
      </c>
      <c r="DF46" s="39"/>
      <c r="DG46" s="2">
        <v>300.00720000000001</v>
      </c>
      <c r="DH46" s="2" t="str">
        <f>IF(AND(Table1[[#This Row],[Gurobi MZ1 Cost]]=Table1[[#This Row],[ORTools FZN2 Cost]],Table1[[#This Row],[ORTools FZN2 State]]="Optimal",Table1[[#This Row],[Gurobi MZ1 State]]="Suboptimal"),1,"")</f>
        <v/>
      </c>
      <c r="DI46" s="5" t="s">
        <v>42</v>
      </c>
      <c r="DJ46" s="2"/>
      <c r="DK46" s="2">
        <v>300.00470000000001</v>
      </c>
      <c r="DL46" s="4" t="str">
        <f>IF(AND(Table1[[#This Row],[Gurobi MZ2 Cost]]=Table1[[#This Row],[ORTools FZN2 Cost]],Table1[[#This Row],[ORTools FZN2 State]]="Optimal",Table1[[#This Row],[Gurobi MZ2 State]]="Suboptimal"),1,"")</f>
        <v/>
      </c>
      <c r="DM46" s="39" t="s">
        <v>26</v>
      </c>
      <c r="DN46" s="39">
        <v>12906414</v>
      </c>
      <c r="DO46" s="65">
        <v>300.140999999999</v>
      </c>
      <c r="DP46" s="4" t="str">
        <f>IF(AND(Table1[[#This Row],[Cplex MC nonDual Cost]]=Table1[[#This Row],[ORTools FZN2 Cost]],Table1[[#This Row],[ORTools FZN2 State]]="Optimal",Table1[[#This Row],[Cplex MC nonDual State]]="Suboptimal"),1,"")</f>
        <v/>
      </c>
      <c r="DQ46" s="5" t="s">
        <v>42</v>
      </c>
      <c r="DR46" s="2"/>
      <c r="DS46" s="2">
        <v>300.02940000000001</v>
      </c>
      <c r="DT46" s="2" t="str">
        <f>IF(AND(Table1[[#This Row],[Cplex MIP DM''z Cost]]=Table1[[#This Row],[ORTools FZN2 Cost]],Table1[[#This Row],[ORTools FZN2 State]]="Optimal",Table1[[#This Row],[Cplex MIP DM''z  State]]="Suboptimal"),1,"")</f>
        <v/>
      </c>
      <c r="DU4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6" s="5" t="s">
        <v>42</v>
      </c>
      <c r="DW46" s="2"/>
      <c r="DX46" s="2">
        <v>299.99829999999997</v>
      </c>
      <c r="DY46" s="4" t="str">
        <f>IF(AND(Table1[[#This Row],[Gurobi DM''z  Cost]]=Table1[[#This Row],[ORTools FZN2 Cost]],Table1[[#This Row],[ORTools FZN2 State]]="Optimal",Table1[[#This Row],[Gurobi DM''z  State]]="Suboptimal"),1,"")</f>
        <v/>
      </c>
      <c r="DZ4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7" spans="1:130" ht="15.75" x14ac:dyDescent="0.25">
      <c r="A47" s="46" t="s">
        <v>72</v>
      </c>
      <c r="B47" s="5">
        <v>72</v>
      </c>
      <c r="C47" s="2">
        <v>36</v>
      </c>
      <c r="D47" s="5">
        <v>980</v>
      </c>
      <c r="E47" s="3">
        <v>45</v>
      </c>
      <c r="F47" s="34">
        <v>210</v>
      </c>
      <c r="G47" s="3">
        <v>0</v>
      </c>
      <c r="H47" s="4">
        <f t="shared" si="0"/>
        <v>0</v>
      </c>
      <c r="I47" s="4">
        <f>Table1[[#This Row],[B]]+Table1[[#This Row],[Atomic Constraints]]+Table1[[#This Row],[Soft Atomic Constraints]]+Table1[[#This Row],[Disjunctive Constraints]]+Table1[[#This Row],[Direct Successors]]</f>
        <v>1271</v>
      </c>
      <c r="J47" s="5" t="s">
        <v>26</v>
      </c>
      <c r="K47" s="2">
        <v>12804291</v>
      </c>
      <c r="L47" s="2">
        <v>303.5089175</v>
      </c>
      <c r="M47" s="2" t="str">
        <f>IF(AND(Table1[[#This Row],[Chuffed MZ1 Cost]]=Table1[[#This Row],[ORTools FZN2 Cost]],Table1[[#This Row],[ORTools FZN2 State]]="Optimal",Table1[[#This Row],[Chuffed MZ1 State]]="Suboptimal"),1,"")</f>
        <v/>
      </c>
      <c r="N47" s="5" t="s">
        <v>26</v>
      </c>
      <c r="O47" s="2">
        <v>13534293</v>
      </c>
      <c r="P47" s="2">
        <v>303.43890329999999</v>
      </c>
      <c r="Q47" s="2" t="str">
        <f>IF(AND(Table1[[#This Row],[Chuffed MZ2 Cost]]=Table1[[#This Row],[ORTools FZN2 Cost]],Table1[[#This Row],[ORTools FZN2 State]]="Optimal",Table1[[#This Row],[Chuffed MZ2 State]]="Suboptimal"),1,"")</f>
        <v/>
      </c>
      <c r="R47" s="6" t="s">
        <v>26</v>
      </c>
      <c r="S47" s="4">
        <v>7919079</v>
      </c>
      <c r="T47" s="4">
        <v>300.07100000000099</v>
      </c>
      <c r="U47" s="4"/>
      <c r="V47" s="5" t="s">
        <v>25</v>
      </c>
      <c r="W47" s="2">
        <v>7913745</v>
      </c>
      <c r="X47" s="2">
        <v>196.7166829</v>
      </c>
      <c r="Y47" s="2" t="str">
        <f>IF(AND(Table1[[#This Row],[ORTools FZN1 Cost]]=Table1[[#This Row],[ORTools FZN2 Cost]],Table1[[#This Row],[ORTools FZN2 State]]="Optimal",Table1[[#This Row],[ORTools FZN1 State]]="Suboptimal"),1,"")</f>
        <v/>
      </c>
      <c r="Z47" s="5" t="s">
        <v>25</v>
      </c>
      <c r="AA47" s="2">
        <v>7913745</v>
      </c>
      <c r="AB47" s="2">
        <v>183.2112357</v>
      </c>
      <c r="AC47" s="39" t="s">
        <v>42</v>
      </c>
      <c r="AD47" s="39">
        <v>-378505</v>
      </c>
      <c r="AE47" s="2">
        <v>300.14183910000003</v>
      </c>
      <c r="AF47" s="2" t="str">
        <f>IF(AND(Table1[[#This Row],[Cplex MB Cost]]=Table1[[#This Row],[ORTools FZN2 Cost]],Table1[[#This Row],[ORTools FZN2 State]]="Optimal",Table1[[#This Row],[Cplex MB State]]="Suboptimal"),1,"")</f>
        <v/>
      </c>
      <c r="AG47" s="4">
        <f>IF(AND(AC47="Optimal",AD47&lt;&gt;AA47,Table1[[#This Row],[Example]]&lt;&gt;"R001",Table1[[#This Row],[Example]]&lt;&gt;"R002"),AD47-AA47,)</f>
        <v>0</v>
      </c>
      <c r="AH47" s="5" t="s">
        <v>42</v>
      </c>
      <c r="AI47" s="2">
        <v>-378505</v>
      </c>
      <c r="AJ47" s="2">
        <v>300.62665950000002</v>
      </c>
      <c r="AK47" s="2" t="str">
        <f>IF(AND(Table1[[#This Row],[Cplex MD Cost]]=Table1[[#This Row],[ORTools FZN2 Cost]],Table1[[#This Row],[ORTools FZN2 State]]="Optimal",Table1[[#This Row],[Cplex MD State]]="Suboptimal"),1,"")</f>
        <v/>
      </c>
      <c r="AL47" s="2">
        <f>IF(AND(AH47="Optimal",AI47&lt;&gt;AA47,Table1[[#This Row],[Example]]&lt;&gt;"R001",Table1[[#This Row],[Example]]&lt;&gt;"R002"),AI47-AA47,)</f>
        <v>0</v>
      </c>
      <c r="AM47" s="39" t="s">
        <v>26</v>
      </c>
      <c r="AN47" s="39">
        <v>9791583</v>
      </c>
      <c r="AO47" s="2">
        <v>300.09687409999998</v>
      </c>
      <c r="AP4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7" s="2" t="str">
        <f>IF(AND(Table1[[#This Row],[Cplex MI Cost]]=Table1[[#This Row],[ORTools FZN2 Cost]],Table1[[#This Row],[ORTools FZN2 State]]="Optimal",Table1[[#This Row],[Cplex MI State]]="Suboptimal"),1,"")</f>
        <v/>
      </c>
      <c r="AR47" s="5" t="s">
        <v>42</v>
      </c>
      <c r="AS47" s="2">
        <v>-378505</v>
      </c>
      <c r="AT47" s="2">
        <v>300.07265719999998</v>
      </c>
      <c r="AU47" s="2" t="str">
        <f>IF(AND(Table1[[#This Row],[Z3 SMT2-1 Maxres Cost]]=Table1[[#This Row],[ORTools FZN2 Cost]],Table1[[#This Row],[ORTools FZN2 State]]="Optimal"),1,"")</f>
        <v/>
      </c>
      <c r="AV47" s="39" t="s">
        <v>42</v>
      </c>
      <c r="AW47" s="39">
        <v>-378505</v>
      </c>
      <c r="AX47" s="2">
        <v>300.08451630000002</v>
      </c>
      <c r="AY47" s="2" t="str">
        <f>IF(AND(Table1[[#This Row],[Z3 SMT2-1 PdMaxres Cost]]=Table1[[#This Row],[ORTools FZN2 Cost]],Table1[[#This Row],[ORTools FZN2 State]]="Optimal"),1,"")</f>
        <v/>
      </c>
      <c r="AZ47" s="5" t="s">
        <v>42</v>
      </c>
      <c r="BA47" s="2">
        <v>-378505</v>
      </c>
      <c r="BB47" s="39">
        <v>300.08432479999999</v>
      </c>
      <c r="BC47" s="39" t="str">
        <f>IF(AND(Table1[[#This Row],[Z3 SMT2-1 WMax Cost]]=Table1[[#This Row],[ORTools FZN2 Cost]],Table1[[#This Row],[ORTools FZN2 State]]="Optimal"),1,"")</f>
        <v/>
      </c>
      <c r="BD47" s="39" t="s">
        <v>42</v>
      </c>
      <c r="BE47" s="39">
        <v>-378505</v>
      </c>
      <c r="BF47" s="2">
        <v>300.0686973</v>
      </c>
      <c r="BG47" s="2" t="str">
        <f>IF(AND(Table1[[#This Row],[Z3 SMT2-2 Maxres Cost]]=Table1[[#This Row],[ORTools FZN2 Cost]],Table1[[#This Row],[ORTools FZN2 State]]="Optimal"),1,"")</f>
        <v/>
      </c>
      <c r="BH47" s="5" t="s">
        <v>42</v>
      </c>
      <c r="BI47" s="2">
        <v>-378505</v>
      </c>
      <c r="BJ47" s="39">
        <v>300.0729733</v>
      </c>
      <c r="BK47" s="39" t="str">
        <f>IF(AND(Table1[[#This Row],[Z3 SMT2-2 PdMaxres Cost]]=Table1[[#This Row],[ORTools FZN2 Cost]],Table1[[#This Row],[ORTools FZN2 State]]="Optimal"),1,"")</f>
        <v/>
      </c>
      <c r="BL47" s="39" t="s">
        <v>42</v>
      </c>
      <c r="BM47" s="39">
        <v>-378505</v>
      </c>
      <c r="BN47" s="2">
        <v>300.07982570000001</v>
      </c>
      <c r="BO47" s="4" t="str">
        <f>IF(AND(Table1[[#This Row],[Z3 SMT2-2 PdMaxres Cost]]=Table1[[#This Row],[ORTools FZN2 Cost]],Table1[[#This Row],[ORTools FZN2 State]]="Optimal"),1,"")</f>
        <v/>
      </c>
      <c r="BP47" s="5" t="s">
        <v>42</v>
      </c>
      <c r="BQ47" s="2">
        <v>-378505</v>
      </c>
      <c r="BR47" s="2">
        <v>314.84034889999998</v>
      </c>
      <c r="BS47" s="2" t="str">
        <f>IF(AND(Table1[[#This Row],[Gurobi MB Cost]]=Table1[[#This Row],[ORTools FZN2 Cost]],Table1[[#This Row],[ORTools FZN2 State]]="Optimal",Table1[[#This Row],[Gurobi MB State]]="Suboptimal"),1,"")</f>
        <v/>
      </c>
      <c r="BT4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7" s="5" t="s">
        <v>42</v>
      </c>
      <c r="BV47" s="2">
        <v>-378505</v>
      </c>
      <c r="BW47" s="2">
        <v>300.1665691</v>
      </c>
      <c r="BX47" s="2" t="str">
        <f>IF(AND(Table1[[#This Row],[Gurobi MD Cost]]=Table1[[#This Row],[ORTools FZN2 Cost]],Table1[[#This Row],[ORTools FZN2 State]]="Optimal",Table1[[#This Row],[Gurobi MD State]]="Suboptimal"),1,"")</f>
        <v/>
      </c>
      <c r="BY4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7" s="5" t="s">
        <v>42</v>
      </c>
      <c r="CA47" s="2">
        <v>-378505</v>
      </c>
      <c r="CB47" s="2">
        <v>310.05922809999998</v>
      </c>
      <c r="CC47" s="2" t="str">
        <f>IF(AND(Table1[[#This Row],[Gurobi MI Cost]]=Table1[[#This Row],[ORTools FZN2 Cost]],Table1[[#This Row],[ORTools FZN2 State]]="Optimal",Table1[[#This Row],[Gurobi MI State]]="Suboptimal"),1,"")</f>
        <v/>
      </c>
      <c r="CD4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7" s="39" t="s">
        <v>42</v>
      </c>
      <c r="CF47" s="2">
        <v>-378505</v>
      </c>
      <c r="CG47" s="39">
        <v>306.2308721</v>
      </c>
      <c r="CH47" s="39" t="s">
        <v>42</v>
      </c>
      <c r="CI47" s="39">
        <v>-378505</v>
      </c>
      <c r="CJ47" s="2">
        <v>306.09856989999997</v>
      </c>
      <c r="CK47" s="5" t="s">
        <v>26</v>
      </c>
      <c r="CL47" s="2">
        <v>7913746</v>
      </c>
      <c r="CM47" s="2">
        <v>300.27600000000001</v>
      </c>
      <c r="CN47" s="5" t="s">
        <v>26</v>
      </c>
      <c r="CO47" s="2">
        <v>12420523</v>
      </c>
      <c r="CP47" s="2">
        <v>303.43361290000001</v>
      </c>
      <c r="CQ47" s="5" t="s">
        <v>25</v>
      </c>
      <c r="CR47" s="2">
        <v>7913745</v>
      </c>
      <c r="CS47" s="2">
        <v>115.4427319</v>
      </c>
      <c r="CT47" s="6" t="s">
        <v>25</v>
      </c>
      <c r="CU47" s="4">
        <v>7913745</v>
      </c>
      <c r="CV47" s="4">
        <v>51.384186900000003</v>
      </c>
      <c r="CW47" s="39" t="s">
        <v>42</v>
      </c>
      <c r="CX47" s="39"/>
      <c r="CY47" s="2">
        <v>300.03730000000002</v>
      </c>
      <c r="CZ47" s="2" t="str">
        <f>IF(AND(Table1[[#This Row],[Cplex MZ1 Cost]]=Table1[[#This Row],[ORTools FZN2 Cost]],Table1[[#This Row],[ORTools FZN2 State]]="Optimal",Table1[[#This Row],[Cplex MZ1 State]]="Suboptimal"),1,"")</f>
        <v/>
      </c>
      <c r="DA47" s="5" t="s">
        <v>26</v>
      </c>
      <c r="DB47" s="2">
        <v>11289398</v>
      </c>
      <c r="DC47" s="2">
        <v>300.02019999999999</v>
      </c>
      <c r="DD47" s="2" t="str">
        <f>IF(AND(Table1[[#This Row],[Cplex MZ2 Cost]]=Table1[[#This Row],[ORTools FZN2 Cost]],Table1[[#This Row],[ORTools FZN2 State]]="Optimal",Table1[[#This Row],[Cplex MZ2 State]]="Suboptimal"),1,"")</f>
        <v/>
      </c>
      <c r="DE47" s="39" t="s">
        <v>42</v>
      </c>
      <c r="DF47" s="39"/>
      <c r="DG47" s="2">
        <v>300.01330000000002</v>
      </c>
      <c r="DH47" s="2" t="str">
        <f>IF(AND(Table1[[#This Row],[Gurobi MZ1 Cost]]=Table1[[#This Row],[ORTools FZN2 Cost]],Table1[[#This Row],[ORTools FZN2 State]]="Optimal",Table1[[#This Row],[Gurobi MZ1 State]]="Suboptimal"),1,"")</f>
        <v/>
      </c>
      <c r="DI47" s="5" t="s">
        <v>42</v>
      </c>
      <c r="DJ47" s="2"/>
      <c r="DK47" s="2">
        <v>300.00850000000003</v>
      </c>
      <c r="DL47" s="4" t="str">
        <f>IF(AND(Table1[[#This Row],[Gurobi MZ2 Cost]]=Table1[[#This Row],[ORTools FZN2 Cost]],Table1[[#This Row],[ORTools FZN2 State]]="Optimal",Table1[[#This Row],[Gurobi MZ2 State]]="Suboptimal"),1,"")</f>
        <v/>
      </c>
      <c r="DM47" s="39" t="s">
        <v>26</v>
      </c>
      <c r="DN47" s="39">
        <v>7919082</v>
      </c>
      <c r="DO47" s="65">
        <v>300.06599999999997</v>
      </c>
      <c r="DP47" s="4" t="str">
        <f>IF(AND(Table1[[#This Row],[Cplex MC nonDual Cost]]=Table1[[#This Row],[ORTools FZN2 Cost]],Table1[[#This Row],[ORTools FZN2 State]]="Optimal",Table1[[#This Row],[Cplex MC nonDual State]]="Suboptimal"),1,"")</f>
        <v/>
      </c>
      <c r="DQ47" s="5" t="s">
        <v>26</v>
      </c>
      <c r="DR47" s="2">
        <v>10169300</v>
      </c>
      <c r="DS47" s="2">
        <v>300.03410000000002</v>
      </c>
      <c r="DT47" s="2" t="str">
        <f>IF(AND(Table1[[#This Row],[Cplex MIP DM''z Cost]]=Table1[[#This Row],[ORTools FZN2 Cost]],Table1[[#This Row],[ORTools FZN2 State]]="Optimal",Table1[[#This Row],[Cplex MIP DM''z  State]]="Suboptimal"),1,"")</f>
        <v/>
      </c>
      <c r="DU4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7" s="5" t="s">
        <v>42</v>
      </c>
      <c r="DW47" s="2"/>
      <c r="DX47" s="2">
        <v>301.26990000000001</v>
      </c>
      <c r="DY47" s="4" t="str">
        <f>IF(AND(Table1[[#This Row],[Gurobi DM''z  Cost]]=Table1[[#This Row],[ORTools FZN2 Cost]],Table1[[#This Row],[ORTools FZN2 State]]="Optimal",Table1[[#This Row],[Gurobi DM''z  State]]="Suboptimal"),1,"")</f>
        <v/>
      </c>
      <c r="DZ4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8" spans="1:130" ht="15.75" x14ac:dyDescent="0.25">
      <c r="A48" s="46" t="s">
        <v>73</v>
      </c>
      <c r="B48" s="5">
        <v>80</v>
      </c>
      <c r="C48" s="2">
        <v>40</v>
      </c>
      <c r="D48" s="5">
        <v>1228</v>
      </c>
      <c r="E48" s="2">
        <v>51</v>
      </c>
      <c r="F48" s="5">
        <v>432</v>
      </c>
      <c r="G48" s="2">
        <v>0</v>
      </c>
      <c r="H48" s="4">
        <f t="shared" si="0"/>
        <v>0</v>
      </c>
      <c r="I48" s="4">
        <f>Table1[[#This Row],[B]]+Table1[[#This Row],[Atomic Constraints]]+Table1[[#This Row],[Soft Atomic Constraints]]+Table1[[#This Row],[Disjunctive Constraints]]+Table1[[#This Row],[Direct Successors]]</f>
        <v>1751</v>
      </c>
      <c r="J48" s="5" t="s">
        <v>26</v>
      </c>
      <c r="K48" s="2">
        <v>20612673</v>
      </c>
      <c r="L48" s="2">
        <v>304.19519750000001</v>
      </c>
      <c r="M48" s="2" t="str">
        <f>IF(AND(Table1[[#This Row],[Chuffed MZ1 Cost]]=Table1[[#This Row],[ORTools FZN2 Cost]],Table1[[#This Row],[ORTools FZN2 State]]="Optimal",Table1[[#This Row],[Chuffed MZ1 State]]="Suboptimal"),1,"")</f>
        <v/>
      </c>
      <c r="N48" s="5" t="s">
        <v>26</v>
      </c>
      <c r="O48" s="2">
        <v>20094110</v>
      </c>
      <c r="P48" s="2">
        <v>304.14354930000002</v>
      </c>
      <c r="Q48" s="2" t="str">
        <f>IF(AND(Table1[[#This Row],[Chuffed MZ2 Cost]]=Table1[[#This Row],[ORTools FZN2 Cost]],Table1[[#This Row],[ORTools FZN2 State]]="Optimal",Table1[[#This Row],[Chuffed MZ2 State]]="Suboptimal"),1,"")</f>
        <v/>
      </c>
      <c r="R48" s="6" t="s">
        <v>26</v>
      </c>
      <c r="S48" s="4">
        <v>14955535</v>
      </c>
      <c r="T48" s="4">
        <v>300.22199999999998</v>
      </c>
      <c r="U48" s="4"/>
      <c r="V48" s="5" t="s">
        <v>25</v>
      </c>
      <c r="W48" s="2">
        <v>13413296</v>
      </c>
      <c r="X48" s="2">
        <v>269.72618039999998</v>
      </c>
      <c r="Y48" s="2" t="str">
        <f>IF(AND(Table1[[#This Row],[ORTools FZN1 Cost]]=Table1[[#This Row],[ORTools FZN2 Cost]],Table1[[#This Row],[ORTools FZN2 State]]="Optimal",Table1[[#This Row],[ORTools FZN1 State]]="Suboptimal"),1,"")</f>
        <v/>
      </c>
      <c r="Z48" s="5" t="s">
        <v>25</v>
      </c>
      <c r="AA48" s="2">
        <v>13413296</v>
      </c>
      <c r="AB48" s="2">
        <v>259.30508950000001</v>
      </c>
      <c r="AC48" s="39" t="s">
        <v>42</v>
      </c>
      <c r="AD48" s="39">
        <v>-518481</v>
      </c>
      <c r="AE48" s="2">
        <v>300.24505019999998</v>
      </c>
      <c r="AF48" s="2" t="str">
        <f>IF(AND(Table1[[#This Row],[Cplex MB Cost]]=Table1[[#This Row],[ORTools FZN2 Cost]],Table1[[#This Row],[ORTools FZN2 State]]="Optimal",Table1[[#This Row],[Cplex MB State]]="Suboptimal"),1,"")</f>
        <v/>
      </c>
      <c r="AG48" s="4">
        <f>IF(AND(AC48="Optimal",AD48&lt;&gt;AA48,Table1[[#This Row],[Example]]&lt;&gt;"R001",Table1[[#This Row],[Example]]&lt;&gt;"R002"),AD48-AA48,)</f>
        <v>0</v>
      </c>
      <c r="AH48" s="5" t="s">
        <v>42</v>
      </c>
      <c r="AI48" s="2">
        <v>-518481</v>
      </c>
      <c r="AJ48" s="2">
        <v>300.26373630000001</v>
      </c>
      <c r="AK48" s="2" t="str">
        <f>IF(AND(Table1[[#This Row],[Cplex MD Cost]]=Table1[[#This Row],[ORTools FZN2 Cost]],Table1[[#This Row],[ORTools FZN2 State]]="Optimal",Table1[[#This Row],[Cplex MD State]]="Suboptimal"),1,"")</f>
        <v/>
      </c>
      <c r="AL48" s="4">
        <f>IF(AND(AH48="Optimal",AI48&lt;&gt;AA48,Table1[[#This Row],[Example]]&lt;&gt;"R001",Table1[[#This Row],[Example]]&lt;&gt;"R002"),AI48-AA48,)</f>
        <v>0</v>
      </c>
      <c r="AM48" s="39" t="s">
        <v>26</v>
      </c>
      <c r="AN48" s="39">
        <v>20638897</v>
      </c>
      <c r="AO48" s="2">
        <v>300.0944768</v>
      </c>
      <c r="AP4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8" s="4" t="str">
        <f>IF(AND(Table1[[#This Row],[Cplex MI Cost]]=Table1[[#This Row],[ORTools FZN2 Cost]],Table1[[#This Row],[ORTools FZN2 State]]="Optimal",Table1[[#This Row],[Cplex MI State]]="Suboptimal"),1,"")</f>
        <v/>
      </c>
      <c r="AR48" s="5" t="s">
        <v>42</v>
      </c>
      <c r="AS48" s="2">
        <v>-518481</v>
      </c>
      <c r="AT48" s="2">
        <v>300.09400190000002</v>
      </c>
      <c r="AU48" s="2" t="str">
        <f>IF(AND(Table1[[#This Row],[Z3 SMT2-1 Maxres Cost]]=Table1[[#This Row],[ORTools FZN2 Cost]],Table1[[#This Row],[ORTools FZN2 State]]="Optimal"),1,"")</f>
        <v/>
      </c>
      <c r="AV48" s="39" t="s">
        <v>42</v>
      </c>
      <c r="AW48" s="39">
        <v>-518481</v>
      </c>
      <c r="AX48" s="2">
        <v>300.08879200000001</v>
      </c>
      <c r="AY48" s="2" t="str">
        <f>IF(AND(Table1[[#This Row],[Z3 SMT2-1 PdMaxres Cost]]=Table1[[#This Row],[ORTools FZN2 Cost]],Table1[[#This Row],[ORTools FZN2 State]]="Optimal"),1,"")</f>
        <v/>
      </c>
      <c r="AZ48" s="5" t="s">
        <v>42</v>
      </c>
      <c r="BA48" s="2">
        <v>-518481</v>
      </c>
      <c r="BB48" s="39">
        <v>300.10650939999999</v>
      </c>
      <c r="BC48" s="39" t="str">
        <f>IF(AND(Table1[[#This Row],[Z3 SMT2-1 WMax Cost]]=Table1[[#This Row],[ORTools FZN2 Cost]],Table1[[#This Row],[ORTools FZN2 State]]="Optimal"),1,"")</f>
        <v/>
      </c>
      <c r="BD48" s="39" t="s">
        <v>42</v>
      </c>
      <c r="BE48" s="39">
        <v>-518481</v>
      </c>
      <c r="BF48" s="2">
        <v>300.08464950000001</v>
      </c>
      <c r="BG48" s="2" t="str">
        <f>IF(AND(Table1[[#This Row],[Z3 SMT2-2 Maxres Cost]]=Table1[[#This Row],[ORTools FZN2 Cost]],Table1[[#This Row],[ORTools FZN2 State]]="Optimal"),1,"")</f>
        <v/>
      </c>
      <c r="BH48" s="5" t="s">
        <v>42</v>
      </c>
      <c r="BI48" s="2">
        <v>-518481</v>
      </c>
      <c r="BJ48" s="39">
        <v>300.08091109999998</v>
      </c>
      <c r="BK48" s="39" t="str">
        <f>IF(AND(Table1[[#This Row],[Z3 SMT2-2 PdMaxres Cost]]=Table1[[#This Row],[ORTools FZN2 Cost]],Table1[[#This Row],[ORTools FZN2 State]]="Optimal"),1,"")</f>
        <v/>
      </c>
      <c r="BL48" s="39" t="s">
        <v>42</v>
      </c>
      <c r="BM48" s="39">
        <v>-518481</v>
      </c>
      <c r="BN48" s="2">
        <v>300.08927749999998</v>
      </c>
      <c r="BO48" s="4" t="str">
        <f>IF(AND(Table1[[#This Row],[Z3 SMT2-2 PdMaxres Cost]]=Table1[[#This Row],[ORTools FZN2 Cost]],Table1[[#This Row],[ORTools FZN2 State]]="Optimal"),1,"")</f>
        <v/>
      </c>
      <c r="BP48" s="5" t="s">
        <v>42</v>
      </c>
      <c r="BQ48" s="2">
        <v>-518481</v>
      </c>
      <c r="BR48" s="2">
        <v>300.12991570000003</v>
      </c>
      <c r="BS48" s="2" t="str">
        <f>IF(AND(Table1[[#This Row],[Gurobi MB Cost]]=Table1[[#This Row],[ORTools FZN2 Cost]],Table1[[#This Row],[ORTools FZN2 State]]="Optimal",Table1[[#This Row],[Gurobi MB State]]="Suboptimal"),1,"")</f>
        <v/>
      </c>
      <c r="BT4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8" s="5" t="s">
        <v>42</v>
      </c>
      <c r="BV48" s="2">
        <v>-518481</v>
      </c>
      <c r="BW48" s="2">
        <v>300.35246869999997</v>
      </c>
      <c r="BX48" s="2" t="str">
        <f>IF(AND(Table1[[#This Row],[Gurobi MD Cost]]=Table1[[#This Row],[ORTools FZN2 Cost]],Table1[[#This Row],[ORTools FZN2 State]]="Optimal",Table1[[#This Row],[Gurobi MD State]]="Suboptimal"),1,"")</f>
        <v/>
      </c>
      <c r="BY4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8" s="5" t="s">
        <v>42</v>
      </c>
      <c r="CA48" s="2">
        <v>-518481</v>
      </c>
      <c r="CB48" s="2">
        <v>300.15433059999998</v>
      </c>
      <c r="CC48" s="2" t="str">
        <f>IF(AND(Table1[[#This Row],[Gurobi MI Cost]]=Table1[[#This Row],[ORTools FZN2 Cost]],Table1[[#This Row],[ORTools FZN2 State]]="Optimal",Table1[[#This Row],[Gurobi MI State]]="Suboptimal"),1,"")</f>
        <v/>
      </c>
      <c r="CD4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8" s="39" t="s">
        <v>42</v>
      </c>
      <c r="CF48" s="2">
        <v>-518481</v>
      </c>
      <c r="CG48" s="39">
        <v>306.25193919999998</v>
      </c>
      <c r="CH48" s="39" t="s">
        <v>42</v>
      </c>
      <c r="CI48" s="39">
        <v>-518481</v>
      </c>
      <c r="CJ48" s="2">
        <v>306.18336820000002</v>
      </c>
      <c r="CK48" s="5" t="s">
        <v>26</v>
      </c>
      <c r="CL48" s="2">
        <v>14443131</v>
      </c>
      <c r="CM48" s="2">
        <v>300.13600000000002</v>
      </c>
      <c r="CN48" s="5" t="s">
        <v>26</v>
      </c>
      <c r="CO48" s="2">
        <v>19115384</v>
      </c>
      <c r="CP48" s="2">
        <v>304.03553499999998</v>
      </c>
      <c r="CQ48" s="5" t="s">
        <v>25</v>
      </c>
      <c r="CR48" s="2">
        <v>13413296</v>
      </c>
      <c r="CS48" s="2">
        <v>167.4629127</v>
      </c>
      <c r="CT48" s="6" t="s">
        <v>25</v>
      </c>
      <c r="CU48" s="4">
        <v>13413296</v>
      </c>
      <c r="CV48" s="4">
        <v>62.947121199999998</v>
      </c>
      <c r="CW48" s="39" t="s">
        <v>26</v>
      </c>
      <c r="CX48" s="39">
        <v>18565539</v>
      </c>
      <c r="CY48" s="2">
        <v>300.02659999999997</v>
      </c>
      <c r="CZ48" s="2" t="str">
        <f>IF(AND(Table1[[#This Row],[Cplex MZ1 Cost]]=Table1[[#This Row],[ORTools FZN2 Cost]],Table1[[#This Row],[ORTools FZN2 State]]="Optimal",Table1[[#This Row],[Cplex MZ1 State]]="Suboptimal"),1,"")</f>
        <v/>
      </c>
      <c r="DA48" s="5" t="s">
        <v>42</v>
      </c>
      <c r="DB48" s="2"/>
      <c r="DC48" s="2">
        <v>300.01909999999998</v>
      </c>
      <c r="DD48" s="2" t="str">
        <f>IF(AND(Table1[[#This Row],[Cplex MZ2 Cost]]=Table1[[#This Row],[ORTools FZN2 Cost]],Table1[[#This Row],[ORTools FZN2 State]]="Optimal",Table1[[#This Row],[Cplex MZ2 State]]="Suboptimal"),1,"")</f>
        <v/>
      </c>
      <c r="DE48" s="39" t="s">
        <v>42</v>
      </c>
      <c r="DF48" s="39"/>
      <c r="DG48" s="2">
        <v>300.02769999999998</v>
      </c>
      <c r="DH48" s="2" t="str">
        <f>IF(AND(Table1[[#This Row],[Gurobi MZ1 Cost]]=Table1[[#This Row],[ORTools FZN2 Cost]],Table1[[#This Row],[ORTools FZN2 State]]="Optimal",Table1[[#This Row],[Gurobi MZ1 State]]="Suboptimal"),1,"")</f>
        <v/>
      </c>
      <c r="DI48" s="5" t="s">
        <v>42</v>
      </c>
      <c r="DJ48" s="2"/>
      <c r="DK48" s="2">
        <v>300.00560000000002</v>
      </c>
      <c r="DL48" s="4" t="str">
        <f>IF(AND(Table1[[#This Row],[Gurobi MZ2 Cost]]=Table1[[#This Row],[ORTools FZN2 Cost]],Table1[[#This Row],[ORTools FZN2 State]]="Optimal",Table1[[#This Row],[Gurobi MZ2 State]]="Suboptimal"),1,"")</f>
        <v/>
      </c>
      <c r="DM48" s="39" t="s">
        <v>26</v>
      </c>
      <c r="DN48" s="39">
        <v>13925370</v>
      </c>
      <c r="DO48" s="65">
        <v>300.14100000000002</v>
      </c>
      <c r="DP48" s="4" t="str">
        <f>IF(AND(Table1[[#This Row],[Cplex MC nonDual Cost]]=Table1[[#This Row],[ORTools FZN2 Cost]],Table1[[#This Row],[ORTools FZN2 State]]="Optimal",Table1[[#This Row],[Cplex MC nonDual State]]="Suboptimal"),1,"")</f>
        <v/>
      </c>
      <c r="DQ48" s="5" t="s">
        <v>42</v>
      </c>
      <c r="DR48" s="2"/>
      <c r="DS48" s="2">
        <v>300.01609999999999</v>
      </c>
      <c r="DT48" s="2" t="str">
        <f>IF(AND(Table1[[#This Row],[Cplex MIP DM''z Cost]]=Table1[[#This Row],[ORTools FZN2 Cost]],Table1[[#This Row],[ORTools FZN2 State]]="Optimal",Table1[[#This Row],[Cplex MIP DM''z  State]]="Suboptimal"),1,"")</f>
        <v/>
      </c>
      <c r="DU4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8" s="5" t="s">
        <v>42</v>
      </c>
      <c r="DW48" s="2"/>
      <c r="DX48" s="2">
        <v>299.99740000000003</v>
      </c>
      <c r="DY48" s="4" t="str">
        <f>IF(AND(Table1[[#This Row],[Gurobi DM''z  Cost]]=Table1[[#This Row],[ORTools FZN2 Cost]],Table1[[#This Row],[ORTools FZN2 State]]="Optimal",Table1[[#This Row],[Gurobi DM''z  State]]="Suboptimal"),1,"")</f>
        <v/>
      </c>
      <c r="DZ4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49" spans="1:130" ht="15.75" x14ac:dyDescent="0.25">
      <c r="A49" s="46" t="s">
        <v>74</v>
      </c>
      <c r="B49" s="5">
        <v>148</v>
      </c>
      <c r="C49" s="2">
        <v>74</v>
      </c>
      <c r="D49" s="5">
        <v>4053</v>
      </c>
      <c r="E49" s="2">
        <v>118</v>
      </c>
      <c r="F49" s="5">
        <v>985</v>
      </c>
      <c r="G49" s="2">
        <v>0</v>
      </c>
      <c r="H49" s="4">
        <f t="shared" si="0"/>
        <v>0</v>
      </c>
      <c r="I49" s="4">
        <f>Table1[[#This Row],[B]]+Table1[[#This Row],[Atomic Constraints]]+Table1[[#This Row],[Soft Atomic Constraints]]+Table1[[#This Row],[Disjunctive Constraints]]+Table1[[#This Row],[Direct Successors]]</f>
        <v>5230</v>
      </c>
      <c r="J49" s="5" t="s">
        <v>42</v>
      </c>
      <c r="K49" s="2">
        <v>-3263845</v>
      </c>
      <c r="L49" s="2">
        <v>312.3903742</v>
      </c>
      <c r="M49" s="2" t="str">
        <f>IF(AND(Table1[[#This Row],[Chuffed MZ1 Cost]]=Table1[[#This Row],[ORTools FZN2 Cost]],Table1[[#This Row],[ORTools FZN2 State]]="Optimal",Table1[[#This Row],[Chuffed MZ1 State]]="Suboptimal"),1,"")</f>
        <v/>
      </c>
      <c r="N49" s="5" t="s">
        <v>42</v>
      </c>
      <c r="O49" s="2">
        <v>-3263845</v>
      </c>
      <c r="P49" s="2">
        <v>312.01773279999998</v>
      </c>
      <c r="Q49" s="2" t="str">
        <f>IF(AND(Table1[[#This Row],[Chuffed MZ2 Cost]]=Table1[[#This Row],[ORTools FZN2 Cost]],Table1[[#This Row],[ORTools FZN2 State]]="Optimal",Table1[[#This Row],[Chuffed MZ2 State]]="Suboptimal"),1,"")</f>
        <v/>
      </c>
      <c r="R49" s="6" t="s">
        <v>26</v>
      </c>
      <c r="S49" s="4">
        <v>185500877</v>
      </c>
      <c r="T49" s="4">
        <v>301.26700000000102</v>
      </c>
      <c r="U49" s="4"/>
      <c r="V49" s="5" t="s">
        <v>42</v>
      </c>
      <c r="W49" s="2">
        <v>-3263845</v>
      </c>
      <c r="X49" s="2">
        <v>303.68219909999999</v>
      </c>
      <c r="Y49" s="2" t="str">
        <f>IF(AND(Table1[[#This Row],[ORTools FZN1 Cost]]=Table1[[#This Row],[ORTools FZN2 Cost]],Table1[[#This Row],[ORTools FZN2 State]]="Optimal",Table1[[#This Row],[ORTools FZN1 State]]="Suboptimal"),1,"")</f>
        <v/>
      </c>
      <c r="Z49" s="5" t="s">
        <v>42</v>
      </c>
      <c r="AA49" s="2">
        <v>-3263845</v>
      </c>
      <c r="AB49" s="2">
        <v>303.8173688</v>
      </c>
      <c r="AC49" s="39" t="s">
        <v>42</v>
      </c>
      <c r="AD49" s="39">
        <v>-3263845</v>
      </c>
      <c r="AE49" s="2">
        <v>300.1754153</v>
      </c>
      <c r="AF49" s="2" t="str">
        <f>IF(AND(Table1[[#This Row],[Cplex MB Cost]]=Table1[[#This Row],[ORTools FZN2 Cost]],Table1[[#This Row],[ORTools FZN2 State]]="Optimal",Table1[[#This Row],[Cplex MB State]]="Suboptimal"),1,"")</f>
        <v/>
      </c>
      <c r="AG49" s="4">
        <f>IF(AND(AC49="Optimal",AD49&lt;&gt;AA49,Table1[[#This Row],[Example]]&lt;&gt;"R001",Table1[[#This Row],[Example]]&lt;&gt;"R002"),AD49-AA49,)</f>
        <v>0</v>
      </c>
      <c r="AH49" s="5" t="s">
        <v>42</v>
      </c>
      <c r="AI49" s="2">
        <v>-3263845</v>
      </c>
      <c r="AJ49" s="2">
        <v>305.17197069999997</v>
      </c>
      <c r="AK49" s="2" t="str">
        <f>IF(AND(Table1[[#This Row],[Cplex MD Cost]]=Table1[[#This Row],[ORTools FZN2 Cost]],Table1[[#This Row],[ORTools FZN2 State]]="Optimal",Table1[[#This Row],[Cplex MD State]]="Suboptimal"),1,"")</f>
        <v/>
      </c>
      <c r="AL49" s="4">
        <f>IF(AND(AH49="Optimal",AI49&lt;&gt;AA49,Table1[[#This Row],[Example]]&lt;&gt;"R001",Table1[[#This Row],[Example]]&lt;&gt;"R002"),AI49-AA49,)</f>
        <v>0</v>
      </c>
      <c r="AM49" s="39" t="s">
        <v>42</v>
      </c>
      <c r="AN49" s="39">
        <v>-3263845</v>
      </c>
      <c r="AO49" s="2">
        <v>300.92951470000003</v>
      </c>
      <c r="AP4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49" s="4" t="str">
        <f>IF(AND(Table1[[#This Row],[Cplex MI Cost]]=Table1[[#This Row],[ORTools FZN2 Cost]],Table1[[#This Row],[ORTools FZN2 State]]="Optimal",Table1[[#This Row],[Cplex MI State]]="Suboptimal"),1,"")</f>
        <v/>
      </c>
      <c r="AR49" s="5" t="s">
        <v>42</v>
      </c>
      <c r="AS49" s="2">
        <v>-3263845</v>
      </c>
      <c r="AT49" s="2">
        <v>300.2206994</v>
      </c>
      <c r="AU49" s="2" t="str">
        <f>IF(AND(Table1[[#This Row],[Z3 SMT2-1 Maxres Cost]]=Table1[[#This Row],[ORTools FZN2 Cost]],Table1[[#This Row],[ORTools FZN2 State]]="Optimal"),1,"")</f>
        <v/>
      </c>
      <c r="AV49" s="39" t="s">
        <v>42</v>
      </c>
      <c r="AW49" s="39">
        <v>-3263845</v>
      </c>
      <c r="AX49" s="2">
        <v>300.23002709999997</v>
      </c>
      <c r="AY49" s="2" t="str">
        <f>IF(AND(Table1[[#This Row],[Z3 SMT2-1 PdMaxres Cost]]=Table1[[#This Row],[ORTools FZN2 Cost]],Table1[[#This Row],[ORTools FZN2 State]]="Optimal"),1,"")</f>
        <v/>
      </c>
      <c r="AZ49" s="5" t="s">
        <v>42</v>
      </c>
      <c r="BA49" s="2">
        <v>-3263845</v>
      </c>
      <c r="BB49" s="39">
        <v>300.38793659999999</v>
      </c>
      <c r="BC49" s="39" t="str">
        <f>IF(AND(Table1[[#This Row],[Z3 SMT2-1 WMax Cost]]=Table1[[#This Row],[ORTools FZN2 Cost]],Table1[[#This Row],[ORTools FZN2 State]]="Optimal"),1,"")</f>
        <v/>
      </c>
      <c r="BD49" s="39" t="s">
        <v>42</v>
      </c>
      <c r="BE49" s="39">
        <v>-3263845</v>
      </c>
      <c r="BF49" s="2">
        <v>300.27429080000002</v>
      </c>
      <c r="BG49" s="2" t="str">
        <f>IF(AND(Table1[[#This Row],[Z3 SMT2-2 Maxres Cost]]=Table1[[#This Row],[ORTools FZN2 Cost]],Table1[[#This Row],[ORTools FZN2 State]]="Optimal"),1,"")</f>
        <v/>
      </c>
      <c r="BH49" s="5" t="s">
        <v>42</v>
      </c>
      <c r="BI49" s="2">
        <v>-3263845</v>
      </c>
      <c r="BJ49" s="39">
        <v>300.26992919999998</v>
      </c>
      <c r="BK49" s="39" t="str">
        <f>IF(AND(Table1[[#This Row],[Z3 SMT2-2 PdMaxres Cost]]=Table1[[#This Row],[ORTools FZN2 Cost]],Table1[[#This Row],[ORTools FZN2 State]]="Optimal"),1,"")</f>
        <v/>
      </c>
      <c r="BL49" s="39" t="s">
        <v>42</v>
      </c>
      <c r="BM49" s="39">
        <v>-3263845</v>
      </c>
      <c r="BN49" s="2">
        <v>300.27492660000001</v>
      </c>
      <c r="BO49" s="4" t="str">
        <f>IF(AND(Table1[[#This Row],[Z3 SMT2-2 PdMaxres Cost]]=Table1[[#This Row],[ORTools FZN2 Cost]],Table1[[#This Row],[ORTools FZN2 State]]="Optimal"),1,"")</f>
        <v/>
      </c>
      <c r="BP49" s="5" t="s">
        <v>42</v>
      </c>
      <c r="BQ49" s="2">
        <v>-3263845</v>
      </c>
      <c r="BR49" s="2">
        <v>300.10029969999999</v>
      </c>
      <c r="BS49" s="2" t="str">
        <f>IF(AND(Table1[[#This Row],[Gurobi MB Cost]]=Table1[[#This Row],[ORTools FZN2 Cost]],Table1[[#This Row],[ORTools FZN2 State]]="Optimal",Table1[[#This Row],[Gurobi MB State]]="Suboptimal"),1,"")</f>
        <v/>
      </c>
      <c r="BT4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49" s="5" t="s">
        <v>42</v>
      </c>
      <c r="BV49" s="2">
        <v>-3263845</v>
      </c>
      <c r="BW49" s="2">
        <v>300.21397059999998</v>
      </c>
      <c r="BX49" s="2" t="str">
        <f>IF(AND(Table1[[#This Row],[Gurobi MD Cost]]=Table1[[#This Row],[ORTools FZN2 Cost]],Table1[[#This Row],[ORTools FZN2 State]]="Optimal",Table1[[#This Row],[Gurobi MD State]]="Suboptimal"),1,"")</f>
        <v/>
      </c>
      <c r="BY4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49" s="5" t="s">
        <v>42</v>
      </c>
      <c r="CA49" s="2">
        <v>-3263845</v>
      </c>
      <c r="CB49" s="2">
        <v>300.15858909999997</v>
      </c>
      <c r="CC49" s="2" t="str">
        <f>IF(AND(Table1[[#This Row],[Gurobi MI Cost]]=Table1[[#This Row],[ORTools FZN2 Cost]],Table1[[#This Row],[ORTools FZN2 State]]="Optimal",Table1[[#This Row],[Gurobi MI State]]="Suboptimal"),1,"")</f>
        <v/>
      </c>
      <c r="CD4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49" s="39" t="s">
        <v>42</v>
      </c>
      <c r="CF49" s="2">
        <v>-3263845</v>
      </c>
      <c r="CG49" s="39">
        <v>312.87258850000001</v>
      </c>
      <c r="CH49" s="39" t="s">
        <v>42</v>
      </c>
      <c r="CI49" s="39">
        <v>-3263845</v>
      </c>
      <c r="CJ49" s="2">
        <v>311.67029819999999</v>
      </c>
      <c r="CK49" s="5" t="s">
        <v>26</v>
      </c>
      <c r="CL49" s="2">
        <v>175709193</v>
      </c>
      <c r="CM49" s="2">
        <v>300.82</v>
      </c>
      <c r="CN49" s="5" t="s">
        <v>26</v>
      </c>
      <c r="CO49" s="2">
        <v>237458804</v>
      </c>
      <c r="CP49" s="2">
        <v>311.6969891</v>
      </c>
      <c r="CQ49" s="5" t="s">
        <v>26</v>
      </c>
      <c r="CR49" s="2">
        <v>234324755</v>
      </c>
      <c r="CS49" s="2">
        <v>306.45821189999998</v>
      </c>
      <c r="CT49" s="6" t="s">
        <v>26</v>
      </c>
      <c r="CU49" s="4">
        <v>227995367</v>
      </c>
      <c r="CV49" s="4">
        <v>352.76093120000002</v>
      </c>
      <c r="CW49" s="39" t="s">
        <v>42</v>
      </c>
      <c r="CX49" s="39"/>
      <c r="CY49" s="2">
        <v>300.06380000000001</v>
      </c>
      <c r="CZ49" s="2" t="str">
        <f>IF(AND(Table1[[#This Row],[Cplex MZ1 Cost]]=Table1[[#This Row],[ORTools FZN2 Cost]],Table1[[#This Row],[ORTools FZN2 State]]="Optimal",Table1[[#This Row],[Cplex MZ1 State]]="Suboptimal"),1,"")</f>
        <v/>
      </c>
      <c r="DA49" s="5" t="s">
        <v>42</v>
      </c>
      <c r="DB49" s="2"/>
      <c r="DC49" s="2">
        <v>300.07780000000002</v>
      </c>
      <c r="DD49" s="2" t="str">
        <f>IF(AND(Table1[[#This Row],[Cplex MZ2 Cost]]=Table1[[#This Row],[ORTools FZN2 Cost]],Table1[[#This Row],[ORTools FZN2 State]]="Optimal",Table1[[#This Row],[Cplex MZ2 State]]="Suboptimal"),1,"")</f>
        <v/>
      </c>
      <c r="DE49" s="39" t="s">
        <v>42</v>
      </c>
      <c r="DF49" s="39"/>
      <c r="DG49" s="2">
        <v>300.01159999999999</v>
      </c>
      <c r="DH49" s="2" t="str">
        <f>IF(AND(Table1[[#This Row],[Gurobi MZ1 Cost]]=Table1[[#This Row],[ORTools FZN2 Cost]],Table1[[#This Row],[ORTools FZN2 State]]="Optimal",Table1[[#This Row],[Gurobi MZ1 State]]="Suboptimal"),1,"")</f>
        <v/>
      </c>
      <c r="DI49" s="5" t="s">
        <v>42</v>
      </c>
      <c r="DJ49" s="2"/>
      <c r="DK49" s="2">
        <v>300.02330000000001</v>
      </c>
      <c r="DL49" s="4" t="str">
        <f>IF(AND(Table1[[#This Row],[Gurobi MZ2 Cost]]=Table1[[#This Row],[ORTools FZN2 Cost]],Table1[[#This Row],[ORTools FZN2 State]]="Optimal",Table1[[#This Row],[Gurobi MZ2 State]]="Suboptimal"),1,"")</f>
        <v/>
      </c>
      <c r="DM49" s="39" t="s">
        <v>26</v>
      </c>
      <c r="DN49" s="39">
        <v>175731541</v>
      </c>
      <c r="DO49" s="65">
        <v>301.38900000000001</v>
      </c>
      <c r="DP49" s="4" t="str">
        <f>IF(AND(Table1[[#This Row],[Cplex MC nonDual Cost]]=Table1[[#This Row],[ORTools FZN2 Cost]],Table1[[#This Row],[ORTools FZN2 State]]="Optimal",Table1[[#This Row],[Cplex MC nonDual State]]="Suboptimal"),1,"")</f>
        <v/>
      </c>
      <c r="DQ49" s="5" t="s">
        <v>42</v>
      </c>
      <c r="DR49" s="2"/>
      <c r="DS49" s="2">
        <v>300.0693</v>
      </c>
      <c r="DT49" s="2" t="str">
        <f>IF(AND(Table1[[#This Row],[Cplex MIP DM''z Cost]]=Table1[[#This Row],[ORTools FZN2 Cost]],Table1[[#This Row],[ORTools FZN2 State]]="Optimal",Table1[[#This Row],[Cplex MIP DM''z  State]]="Suboptimal"),1,"")</f>
        <v/>
      </c>
      <c r="DU4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49" s="5" t="s">
        <v>42</v>
      </c>
      <c r="DW49" s="2"/>
      <c r="DX49" s="2">
        <v>300.18849999999998</v>
      </c>
      <c r="DY49" s="4" t="str">
        <f>IF(AND(Table1[[#This Row],[Gurobi DM''z  Cost]]=Table1[[#This Row],[ORTools FZN2 Cost]],Table1[[#This Row],[ORTools FZN2 State]]="Optimal",Table1[[#This Row],[Gurobi DM''z  State]]="Suboptimal"),1,"")</f>
        <v/>
      </c>
      <c r="DZ4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0" spans="1:130" ht="15.75" x14ac:dyDescent="0.25">
      <c r="A50" s="46" t="s">
        <v>75</v>
      </c>
      <c r="B50" s="5">
        <v>68</v>
      </c>
      <c r="C50" s="2">
        <v>34</v>
      </c>
      <c r="D50" s="5">
        <v>1310</v>
      </c>
      <c r="E50" s="2">
        <v>55</v>
      </c>
      <c r="F50" s="5">
        <v>158</v>
      </c>
      <c r="G50" s="2">
        <v>0</v>
      </c>
      <c r="H50" s="4">
        <f t="shared" si="0"/>
        <v>0</v>
      </c>
      <c r="I50" s="4">
        <f>Table1[[#This Row],[B]]+Table1[[#This Row],[Atomic Constraints]]+Table1[[#This Row],[Soft Atomic Constraints]]+Table1[[#This Row],[Disjunctive Constraints]]+Table1[[#This Row],[Direct Successors]]</f>
        <v>1557</v>
      </c>
      <c r="J50" s="5" t="s">
        <v>26</v>
      </c>
      <c r="K50" s="2">
        <v>10172155</v>
      </c>
      <c r="L50" s="2">
        <v>303.06941239999998</v>
      </c>
      <c r="M50" s="2" t="str">
        <f>IF(AND(Table1[[#This Row],[Chuffed MZ1 Cost]]=Table1[[#This Row],[ORTools FZN2 Cost]],Table1[[#This Row],[ORTools FZN2 State]]="Optimal",Table1[[#This Row],[Chuffed MZ1 State]]="Suboptimal"),1,"")</f>
        <v/>
      </c>
      <c r="N50" s="5" t="s">
        <v>42</v>
      </c>
      <c r="O50" s="2">
        <v>-319125</v>
      </c>
      <c r="P50" s="2">
        <v>303.09982350000001</v>
      </c>
      <c r="Q50" s="2" t="str">
        <f>IF(AND(Table1[[#This Row],[Chuffed MZ2 Cost]]=Table1[[#This Row],[ORTools FZN2 Cost]],Table1[[#This Row],[ORTools FZN2 State]]="Optimal",Table1[[#This Row],[Chuffed MZ2 State]]="Suboptimal"),1,"")</f>
        <v/>
      </c>
      <c r="R50" s="6" t="s">
        <v>26</v>
      </c>
      <c r="S50" s="4">
        <v>7628320</v>
      </c>
      <c r="T50" s="4">
        <v>300.21600000000001</v>
      </c>
      <c r="U50" s="4"/>
      <c r="V50" s="5" t="s">
        <v>25</v>
      </c>
      <c r="W50" s="2">
        <v>7623704</v>
      </c>
      <c r="X50" s="2">
        <v>224.48375290000001</v>
      </c>
      <c r="Y50" s="2" t="str">
        <f>IF(AND(Table1[[#This Row],[ORTools FZN1 Cost]]=Table1[[#This Row],[ORTools FZN2 Cost]],Table1[[#This Row],[ORTools FZN2 State]]="Optimal",Table1[[#This Row],[ORTools FZN1 State]]="Suboptimal"),1,"")</f>
        <v/>
      </c>
      <c r="Z50" s="5" t="s">
        <v>25</v>
      </c>
      <c r="AA50" s="2">
        <v>7623704</v>
      </c>
      <c r="AB50" s="2">
        <v>151.83726329999999</v>
      </c>
      <c r="AC50" s="39" t="s">
        <v>42</v>
      </c>
      <c r="AD50" s="39">
        <v>-319125</v>
      </c>
      <c r="AE50" s="2">
        <v>300.11897199999999</v>
      </c>
      <c r="AF50" s="2" t="str">
        <f>IF(AND(Table1[[#This Row],[Cplex MB Cost]]=Table1[[#This Row],[ORTools FZN2 Cost]],Table1[[#This Row],[ORTools FZN2 State]]="Optimal",Table1[[#This Row],[Cplex MB State]]="Suboptimal"),1,"")</f>
        <v/>
      </c>
      <c r="AG50" s="4">
        <f>IF(AND(AC50="Optimal",AD50&lt;&gt;AA50,Table1[[#This Row],[Example]]&lt;&gt;"R001",Table1[[#This Row],[Example]]&lt;&gt;"R002"),AD50-AA50,)</f>
        <v>0</v>
      </c>
      <c r="AH50" s="5" t="s">
        <v>42</v>
      </c>
      <c r="AI50" s="2">
        <v>-319125</v>
      </c>
      <c r="AJ50" s="2">
        <v>300.27326749999997</v>
      </c>
      <c r="AK50" s="2" t="str">
        <f>IF(AND(Table1[[#This Row],[Cplex MD Cost]]=Table1[[#This Row],[ORTools FZN2 Cost]],Table1[[#This Row],[ORTools FZN2 State]]="Optimal",Table1[[#This Row],[Cplex MD State]]="Suboptimal"),1,"")</f>
        <v/>
      </c>
      <c r="AL50" s="4">
        <f>IF(AND(AH50="Optimal",AI50&lt;&gt;AA50,Table1[[#This Row],[Example]]&lt;&gt;"R001",Table1[[#This Row],[Example]]&lt;&gt;"R002"),AI50-AA50,)</f>
        <v>0</v>
      </c>
      <c r="AM50" s="39" t="s">
        <v>26</v>
      </c>
      <c r="AN50" s="39">
        <v>9529062</v>
      </c>
      <c r="AO50" s="2">
        <v>300.05095340000003</v>
      </c>
      <c r="AP5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0" s="4" t="str">
        <f>IF(AND(Table1[[#This Row],[Cplex MI Cost]]=Table1[[#This Row],[ORTools FZN2 Cost]],Table1[[#This Row],[ORTools FZN2 State]]="Optimal",Table1[[#This Row],[Cplex MI State]]="Suboptimal"),1,"")</f>
        <v/>
      </c>
      <c r="AR50" s="5" t="s">
        <v>42</v>
      </c>
      <c r="AS50" s="2">
        <v>-319125</v>
      </c>
      <c r="AT50" s="2">
        <v>300.06951670000001</v>
      </c>
      <c r="AU50" s="2" t="str">
        <f>IF(AND(Table1[[#This Row],[Z3 SMT2-1 Maxres Cost]]=Table1[[#This Row],[ORTools FZN2 Cost]],Table1[[#This Row],[ORTools FZN2 State]]="Optimal"),1,"")</f>
        <v/>
      </c>
      <c r="AV50" s="39" t="s">
        <v>42</v>
      </c>
      <c r="AW50" s="39">
        <v>-319125</v>
      </c>
      <c r="AX50" s="2">
        <v>300.0809926</v>
      </c>
      <c r="AY50" s="2" t="str">
        <f>IF(AND(Table1[[#This Row],[Z3 SMT2-1 PdMaxres Cost]]=Table1[[#This Row],[ORTools FZN2 Cost]],Table1[[#This Row],[ORTools FZN2 State]]="Optimal"),1,"")</f>
        <v/>
      </c>
      <c r="AZ50" s="5" t="s">
        <v>42</v>
      </c>
      <c r="BA50" s="2">
        <v>-319125</v>
      </c>
      <c r="BB50" s="39">
        <v>300.09039489999998</v>
      </c>
      <c r="BC50" s="39" t="str">
        <f>IF(AND(Table1[[#This Row],[Z3 SMT2-1 WMax Cost]]=Table1[[#This Row],[ORTools FZN2 Cost]],Table1[[#This Row],[ORTools FZN2 State]]="Optimal"),1,"")</f>
        <v/>
      </c>
      <c r="BD50" s="39" t="s">
        <v>42</v>
      </c>
      <c r="BE50" s="39">
        <v>-319125</v>
      </c>
      <c r="BF50" s="2">
        <v>300.06009829999999</v>
      </c>
      <c r="BG50" s="2" t="str">
        <f>IF(AND(Table1[[#This Row],[Z3 SMT2-2 Maxres Cost]]=Table1[[#This Row],[ORTools FZN2 Cost]],Table1[[#This Row],[ORTools FZN2 State]]="Optimal"),1,"")</f>
        <v/>
      </c>
      <c r="BH50" s="5" t="s">
        <v>42</v>
      </c>
      <c r="BI50" s="2">
        <v>-319125</v>
      </c>
      <c r="BJ50" s="39">
        <v>300.07060689999997</v>
      </c>
      <c r="BK50" s="39" t="str">
        <f>IF(AND(Table1[[#This Row],[Z3 SMT2-2 PdMaxres Cost]]=Table1[[#This Row],[ORTools FZN2 Cost]],Table1[[#This Row],[ORTools FZN2 State]]="Optimal"),1,"")</f>
        <v/>
      </c>
      <c r="BL50" s="39" t="s">
        <v>42</v>
      </c>
      <c r="BM50" s="39">
        <v>-319125</v>
      </c>
      <c r="BN50" s="2">
        <v>300.06714310000001</v>
      </c>
      <c r="BO50" s="4" t="str">
        <f>IF(AND(Table1[[#This Row],[Z3 SMT2-2 PdMaxres Cost]]=Table1[[#This Row],[ORTools FZN2 Cost]],Table1[[#This Row],[ORTools FZN2 State]]="Optimal"),1,"")</f>
        <v/>
      </c>
      <c r="BP50" s="5" t="s">
        <v>42</v>
      </c>
      <c r="BQ50" s="2">
        <v>-319125</v>
      </c>
      <c r="BR50" s="2">
        <v>300.1410803</v>
      </c>
      <c r="BS50" s="2" t="str">
        <f>IF(AND(Table1[[#This Row],[Gurobi MB Cost]]=Table1[[#This Row],[ORTools FZN2 Cost]],Table1[[#This Row],[ORTools FZN2 State]]="Optimal",Table1[[#This Row],[Gurobi MB State]]="Suboptimal"),1,"")</f>
        <v/>
      </c>
      <c r="BT5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0" s="5" t="s">
        <v>42</v>
      </c>
      <c r="BV50" s="2">
        <v>-319125</v>
      </c>
      <c r="BW50" s="2">
        <v>300.10735319999998</v>
      </c>
      <c r="BX50" s="2" t="str">
        <f>IF(AND(Table1[[#This Row],[Gurobi MD Cost]]=Table1[[#This Row],[ORTools FZN2 Cost]],Table1[[#This Row],[ORTools FZN2 State]]="Optimal",Table1[[#This Row],[Gurobi MD State]]="Suboptimal"),1,"")</f>
        <v/>
      </c>
      <c r="BY5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0" s="5" t="s">
        <v>42</v>
      </c>
      <c r="CA50" s="2">
        <v>-319125</v>
      </c>
      <c r="CB50" s="2">
        <v>300.17101059999999</v>
      </c>
      <c r="CC50" s="2" t="str">
        <f>IF(AND(Table1[[#This Row],[Gurobi MI Cost]]=Table1[[#This Row],[ORTools FZN2 Cost]],Table1[[#This Row],[ORTools FZN2 State]]="Optimal",Table1[[#This Row],[Gurobi MI State]]="Suboptimal"),1,"")</f>
        <v/>
      </c>
      <c r="CD5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0" s="39" t="s">
        <v>42</v>
      </c>
      <c r="CF50" s="2">
        <v>-319125</v>
      </c>
      <c r="CG50" s="39">
        <v>306.17045580000001</v>
      </c>
      <c r="CH50" s="39" t="s">
        <v>42</v>
      </c>
      <c r="CI50" s="39">
        <v>-319125</v>
      </c>
      <c r="CJ50" s="2">
        <v>306.14613680000002</v>
      </c>
      <c r="CK50" s="5" t="s">
        <v>26</v>
      </c>
      <c r="CL50" s="2">
        <v>7628320</v>
      </c>
      <c r="CM50" s="2">
        <v>300.188999999999</v>
      </c>
      <c r="CN50" s="5" t="s">
        <v>26</v>
      </c>
      <c r="CO50" s="2">
        <v>9866825</v>
      </c>
      <c r="CP50" s="2">
        <v>303.00664749999999</v>
      </c>
      <c r="CQ50" s="5" t="s">
        <v>25</v>
      </c>
      <c r="CR50" s="2">
        <v>7623704</v>
      </c>
      <c r="CS50" s="2">
        <v>66.133130399999999</v>
      </c>
      <c r="CT50" s="6" t="s">
        <v>25</v>
      </c>
      <c r="CU50" s="4">
        <v>7623704</v>
      </c>
      <c r="CV50" s="4">
        <v>40.051688800000001</v>
      </c>
      <c r="CW50" s="39" t="s">
        <v>42</v>
      </c>
      <c r="CX50" s="39"/>
      <c r="CY50" s="2">
        <v>300.0154</v>
      </c>
      <c r="CZ50" s="2" t="str">
        <f>IF(AND(Table1[[#This Row],[Cplex MZ1 Cost]]=Table1[[#This Row],[ORTools FZN2 Cost]],Table1[[#This Row],[ORTools FZN2 State]]="Optimal",Table1[[#This Row],[Cplex MZ1 State]]="Suboptimal"),1,"")</f>
        <v/>
      </c>
      <c r="DA50" s="5" t="s">
        <v>42</v>
      </c>
      <c r="DB50" s="2"/>
      <c r="DC50" s="2">
        <v>300.03140000000002</v>
      </c>
      <c r="DD50" s="2" t="str">
        <f>IF(AND(Table1[[#This Row],[Cplex MZ2 Cost]]=Table1[[#This Row],[ORTools FZN2 Cost]],Table1[[#This Row],[ORTools FZN2 State]]="Optimal",Table1[[#This Row],[Cplex MZ2 State]]="Suboptimal"),1,"")</f>
        <v/>
      </c>
      <c r="DE50" s="39" t="s">
        <v>42</v>
      </c>
      <c r="DF50" s="39"/>
      <c r="DG50" s="2">
        <v>300.01240000000001</v>
      </c>
      <c r="DH50" s="2" t="str">
        <f>IF(AND(Table1[[#This Row],[Gurobi MZ1 Cost]]=Table1[[#This Row],[ORTools FZN2 Cost]],Table1[[#This Row],[ORTools FZN2 State]]="Optimal",Table1[[#This Row],[Gurobi MZ1 State]]="Suboptimal"),1,"")</f>
        <v/>
      </c>
      <c r="DI50" s="5" t="s">
        <v>42</v>
      </c>
      <c r="DJ50" s="2"/>
      <c r="DK50" s="2">
        <v>300.01609999999999</v>
      </c>
      <c r="DL50" s="4" t="str">
        <f>IF(AND(Table1[[#This Row],[Gurobi MZ2 Cost]]=Table1[[#This Row],[ORTools FZN2 Cost]],Table1[[#This Row],[ORTools FZN2 State]]="Optimal",Table1[[#This Row],[Gurobi MZ2 State]]="Suboptimal"),1,"")</f>
        <v/>
      </c>
      <c r="DM50" s="39" t="s">
        <v>26</v>
      </c>
      <c r="DN50" s="39">
        <v>7623838</v>
      </c>
      <c r="DO50" s="65">
        <v>300.048</v>
      </c>
      <c r="DP50" s="4" t="str">
        <f>IF(AND(Table1[[#This Row],[Cplex MC nonDual Cost]]=Table1[[#This Row],[ORTools FZN2 Cost]],Table1[[#This Row],[ORTools FZN2 State]]="Optimal",Table1[[#This Row],[Cplex MC nonDual State]]="Suboptimal"),1,"")</f>
        <v/>
      </c>
      <c r="DQ50" s="5" t="s">
        <v>42</v>
      </c>
      <c r="DR50" s="2"/>
      <c r="DS50" s="2">
        <v>300.03519999999997</v>
      </c>
      <c r="DT50" s="2" t="str">
        <f>IF(AND(Table1[[#This Row],[Cplex MIP DM''z Cost]]=Table1[[#This Row],[ORTools FZN2 Cost]],Table1[[#This Row],[ORTools FZN2 State]]="Optimal",Table1[[#This Row],[Cplex MIP DM''z  State]]="Suboptimal"),1,"")</f>
        <v/>
      </c>
      <c r="DU5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0" s="5" t="s">
        <v>42</v>
      </c>
      <c r="DW50" s="2"/>
      <c r="DX50" s="2">
        <v>300.00080000000003</v>
      </c>
      <c r="DY50" s="4" t="str">
        <f>IF(AND(Table1[[#This Row],[Gurobi DM''z  Cost]]=Table1[[#This Row],[ORTools FZN2 Cost]],Table1[[#This Row],[ORTools FZN2 State]]="Optimal",Table1[[#This Row],[Gurobi DM''z  State]]="Suboptimal"),1,"")</f>
        <v/>
      </c>
      <c r="DZ5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1" spans="1:130" x14ac:dyDescent="0.25">
      <c r="A51" s="52" t="s">
        <v>76</v>
      </c>
      <c r="B51" s="5">
        <v>70</v>
      </c>
      <c r="C51" s="2">
        <v>35</v>
      </c>
      <c r="D51" s="5">
        <v>1394</v>
      </c>
      <c r="E51" s="2">
        <v>57</v>
      </c>
      <c r="F51" s="5">
        <v>115</v>
      </c>
      <c r="G51" s="2">
        <v>70</v>
      </c>
      <c r="H51" s="4">
        <f t="shared" si="0"/>
        <v>0</v>
      </c>
      <c r="I51" s="4">
        <f>Table1[[#This Row],[B]]+Table1[[#This Row],[Atomic Constraints]]+Table1[[#This Row],[Soft Atomic Constraints]]+Table1[[#This Row],[Disjunctive Constraints]]+Table1[[#This Row],[Direct Successors]]</f>
        <v>1671</v>
      </c>
      <c r="J51" s="5" t="s">
        <v>77</v>
      </c>
      <c r="K51" s="2">
        <v>-347971</v>
      </c>
      <c r="L51" s="2">
        <v>3.2590482000000001</v>
      </c>
      <c r="M51" s="2" t="str">
        <f>IF(AND(Table1[[#This Row],[Chuffed MZ1 Cost]]=Table1[[#This Row],[ORTools FZN2 Cost]],Table1[[#This Row],[ORTools FZN2 State]]="Optimal",Table1[[#This Row],[Chuffed MZ1 State]]="Suboptimal"),1,"")</f>
        <v/>
      </c>
      <c r="N51" s="5" t="s">
        <v>77</v>
      </c>
      <c r="O51" s="2">
        <v>-347971</v>
      </c>
      <c r="P51" s="2">
        <v>3.1890146000000001</v>
      </c>
      <c r="Q51" s="2" t="str">
        <f>IF(AND(Table1[[#This Row],[Chuffed MZ2 Cost]]=Table1[[#This Row],[ORTools FZN2 Cost]],Table1[[#This Row],[ORTools FZN2 State]]="Optimal",Table1[[#This Row],[Chuffed MZ2 State]]="Suboptimal"),1,"")</f>
        <v/>
      </c>
      <c r="R51" s="5" t="s">
        <v>77</v>
      </c>
      <c r="S51" s="2">
        <v>-347971</v>
      </c>
      <c r="T51" s="2">
        <v>0.221000000000458</v>
      </c>
      <c r="U51" s="2"/>
      <c r="V51" s="5" t="s">
        <v>77</v>
      </c>
      <c r="W51" s="2">
        <v>-347971</v>
      </c>
      <c r="X51" s="2">
        <v>2.7304048000000001</v>
      </c>
      <c r="Y51" s="2" t="str">
        <f>IF(AND(Table1[[#This Row],[ORTools FZN1 Cost]]=Table1[[#This Row],[ORTools FZN2 Cost]],Table1[[#This Row],[ORTools FZN2 State]]="Optimal",Table1[[#This Row],[ORTools FZN1 State]]="Suboptimal"),1,"")</f>
        <v/>
      </c>
      <c r="Z51" s="5" t="s">
        <v>77</v>
      </c>
      <c r="AA51" s="2">
        <v>-347971</v>
      </c>
      <c r="AB51" s="2">
        <v>2.2463671999999999</v>
      </c>
      <c r="AC51" s="39" t="s">
        <v>77</v>
      </c>
      <c r="AD51" s="39">
        <v>-347971</v>
      </c>
      <c r="AE51" s="2">
        <v>0.1040816</v>
      </c>
      <c r="AF51" s="2" t="str">
        <f>IF(AND(Table1[[#This Row],[Cplex MB Cost]]=Table1[[#This Row],[ORTools FZN2 Cost]],Table1[[#This Row],[ORTools FZN2 State]]="Optimal",Table1[[#This Row],[Cplex MB State]]="Suboptimal"),1,"")</f>
        <v/>
      </c>
      <c r="AG51" s="4">
        <f>IF(AND(AC51="Optimal",AD51&lt;&gt;AA51,Table1[[#This Row],[Example]]&lt;&gt;"R001",Table1[[#This Row],[Example]]&lt;&gt;"R002"),AD51-AA51,)</f>
        <v>0</v>
      </c>
      <c r="AH51" s="5" t="s">
        <v>77</v>
      </c>
      <c r="AI51" s="2">
        <v>-347971</v>
      </c>
      <c r="AJ51" s="2">
        <v>2.5085118</v>
      </c>
      <c r="AK51" s="2" t="str">
        <f>IF(AND(Table1[[#This Row],[Cplex MD Cost]]=Table1[[#This Row],[ORTools FZN2 Cost]],Table1[[#This Row],[ORTools FZN2 State]]="Optimal",Table1[[#This Row],[Cplex MD State]]="Suboptimal"),1,"")</f>
        <v/>
      </c>
      <c r="AL51" s="4">
        <f>IF(AND(AH51="Optimal",AI51&lt;&gt;AA51,Table1[[#This Row],[Example]]&lt;&gt;"R001",Table1[[#This Row],[Example]]&lt;&gt;"R002"),AI51-AA51,)</f>
        <v>0</v>
      </c>
      <c r="AM51" s="39" t="s">
        <v>77</v>
      </c>
      <c r="AN51" s="39">
        <v>-347971</v>
      </c>
      <c r="AO51" s="2">
        <v>0.71235139999999997</v>
      </c>
      <c r="AP5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1" s="2" t="str">
        <f>IF(AND(Table1[[#This Row],[Cplex MI Cost]]=Table1[[#This Row],[ORTools FZN2 Cost]],Table1[[#This Row],[ORTools FZN2 State]]="Optimal",Table1[[#This Row],[Cplex MI State]]="Suboptimal"),1,"")</f>
        <v/>
      </c>
      <c r="AR51" s="5" t="s">
        <v>77</v>
      </c>
      <c r="AS51" s="2">
        <v>-347971</v>
      </c>
      <c r="AT51" s="2">
        <v>15.091377400000001</v>
      </c>
      <c r="AU51" s="2" t="str">
        <f>IF(AND(Table1[[#This Row],[Z3 SMT2-1 Maxres Cost]]=Table1[[#This Row],[ORTools FZN2 Cost]],Table1[[#This Row],[ORTools FZN2 State]]="Optimal"),1,"")</f>
        <v/>
      </c>
      <c r="AV51" s="39" t="s">
        <v>77</v>
      </c>
      <c r="AW51" s="39">
        <v>-347971</v>
      </c>
      <c r="AX51" s="2">
        <v>16.7747706</v>
      </c>
      <c r="AY51" s="2" t="str">
        <f>IF(AND(Table1[[#This Row],[Z3 SMT2-1 PdMaxres Cost]]=Table1[[#This Row],[ORTools FZN2 Cost]],Table1[[#This Row],[ORTools FZN2 State]]="Optimal"),1,"")</f>
        <v/>
      </c>
      <c r="AZ51" s="5" t="s">
        <v>77</v>
      </c>
      <c r="BA51" s="2">
        <v>-347971</v>
      </c>
      <c r="BB51" s="39">
        <v>18.202577099999999</v>
      </c>
      <c r="BC51" s="39" t="str">
        <f>IF(AND(Table1[[#This Row],[Z3 SMT2-1 WMax Cost]]=Table1[[#This Row],[ORTools FZN2 Cost]],Table1[[#This Row],[ORTools FZN2 State]]="Optimal"),1,"")</f>
        <v/>
      </c>
      <c r="BD51" s="39" t="s">
        <v>77</v>
      </c>
      <c r="BE51" s="39">
        <v>-347971</v>
      </c>
      <c r="BF51" s="2">
        <v>15.3928967</v>
      </c>
      <c r="BG51" s="2" t="str">
        <f>IF(AND(Table1[[#This Row],[Z3 SMT2-2 Maxres Cost]]=Table1[[#This Row],[ORTools FZN2 Cost]],Table1[[#This Row],[ORTools FZN2 State]]="Optimal"),1,"")</f>
        <v/>
      </c>
      <c r="BH51" s="5" t="s">
        <v>77</v>
      </c>
      <c r="BI51" s="2">
        <v>-347971</v>
      </c>
      <c r="BJ51" s="39">
        <v>15.3789018</v>
      </c>
      <c r="BK51" s="39" t="str">
        <f>IF(AND(Table1[[#This Row],[Z3 SMT2-2 PdMaxres Cost]]=Table1[[#This Row],[ORTools FZN2 Cost]],Table1[[#This Row],[ORTools FZN2 State]]="Optimal"),1,"")</f>
        <v/>
      </c>
      <c r="BL51" s="39" t="s">
        <v>77</v>
      </c>
      <c r="BM51" s="39">
        <v>-347971</v>
      </c>
      <c r="BN51" s="2">
        <v>15.225007400000001</v>
      </c>
      <c r="BO51" s="4" t="str">
        <f>IF(AND(Table1[[#This Row],[Z3 SMT2-2 PdMaxres Cost]]=Table1[[#This Row],[ORTools FZN2 Cost]],Table1[[#This Row],[ORTools FZN2 State]]="Optimal"),1,"")</f>
        <v/>
      </c>
      <c r="BP51" s="5" t="s">
        <v>77</v>
      </c>
      <c r="BQ51" s="2">
        <v>-347971</v>
      </c>
      <c r="BR51" s="2">
        <v>0.1230335</v>
      </c>
      <c r="BS51" s="2" t="str">
        <f>IF(AND(Table1[[#This Row],[Gurobi MB Cost]]=Table1[[#This Row],[ORTools FZN2 Cost]],Table1[[#This Row],[ORTools FZN2 State]]="Optimal",Table1[[#This Row],[Gurobi MB State]]="Suboptimal"),1,"")</f>
        <v/>
      </c>
      <c r="BT5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1" s="5" t="s">
        <v>77</v>
      </c>
      <c r="BV51" s="2">
        <v>-347971</v>
      </c>
      <c r="BW51" s="2">
        <v>1.4801333000000001</v>
      </c>
      <c r="BX51" s="2" t="str">
        <f>IF(AND(Table1[[#This Row],[Gurobi MD Cost]]=Table1[[#This Row],[ORTools FZN2 Cost]],Table1[[#This Row],[ORTools FZN2 State]]="Optimal",Table1[[#This Row],[Gurobi MD State]]="Suboptimal"),1,"")</f>
        <v/>
      </c>
      <c r="BY5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1" s="5" t="s">
        <v>77</v>
      </c>
      <c r="CA51" s="2">
        <v>-347971</v>
      </c>
      <c r="CB51" s="2">
        <v>0.27722740000000001</v>
      </c>
      <c r="CC51" s="2" t="str">
        <f>IF(AND(Table1[[#This Row],[Gurobi MI Cost]]=Table1[[#This Row],[ORTools FZN2 Cost]],Table1[[#This Row],[ORTools FZN2 State]]="Optimal",Table1[[#This Row],[Gurobi MI State]]="Suboptimal"),1,"")</f>
        <v/>
      </c>
      <c r="CD5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1" s="39" t="s">
        <v>77</v>
      </c>
      <c r="CF51" s="2">
        <v>-347971</v>
      </c>
      <c r="CG51" s="39">
        <v>5.2902443000000003</v>
      </c>
      <c r="CH51" s="39" t="s">
        <v>77</v>
      </c>
      <c r="CI51" s="39">
        <v>-347971</v>
      </c>
      <c r="CJ51" s="2">
        <v>5.1884294999999998</v>
      </c>
      <c r="CK51" s="5" t="s">
        <v>77</v>
      </c>
      <c r="CL51" s="2">
        <v>-347971</v>
      </c>
      <c r="CM51" s="2">
        <v>0.16700000000037099</v>
      </c>
      <c r="CN51" s="5" t="s">
        <v>77</v>
      </c>
      <c r="CO51" s="2">
        <v>-347971</v>
      </c>
      <c r="CP51" s="2">
        <v>3.1576195999999999</v>
      </c>
      <c r="CQ51" s="5" t="s">
        <v>77</v>
      </c>
      <c r="CR51" s="2">
        <v>-347971</v>
      </c>
      <c r="CS51" s="2">
        <v>5.0002466999999999</v>
      </c>
      <c r="CT51" s="6" t="s">
        <v>77</v>
      </c>
      <c r="CU51" s="4">
        <v>-347971</v>
      </c>
      <c r="CV51" s="4">
        <v>5.6908588</v>
      </c>
      <c r="CW51" s="39" t="s">
        <v>77</v>
      </c>
      <c r="CX51" s="39"/>
      <c r="CY51" s="2">
        <v>2.1524000000000001</v>
      </c>
      <c r="CZ51" s="2" t="str">
        <f>IF(AND(Table1[[#This Row],[Cplex MZ1 Cost]]=Table1[[#This Row],[ORTools FZN2 Cost]],Table1[[#This Row],[ORTools FZN2 State]]="Optimal",Table1[[#This Row],[Cplex MZ1 State]]="Suboptimal"),1,"")</f>
        <v/>
      </c>
      <c r="DA51" s="5" t="s">
        <v>77</v>
      </c>
      <c r="DB51" s="2"/>
      <c r="DC51" s="2">
        <v>3.7347999999999999</v>
      </c>
      <c r="DD51" s="2" t="str">
        <f>IF(AND(Table1[[#This Row],[Cplex MZ2 Cost]]=Table1[[#This Row],[ORTools FZN2 Cost]],Table1[[#This Row],[ORTools FZN2 State]]="Optimal",Table1[[#This Row],[Cplex MZ2 State]]="Suboptimal"),1,"")</f>
        <v/>
      </c>
      <c r="DE51" s="39" t="s">
        <v>77</v>
      </c>
      <c r="DF51" s="39"/>
      <c r="DG51" s="2">
        <v>0.23719999999999999</v>
      </c>
      <c r="DH51" s="2" t="str">
        <f>IF(AND(Table1[[#This Row],[Gurobi MZ1 Cost]]=Table1[[#This Row],[ORTools FZN2 Cost]],Table1[[#This Row],[ORTools FZN2 State]]="Optimal",Table1[[#This Row],[Gurobi MZ1 State]]="Suboptimal"),1,"")</f>
        <v/>
      </c>
      <c r="DI51" s="5" t="s">
        <v>77</v>
      </c>
      <c r="DJ51" s="2"/>
      <c r="DK51" s="2">
        <v>0.25769999999999998</v>
      </c>
      <c r="DL51" s="4" t="str">
        <f>IF(AND(Table1[[#This Row],[Gurobi MZ2 Cost]]=Table1[[#This Row],[ORTools FZN2 Cost]],Table1[[#This Row],[ORTools FZN2 State]]="Optimal",Table1[[#This Row],[Gurobi MZ2 State]]="Suboptimal"),1,"")</f>
        <v/>
      </c>
      <c r="DM51" s="39" t="s">
        <v>77</v>
      </c>
      <c r="DN51" s="39">
        <v>-347971</v>
      </c>
      <c r="DO51" s="65">
        <v>0.25799999999980999</v>
      </c>
      <c r="DP51" s="4" t="str">
        <f>IF(AND(Table1[[#This Row],[Cplex MC nonDual Cost]]=Table1[[#This Row],[ORTools FZN2 Cost]],Table1[[#This Row],[ORTools FZN2 State]]="Optimal",Table1[[#This Row],[Cplex MC nonDual State]]="Suboptimal"),1,"")</f>
        <v/>
      </c>
      <c r="DQ51" s="5" t="s">
        <v>77</v>
      </c>
      <c r="DR51" s="2"/>
      <c r="DS51" s="2">
        <v>1.0270999999999999</v>
      </c>
      <c r="DT51" s="2" t="str">
        <f>IF(AND(Table1[[#This Row],[Cplex MIP DM''z Cost]]=Table1[[#This Row],[ORTools FZN2 Cost]],Table1[[#This Row],[ORTools FZN2 State]]="Optimal",Table1[[#This Row],[Cplex MIP DM''z  State]]="Suboptimal"),1,"")</f>
        <v/>
      </c>
      <c r="DU5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1" s="5" t="s">
        <v>77</v>
      </c>
      <c r="DW51" s="2"/>
      <c r="DX51" s="2">
        <v>0.29420000000000002</v>
      </c>
      <c r="DY51" s="4" t="str">
        <f>IF(AND(Table1[[#This Row],[Gurobi DM''z  Cost]]=Table1[[#This Row],[ORTools FZN2 Cost]],Table1[[#This Row],[ORTools FZN2 State]]="Optimal",Table1[[#This Row],[Gurobi DM''z  State]]="Suboptimal"),1,"")</f>
        <v/>
      </c>
      <c r="DZ5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2" spans="1:130" x14ac:dyDescent="0.25">
      <c r="A52" s="52" t="s">
        <v>78</v>
      </c>
      <c r="B52" s="5">
        <v>70</v>
      </c>
      <c r="C52" s="2">
        <v>35</v>
      </c>
      <c r="D52" s="5">
        <v>1392</v>
      </c>
      <c r="E52" s="2">
        <v>57</v>
      </c>
      <c r="F52" s="5">
        <v>134</v>
      </c>
      <c r="G52" s="2">
        <v>19</v>
      </c>
      <c r="H52" s="4">
        <f t="shared" si="0"/>
        <v>0</v>
      </c>
      <c r="I52" s="4">
        <f>Table1[[#This Row],[B]]+Table1[[#This Row],[Atomic Constraints]]+Table1[[#This Row],[Soft Atomic Constraints]]+Table1[[#This Row],[Disjunctive Constraints]]+Table1[[#This Row],[Direct Successors]]</f>
        <v>1637</v>
      </c>
      <c r="J52" s="5" t="s">
        <v>77</v>
      </c>
      <c r="K52" s="2">
        <v>-347971</v>
      </c>
      <c r="L52" s="2">
        <v>3.2099361000000002</v>
      </c>
      <c r="M52" s="2" t="str">
        <f>IF(AND(Table1[[#This Row],[Chuffed MZ1 Cost]]=Table1[[#This Row],[ORTools FZN2 Cost]],Table1[[#This Row],[ORTools FZN2 State]]="Optimal",Table1[[#This Row],[Chuffed MZ1 State]]="Suboptimal"),1,"")</f>
        <v/>
      </c>
      <c r="N52" s="5" t="s">
        <v>77</v>
      </c>
      <c r="O52" s="2">
        <v>-347971</v>
      </c>
      <c r="P52" s="2">
        <v>3.1587128</v>
      </c>
      <c r="Q52" s="2" t="str">
        <f>IF(AND(Table1[[#This Row],[Chuffed MZ2 Cost]]=Table1[[#This Row],[ORTools FZN2 Cost]],Table1[[#This Row],[ORTools FZN2 State]]="Optimal",Table1[[#This Row],[Chuffed MZ2 State]]="Suboptimal"),1,"")</f>
        <v/>
      </c>
      <c r="R52" s="6" t="s">
        <v>77</v>
      </c>
      <c r="S52" s="4">
        <v>-347971</v>
      </c>
      <c r="T52" s="4">
        <v>0.16100000000005801</v>
      </c>
      <c r="U52" s="4"/>
      <c r="V52" s="5" t="s">
        <v>77</v>
      </c>
      <c r="W52" s="2">
        <v>-347971</v>
      </c>
      <c r="X52" s="2">
        <v>2.6495269000000001</v>
      </c>
      <c r="Y52" s="2" t="str">
        <f>IF(AND(Table1[[#This Row],[ORTools FZN1 Cost]]=Table1[[#This Row],[ORTools FZN2 Cost]],Table1[[#This Row],[ORTools FZN2 State]]="Optimal",Table1[[#This Row],[ORTools FZN1 State]]="Suboptimal"),1,"")</f>
        <v/>
      </c>
      <c r="Z52" s="5" t="s">
        <v>77</v>
      </c>
      <c r="AA52" s="2">
        <v>-347971</v>
      </c>
      <c r="AB52" s="2">
        <v>2.2127270000000001</v>
      </c>
      <c r="AC52" s="39" t="s">
        <v>77</v>
      </c>
      <c r="AD52" s="39">
        <v>-347971</v>
      </c>
      <c r="AE52" s="2">
        <v>9.8814899999999997E-2</v>
      </c>
      <c r="AF52" s="2" t="str">
        <f>IF(AND(Table1[[#This Row],[Cplex MB Cost]]=Table1[[#This Row],[ORTools FZN2 Cost]],Table1[[#This Row],[ORTools FZN2 State]]="Optimal",Table1[[#This Row],[Cplex MB State]]="Suboptimal"),1,"")</f>
        <v/>
      </c>
      <c r="AG52" s="4">
        <f>IF(AND(AC52="Optimal",AD52&lt;&gt;AA52,Table1[[#This Row],[Example]]&lt;&gt;"R001",Table1[[#This Row],[Example]]&lt;&gt;"R002"),AD52-AA52,)</f>
        <v>0</v>
      </c>
      <c r="AH52" s="5" t="s">
        <v>77</v>
      </c>
      <c r="AI52" s="2">
        <v>-347971</v>
      </c>
      <c r="AJ52" s="2">
        <v>2.4275221999999999</v>
      </c>
      <c r="AK52" s="2" t="str">
        <f>IF(AND(Table1[[#This Row],[Cplex MD Cost]]=Table1[[#This Row],[ORTools FZN2 Cost]],Table1[[#This Row],[ORTools FZN2 State]]="Optimal",Table1[[#This Row],[Cplex MD State]]="Suboptimal"),1,"")</f>
        <v/>
      </c>
      <c r="AL52" s="4">
        <f>IF(AND(AH52="Optimal",AI52&lt;&gt;AA52,Table1[[#This Row],[Example]]&lt;&gt;"R001",Table1[[#This Row],[Example]]&lt;&gt;"R002"),AI52-AA52,)</f>
        <v>0</v>
      </c>
      <c r="AM52" s="39" t="s">
        <v>77</v>
      </c>
      <c r="AN52" s="39">
        <v>-347971</v>
      </c>
      <c r="AO52" s="2">
        <v>0.70968629999999999</v>
      </c>
      <c r="AP5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2" s="4" t="str">
        <f>IF(AND(Table1[[#This Row],[Cplex MI Cost]]=Table1[[#This Row],[ORTools FZN2 Cost]],Table1[[#This Row],[ORTools FZN2 State]]="Optimal",Table1[[#This Row],[Cplex MI State]]="Suboptimal"),1,"")</f>
        <v/>
      </c>
      <c r="AR52" s="5" t="s">
        <v>77</v>
      </c>
      <c r="AS52" s="2">
        <v>-347971</v>
      </c>
      <c r="AT52" s="2">
        <v>15.198707199999999</v>
      </c>
      <c r="AU52" s="2" t="str">
        <f>IF(AND(Table1[[#This Row],[Z3 SMT2-1 Maxres Cost]]=Table1[[#This Row],[ORTools FZN2 Cost]],Table1[[#This Row],[ORTools FZN2 State]]="Optimal"),1,"")</f>
        <v/>
      </c>
      <c r="AV52" s="39" t="s">
        <v>77</v>
      </c>
      <c r="AW52" s="39">
        <v>-347971</v>
      </c>
      <c r="AX52" s="2">
        <v>15.9169394</v>
      </c>
      <c r="AY52" s="2" t="str">
        <f>IF(AND(Table1[[#This Row],[Z3 SMT2-1 PdMaxres Cost]]=Table1[[#This Row],[ORTools FZN2 Cost]],Table1[[#This Row],[ORTools FZN2 State]]="Optimal"),1,"")</f>
        <v/>
      </c>
      <c r="AZ52" s="5" t="s">
        <v>77</v>
      </c>
      <c r="BA52" s="2">
        <v>-347971</v>
      </c>
      <c r="BB52" s="39">
        <v>17.8232517</v>
      </c>
      <c r="BC52" s="39" t="str">
        <f>IF(AND(Table1[[#This Row],[Z3 SMT2-1 WMax Cost]]=Table1[[#This Row],[ORTools FZN2 Cost]],Table1[[#This Row],[ORTools FZN2 State]]="Optimal"),1,"")</f>
        <v/>
      </c>
      <c r="BD52" s="39" t="s">
        <v>77</v>
      </c>
      <c r="BE52" s="39">
        <v>-347971</v>
      </c>
      <c r="BF52" s="2">
        <v>15.363414000000001</v>
      </c>
      <c r="BG52" s="2" t="str">
        <f>IF(AND(Table1[[#This Row],[Z3 SMT2-2 Maxres Cost]]=Table1[[#This Row],[ORTools FZN2 Cost]],Table1[[#This Row],[ORTools FZN2 State]]="Optimal"),1,"")</f>
        <v/>
      </c>
      <c r="BH52" s="5" t="s">
        <v>77</v>
      </c>
      <c r="BI52" s="2">
        <v>-347971</v>
      </c>
      <c r="BJ52" s="39">
        <v>15.003719500000001</v>
      </c>
      <c r="BK52" s="39" t="str">
        <f>IF(AND(Table1[[#This Row],[Z3 SMT2-2 PdMaxres Cost]]=Table1[[#This Row],[ORTools FZN2 Cost]],Table1[[#This Row],[ORTools FZN2 State]]="Optimal"),1,"")</f>
        <v/>
      </c>
      <c r="BL52" s="39" t="s">
        <v>77</v>
      </c>
      <c r="BM52" s="39">
        <v>-347971</v>
      </c>
      <c r="BN52" s="2">
        <v>15.126192400000001</v>
      </c>
      <c r="BO52" s="4" t="str">
        <f>IF(AND(Table1[[#This Row],[Z3 SMT2-2 PdMaxres Cost]]=Table1[[#This Row],[ORTools FZN2 Cost]],Table1[[#This Row],[ORTools FZN2 State]]="Optimal"),1,"")</f>
        <v/>
      </c>
      <c r="BP52" s="5" t="s">
        <v>77</v>
      </c>
      <c r="BQ52" s="2">
        <v>-347971</v>
      </c>
      <c r="BR52" s="2">
        <v>0.12033000000000001</v>
      </c>
      <c r="BS52" s="2" t="str">
        <f>IF(AND(Table1[[#This Row],[Gurobi MB Cost]]=Table1[[#This Row],[ORTools FZN2 Cost]],Table1[[#This Row],[ORTools FZN2 State]]="Optimal",Table1[[#This Row],[Gurobi MB State]]="Suboptimal"),1,"")</f>
        <v/>
      </c>
      <c r="BT5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2" s="5" t="s">
        <v>77</v>
      </c>
      <c r="BV52" s="2">
        <v>-347971</v>
      </c>
      <c r="BW52" s="2">
        <v>1.5264291999999999</v>
      </c>
      <c r="BX52" s="2" t="str">
        <f>IF(AND(Table1[[#This Row],[Gurobi MD Cost]]=Table1[[#This Row],[ORTools FZN2 Cost]],Table1[[#This Row],[ORTools FZN2 State]]="Optimal",Table1[[#This Row],[Gurobi MD State]]="Suboptimal"),1,"")</f>
        <v/>
      </c>
      <c r="BY5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2" s="5" t="s">
        <v>77</v>
      </c>
      <c r="CA52" s="2">
        <v>-347971</v>
      </c>
      <c r="CB52" s="2">
        <v>0.26765889999999998</v>
      </c>
      <c r="CC52" s="2" t="str">
        <f>IF(AND(Table1[[#This Row],[Gurobi MI Cost]]=Table1[[#This Row],[ORTools FZN2 Cost]],Table1[[#This Row],[ORTools FZN2 State]]="Optimal",Table1[[#This Row],[Gurobi MI State]]="Suboptimal"),1,"")</f>
        <v/>
      </c>
      <c r="CD5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2" s="39" t="s">
        <v>77</v>
      </c>
      <c r="CF52" s="2">
        <v>-347971</v>
      </c>
      <c r="CG52" s="39">
        <v>5.2369585000000001</v>
      </c>
      <c r="CH52" s="39" t="s">
        <v>77</v>
      </c>
      <c r="CI52" s="39">
        <v>-347971</v>
      </c>
      <c r="CJ52" s="2">
        <v>5.1945614999999998</v>
      </c>
      <c r="CK52" s="5" t="s">
        <v>77</v>
      </c>
      <c r="CL52" s="2">
        <v>-347971</v>
      </c>
      <c r="CM52" s="2">
        <v>0.16200000000026199</v>
      </c>
      <c r="CN52" s="5" t="s">
        <v>77</v>
      </c>
      <c r="CO52" s="2">
        <v>-347971</v>
      </c>
      <c r="CP52" s="2">
        <v>3.1094930000000001</v>
      </c>
      <c r="CQ52" s="5" t="s">
        <v>77</v>
      </c>
      <c r="CR52" s="2">
        <v>-347971</v>
      </c>
      <c r="CS52" s="2">
        <v>4.9245080999999997</v>
      </c>
      <c r="CT52" s="6" t="s">
        <v>77</v>
      </c>
      <c r="CU52" s="4">
        <v>-347971</v>
      </c>
      <c r="CV52" s="4">
        <v>5.3956742000000002</v>
      </c>
      <c r="CW52" s="39" t="s">
        <v>77</v>
      </c>
      <c r="CX52" s="39"/>
      <c r="CY52" s="2">
        <v>2.7654999999999998</v>
      </c>
      <c r="CZ52" s="2" t="str">
        <f>IF(AND(Table1[[#This Row],[Cplex MZ1 Cost]]=Table1[[#This Row],[ORTools FZN2 Cost]],Table1[[#This Row],[ORTools FZN2 State]]="Optimal",Table1[[#This Row],[Cplex MZ1 State]]="Suboptimal"),1,"")</f>
        <v/>
      </c>
      <c r="DA52" s="5" t="s">
        <v>77</v>
      </c>
      <c r="DB52" s="2"/>
      <c r="DC52" s="2">
        <v>4.1970000000000001</v>
      </c>
      <c r="DD52" s="2" t="str">
        <f>IF(AND(Table1[[#This Row],[Cplex MZ2 Cost]]=Table1[[#This Row],[ORTools FZN2 Cost]],Table1[[#This Row],[ORTools FZN2 State]]="Optimal",Table1[[#This Row],[Cplex MZ2 State]]="Suboptimal"),1,"")</f>
        <v/>
      </c>
      <c r="DE52" s="39" t="s">
        <v>77</v>
      </c>
      <c r="DF52" s="39"/>
      <c r="DG52" s="2">
        <v>0.2447</v>
      </c>
      <c r="DH52" s="2" t="str">
        <f>IF(AND(Table1[[#This Row],[Gurobi MZ1 Cost]]=Table1[[#This Row],[ORTools FZN2 Cost]],Table1[[#This Row],[ORTools FZN2 State]]="Optimal",Table1[[#This Row],[Gurobi MZ1 State]]="Suboptimal"),1,"")</f>
        <v/>
      </c>
      <c r="DI52" s="5" t="s">
        <v>77</v>
      </c>
      <c r="DJ52" s="2"/>
      <c r="DK52" s="2">
        <v>0.26340000000000002</v>
      </c>
      <c r="DL52" s="4" t="str">
        <f>IF(AND(Table1[[#This Row],[Gurobi MZ2 Cost]]=Table1[[#This Row],[ORTools FZN2 Cost]],Table1[[#This Row],[ORTools FZN2 State]]="Optimal",Table1[[#This Row],[Gurobi MZ2 State]]="Suboptimal"),1,"")</f>
        <v/>
      </c>
      <c r="DM52" s="39" t="s">
        <v>77</v>
      </c>
      <c r="DN52" s="39">
        <v>-347971</v>
      </c>
      <c r="DO52" s="65">
        <v>0.17399999999997801</v>
      </c>
      <c r="DP52" s="4" t="str">
        <f>IF(AND(Table1[[#This Row],[Cplex MC nonDual Cost]]=Table1[[#This Row],[ORTools FZN2 Cost]],Table1[[#This Row],[ORTools FZN2 State]]="Optimal",Table1[[#This Row],[Cplex MC nonDual State]]="Suboptimal"),1,"")</f>
        <v/>
      </c>
      <c r="DQ52" s="5" t="s">
        <v>77</v>
      </c>
      <c r="DR52" s="2"/>
      <c r="DS52" s="2">
        <v>2.5707</v>
      </c>
      <c r="DT52" s="2" t="str">
        <f>IF(AND(Table1[[#This Row],[Cplex MIP DM''z Cost]]=Table1[[#This Row],[ORTools FZN2 Cost]],Table1[[#This Row],[ORTools FZN2 State]]="Optimal",Table1[[#This Row],[Cplex MIP DM''z  State]]="Suboptimal"),1,"")</f>
        <v/>
      </c>
      <c r="DU5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2" s="5" t="s">
        <v>77</v>
      </c>
      <c r="DW52" s="2"/>
      <c r="DX52" s="2">
        <v>0.2782</v>
      </c>
      <c r="DY52" s="4" t="str">
        <f>IF(AND(Table1[[#This Row],[Gurobi DM''z  Cost]]=Table1[[#This Row],[ORTools FZN2 Cost]],Table1[[#This Row],[ORTools FZN2 State]]="Optimal",Table1[[#This Row],[Gurobi DM''z  State]]="Suboptimal"),1,"")</f>
        <v/>
      </c>
      <c r="DZ5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3" spans="1:130" ht="15.75" x14ac:dyDescent="0.25">
      <c r="A53" s="46" t="s">
        <v>79</v>
      </c>
      <c r="B53" s="5">
        <v>70</v>
      </c>
      <c r="C53" s="2">
        <v>35</v>
      </c>
      <c r="D53" s="5">
        <v>1394</v>
      </c>
      <c r="E53" s="2">
        <v>57</v>
      </c>
      <c r="F53" s="5">
        <v>171</v>
      </c>
      <c r="G53" s="2">
        <v>0</v>
      </c>
      <c r="H53" s="4">
        <f t="shared" si="0"/>
        <v>0</v>
      </c>
      <c r="I53" s="4">
        <f>Table1[[#This Row],[B]]+Table1[[#This Row],[Atomic Constraints]]+Table1[[#This Row],[Soft Atomic Constraints]]+Table1[[#This Row],[Disjunctive Constraints]]+Table1[[#This Row],[Direct Successors]]</f>
        <v>1657</v>
      </c>
      <c r="J53" s="5" t="s">
        <v>26</v>
      </c>
      <c r="K53" s="2">
        <v>12136849</v>
      </c>
      <c r="L53" s="2">
        <v>303.24619710000002</v>
      </c>
      <c r="M53" s="2" t="str">
        <f>IF(AND(Table1[[#This Row],[Chuffed MZ1 Cost]]=Table1[[#This Row],[ORTools FZN2 Cost]],Table1[[#This Row],[ORTools FZN2 State]]="Optimal",Table1[[#This Row],[Chuffed MZ1 State]]="Suboptimal"),1,"")</f>
        <v/>
      </c>
      <c r="N53" s="5" t="s">
        <v>26</v>
      </c>
      <c r="O53" s="2">
        <v>12102747</v>
      </c>
      <c r="P53" s="2">
        <v>303.1479339</v>
      </c>
      <c r="Q53" s="2" t="str">
        <f>IF(AND(Table1[[#This Row],[Chuffed MZ2 Cost]]=Table1[[#This Row],[ORTools FZN2 Cost]],Table1[[#This Row],[ORTools FZN2 State]]="Optimal",Table1[[#This Row],[Chuffed MZ2 State]]="Suboptimal"),1,"")</f>
        <v/>
      </c>
      <c r="R53" s="11" t="s">
        <v>26</v>
      </c>
      <c r="S53" s="11">
        <v>8656920</v>
      </c>
      <c r="T53" s="11">
        <v>300.20699999999903</v>
      </c>
      <c r="U53" s="11">
        <v>1</v>
      </c>
      <c r="V53" s="5" t="s">
        <v>42</v>
      </c>
      <c r="W53" s="2">
        <v>-347971</v>
      </c>
      <c r="X53" s="2">
        <v>301.14810160000002</v>
      </c>
      <c r="Y53" s="2" t="str">
        <f>IF(AND(Table1[[#This Row],[ORTools FZN1 Cost]]=Table1[[#This Row],[ORTools FZN2 Cost]],Table1[[#This Row],[ORTools FZN2 State]]="Optimal",Table1[[#This Row],[ORTools FZN1 State]]="Suboptimal"),1,"")</f>
        <v/>
      </c>
      <c r="Z53" s="5" t="s">
        <v>25</v>
      </c>
      <c r="AA53" s="2">
        <v>8656920</v>
      </c>
      <c r="AB53" s="2">
        <v>216.14169849999999</v>
      </c>
      <c r="AC53" s="39" t="s">
        <v>42</v>
      </c>
      <c r="AD53" s="39">
        <v>-347971</v>
      </c>
      <c r="AE53" s="2">
        <v>300.1316218</v>
      </c>
      <c r="AF53" s="2" t="str">
        <f>IF(AND(Table1[[#This Row],[Cplex MB Cost]]=Table1[[#This Row],[ORTools FZN2 Cost]],Table1[[#This Row],[ORTools FZN2 State]]="Optimal",Table1[[#This Row],[Cplex MB State]]="Suboptimal"),1,"")</f>
        <v/>
      </c>
      <c r="AG53" s="4">
        <f>IF(AND(AC53="Optimal",AD53&lt;&gt;AA53,Table1[[#This Row],[Example]]&lt;&gt;"R001",Table1[[#This Row],[Example]]&lt;&gt;"R002"),AD53-AA53,)</f>
        <v>0</v>
      </c>
      <c r="AH53" s="5" t="s">
        <v>42</v>
      </c>
      <c r="AI53" s="2">
        <v>-347971</v>
      </c>
      <c r="AJ53" s="2">
        <v>300.43290350000001</v>
      </c>
      <c r="AK53" s="2" t="str">
        <f>IF(AND(Table1[[#This Row],[Cplex MD Cost]]=Table1[[#This Row],[ORTools FZN2 Cost]],Table1[[#This Row],[ORTools FZN2 State]]="Optimal",Table1[[#This Row],[Cplex MD State]]="Suboptimal"),1,"")</f>
        <v/>
      </c>
      <c r="AL53" s="2">
        <f>IF(AND(AH53="Optimal",AI53&lt;&gt;AA53,Table1[[#This Row],[Example]]&lt;&gt;"R001",Table1[[#This Row],[Example]]&lt;&gt;"R002"),AI53-AA53,)</f>
        <v>0</v>
      </c>
      <c r="AM53" s="39" t="s">
        <v>26</v>
      </c>
      <c r="AN53" s="39">
        <v>11068065</v>
      </c>
      <c r="AO53" s="2">
        <v>300.0959426</v>
      </c>
      <c r="AP5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3" s="2" t="str">
        <f>IF(AND(Table1[[#This Row],[Cplex MI Cost]]=Table1[[#This Row],[ORTools FZN2 Cost]],Table1[[#This Row],[ORTools FZN2 State]]="Optimal",Table1[[#This Row],[Cplex MI State]]="Suboptimal"),1,"")</f>
        <v/>
      </c>
      <c r="AR53" s="5" t="s">
        <v>42</v>
      </c>
      <c r="AS53" s="2">
        <v>-347971</v>
      </c>
      <c r="AT53" s="2">
        <v>300.07069030000002</v>
      </c>
      <c r="AU53" s="2" t="str">
        <f>IF(AND(Table1[[#This Row],[Z3 SMT2-1 Maxres Cost]]=Table1[[#This Row],[ORTools FZN2 Cost]],Table1[[#This Row],[ORTools FZN2 State]]="Optimal"),1,"")</f>
        <v/>
      </c>
      <c r="AV53" s="39" t="s">
        <v>42</v>
      </c>
      <c r="AW53" s="39">
        <v>-347971</v>
      </c>
      <c r="AX53" s="2">
        <v>300.07139239999998</v>
      </c>
      <c r="AY53" s="2" t="str">
        <f>IF(AND(Table1[[#This Row],[Z3 SMT2-1 PdMaxres Cost]]=Table1[[#This Row],[ORTools FZN2 Cost]],Table1[[#This Row],[ORTools FZN2 State]]="Optimal"),1,"")</f>
        <v/>
      </c>
      <c r="AZ53" s="5" t="s">
        <v>42</v>
      </c>
      <c r="BA53" s="2">
        <v>-347971</v>
      </c>
      <c r="BB53" s="39">
        <v>300.06950169999999</v>
      </c>
      <c r="BC53" s="39" t="str">
        <f>IF(AND(Table1[[#This Row],[Z3 SMT2-1 WMax Cost]]=Table1[[#This Row],[ORTools FZN2 Cost]],Table1[[#This Row],[ORTools FZN2 State]]="Optimal"),1,"")</f>
        <v/>
      </c>
      <c r="BD53" s="39" t="s">
        <v>42</v>
      </c>
      <c r="BE53" s="39">
        <v>-347971</v>
      </c>
      <c r="BF53" s="2">
        <v>300.06399800000003</v>
      </c>
      <c r="BG53" s="2" t="str">
        <f>IF(AND(Table1[[#This Row],[Z3 SMT2-2 Maxres Cost]]=Table1[[#This Row],[ORTools FZN2 Cost]],Table1[[#This Row],[ORTools FZN2 State]]="Optimal"),1,"")</f>
        <v/>
      </c>
      <c r="BH53" s="5" t="s">
        <v>42</v>
      </c>
      <c r="BI53" s="2">
        <v>-347971</v>
      </c>
      <c r="BJ53" s="39">
        <v>300.05749049999997</v>
      </c>
      <c r="BK53" s="39" t="str">
        <f>IF(AND(Table1[[#This Row],[Z3 SMT2-2 PdMaxres Cost]]=Table1[[#This Row],[ORTools FZN2 Cost]],Table1[[#This Row],[ORTools FZN2 State]]="Optimal"),1,"")</f>
        <v/>
      </c>
      <c r="BL53" s="39" t="s">
        <v>42</v>
      </c>
      <c r="BM53" s="39">
        <v>-347971</v>
      </c>
      <c r="BN53" s="2">
        <v>300.06081219999999</v>
      </c>
      <c r="BO53" s="4" t="str">
        <f>IF(AND(Table1[[#This Row],[Z3 SMT2-2 PdMaxres Cost]]=Table1[[#This Row],[ORTools FZN2 Cost]],Table1[[#This Row],[ORTools FZN2 State]]="Optimal"),1,"")</f>
        <v/>
      </c>
      <c r="BP53" s="5" t="s">
        <v>42</v>
      </c>
      <c r="BQ53" s="2">
        <v>-347971</v>
      </c>
      <c r="BR53" s="2">
        <v>301.96136330000002</v>
      </c>
      <c r="BS53" s="2" t="str">
        <f>IF(AND(Table1[[#This Row],[Gurobi MB Cost]]=Table1[[#This Row],[ORTools FZN2 Cost]],Table1[[#This Row],[ORTools FZN2 State]]="Optimal",Table1[[#This Row],[Gurobi MB State]]="Suboptimal"),1,"")</f>
        <v/>
      </c>
      <c r="BT5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3" s="5" t="s">
        <v>42</v>
      </c>
      <c r="BV53" s="2">
        <v>-347971</v>
      </c>
      <c r="BW53" s="2">
        <v>300.75589050000002</v>
      </c>
      <c r="BX53" s="2" t="str">
        <f>IF(AND(Table1[[#This Row],[Gurobi MD Cost]]=Table1[[#This Row],[ORTools FZN2 Cost]],Table1[[#This Row],[ORTools FZN2 State]]="Optimal",Table1[[#This Row],[Gurobi MD State]]="Suboptimal"),1,"")</f>
        <v/>
      </c>
      <c r="BY5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3" s="5" t="s">
        <v>42</v>
      </c>
      <c r="CA53" s="2">
        <v>-347971</v>
      </c>
      <c r="CB53" s="2">
        <v>300.10201510000002</v>
      </c>
      <c r="CC53" s="2" t="str">
        <f>IF(AND(Table1[[#This Row],[Gurobi MI Cost]]=Table1[[#This Row],[ORTools FZN2 Cost]],Table1[[#This Row],[ORTools FZN2 State]]="Optimal",Table1[[#This Row],[Gurobi MI State]]="Suboptimal"),1,"")</f>
        <v/>
      </c>
      <c r="CD5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3" s="39" t="s">
        <v>42</v>
      </c>
      <c r="CF53" s="2">
        <v>-347971</v>
      </c>
      <c r="CG53" s="39">
        <v>306.10138130000001</v>
      </c>
      <c r="CH53" s="39" t="s">
        <v>42</v>
      </c>
      <c r="CI53" s="39">
        <v>-347971</v>
      </c>
      <c r="CJ53" s="2">
        <v>306.13917350000003</v>
      </c>
      <c r="CK53" s="5" t="s">
        <v>26</v>
      </c>
      <c r="CL53" s="2">
        <v>8656920</v>
      </c>
      <c r="CM53" s="2">
        <v>300.19400000000002</v>
      </c>
      <c r="CN53" s="5" t="s">
        <v>42</v>
      </c>
      <c r="CO53" s="2">
        <v>-347971</v>
      </c>
      <c r="CP53" s="2">
        <v>303.16147239999998</v>
      </c>
      <c r="CQ53" s="5" t="s">
        <v>25</v>
      </c>
      <c r="CR53" s="2">
        <v>8656920</v>
      </c>
      <c r="CS53" s="2">
        <v>76.7080567</v>
      </c>
      <c r="CT53" s="6" t="s">
        <v>25</v>
      </c>
      <c r="CU53" s="4">
        <v>8656920</v>
      </c>
      <c r="CV53" s="4">
        <v>34.179869099999998</v>
      </c>
      <c r="CW53" s="39" t="s">
        <v>26</v>
      </c>
      <c r="CX53" s="39">
        <v>11420445</v>
      </c>
      <c r="CY53" s="2">
        <v>300.01620000000003</v>
      </c>
      <c r="CZ53" s="2" t="str">
        <f>IF(AND(Table1[[#This Row],[Cplex MZ1 Cost]]=Table1[[#This Row],[ORTools FZN2 Cost]],Table1[[#This Row],[ORTools FZN2 State]]="Optimal",Table1[[#This Row],[Cplex MZ1 State]]="Suboptimal"),1,"")</f>
        <v/>
      </c>
      <c r="DA53" s="5" t="s">
        <v>42</v>
      </c>
      <c r="DB53" s="2"/>
      <c r="DC53" s="2">
        <v>300.01549999999997</v>
      </c>
      <c r="DD53" s="2" t="str">
        <f>IF(AND(Table1[[#This Row],[Cplex MZ2 Cost]]=Table1[[#This Row],[ORTools FZN2 Cost]],Table1[[#This Row],[ORTools FZN2 State]]="Optimal",Table1[[#This Row],[Cplex MZ2 State]]="Suboptimal"),1,"")</f>
        <v/>
      </c>
      <c r="DE53" s="39" t="s">
        <v>42</v>
      </c>
      <c r="DF53" s="39"/>
      <c r="DG53" s="2">
        <v>300.00490000000002</v>
      </c>
      <c r="DH53" s="2" t="str">
        <f>IF(AND(Table1[[#This Row],[Gurobi MZ1 Cost]]=Table1[[#This Row],[ORTools FZN2 Cost]],Table1[[#This Row],[ORTools FZN2 State]]="Optimal",Table1[[#This Row],[Gurobi MZ1 State]]="Suboptimal"),1,"")</f>
        <v/>
      </c>
      <c r="DI53" s="5" t="s">
        <v>42</v>
      </c>
      <c r="DJ53" s="2"/>
      <c r="DK53" s="2">
        <v>300.05</v>
      </c>
      <c r="DL53" s="4" t="str">
        <f>IF(AND(Table1[[#This Row],[Gurobi MZ2 Cost]]=Table1[[#This Row],[ORTools FZN2 Cost]],Table1[[#This Row],[ORTools FZN2 State]]="Optimal",Table1[[#This Row],[Gurobi MZ2 State]]="Suboptimal"),1,"")</f>
        <v/>
      </c>
      <c r="DM53" s="39" t="s">
        <v>26</v>
      </c>
      <c r="DN53" s="12">
        <v>8656920</v>
      </c>
      <c r="DO53" s="69">
        <v>300.03099999999898</v>
      </c>
      <c r="DP53" s="11">
        <f>IF(AND(Table1[[#This Row],[Cplex MC nonDual Cost]]=Table1[[#This Row],[ORTools FZN2 Cost]],Table1[[#This Row],[ORTools FZN2 State]]="Optimal",Table1[[#This Row],[Cplex MC nonDual State]]="Suboptimal"),1,"")</f>
        <v>1</v>
      </c>
      <c r="DQ53" s="5" t="s">
        <v>42</v>
      </c>
      <c r="DR53" s="2"/>
      <c r="DS53" s="2">
        <v>300.01870000000002</v>
      </c>
      <c r="DT53" s="2" t="str">
        <f>IF(AND(Table1[[#This Row],[Cplex MIP DM''z Cost]]=Table1[[#This Row],[ORTools FZN2 Cost]],Table1[[#This Row],[ORTools FZN2 State]]="Optimal",Table1[[#This Row],[Cplex MIP DM''z  State]]="Suboptimal"),1,"")</f>
        <v/>
      </c>
      <c r="DU5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3" s="5" t="s">
        <v>42</v>
      </c>
      <c r="DW53" s="2"/>
      <c r="DX53" s="2">
        <v>300.5129</v>
      </c>
      <c r="DY53" s="4" t="str">
        <f>IF(AND(Table1[[#This Row],[Gurobi DM''z  Cost]]=Table1[[#This Row],[ORTools FZN2 Cost]],Table1[[#This Row],[ORTools FZN2 State]]="Optimal",Table1[[#This Row],[Gurobi DM''z  State]]="Suboptimal"),1,"")</f>
        <v/>
      </c>
      <c r="DZ5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4" spans="1:130" ht="15.75" x14ac:dyDescent="0.25">
      <c r="A54" s="46" t="s">
        <v>80</v>
      </c>
      <c r="B54" s="5">
        <v>70</v>
      </c>
      <c r="C54" s="2">
        <v>35</v>
      </c>
      <c r="D54" s="5">
        <v>1323</v>
      </c>
      <c r="E54" s="2">
        <v>56</v>
      </c>
      <c r="F54" s="5">
        <v>198</v>
      </c>
      <c r="G54" s="2">
        <v>0</v>
      </c>
      <c r="H54" s="4">
        <f t="shared" si="0"/>
        <v>0</v>
      </c>
      <c r="I54" s="4">
        <f>Table1[[#This Row],[B]]+Table1[[#This Row],[Atomic Constraints]]+Table1[[#This Row],[Soft Atomic Constraints]]+Table1[[#This Row],[Disjunctive Constraints]]+Table1[[#This Row],[Direct Successors]]</f>
        <v>1612</v>
      </c>
      <c r="J54" s="5" t="s">
        <v>26</v>
      </c>
      <c r="K54" s="2">
        <v>12122423</v>
      </c>
      <c r="L54" s="2">
        <v>303.22924999999998</v>
      </c>
      <c r="M54" s="2" t="str">
        <f>IF(AND(Table1[[#This Row],[Chuffed MZ1 Cost]]=Table1[[#This Row],[ORTools FZN2 Cost]],Table1[[#This Row],[ORTools FZN2 State]]="Optimal",Table1[[#This Row],[Chuffed MZ1 State]]="Suboptimal"),1,"")</f>
        <v/>
      </c>
      <c r="N54" s="5" t="s">
        <v>26</v>
      </c>
      <c r="O54" s="2">
        <v>12132145</v>
      </c>
      <c r="P54" s="2">
        <v>303.21224110000003</v>
      </c>
      <c r="Q54" s="2" t="str">
        <f>IF(AND(Table1[[#This Row],[Chuffed MZ2 Cost]]=Table1[[#This Row],[ORTools FZN2 Cost]],Table1[[#This Row],[ORTools FZN2 State]]="Optimal",Table1[[#This Row],[Chuffed MZ2 State]]="Suboptimal"),1,"")</f>
        <v/>
      </c>
      <c r="R54" s="6" t="s">
        <v>26</v>
      </c>
      <c r="S54" s="4">
        <v>9004882</v>
      </c>
      <c r="T54" s="4">
        <v>300.03699999999998</v>
      </c>
      <c r="U54" s="4"/>
      <c r="V54" s="5" t="s">
        <v>25</v>
      </c>
      <c r="W54" s="2">
        <v>9004810</v>
      </c>
      <c r="X54" s="2">
        <v>170.00368449999999</v>
      </c>
      <c r="Y54" s="2" t="str">
        <f>IF(AND(Table1[[#This Row],[ORTools FZN1 Cost]]=Table1[[#This Row],[ORTools FZN2 Cost]],Table1[[#This Row],[ORTools FZN2 State]]="Optimal",Table1[[#This Row],[ORTools FZN1 State]]="Suboptimal"),1,"")</f>
        <v/>
      </c>
      <c r="Z54" s="5" t="s">
        <v>25</v>
      </c>
      <c r="AA54" s="2">
        <v>9004810</v>
      </c>
      <c r="AB54" s="2">
        <v>211.02562599999999</v>
      </c>
      <c r="AC54" s="39" t="s">
        <v>42</v>
      </c>
      <c r="AD54" s="39">
        <v>-347971</v>
      </c>
      <c r="AE54" s="2">
        <v>300.14957149999998</v>
      </c>
      <c r="AF54" s="2" t="str">
        <f>IF(AND(Table1[[#This Row],[Cplex MB Cost]]=Table1[[#This Row],[ORTools FZN2 Cost]],Table1[[#This Row],[ORTools FZN2 State]]="Optimal",Table1[[#This Row],[Cplex MB State]]="Suboptimal"),1,"")</f>
        <v/>
      </c>
      <c r="AG54" s="4">
        <f>IF(AND(AC54="Optimal",AD54&lt;&gt;AA54,Table1[[#This Row],[Example]]&lt;&gt;"R001",Table1[[#This Row],[Example]]&lt;&gt;"R002"),AD54-AA54,)</f>
        <v>0</v>
      </c>
      <c r="AH54" s="5" t="s">
        <v>42</v>
      </c>
      <c r="AI54" s="2">
        <v>-347971</v>
      </c>
      <c r="AJ54" s="2">
        <v>300.5101535</v>
      </c>
      <c r="AK54" s="2" t="str">
        <f>IF(AND(Table1[[#This Row],[Cplex MD Cost]]=Table1[[#This Row],[ORTools FZN2 Cost]],Table1[[#This Row],[ORTools FZN2 State]]="Optimal",Table1[[#This Row],[Cplex MD State]]="Suboptimal"),1,"")</f>
        <v/>
      </c>
      <c r="AL54" s="4">
        <f>IF(AND(AH54="Optimal",AI54&lt;&gt;AA54,Table1[[#This Row],[Example]]&lt;&gt;"R001",Table1[[#This Row],[Example]]&lt;&gt;"R002"),AI54-AA54,)</f>
        <v>0</v>
      </c>
      <c r="AM54" s="39" t="s">
        <v>26</v>
      </c>
      <c r="AN54" s="39">
        <v>11764574</v>
      </c>
      <c r="AO54" s="2">
        <v>300.10944940000002</v>
      </c>
      <c r="AP5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4" s="4" t="str">
        <f>IF(AND(Table1[[#This Row],[Cplex MI Cost]]=Table1[[#This Row],[ORTools FZN2 Cost]],Table1[[#This Row],[ORTools FZN2 State]]="Optimal",Table1[[#This Row],[Cplex MI State]]="Suboptimal"),1,"")</f>
        <v/>
      </c>
      <c r="AR54" s="5" t="s">
        <v>42</v>
      </c>
      <c r="AS54" s="2">
        <v>-347971</v>
      </c>
      <c r="AT54" s="2">
        <v>300.06256839999998</v>
      </c>
      <c r="AU54" s="2" t="str">
        <f>IF(AND(Table1[[#This Row],[Z3 SMT2-1 Maxres Cost]]=Table1[[#This Row],[ORTools FZN2 Cost]],Table1[[#This Row],[ORTools FZN2 State]]="Optimal"),1,"")</f>
        <v/>
      </c>
      <c r="AV54" s="39" t="s">
        <v>42</v>
      </c>
      <c r="AW54" s="39">
        <v>-347971</v>
      </c>
      <c r="AX54" s="2">
        <v>300.07125070000001</v>
      </c>
      <c r="AY54" s="2" t="str">
        <f>IF(AND(Table1[[#This Row],[Z3 SMT2-1 PdMaxres Cost]]=Table1[[#This Row],[ORTools FZN2 Cost]],Table1[[#This Row],[ORTools FZN2 State]]="Optimal"),1,"")</f>
        <v/>
      </c>
      <c r="AZ54" s="5" t="s">
        <v>42</v>
      </c>
      <c r="BA54" s="2">
        <v>-347971</v>
      </c>
      <c r="BB54" s="39">
        <v>300.11526509999999</v>
      </c>
      <c r="BC54" s="39" t="str">
        <f>IF(AND(Table1[[#This Row],[Z3 SMT2-1 WMax Cost]]=Table1[[#This Row],[ORTools FZN2 Cost]],Table1[[#This Row],[ORTools FZN2 State]]="Optimal"),1,"")</f>
        <v/>
      </c>
      <c r="BD54" s="39" t="s">
        <v>42</v>
      </c>
      <c r="BE54" s="39">
        <v>-347971</v>
      </c>
      <c r="BF54" s="2">
        <v>300.07150530000001</v>
      </c>
      <c r="BG54" s="2" t="str">
        <f>IF(AND(Table1[[#This Row],[Z3 SMT2-2 Maxres Cost]]=Table1[[#This Row],[ORTools FZN2 Cost]],Table1[[#This Row],[ORTools FZN2 State]]="Optimal"),1,"")</f>
        <v/>
      </c>
      <c r="BH54" s="5" t="s">
        <v>42</v>
      </c>
      <c r="BI54" s="2">
        <v>-347971</v>
      </c>
      <c r="BJ54" s="39">
        <v>300.06999109999998</v>
      </c>
      <c r="BK54" s="39" t="str">
        <f>IF(AND(Table1[[#This Row],[Z3 SMT2-2 PdMaxres Cost]]=Table1[[#This Row],[ORTools FZN2 Cost]],Table1[[#This Row],[ORTools FZN2 State]]="Optimal"),1,"")</f>
        <v/>
      </c>
      <c r="BL54" s="39" t="s">
        <v>42</v>
      </c>
      <c r="BM54" s="39">
        <v>-347971</v>
      </c>
      <c r="BN54" s="2">
        <v>300.06343190000001</v>
      </c>
      <c r="BO54" s="4" t="str">
        <f>IF(AND(Table1[[#This Row],[Z3 SMT2-2 PdMaxres Cost]]=Table1[[#This Row],[ORTools FZN2 Cost]],Table1[[#This Row],[ORTools FZN2 State]]="Optimal"),1,"")</f>
        <v/>
      </c>
      <c r="BP54" s="5" t="s">
        <v>42</v>
      </c>
      <c r="BQ54" s="2">
        <v>-347971</v>
      </c>
      <c r="BR54" s="2">
        <v>304.37221199999999</v>
      </c>
      <c r="BS54" s="2" t="str">
        <f>IF(AND(Table1[[#This Row],[Gurobi MB Cost]]=Table1[[#This Row],[ORTools FZN2 Cost]],Table1[[#This Row],[ORTools FZN2 State]]="Optimal",Table1[[#This Row],[Gurobi MB State]]="Suboptimal"),1,"")</f>
        <v/>
      </c>
      <c r="BT5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4" s="5" t="s">
        <v>42</v>
      </c>
      <c r="BV54" s="2">
        <v>-347971</v>
      </c>
      <c r="BW54" s="2">
        <v>301.24499479999997</v>
      </c>
      <c r="BX54" s="2" t="str">
        <f>IF(AND(Table1[[#This Row],[Gurobi MD Cost]]=Table1[[#This Row],[ORTools FZN2 Cost]],Table1[[#This Row],[ORTools FZN2 State]]="Optimal",Table1[[#This Row],[Gurobi MD State]]="Suboptimal"),1,"")</f>
        <v/>
      </c>
      <c r="BY5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4" s="5" t="s">
        <v>42</v>
      </c>
      <c r="CA54" s="2">
        <v>-347971</v>
      </c>
      <c r="CB54" s="2">
        <v>300.3317146</v>
      </c>
      <c r="CC54" s="2" t="str">
        <f>IF(AND(Table1[[#This Row],[Gurobi MI Cost]]=Table1[[#This Row],[ORTools FZN2 Cost]],Table1[[#This Row],[ORTools FZN2 State]]="Optimal",Table1[[#This Row],[Gurobi MI State]]="Suboptimal"),1,"")</f>
        <v/>
      </c>
      <c r="CD5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4" s="39" t="s">
        <v>42</v>
      </c>
      <c r="CF54" s="2">
        <v>-347971</v>
      </c>
      <c r="CG54" s="39">
        <v>306.21536140000001</v>
      </c>
      <c r="CH54" s="39" t="s">
        <v>42</v>
      </c>
      <c r="CI54" s="39">
        <v>-347971</v>
      </c>
      <c r="CJ54" s="2">
        <v>306.12727890000002</v>
      </c>
      <c r="CK54" s="5" t="s">
        <v>26</v>
      </c>
      <c r="CL54" s="2">
        <v>9004810</v>
      </c>
      <c r="CM54" s="2">
        <v>300.16800000000001</v>
      </c>
      <c r="CN54" s="5" t="s">
        <v>26</v>
      </c>
      <c r="CO54" s="2">
        <v>11421647</v>
      </c>
      <c r="CP54" s="2">
        <v>303.27453539999999</v>
      </c>
      <c r="CQ54" s="5" t="s">
        <v>25</v>
      </c>
      <c r="CR54" s="2">
        <v>9004810</v>
      </c>
      <c r="CS54" s="2">
        <v>79.053739300000004</v>
      </c>
      <c r="CT54" s="6" t="s">
        <v>25</v>
      </c>
      <c r="CU54" s="4">
        <v>9004810</v>
      </c>
      <c r="CV54" s="4">
        <v>42.8194965</v>
      </c>
      <c r="CW54" s="39" t="s">
        <v>42</v>
      </c>
      <c r="CX54" s="39"/>
      <c r="CY54" s="2">
        <v>300.02800000000002</v>
      </c>
      <c r="CZ54" s="2" t="str">
        <f>IF(AND(Table1[[#This Row],[Cplex MZ1 Cost]]=Table1[[#This Row],[ORTools FZN2 Cost]],Table1[[#This Row],[ORTools FZN2 State]]="Optimal",Table1[[#This Row],[Cplex MZ1 State]]="Suboptimal"),1,"")</f>
        <v/>
      </c>
      <c r="DA54" s="5" t="s">
        <v>42</v>
      </c>
      <c r="DB54" s="2"/>
      <c r="DC54" s="2">
        <v>300.0471</v>
      </c>
      <c r="DD54" s="2" t="str">
        <f>IF(AND(Table1[[#This Row],[Cplex MZ2 Cost]]=Table1[[#This Row],[ORTools FZN2 Cost]],Table1[[#This Row],[ORTools FZN2 State]]="Optimal",Table1[[#This Row],[Cplex MZ2 State]]="Suboptimal"),1,"")</f>
        <v/>
      </c>
      <c r="DE54" s="39" t="s">
        <v>42</v>
      </c>
      <c r="DF54" s="39"/>
      <c r="DG54" s="2">
        <v>300.0061</v>
      </c>
      <c r="DH54" s="2" t="str">
        <f>IF(AND(Table1[[#This Row],[Gurobi MZ1 Cost]]=Table1[[#This Row],[ORTools FZN2 Cost]],Table1[[#This Row],[ORTools FZN2 State]]="Optimal",Table1[[#This Row],[Gurobi MZ1 State]]="Suboptimal"),1,"")</f>
        <v/>
      </c>
      <c r="DI54" s="5" t="s">
        <v>42</v>
      </c>
      <c r="DJ54" s="2"/>
      <c r="DK54" s="2">
        <v>300.00799999999998</v>
      </c>
      <c r="DL54" s="4" t="str">
        <f>IF(AND(Table1[[#This Row],[Gurobi MZ2 Cost]]=Table1[[#This Row],[ORTools FZN2 Cost]],Table1[[#This Row],[ORTools FZN2 State]]="Optimal",Table1[[#This Row],[Gurobi MZ2 State]]="Suboptimal"),1,"")</f>
        <v/>
      </c>
      <c r="DM54" s="39" t="s">
        <v>26</v>
      </c>
      <c r="DN54" s="39">
        <v>9004811</v>
      </c>
      <c r="DO54" s="65">
        <v>300.15800000000002</v>
      </c>
      <c r="DP54" s="4" t="str">
        <f>IF(AND(Table1[[#This Row],[Cplex MC nonDual Cost]]=Table1[[#This Row],[ORTools FZN2 Cost]],Table1[[#This Row],[ORTools FZN2 State]]="Optimal",Table1[[#This Row],[Cplex MC nonDual State]]="Suboptimal"),1,"")</f>
        <v/>
      </c>
      <c r="DQ54" s="5" t="s">
        <v>42</v>
      </c>
      <c r="DR54" s="2"/>
      <c r="DS54" s="2">
        <v>300.01209999999998</v>
      </c>
      <c r="DT54" s="2" t="str">
        <f>IF(AND(Table1[[#This Row],[Cplex MIP DM''z Cost]]=Table1[[#This Row],[ORTools FZN2 Cost]],Table1[[#This Row],[ORTools FZN2 State]]="Optimal",Table1[[#This Row],[Cplex MIP DM''z  State]]="Suboptimal"),1,"")</f>
        <v/>
      </c>
      <c r="DU5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4" s="5" t="s">
        <v>42</v>
      </c>
      <c r="DW54" s="2"/>
      <c r="DX54" s="2">
        <v>300.53300000000002</v>
      </c>
      <c r="DY54" s="4" t="str">
        <f>IF(AND(Table1[[#This Row],[Gurobi DM''z  Cost]]=Table1[[#This Row],[ORTools FZN2 Cost]],Table1[[#This Row],[ORTools FZN2 State]]="Optimal",Table1[[#This Row],[Gurobi DM''z  State]]="Suboptimal"),1,"")</f>
        <v/>
      </c>
      <c r="DZ5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5" spans="1:130" ht="15.75" x14ac:dyDescent="0.25">
      <c r="A55" s="46" t="s">
        <v>81</v>
      </c>
      <c r="B55" s="5">
        <v>12</v>
      </c>
      <c r="C55" s="2">
        <v>6</v>
      </c>
      <c r="D55" s="5">
        <v>33</v>
      </c>
      <c r="E55" s="2">
        <v>9</v>
      </c>
      <c r="F55" s="5">
        <v>8</v>
      </c>
      <c r="G55" s="2">
        <v>0</v>
      </c>
      <c r="H55" s="4">
        <f t="shared" si="0"/>
        <v>0</v>
      </c>
      <c r="I55" s="4">
        <f>Table1[[#This Row],[B]]+Table1[[#This Row],[Atomic Constraints]]+Table1[[#This Row],[Soft Atomic Constraints]]+Table1[[#This Row],[Disjunctive Constraints]]+Table1[[#This Row],[Direct Successors]]</f>
        <v>56</v>
      </c>
      <c r="J55" s="5" t="s">
        <v>25</v>
      </c>
      <c r="K55" s="2">
        <v>9038</v>
      </c>
      <c r="L55" s="2">
        <v>0.69771170000000005</v>
      </c>
      <c r="M55" s="2" t="str">
        <f>IF(AND(Table1[[#This Row],[Chuffed MZ1 Cost]]=Table1[[#This Row],[ORTools FZN2 Cost]],Table1[[#This Row],[ORTools FZN2 State]]="Optimal",Table1[[#This Row],[Chuffed MZ1 State]]="Suboptimal"),1,"")</f>
        <v/>
      </c>
      <c r="N55" s="5" t="s">
        <v>25</v>
      </c>
      <c r="O55" s="2">
        <v>9038</v>
      </c>
      <c r="P55" s="2">
        <v>0.66196540000000004</v>
      </c>
      <c r="Q55" s="2" t="str">
        <f>IF(AND(Table1[[#This Row],[Chuffed MZ2 Cost]]=Table1[[#This Row],[ORTools FZN2 Cost]],Table1[[#This Row],[ORTools FZN2 State]]="Optimal",Table1[[#This Row],[Chuffed MZ2 State]]="Suboptimal"),1,"")</f>
        <v/>
      </c>
      <c r="R55" s="5" t="s">
        <v>25</v>
      </c>
      <c r="S55" s="2">
        <v>9038</v>
      </c>
      <c r="T55" s="2">
        <v>7.0999999999912702E-2</v>
      </c>
      <c r="U55" s="2"/>
      <c r="V55" s="5" t="s">
        <v>25</v>
      </c>
      <c r="W55" s="2">
        <v>9038</v>
      </c>
      <c r="X55" s="2">
        <v>0.14576919999999999</v>
      </c>
      <c r="Y55" s="2" t="str">
        <f>IF(AND(Table1[[#This Row],[ORTools FZN1 Cost]]=Table1[[#This Row],[ORTools FZN2 Cost]],Table1[[#This Row],[ORTools FZN2 State]]="Optimal",Table1[[#This Row],[ORTools FZN1 State]]="Suboptimal"),1,"")</f>
        <v/>
      </c>
      <c r="Z55" s="5" t="s">
        <v>25</v>
      </c>
      <c r="AA55" s="2">
        <v>9038</v>
      </c>
      <c r="AB55" s="2">
        <v>0.1661271</v>
      </c>
      <c r="AC55" s="39" t="s">
        <v>25</v>
      </c>
      <c r="AD55" s="39">
        <v>9038</v>
      </c>
      <c r="AE55" s="2">
        <v>0.19975960000000001</v>
      </c>
      <c r="AF55" s="2" t="str">
        <f>IF(AND(Table1[[#This Row],[Cplex MB Cost]]=Table1[[#This Row],[ORTools FZN2 Cost]],Table1[[#This Row],[ORTools FZN2 State]]="Optimal",Table1[[#This Row],[Cplex MB State]]="Suboptimal"),1,"")</f>
        <v/>
      </c>
      <c r="AG55" s="4">
        <f>IF(AND(AC55="Optimal",AD55&lt;&gt;AA55,Table1[[#This Row],[Example]]&lt;&gt;"R001",Table1[[#This Row],[Example]]&lt;&gt;"R002"),AD55-AA55,)</f>
        <v>0</v>
      </c>
      <c r="AH55" s="5" t="s">
        <v>25</v>
      </c>
      <c r="AI55" s="2">
        <v>9038</v>
      </c>
      <c r="AJ55" s="2">
        <v>0.64563369999999998</v>
      </c>
      <c r="AK55" s="2" t="str">
        <f>IF(AND(Table1[[#This Row],[Cplex MD Cost]]=Table1[[#This Row],[ORTools FZN2 Cost]],Table1[[#This Row],[ORTools FZN2 State]]="Optimal",Table1[[#This Row],[Cplex MD State]]="Suboptimal"),1,"")</f>
        <v/>
      </c>
      <c r="AL55" s="4">
        <f>IF(AND(AH55="Optimal",AI55&lt;&gt;AA55,Table1[[#This Row],[Example]]&lt;&gt;"R001",Table1[[#This Row],[Example]]&lt;&gt;"R002"),AI55-AA55,)</f>
        <v>0</v>
      </c>
      <c r="AM55" s="39" t="s">
        <v>25</v>
      </c>
      <c r="AN55" s="39">
        <v>9038</v>
      </c>
      <c r="AO55" s="2">
        <v>0.20212910000000001</v>
      </c>
      <c r="AP5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5" s="2" t="str">
        <f>IF(AND(Table1[[#This Row],[Cplex MI Cost]]=Table1[[#This Row],[ORTools FZN2 Cost]],Table1[[#This Row],[ORTools FZN2 State]]="Optimal",Table1[[#This Row],[Cplex MI State]]="Suboptimal"),1,"")</f>
        <v/>
      </c>
      <c r="AR55" s="12" t="s">
        <v>26</v>
      </c>
      <c r="AS55" s="12">
        <v>9038</v>
      </c>
      <c r="AT55" s="12">
        <v>1.1497131</v>
      </c>
      <c r="AU55" s="12">
        <f>IF(AND(Table1[[#This Row],[Z3 SMT2-1 Maxres Cost]]=Table1[[#This Row],[ORTools FZN2 Cost]],Table1[[#This Row],[ORTools FZN2 State]]="Optimal"),1,"")</f>
        <v>1</v>
      </c>
      <c r="AV55" s="12" t="s">
        <v>26</v>
      </c>
      <c r="AW55" s="12">
        <v>9038</v>
      </c>
      <c r="AX55" s="12">
        <v>1.2519825</v>
      </c>
      <c r="AY55" s="12">
        <f>IF(AND(Table1[[#This Row],[Z3 SMT2-1 PdMaxres Cost]]=Table1[[#This Row],[ORTools FZN2 Cost]],Table1[[#This Row],[ORTools FZN2 State]]="Optimal"),1,"")</f>
        <v>1</v>
      </c>
      <c r="AZ55" s="12" t="s">
        <v>26</v>
      </c>
      <c r="BA55" s="12">
        <v>9038</v>
      </c>
      <c r="BB55" s="12">
        <v>1.5085828999999999</v>
      </c>
      <c r="BC55" s="12">
        <f>IF(AND(Table1[[#This Row],[Z3 SMT2-1 WMax Cost]]=Table1[[#This Row],[ORTools FZN2 Cost]],Table1[[#This Row],[ORTools FZN2 State]]="Optimal"),1,"")</f>
        <v>1</v>
      </c>
      <c r="BD55" s="12" t="s">
        <v>26</v>
      </c>
      <c r="BE55" s="12">
        <v>9038</v>
      </c>
      <c r="BF55" s="12">
        <v>1.3923966000000001</v>
      </c>
      <c r="BG55" s="12">
        <f>IF(AND(Table1[[#This Row],[Z3 SMT2-2 Maxres Cost]]=Table1[[#This Row],[ORTools FZN2 Cost]],Table1[[#This Row],[ORTools FZN2 State]]="Optimal"),1,"")</f>
        <v>1</v>
      </c>
      <c r="BH55" s="12" t="s">
        <v>26</v>
      </c>
      <c r="BI55" s="12">
        <v>9038</v>
      </c>
      <c r="BJ55" s="12">
        <v>1.3904605999999999</v>
      </c>
      <c r="BK55" s="12">
        <f>IF(AND(Table1[[#This Row],[Z3 SMT2-2 PdMaxres Cost]]=Table1[[#This Row],[ORTools FZN2 Cost]],Table1[[#This Row],[ORTools FZN2 State]]="Optimal"),1,"")</f>
        <v>1</v>
      </c>
      <c r="BL55" s="12" t="s">
        <v>26</v>
      </c>
      <c r="BM55" s="12">
        <v>9038</v>
      </c>
      <c r="BN55" s="12">
        <v>1.4322226</v>
      </c>
      <c r="BO55" s="11">
        <f>IF(AND(Table1[[#This Row],[Z3 SMT2-2 PdMaxres Cost]]=Table1[[#This Row],[ORTools FZN2 Cost]],Table1[[#This Row],[ORTools FZN2 State]]="Optimal"),1,"")</f>
        <v>1</v>
      </c>
      <c r="BP55" s="5" t="s">
        <v>25</v>
      </c>
      <c r="BQ55" s="2">
        <v>9038</v>
      </c>
      <c r="BR55" s="2">
        <v>0.1688346</v>
      </c>
      <c r="BS55" s="2" t="str">
        <f>IF(AND(Table1[[#This Row],[Gurobi MB Cost]]=Table1[[#This Row],[ORTools FZN2 Cost]],Table1[[#This Row],[ORTools FZN2 State]]="Optimal",Table1[[#This Row],[Gurobi MB State]]="Suboptimal"),1,"")</f>
        <v/>
      </c>
      <c r="BT5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5" s="5" t="s">
        <v>25</v>
      </c>
      <c r="BV55" s="2">
        <v>9038</v>
      </c>
      <c r="BW55" s="2">
        <v>0.56859530000000003</v>
      </c>
      <c r="BX55" s="2" t="str">
        <f>IF(AND(Table1[[#This Row],[Gurobi MD Cost]]=Table1[[#This Row],[ORTools FZN2 Cost]],Table1[[#This Row],[ORTools FZN2 State]]="Optimal",Table1[[#This Row],[Gurobi MD State]]="Suboptimal"),1,"")</f>
        <v/>
      </c>
      <c r="BY5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5" s="5" t="s">
        <v>25</v>
      </c>
      <c r="CA55" s="2">
        <v>9038</v>
      </c>
      <c r="CB55" s="2">
        <v>0.17649909999999999</v>
      </c>
      <c r="CC55" s="2" t="str">
        <f>IF(AND(Table1[[#This Row],[Gurobi MI Cost]]=Table1[[#This Row],[ORTools FZN2 Cost]],Table1[[#This Row],[ORTools FZN2 State]]="Optimal",Table1[[#This Row],[Gurobi MI State]]="Suboptimal"),1,"")</f>
        <v/>
      </c>
      <c r="CD5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5" s="39" t="s">
        <v>25</v>
      </c>
      <c r="CF55" s="2">
        <v>9038</v>
      </c>
      <c r="CG55" s="39">
        <v>15.160596999999999</v>
      </c>
      <c r="CH55" s="39" t="s">
        <v>25</v>
      </c>
      <c r="CI55" s="39">
        <v>9038</v>
      </c>
      <c r="CJ55" s="2">
        <v>15.139161700000001</v>
      </c>
      <c r="CK55" s="5" t="s">
        <v>25</v>
      </c>
      <c r="CL55" s="2">
        <v>9038</v>
      </c>
      <c r="CM55" s="2">
        <v>8.5000000000036394E-2</v>
      </c>
      <c r="CN55" s="5" t="s">
        <v>25</v>
      </c>
      <c r="CO55" s="2">
        <v>9038</v>
      </c>
      <c r="CP55" s="2">
        <v>0.65714419999999996</v>
      </c>
      <c r="CQ55" s="5" t="s">
        <v>25</v>
      </c>
      <c r="CR55" s="2">
        <v>9038</v>
      </c>
      <c r="CS55" s="2">
        <v>0.25768269999999999</v>
      </c>
      <c r="CT55" s="6" t="s">
        <v>25</v>
      </c>
      <c r="CU55" s="4">
        <v>9038</v>
      </c>
      <c r="CV55" s="4">
        <v>0.34269769999999999</v>
      </c>
      <c r="CW55" s="39" t="s">
        <v>25</v>
      </c>
      <c r="CX55" s="39">
        <v>9038</v>
      </c>
      <c r="CY55" s="2">
        <v>0.75919999999999999</v>
      </c>
      <c r="CZ55" s="2" t="str">
        <f>IF(AND(Table1[[#This Row],[Cplex MZ1 Cost]]=Table1[[#This Row],[ORTools FZN2 Cost]],Table1[[#This Row],[ORTools FZN2 State]]="Optimal",Table1[[#This Row],[Cplex MZ1 State]]="Suboptimal"),1,"")</f>
        <v/>
      </c>
      <c r="DA55" s="5" t="s">
        <v>25</v>
      </c>
      <c r="DB55" s="2">
        <v>9038</v>
      </c>
      <c r="DC55" s="2">
        <v>0.36630000000000001</v>
      </c>
      <c r="DD55" s="2" t="str">
        <f>IF(AND(Table1[[#This Row],[Cplex MZ2 Cost]]=Table1[[#This Row],[ORTools FZN2 Cost]],Table1[[#This Row],[ORTools FZN2 State]]="Optimal",Table1[[#This Row],[Cplex MZ2 State]]="Suboptimal"),1,"")</f>
        <v/>
      </c>
      <c r="DE55" s="39" t="s">
        <v>25</v>
      </c>
      <c r="DF55" s="39">
        <v>9038</v>
      </c>
      <c r="DG55" s="2">
        <v>0.79279999999999995</v>
      </c>
      <c r="DH55" s="2" t="str">
        <f>IF(AND(Table1[[#This Row],[Gurobi MZ1 Cost]]=Table1[[#This Row],[ORTools FZN2 Cost]],Table1[[#This Row],[ORTools FZN2 State]]="Optimal",Table1[[#This Row],[Gurobi MZ1 State]]="Suboptimal"),1,"")</f>
        <v/>
      </c>
      <c r="DI55" s="5" t="s">
        <v>25</v>
      </c>
      <c r="DJ55" s="2">
        <v>9038</v>
      </c>
      <c r="DK55" s="2">
        <v>0.54559999999999997</v>
      </c>
      <c r="DL55" s="4" t="str">
        <f>IF(AND(Table1[[#This Row],[Gurobi MZ2 Cost]]=Table1[[#This Row],[ORTools FZN2 Cost]],Table1[[#This Row],[ORTools FZN2 State]]="Optimal",Table1[[#This Row],[Gurobi MZ2 State]]="Suboptimal"),1,"")</f>
        <v/>
      </c>
      <c r="DM55" s="39" t="s">
        <v>25</v>
      </c>
      <c r="DN55" s="39">
        <v>9038</v>
      </c>
      <c r="DO55" s="65">
        <v>0.10199999999986099</v>
      </c>
      <c r="DP55" s="4" t="str">
        <f>IF(AND(Table1[[#This Row],[Cplex MC nonDual Cost]]=Table1[[#This Row],[ORTools FZN2 Cost]],Table1[[#This Row],[ORTools FZN2 State]]="Optimal",Table1[[#This Row],[Cplex MC nonDual State]]="Suboptimal"),1,"")</f>
        <v/>
      </c>
      <c r="DQ55" s="5" t="s">
        <v>25</v>
      </c>
      <c r="DR55" s="2">
        <v>9038</v>
      </c>
      <c r="DS55" s="2">
        <v>0.21429999999999999</v>
      </c>
      <c r="DT55" s="2" t="str">
        <f>IF(AND(Table1[[#This Row],[Cplex MIP DM''z Cost]]=Table1[[#This Row],[ORTools FZN2 Cost]],Table1[[#This Row],[ORTools FZN2 State]]="Optimal",Table1[[#This Row],[Cplex MIP DM''z  State]]="Suboptimal"),1,"")</f>
        <v/>
      </c>
      <c r="DU5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5" s="5" t="s">
        <v>25</v>
      </c>
      <c r="DW55" s="2">
        <v>9038</v>
      </c>
      <c r="DX55" s="2">
        <v>0.36080000000000001</v>
      </c>
      <c r="DY55" s="4" t="str">
        <f>IF(AND(Table1[[#This Row],[Gurobi DM''z  Cost]]=Table1[[#This Row],[ORTools FZN2 Cost]],Table1[[#This Row],[ORTools FZN2 State]]="Optimal",Table1[[#This Row],[Gurobi DM''z  State]]="Suboptimal"),1,"")</f>
        <v/>
      </c>
      <c r="DZ5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6" spans="1:130" ht="15.75" x14ac:dyDescent="0.25">
      <c r="A56" s="46" t="s">
        <v>82</v>
      </c>
      <c r="B56" s="5">
        <v>2</v>
      </c>
      <c r="C56" s="2">
        <v>1</v>
      </c>
      <c r="D56" s="5">
        <v>0</v>
      </c>
      <c r="E56" s="2">
        <v>0</v>
      </c>
      <c r="F56" s="5">
        <v>0</v>
      </c>
      <c r="G56" s="2">
        <v>0</v>
      </c>
      <c r="H56" s="4">
        <f t="shared" si="0"/>
        <v>0</v>
      </c>
      <c r="I56" s="4">
        <f>Table1[[#This Row],[B]]+Table1[[#This Row],[Atomic Constraints]]+Table1[[#This Row],[Soft Atomic Constraints]]+Table1[[#This Row],[Disjunctive Constraints]]+Table1[[#This Row],[Direct Successors]]</f>
        <v>1</v>
      </c>
      <c r="J56" s="5" t="s">
        <v>25</v>
      </c>
      <c r="K56" s="2">
        <v>0</v>
      </c>
      <c r="L56" s="2">
        <v>0.53581540000000005</v>
      </c>
      <c r="M56" s="2" t="str">
        <f>IF(AND(Table1[[#This Row],[Chuffed MZ1 Cost]]=Table1[[#This Row],[ORTools FZN2 Cost]],Table1[[#This Row],[ORTools FZN2 State]]="Optimal",Table1[[#This Row],[Chuffed MZ1 State]]="Suboptimal"),1,"")</f>
        <v/>
      </c>
      <c r="N56" s="5" t="s">
        <v>25</v>
      </c>
      <c r="O56" s="2">
        <v>0</v>
      </c>
      <c r="P56" s="2">
        <v>0.54246209999999995</v>
      </c>
      <c r="Q56" s="2" t="str">
        <f>IF(AND(Table1[[#This Row],[Chuffed MZ2 Cost]]=Table1[[#This Row],[ORTools FZN2 Cost]],Table1[[#This Row],[ORTools FZN2 State]]="Optimal",Table1[[#This Row],[Chuffed MZ2 State]]="Suboptimal"),1,"")</f>
        <v/>
      </c>
      <c r="R56" s="6" t="s">
        <v>25</v>
      </c>
      <c r="S56" s="4">
        <v>0</v>
      </c>
      <c r="T56" s="4">
        <v>3.09999999999491E-2</v>
      </c>
      <c r="U56" s="4"/>
      <c r="V56" s="5" t="s">
        <v>25</v>
      </c>
      <c r="W56" s="2">
        <v>0</v>
      </c>
      <c r="X56" s="2">
        <v>3.94679E-2</v>
      </c>
      <c r="Y56" s="2" t="str">
        <f>IF(AND(Table1[[#This Row],[ORTools FZN1 Cost]]=Table1[[#This Row],[ORTools FZN2 Cost]],Table1[[#This Row],[ORTools FZN2 State]]="Optimal",Table1[[#This Row],[ORTools FZN1 State]]="Suboptimal"),1,"")</f>
        <v/>
      </c>
      <c r="Z56" s="5" t="s">
        <v>25</v>
      </c>
      <c r="AA56" s="2">
        <v>0</v>
      </c>
      <c r="AB56" s="2">
        <v>5.8827900000000002E-2</v>
      </c>
      <c r="AC56" s="39" t="s">
        <v>25</v>
      </c>
      <c r="AD56" s="39">
        <v>0</v>
      </c>
      <c r="AE56" s="2">
        <v>6.0489999999999997E-3</v>
      </c>
      <c r="AF56" s="2" t="str">
        <f>IF(AND(Table1[[#This Row],[Cplex MB Cost]]=Table1[[#This Row],[ORTools FZN2 Cost]],Table1[[#This Row],[ORTools FZN2 State]]="Optimal",Table1[[#This Row],[Cplex MB State]]="Suboptimal"),1,"")</f>
        <v/>
      </c>
      <c r="AG56" s="4">
        <f>IF(AND(AC56="Optimal",AD56&lt;&gt;AA56,Table1[[#This Row],[Example]]&lt;&gt;"R001",Table1[[#This Row],[Example]]&lt;&gt;"R002"),AD56-AA56,)</f>
        <v>0</v>
      </c>
      <c r="AH56" s="5" t="s">
        <v>25</v>
      </c>
      <c r="AI56" s="2">
        <v>0</v>
      </c>
      <c r="AJ56" s="2">
        <v>1.5717100000000001E-2</v>
      </c>
      <c r="AK56" s="2" t="str">
        <f>IF(AND(Table1[[#This Row],[Cplex MD Cost]]=Table1[[#This Row],[ORTools FZN2 Cost]],Table1[[#This Row],[ORTools FZN2 State]]="Optimal",Table1[[#This Row],[Cplex MD State]]="Suboptimal"),1,"")</f>
        <v/>
      </c>
      <c r="AL56" s="4">
        <f>IF(AND(AH56="Optimal",AI56&lt;&gt;AA56,Table1[[#This Row],[Example]]&lt;&gt;"R001",Table1[[#This Row],[Example]]&lt;&gt;"R002"),AI56-AA56,)</f>
        <v>0</v>
      </c>
      <c r="AM56" s="39" t="s">
        <v>25</v>
      </c>
      <c r="AN56" s="39">
        <v>0</v>
      </c>
      <c r="AO56" s="2">
        <v>1.0062400000000001E-2</v>
      </c>
      <c r="AP5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6" s="4" t="str">
        <f>IF(AND(Table1[[#This Row],[Cplex MI Cost]]=Table1[[#This Row],[ORTools FZN2 Cost]],Table1[[#This Row],[ORTools FZN2 State]]="Optimal",Table1[[#This Row],[Cplex MI State]]="Suboptimal"),1,"")</f>
        <v/>
      </c>
      <c r="AR56" s="12" t="s">
        <v>26</v>
      </c>
      <c r="AS56" s="12">
        <v>0</v>
      </c>
      <c r="AT56" s="12">
        <v>5.6186600000000003E-2</v>
      </c>
      <c r="AU56" s="12">
        <f>IF(AND(Table1[[#This Row],[Z3 SMT2-1 Maxres Cost]]=Table1[[#This Row],[ORTools FZN2 Cost]],Table1[[#This Row],[ORTools FZN2 State]]="Optimal"),1,"")</f>
        <v>1</v>
      </c>
      <c r="AV56" s="12" t="s">
        <v>26</v>
      </c>
      <c r="AW56" s="12">
        <v>0</v>
      </c>
      <c r="AX56" s="12">
        <v>6.9577200000000006E-2</v>
      </c>
      <c r="AY56" s="12">
        <f>IF(AND(Table1[[#This Row],[Z3 SMT2-1 PdMaxres Cost]]=Table1[[#This Row],[ORTools FZN2 Cost]],Table1[[#This Row],[ORTools FZN2 State]]="Optimal"),1,"")</f>
        <v>1</v>
      </c>
      <c r="AZ56" s="12" t="s">
        <v>26</v>
      </c>
      <c r="BA56" s="12">
        <v>0</v>
      </c>
      <c r="BB56" s="12">
        <v>0.1186697</v>
      </c>
      <c r="BC56" s="12">
        <f>IF(AND(Table1[[#This Row],[Z3 SMT2-1 WMax Cost]]=Table1[[#This Row],[ORTools FZN2 Cost]],Table1[[#This Row],[ORTools FZN2 State]]="Optimal"),1,"")</f>
        <v>1</v>
      </c>
      <c r="BD56" s="12" t="s">
        <v>26</v>
      </c>
      <c r="BE56" s="12">
        <v>0</v>
      </c>
      <c r="BF56" s="12">
        <v>5.7884499999999998E-2</v>
      </c>
      <c r="BG56" s="12">
        <f>IF(AND(Table1[[#This Row],[Z3 SMT2-2 Maxres Cost]]=Table1[[#This Row],[ORTools FZN2 Cost]],Table1[[#This Row],[ORTools FZN2 State]]="Optimal"),1,"")</f>
        <v>1</v>
      </c>
      <c r="BH56" s="12" t="s">
        <v>26</v>
      </c>
      <c r="BI56" s="12">
        <v>0</v>
      </c>
      <c r="BJ56" s="12">
        <v>7.14138E-2</v>
      </c>
      <c r="BK56" s="12">
        <f>IF(AND(Table1[[#This Row],[Z3 SMT2-2 PdMaxres Cost]]=Table1[[#This Row],[ORTools FZN2 Cost]],Table1[[#This Row],[ORTools FZN2 State]]="Optimal"),1,"")</f>
        <v>1</v>
      </c>
      <c r="BL56" s="12" t="s">
        <v>26</v>
      </c>
      <c r="BM56" s="12">
        <v>0</v>
      </c>
      <c r="BN56" s="12">
        <v>6.67904E-2</v>
      </c>
      <c r="BO56" s="11">
        <f>IF(AND(Table1[[#This Row],[Z3 SMT2-2 PdMaxres Cost]]=Table1[[#This Row],[ORTools FZN2 Cost]],Table1[[#This Row],[ORTools FZN2 State]]="Optimal"),1,"")</f>
        <v>1</v>
      </c>
      <c r="BP56" s="5" t="s">
        <v>25</v>
      </c>
      <c r="BQ56" s="2">
        <v>0</v>
      </c>
      <c r="BR56" s="2">
        <v>1.967E-3</v>
      </c>
      <c r="BS56" s="2" t="str">
        <f>IF(AND(Table1[[#This Row],[Gurobi MB Cost]]=Table1[[#This Row],[ORTools FZN2 Cost]],Table1[[#This Row],[ORTools FZN2 State]]="Optimal",Table1[[#This Row],[Gurobi MB State]]="Suboptimal"),1,"")</f>
        <v/>
      </c>
      <c r="BT5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6" s="5" t="s">
        <v>25</v>
      </c>
      <c r="BV56" s="2">
        <v>0</v>
      </c>
      <c r="BW56" s="2">
        <v>3.4764000000000001E-3</v>
      </c>
      <c r="BX56" s="2" t="str">
        <f>IF(AND(Table1[[#This Row],[Gurobi MD Cost]]=Table1[[#This Row],[ORTools FZN2 Cost]],Table1[[#This Row],[ORTools FZN2 State]]="Optimal",Table1[[#This Row],[Gurobi MD State]]="Suboptimal"),1,"")</f>
        <v/>
      </c>
      <c r="BY5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6" s="5" t="s">
        <v>25</v>
      </c>
      <c r="CA56" s="2">
        <v>0</v>
      </c>
      <c r="CB56" s="2">
        <v>3.6353000000000002E-3</v>
      </c>
      <c r="CC56" s="2" t="str">
        <f>IF(AND(Table1[[#This Row],[Gurobi MI Cost]]=Table1[[#This Row],[ORTools FZN2 Cost]],Table1[[#This Row],[ORTools FZN2 State]]="Optimal",Table1[[#This Row],[Gurobi MI State]]="Suboptimal"),1,"")</f>
        <v/>
      </c>
      <c r="CD5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6" s="39" t="s">
        <v>25</v>
      </c>
      <c r="CF56" s="2">
        <v>0</v>
      </c>
      <c r="CG56" s="39">
        <v>5.0885724000000003</v>
      </c>
      <c r="CH56" s="39" t="s">
        <v>25</v>
      </c>
      <c r="CI56" s="39">
        <v>0</v>
      </c>
      <c r="CJ56" s="2">
        <v>5.0517143999999998</v>
      </c>
      <c r="CK56" s="5" t="s">
        <v>25</v>
      </c>
      <c r="CL56" s="2">
        <v>0</v>
      </c>
      <c r="CM56" s="2">
        <v>3.5999999999148699E-2</v>
      </c>
      <c r="CN56" s="5" t="s">
        <v>25</v>
      </c>
      <c r="CO56" s="2">
        <v>0</v>
      </c>
      <c r="CP56" s="2">
        <v>0.52075910000000003</v>
      </c>
      <c r="CQ56" s="5" t="s">
        <v>25</v>
      </c>
      <c r="CR56" s="2">
        <v>0</v>
      </c>
      <c r="CS56" s="2">
        <v>4.2801600000000002E-2</v>
      </c>
      <c r="CT56" s="6" t="s">
        <v>25</v>
      </c>
      <c r="CU56" s="4">
        <v>0</v>
      </c>
      <c r="CV56" s="4">
        <v>6.1430100000000001E-2</v>
      </c>
      <c r="CW56" s="39" t="s">
        <v>25</v>
      </c>
      <c r="CX56" s="39">
        <v>0</v>
      </c>
      <c r="CY56" s="2">
        <v>1.5E-3</v>
      </c>
      <c r="CZ56" s="2" t="str">
        <f>IF(AND(Table1[[#This Row],[Cplex MZ1 Cost]]=Table1[[#This Row],[ORTools FZN2 Cost]],Table1[[#This Row],[ORTools FZN2 State]]="Optimal",Table1[[#This Row],[Cplex MZ1 State]]="Suboptimal"),1,"")</f>
        <v/>
      </c>
      <c r="DA56" s="5" t="s">
        <v>25</v>
      </c>
      <c r="DB56" s="2">
        <v>0</v>
      </c>
      <c r="DC56" s="2">
        <v>2.5000000000000001E-3</v>
      </c>
      <c r="DD56" s="2" t="str">
        <f>IF(AND(Table1[[#This Row],[Cplex MZ2 Cost]]=Table1[[#This Row],[ORTools FZN2 Cost]],Table1[[#This Row],[ORTools FZN2 State]]="Optimal",Table1[[#This Row],[Cplex MZ2 State]]="Suboptimal"),1,"")</f>
        <v/>
      </c>
      <c r="DE56" s="39" t="s">
        <v>25</v>
      </c>
      <c r="DF56" s="39">
        <v>0</v>
      </c>
      <c r="DG56" s="2">
        <v>5.0000000000000001E-4</v>
      </c>
      <c r="DH56" s="2" t="str">
        <f>IF(AND(Table1[[#This Row],[Gurobi MZ1 Cost]]=Table1[[#This Row],[ORTools FZN2 Cost]],Table1[[#This Row],[ORTools FZN2 State]]="Optimal",Table1[[#This Row],[Gurobi MZ1 State]]="Suboptimal"),1,"")</f>
        <v/>
      </c>
      <c r="DI56" s="5" t="s">
        <v>25</v>
      </c>
      <c r="DJ56" s="2">
        <v>0</v>
      </c>
      <c r="DK56" s="2">
        <v>2.8E-3</v>
      </c>
      <c r="DL56" s="4" t="str">
        <f>IF(AND(Table1[[#This Row],[Gurobi MZ2 Cost]]=Table1[[#This Row],[ORTools FZN2 Cost]],Table1[[#This Row],[ORTools FZN2 State]]="Optimal",Table1[[#This Row],[Gurobi MZ2 State]]="Suboptimal"),1,"")</f>
        <v/>
      </c>
      <c r="DM56" s="39" t="s">
        <v>25</v>
      </c>
      <c r="DN56" s="39">
        <v>0</v>
      </c>
      <c r="DO56" s="65">
        <v>3.3999999999650699E-2</v>
      </c>
      <c r="DP56" s="4" t="str">
        <f>IF(AND(Table1[[#This Row],[Cplex MC nonDual Cost]]=Table1[[#This Row],[ORTools FZN2 Cost]],Table1[[#This Row],[ORTools FZN2 State]]="Optimal",Table1[[#This Row],[Cplex MC nonDual State]]="Suboptimal"),1,"")</f>
        <v/>
      </c>
      <c r="DQ56" s="5" t="s">
        <v>25</v>
      </c>
      <c r="DR56" s="2">
        <v>0</v>
      </c>
      <c r="DS56" s="2">
        <v>2.7000000000000001E-3</v>
      </c>
      <c r="DT56" s="2" t="str">
        <f>IF(AND(Table1[[#This Row],[Cplex MIP DM''z Cost]]=Table1[[#This Row],[ORTools FZN2 Cost]],Table1[[#This Row],[ORTools FZN2 State]]="Optimal",Table1[[#This Row],[Cplex MIP DM''z  State]]="Suboptimal"),1,"")</f>
        <v/>
      </c>
      <c r="DU5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6" s="5" t="s">
        <v>25</v>
      </c>
      <c r="DW56" s="2">
        <v>0</v>
      </c>
      <c r="DX56" s="2">
        <v>3.0999999999999999E-3</v>
      </c>
      <c r="DY56" s="4" t="str">
        <f>IF(AND(Table1[[#This Row],[Gurobi DM''z  Cost]]=Table1[[#This Row],[ORTools FZN2 Cost]],Table1[[#This Row],[ORTools FZN2 State]]="Optimal",Table1[[#This Row],[Gurobi DM''z  State]]="Suboptimal"),1,"")</f>
        <v/>
      </c>
      <c r="DZ5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7" spans="1:130" ht="15.75" x14ac:dyDescent="0.25">
      <c r="A57" s="46" t="s">
        <v>83</v>
      </c>
      <c r="B57" s="5">
        <v>6</v>
      </c>
      <c r="C57" s="2">
        <v>3</v>
      </c>
      <c r="D57" s="5">
        <v>9</v>
      </c>
      <c r="E57" s="2">
        <v>2</v>
      </c>
      <c r="F57" s="5">
        <v>1</v>
      </c>
      <c r="G57" s="2">
        <v>0</v>
      </c>
      <c r="H57" s="4">
        <f t="shared" si="0"/>
        <v>0</v>
      </c>
      <c r="I57" s="4">
        <f>Table1[[#This Row],[B]]+Table1[[#This Row],[Atomic Constraints]]+Table1[[#This Row],[Soft Atomic Constraints]]+Table1[[#This Row],[Disjunctive Constraints]]+Table1[[#This Row],[Direct Successors]]</f>
        <v>15</v>
      </c>
      <c r="J57" s="5" t="s">
        <v>25</v>
      </c>
      <c r="K57" s="2">
        <v>277</v>
      </c>
      <c r="L57" s="2">
        <v>0.56764170000000003</v>
      </c>
      <c r="M57" s="2" t="str">
        <f>IF(AND(Table1[[#This Row],[Chuffed MZ1 Cost]]=Table1[[#This Row],[ORTools FZN2 Cost]],Table1[[#This Row],[ORTools FZN2 State]]="Optimal",Table1[[#This Row],[Chuffed MZ1 State]]="Suboptimal"),1,"")</f>
        <v/>
      </c>
      <c r="N57" s="5" t="s">
        <v>25</v>
      </c>
      <c r="O57" s="2">
        <v>277</v>
      </c>
      <c r="P57" s="2">
        <v>0.56840869999999999</v>
      </c>
      <c r="Q57" s="2" t="str">
        <f>IF(AND(Table1[[#This Row],[Chuffed MZ2 Cost]]=Table1[[#This Row],[ORTools FZN2 Cost]],Table1[[#This Row],[ORTools FZN2 State]]="Optimal",Table1[[#This Row],[Chuffed MZ2 State]]="Suboptimal"),1,"")</f>
        <v/>
      </c>
      <c r="R57" s="5" t="s">
        <v>25</v>
      </c>
      <c r="S57" s="2">
        <v>277</v>
      </c>
      <c r="T57" s="2">
        <v>4.60000000002765E-2</v>
      </c>
      <c r="U57" s="2"/>
      <c r="V57" s="5" t="s">
        <v>25</v>
      </c>
      <c r="W57" s="2">
        <v>277</v>
      </c>
      <c r="X57" s="2">
        <v>7.4113799999999994E-2</v>
      </c>
      <c r="Y57" s="2" t="str">
        <f>IF(AND(Table1[[#This Row],[ORTools FZN1 Cost]]=Table1[[#This Row],[ORTools FZN2 Cost]],Table1[[#This Row],[ORTools FZN2 State]]="Optimal",Table1[[#This Row],[ORTools FZN1 State]]="Suboptimal"),1,"")</f>
        <v/>
      </c>
      <c r="Z57" s="5" t="s">
        <v>25</v>
      </c>
      <c r="AA57" s="2">
        <v>277</v>
      </c>
      <c r="AB57" s="2">
        <v>8.2455899999999999E-2</v>
      </c>
      <c r="AC57" s="39" t="s">
        <v>25</v>
      </c>
      <c r="AD57" s="39">
        <v>277</v>
      </c>
      <c r="AE57" s="2">
        <v>4.4932800000000002E-2</v>
      </c>
      <c r="AF57" s="2" t="str">
        <f>IF(AND(Table1[[#This Row],[Cplex MB Cost]]=Table1[[#This Row],[ORTools FZN2 Cost]],Table1[[#This Row],[ORTools FZN2 State]]="Optimal",Table1[[#This Row],[Cplex MB State]]="Suboptimal"),1,"")</f>
        <v/>
      </c>
      <c r="AG57" s="4">
        <f>IF(AND(AC57="Optimal",AD57&lt;&gt;AA57,Table1[[#This Row],[Example]]&lt;&gt;"R001",Table1[[#This Row],[Example]]&lt;&gt;"R002"),AD57-AA57,)</f>
        <v>0</v>
      </c>
      <c r="AH57" s="5" t="s">
        <v>25</v>
      </c>
      <c r="AI57" s="2">
        <v>277</v>
      </c>
      <c r="AJ57" s="2">
        <v>7.9513200000000006E-2</v>
      </c>
      <c r="AK57" s="2" t="str">
        <f>IF(AND(Table1[[#This Row],[Cplex MD Cost]]=Table1[[#This Row],[ORTools FZN2 Cost]],Table1[[#This Row],[ORTools FZN2 State]]="Optimal",Table1[[#This Row],[Cplex MD State]]="Suboptimal"),1,"")</f>
        <v/>
      </c>
      <c r="AL57" s="4">
        <f>IF(AND(AH57="Optimal",AI57&lt;&gt;AA57,Table1[[#This Row],[Example]]&lt;&gt;"R001",Table1[[#This Row],[Example]]&lt;&gt;"R002"),AI57-AA57,)</f>
        <v>0</v>
      </c>
      <c r="AM57" s="39" t="s">
        <v>25</v>
      </c>
      <c r="AN57" s="39">
        <v>277</v>
      </c>
      <c r="AO57" s="2">
        <v>4.1856999999999998E-2</v>
      </c>
      <c r="AP5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7" s="2" t="str">
        <f>IF(AND(Table1[[#This Row],[Cplex MI Cost]]=Table1[[#This Row],[ORTools FZN2 Cost]],Table1[[#This Row],[ORTools FZN2 State]]="Optimal",Table1[[#This Row],[Cplex MI State]]="Suboptimal"),1,"")</f>
        <v/>
      </c>
      <c r="AR57" s="12" t="s">
        <v>26</v>
      </c>
      <c r="AS57" s="12">
        <v>277</v>
      </c>
      <c r="AT57" s="12">
        <v>0.13952120000000001</v>
      </c>
      <c r="AU57" s="12">
        <f>IF(AND(Table1[[#This Row],[Z3 SMT2-1 Maxres Cost]]=Table1[[#This Row],[ORTools FZN2 Cost]],Table1[[#This Row],[ORTools FZN2 State]]="Optimal"),1,"")</f>
        <v>1</v>
      </c>
      <c r="AV57" s="12" t="s">
        <v>26</v>
      </c>
      <c r="AW57" s="12">
        <v>277</v>
      </c>
      <c r="AX57" s="12">
        <v>0.1488225</v>
      </c>
      <c r="AY57" s="12">
        <f>IF(AND(Table1[[#This Row],[Z3 SMT2-1 PdMaxres Cost]]=Table1[[#This Row],[ORTools FZN2 Cost]],Table1[[#This Row],[ORTools FZN2 State]]="Optimal"),1,"")</f>
        <v>1</v>
      </c>
      <c r="AZ57" s="12" t="s">
        <v>26</v>
      </c>
      <c r="BA57" s="12">
        <v>277</v>
      </c>
      <c r="BB57" s="12">
        <v>0.23488239999999999</v>
      </c>
      <c r="BC57" s="12">
        <f>IF(AND(Table1[[#This Row],[Z3 SMT2-1 WMax Cost]]=Table1[[#This Row],[ORTools FZN2 Cost]],Table1[[#This Row],[ORTools FZN2 State]]="Optimal"),1,"")</f>
        <v>1</v>
      </c>
      <c r="BD57" s="12" t="s">
        <v>26</v>
      </c>
      <c r="BE57" s="12">
        <v>277</v>
      </c>
      <c r="BF57" s="12">
        <v>0.12537129999999999</v>
      </c>
      <c r="BG57" s="12">
        <f>IF(AND(Table1[[#This Row],[Z3 SMT2-2 Maxres Cost]]=Table1[[#This Row],[ORTools FZN2 Cost]],Table1[[#This Row],[ORTools FZN2 State]]="Optimal"),1,"")</f>
        <v>1</v>
      </c>
      <c r="BH57" s="12" t="s">
        <v>26</v>
      </c>
      <c r="BI57" s="12">
        <v>277</v>
      </c>
      <c r="BJ57" s="12">
        <v>0.14142350000000001</v>
      </c>
      <c r="BK57" s="12">
        <f>IF(AND(Table1[[#This Row],[Z3 SMT2-2 PdMaxres Cost]]=Table1[[#This Row],[ORTools FZN2 Cost]],Table1[[#This Row],[ORTools FZN2 State]]="Optimal"),1,"")</f>
        <v>1</v>
      </c>
      <c r="BL57" s="12" t="s">
        <v>26</v>
      </c>
      <c r="BM57" s="12">
        <v>277</v>
      </c>
      <c r="BN57" s="12">
        <v>0.1831333</v>
      </c>
      <c r="BO57" s="11">
        <f>IF(AND(Table1[[#This Row],[Z3 SMT2-2 PdMaxres Cost]]=Table1[[#This Row],[ORTools FZN2 Cost]],Table1[[#This Row],[ORTools FZN2 State]]="Optimal"),1,"")</f>
        <v>1</v>
      </c>
      <c r="BP57" s="5" t="s">
        <v>25</v>
      </c>
      <c r="BQ57" s="2">
        <v>277</v>
      </c>
      <c r="BR57" s="2">
        <v>2.7365799999999999E-2</v>
      </c>
      <c r="BS57" s="2" t="str">
        <f>IF(AND(Table1[[#This Row],[Gurobi MB Cost]]=Table1[[#This Row],[ORTools FZN2 Cost]],Table1[[#This Row],[ORTools FZN2 State]]="Optimal",Table1[[#This Row],[Gurobi MB State]]="Suboptimal"),1,"")</f>
        <v/>
      </c>
      <c r="BT5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7" s="5" t="s">
        <v>25</v>
      </c>
      <c r="BV57" s="2">
        <v>277</v>
      </c>
      <c r="BW57" s="2">
        <v>4.07789E-2</v>
      </c>
      <c r="BX57" s="2" t="str">
        <f>IF(AND(Table1[[#This Row],[Gurobi MD Cost]]=Table1[[#This Row],[ORTools FZN2 Cost]],Table1[[#This Row],[ORTools FZN2 State]]="Optimal",Table1[[#This Row],[Gurobi MD State]]="Suboptimal"),1,"")</f>
        <v/>
      </c>
      <c r="BY5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7" s="5" t="s">
        <v>25</v>
      </c>
      <c r="CA57" s="2">
        <v>277</v>
      </c>
      <c r="CB57" s="2">
        <v>2.67569E-2</v>
      </c>
      <c r="CC57" s="2" t="str">
        <f>IF(AND(Table1[[#This Row],[Gurobi MI Cost]]=Table1[[#This Row],[ORTools FZN2 Cost]],Table1[[#This Row],[ORTools FZN2 State]]="Optimal",Table1[[#This Row],[Gurobi MI State]]="Suboptimal"),1,"")</f>
        <v/>
      </c>
      <c r="CD5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7" s="39" t="s">
        <v>25</v>
      </c>
      <c r="CF57" s="2">
        <v>277</v>
      </c>
      <c r="CG57" s="39">
        <v>5.1045237999999999</v>
      </c>
      <c r="CH57" s="39" t="s">
        <v>25</v>
      </c>
      <c r="CI57" s="39">
        <v>277</v>
      </c>
      <c r="CJ57" s="2">
        <v>5.0762194000000003</v>
      </c>
      <c r="CK57" s="5" t="s">
        <v>25</v>
      </c>
      <c r="CL57" s="2">
        <v>277</v>
      </c>
      <c r="CM57" s="2">
        <v>4.7999999999774397E-2</v>
      </c>
      <c r="CN57" s="5" t="s">
        <v>25</v>
      </c>
      <c r="CO57" s="2">
        <v>277</v>
      </c>
      <c r="CP57" s="2">
        <v>0.55410210000000004</v>
      </c>
      <c r="CQ57" s="5" t="s">
        <v>25</v>
      </c>
      <c r="CR57" s="2">
        <v>277</v>
      </c>
      <c r="CS57" s="2">
        <v>8.8781299999999994E-2</v>
      </c>
      <c r="CT57" s="6" t="s">
        <v>25</v>
      </c>
      <c r="CU57" s="4">
        <v>277</v>
      </c>
      <c r="CV57" s="4">
        <v>0.11844689999999999</v>
      </c>
      <c r="CW57" s="39" t="s">
        <v>25</v>
      </c>
      <c r="CX57" s="39">
        <v>277</v>
      </c>
      <c r="CY57" s="2">
        <v>2.6700000000000002E-2</v>
      </c>
      <c r="CZ57" s="2" t="str">
        <f>IF(AND(Table1[[#This Row],[Cplex MZ1 Cost]]=Table1[[#This Row],[ORTools FZN2 Cost]],Table1[[#This Row],[ORTools FZN2 State]]="Optimal",Table1[[#This Row],[Cplex MZ1 State]]="Suboptimal"),1,"")</f>
        <v/>
      </c>
      <c r="DA57" s="5" t="s">
        <v>25</v>
      </c>
      <c r="DB57" s="2">
        <v>277</v>
      </c>
      <c r="DC57" s="2">
        <v>2.9600000000000001E-2</v>
      </c>
      <c r="DD57" s="2" t="str">
        <f>IF(AND(Table1[[#This Row],[Cplex MZ2 Cost]]=Table1[[#This Row],[ORTools FZN2 Cost]],Table1[[#This Row],[ORTools FZN2 State]]="Optimal",Table1[[#This Row],[Cplex MZ2 State]]="Suboptimal"),1,"")</f>
        <v/>
      </c>
      <c r="DE57" s="39" t="s">
        <v>25</v>
      </c>
      <c r="DF57" s="39">
        <v>277</v>
      </c>
      <c r="DG57" s="2">
        <v>2.8500000000000001E-2</v>
      </c>
      <c r="DH57" s="2" t="str">
        <f>IF(AND(Table1[[#This Row],[Gurobi MZ1 Cost]]=Table1[[#This Row],[ORTools FZN2 Cost]],Table1[[#This Row],[ORTools FZN2 State]]="Optimal",Table1[[#This Row],[Gurobi MZ1 State]]="Suboptimal"),1,"")</f>
        <v/>
      </c>
      <c r="DI57" s="5" t="s">
        <v>25</v>
      </c>
      <c r="DJ57" s="2">
        <v>277</v>
      </c>
      <c r="DK57" s="2">
        <v>1.6400000000000001E-2</v>
      </c>
      <c r="DL57" s="4" t="str">
        <f>IF(AND(Table1[[#This Row],[Gurobi MZ2 Cost]]=Table1[[#This Row],[ORTools FZN2 Cost]],Table1[[#This Row],[ORTools FZN2 State]]="Optimal",Table1[[#This Row],[Gurobi MZ2 State]]="Suboptimal"),1,"")</f>
        <v/>
      </c>
      <c r="DM57" s="39" t="s">
        <v>25</v>
      </c>
      <c r="DN57" s="39">
        <v>277</v>
      </c>
      <c r="DO57" s="65">
        <v>3.8000000000465599E-2</v>
      </c>
      <c r="DP57" s="4" t="str">
        <f>IF(AND(Table1[[#This Row],[Cplex MC nonDual Cost]]=Table1[[#This Row],[ORTools FZN2 Cost]],Table1[[#This Row],[ORTools FZN2 State]]="Optimal",Table1[[#This Row],[Cplex MC nonDual State]]="Suboptimal"),1,"")</f>
        <v/>
      </c>
      <c r="DQ57" s="5" t="s">
        <v>25</v>
      </c>
      <c r="DR57" s="2">
        <v>277</v>
      </c>
      <c r="DS57" s="2">
        <v>2.8400000000000002E-2</v>
      </c>
      <c r="DT57" s="2" t="str">
        <f>IF(AND(Table1[[#This Row],[Cplex MIP DM''z Cost]]=Table1[[#This Row],[ORTools FZN2 Cost]],Table1[[#This Row],[ORTools FZN2 State]]="Optimal",Table1[[#This Row],[Cplex MIP DM''z  State]]="Suboptimal"),1,"")</f>
        <v/>
      </c>
      <c r="DU5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7" s="5" t="s">
        <v>25</v>
      </c>
      <c r="DW57" s="2">
        <v>277</v>
      </c>
      <c r="DX57" s="2">
        <v>1.8200000000000001E-2</v>
      </c>
      <c r="DY57" s="4" t="str">
        <f>IF(AND(Table1[[#This Row],[Gurobi DM''z  Cost]]=Table1[[#This Row],[ORTools FZN2 Cost]],Table1[[#This Row],[ORTools FZN2 State]]="Optimal",Table1[[#This Row],[Gurobi DM''z  State]]="Suboptimal"),1,"")</f>
        <v/>
      </c>
      <c r="DZ5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8" spans="1:130" ht="15.75" x14ac:dyDescent="0.25">
      <c r="A58" s="46" t="s">
        <v>84</v>
      </c>
      <c r="B58" s="5">
        <v>18</v>
      </c>
      <c r="C58" s="2">
        <v>9</v>
      </c>
      <c r="D58" s="5">
        <v>86</v>
      </c>
      <c r="E58" s="2">
        <v>9</v>
      </c>
      <c r="F58" s="5">
        <v>10</v>
      </c>
      <c r="G58" s="2">
        <v>0</v>
      </c>
      <c r="H58" s="4">
        <f t="shared" si="0"/>
        <v>0</v>
      </c>
      <c r="I58" s="4">
        <f>Table1[[#This Row],[B]]+Table1[[#This Row],[Atomic Constraints]]+Table1[[#This Row],[Soft Atomic Constraints]]+Table1[[#This Row],[Disjunctive Constraints]]+Table1[[#This Row],[Direct Successors]]</f>
        <v>114</v>
      </c>
      <c r="J58" s="5" t="s">
        <v>25</v>
      </c>
      <c r="K58" s="2">
        <v>31017</v>
      </c>
      <c r="L58" s="2">
        <v>0.75695250000000003</v>
      </c>
      <c r="M58" s="2" t="str">
        <f>IF(AND(Table1[[#This Row],[Chuffed MZ1 Cost]]=Table1[[#This Row],[ORTools FZN2 Cost]],Table1[[#This Row],[ORTools FZN2 State]]="Optimal",Table1[[#This Row],[Chuffed MZ1 State]]="Suboptimal"),1,"")</f>
        <v/>
      </c>
      <c r="N58" s="5" t="s">
        <v>25</v>
      </c>
      <c r="O58" s="2">
        <v>31017</v>
      </c>
      <c r="P58" s="2">
        <v>0.87558990000000003</v>
      </c>
      <c r="Q58" s="2" t="str">
        <f>IF(AND(Table1[[#This Row],[Chuffed MZ2 Cost]]=Table1[[#This Row],[ORTools FZN2 Cost]],Table1[[#This Row],[ORTools FZN2 State]]="Optimal",Table1[[#This Row],[Chuffed MZ2 State]]="Suboptimal"),1,"")</f>
        <v/>
      </c>
      <c r="R58" s="6" t="s">
        <v>25</v>
      </c>
      <c r="S58" s="4">
        <v>31017</v>
      </c>
      <c r="T58" s="4">
        <v>0.15599999999994901</v>
      </c>
      <c r="U58" s="4"/>
      <c r="V58" s="5" t="s">
        <v>25</v>
      </c>
      <c r="W58" s="2">
        <v>31017</v>
      </c>
      <c r="X58" s="2">
        <v>0.39761619999999998</v>
      </c>
      <c r="Y58" s="2" t="str">
        <f>IF(AND(Table1[[#This Row],[ORTools FZN1 Cost]]=Table1[[#This Row],[ORTools FZN2 Cost]],Table1[[#This Row],[ORTools FZN2 State]]="Optimal",Table1[[#This Row],[ORTools FZN1 State]]="Suboptimal"),1,"")</f>
        <v/>
      </c>
      <c r="Z58" s="5" t="s">
        <v>25</v>
      </c>
      <c r="AA58" s="2">
        <v>31017</v>
      </c>
      <c r="AB58" s="2">
        <v>0.38476650000000001</v>
      </c>
      <c r="AC58" s="39" t="s">
        <v>25</v>
      </c>
      <c r="AD58" s="39">
        <v>31017</v>
      </c>
      <c r="AE58" s="2">
        <v>0.75243850000000001</v>
      </c>
      <c r="AF58" s="2" t="str">
        <f>IF(AND(Table1[[#This Row],[Cplex MB Cost]]=Table1[[#This Row],[ORTools FZN2 Cost]],Table1[[#This Row],[ORTools FZN2 State]]="Optimal",Table1[[#This Row],[Cplex MB State]]="Suboptimal"),1,"")</f>
        <v/>
      </c>
      <c r="AG58" s="4">
        <f>IF(AND(AC58="Optimal",AD58&lt;&gt;AA58,Table1[[#This Row],[Example]]&lt;&gt;"R001",Table1[[#This Row],[Example]]&lt;&gt;"R002"),AD58-AA58,)</f>
        <v>0</v>
      </c>
      <c r="AH58" s="5" t="s">
        <v>25</v>
      </c>
      <c r="AI58" s="2">
        <v>31017</v>
      </c>
      <c r="AJ58" s="2">
        <v>2.0324941000000001</v>
      </c>
      <c r="AK58" s="2" t="str">
        <f>IF(AND(Table1[[#This Row],[Cplex MD Cost]]=Table1[[#This Row],[ORTools FZN2 Cost]],Table1[[#This Row],[ORTools FZN2 State]]="Optimal",Table1[[#This Row],[Cplex MD State]]="Suboptimal"),1,"")</f>
        <v/>
      </c>
      <c r="AL58" s="4">
        <f>IF(AND(AH58="Optimal",AI58&lt;&gt;AA58,Table1[[#This Row],[Example]]&lt;&gt;"R001",Table1[[#This Row],[Example]]&lt;&gt;"R002"),AI58-AA58,)</f>
        <v>0</v>
      </c>
      <c r="AM58" s="39" t="s">
        <v>25</v>
      </c>
      <c r="AN58" s="39">
        <v>31017</v>
      </c>
      <c r="AO58" s="2">
        <v>0.47871940000000002</v>
      </c>
      <c r="AP5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8" s="4" t="str">
        <f>IF(AND(Table1[[#This Row],[Cplex MI Cost]]=Table1[[#This Row],[ORTools FZN2 Cost]],Table1[[#This Row],[ORTools FZN2 State]]="Optimal",Table1[[#This Row],[Cplex MI State]]="Suboptimal"),1,"")</f>
        <v/>
      </c>
      <c r="AR58" s="12" t="s">
        <v>26</v>
      </c>
      <c r="AS58" s="12">
        <v>31017</v>
      </c>
      <c r="AT58" s="12">
        <v>5.9732089000000004</v>
      </c>
      <c r="AU58" s="12">
        <f>IF(AND(Table1[[#This Row],[Z3 SMT2-1 Maxres Cost]]=Table1[[#This Row],[ORTools FZN2 Cost]],Table1[[#This Row],[ORTools FZN2 State]]="Optimal"),1,"")</f>
        <v>1</v>
      </c>
      <c r="AV58" s="12" t="s">
        <v>26</v>
      </c>
      <c r="AW58" s="12">
        <v>31017</v>
      </c>
      <c r="AX58" s="12">
        <v>6.3339786</v>
      </c>
      <c r="AY58" s="12">
        <f>IF(AND(Table1[[#This Row],[Z3 SMT2-1 PdMaxres Cost]]=Table1[[#This Row],[ORTools FZN2 Cost]],Table1[[#This Row],[ORTools FZN2 State]]="Optimal"),1,"")</f>
        <v>1</v>
      </c>
      <c r="AZ58" s="12" t="s">
        <v>26</v>
      </c>
      <c r="BA58" s="12">
        <v>31017</v>
      </c>
      <c r="BB58" s="12">
        <v>7.1951787999999999</v>
      </c>
      <c r="BC58" s="12">
        <f>IF(AND(Table1[[#This Row],[Z3 SMT2-1 WMax Cost]]=Table1[[#This Row],[ORTools FZN2 Cost]],Table1[[#This Row],[ORTools FZN2 State]]="Optimal"),1,"")</f>
        <v>1</v>
      </c>
      <c r="BD58" s="12" t="s">
        <v>26</v>
      </c>
      <c r="BE58" s="12">
        <v>31017</v>
      </c>
      <c r="BF58" s="12">
        <v>5.6472249000000003</v>
      </c>
      <c r="BG58" s="12">
        <f>IF(AND(Table1[[#This Row],[Z3 SMT2-2 Maxres Cost]]=Table1[[#This Row],[ORTools FZN2 Cost]],Table1[[#This Row],[ORTools FZN2 State]]="Optimal"),1,"")</f>
        <v>1</v>
      </c>
      <c r="BH58" s="12" t="s">
        <v>26</v>
      </c>
      <c r="BI58" s="12">
        <v>31017</v>
      </c>
      <c r="BJ58" s="12">
        <v>5.6539951999999998</v>
      </c>
      <c r="BK58" s="12">
        <f>IF(AND(Table1[[#This Row],[Z3 SMT2-2 PdMaxres Cost]]=Table1[[#This Row],[ORTools FZN2 Cost]],Table1[[#This Row],[ORTools FZN2 State]]="Optimal"),1,"")</f>
        <v>1</v>
      </c>
      <c r="BL58" s="12" t="s">
        <v>26</v>
      </c>
      <c r="BM58" s="12">
        <v>31017</v>
      </c>
      <c r="BN58" s="12">
        <v>5.6494388999999998</v>
      </c>
      <c r="BO58" s="11">
        <f>IF(AND(Table1[[#This Row],[Z3 SMT2-2 PdMaxres Cost]]=Table1[[#This Row],[ORTools FZN2 Cost]],Table1[[#This Row],[ORTools FZN2 State]]="Optimal"),1,"")</f>
        <v>1</v>
      </c>
      <c r="BP58" s="5" t="s">
        <v>25</v>
      </c>
      <c r="BQ58" s="2">
        <v>31017</v>
      </c>
      <c r="BR58" s="2">
        <v>1.296719</v>
      </c>
      <c r="BS58" s="2" t="str">
        <f>IF(AND(Table1[[#This Row],[Gurobi MB Cost]]=Table1[[#This Row],[ORTools FZN2 Cost]],Table1[[#This Row],[ORTools FZN2 State]]="Optimal",Table1[[#This Row],[Gurobi MB State]]="Suboptimal"),1,"")</f>
        <v/>
      </c>
      <c r="BT5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8" s="5" t="s">
        <v>25</v>
      </c>
      <c r="BV58" s="2">
        <v>31017</v>
      </c>
      <c r="BW58" s="2">
        <v>5.2322189000000003</v>
      </c>
      <c r="BX58" s="2" t="str">
        <f>IF(AND(Table1[[#This Row],[Gurobi MD Cost]]=Table1[[#This Row],[ORTools FZN2 Cost]],Table1[[#This Row],[ORTools FZN2 State]]="Optimal",Table1[[#This Row],[Gurobi MD State]]="Suboptimal"),1,"")</f>
        <v/>
      </c>
      <c r="BY5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8" s="5" t="s">
        <v>25</v>
      </c>
      <c r="CA58" s="2">
        <v>31017</v>
      </c>
      <c r="CB58" s="2">
        <v>1.2230711999999999</v>
      </c>
      <c r="CC58" s="2" t="str">
        <f>IF(AND(Table1[[#This Row],[Gurobi MI Cost]]=Table1[[#This Row],[ORTools FZN2 Cost]],Table1[[#This Row],[ORTools FZN2 State]]="Optimal",Table1[[#This Row],[Gurobi MI State]]="Suboptimal"),1,"")</f>
        <v/>
      </c>
      <c r="CD5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8" s="39" t="s">
        <v>42</v>
      </c>
      <c r="CF58" s="2">
        <v>-6175</v>
      </c>
      <c r="CG58" s="39">
        <v>306.01970610000001</v>
      </c>
      <c r="CH58" s="39" t="s">
        <v>42</v>
      </c>
      <c r="CI58" s="39">
        <v>-6175</v>
      </c>
      <c r="CJ58" s="2">
        <v>306.0400578</v>
      </c>
      <c r="CK58" s="5" t="s">
        <v>25</v>
      </c>
      <c r="CL58" s="2">
        <v>31017</v>
      </c>
      <c r="CM58" s="2">
        <v>0.15099999999984001</v>
      </c>
      <c r="CN58" s="5" t="s">
        <v>25</v>
      </c>
      <c r="CO58" s="2">
        <v>31017</v>
      </c>
      <c r="CP58" s="2">
        <v>0.74444330000000003</v>
      </c>
      <c r="CQ58" s="5" t="s">
        <v>25</v>
      </c>
      <c r="CR58" s="2">
        <v>31017</v>
      </c>
      <c r="CS58" s="2">
        <v>0.59132940000000001</v>
      </c>
      <c r="CT58" s="6" t="s">
        <v>25</v>
      </c>
      <c r="CU58" s="4">
        <v>31017</v>
      </c>
      <c r="CV58" s="4">
        <v>0.65448410000000001</v>
      </c>
      <c r="CW58" s="39" t="s">
        <v>25</v>
      </c>
      <c r="CX58" s="39">
        <v>31017</v>
      </c>
      <c r="CY58" s="2">
        <v>0.93720000000000003</v>
      </c>
      <c r="CZ58" s="2" t="str">
        <f>IF(AND(Table1[[#This Row],[Cplex MZ1 Cost]]=Table1[[#This Row],[ORTools FZN2 Cost]],Table1[[#This Row],[ORTools FZN2 State]]="Optimal",Table1[[#This Row],[Cplex MZ1 State]]="Suboptimal"),1,"")</f>
        <v/>
      </c>
      <c r="DA58" s="5" t="s">
        <v>25</v>
      </c>
      <c r="DB58" s="2">
        <v>31017</v>
      </c>
      <c r="DC58" s="2">
        <v>1.3150999999999999</v>
      </c>
      <c r="DD58" s="2" t="str">
        <f>IF(AND(Table1[[#This Row],[Cplex MZ2 Cost]]=Table1[[#This Row],[ORTools FZN2 Cost]],Table1[[#This Row],[ORTools FZN2 State]]="Optimal",Table1[[#This Row],[Cplex MZ2 State]]="Suboptimal"),1,"")</f>
        <v/>
      </c>
      <c r="DE58" s="39" t="s">
        <v>25</v>
      </c>
      <c r="DF58" s="39">
        <v>31017</v>
      </c>
      <c r="DG58" s="2">
        <v>1.7295</v>
      </c>
      <c r="DH58" s="2" t="str">
        <f>IF(AND(Table1[[#This Row],[Gurobi MZ1 Cost]]=Table1[[#This Row],[ORTools FZN2 Cost]],Table1[[#This Row],[ORTools FZN2 State]]="Optimal",Table1[[#This Row],[Gurobi MZ1 State]]="Suboptimal"),1,"")</f>
        <v/>
      </c>
      <c r="DI58" s="5" t="s">
        <v>25</v>
      </c>
      <c r="DJ58" s="2">
        <v>31017</v>
      </c>
      <c r="DK58" s="2">
        <v>1.2915000000000001</v>
      </c>
      <c r="DL58" s="4" t="str">
        <f>IF(AND(Table1[[#This Row],[Gurobi MZ2 Cost]]=Table1[[#This Row],[ORTools FZN2 Cost]],Table1[[#This Row],[ORTools FZN2 State]]="Optimal",Table1[[#This Row],[Gurobi MZ2 State]]="Suboptimal"),1,"")</f>
        <v/>
      </c>
      <c r="DM58" s="39" t="s">
        <v>25</v>
      </c>
      <c r="DN58" s="39">
        <v>31017</v>
      </c>
      <c r="DO58" s="65">
        <v>0.60899999999946797</v>
      </c>
      <c r="DP58" s="4" t="str">
        <f>IF(AND(Table1[[#This Row],[Cplex MC nonDual Cost]]=Table1[[#This Row],[ORTools FZN2 Cost]],Table1[[#This Row],[ORTools FZN2 State]]="Optimal",Table1[[#This Row],[Cplex MC nonDual State]]="Suboptimal"),1,"")</f>
        <v/>
      </c>
      <c r="DQ58" s="5" t="s">
        <v>25</v>
      </c>
      <c r="DR58" s="2">
        <v>31017</v>
      </c>
      <c r="DS58" s="2">
        <v>1.0178</v>
      </c>
      <c r="DT58" s="2" t="str">
        <f>IF(AND(Table1[[#This Row],[Cplex MIP DM''z Cost]]=Table1[[#This Row],[ORTools FZN2 Cost]],Table1[[#This Row],[ORTools FZN2 State]]="Optimal",Table1[[#This Row],[Cplex MIP DM''z  State]]="Suboptimal"),1,"")</f>
        <v/>
      </c>
      <c r="DU5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8" s="5" t="s">
        <v>25</v>
      </c>
      <c r="DW58" s="2">
        <v>31017</v>
      </c>
      <c r="DX58" s="2">
        <v>2.7563</v>
      </c>
      <c r="DY58" s="4" t="str">
        <f>IF(AND(Table1[[#This Row],[Gurobi DM''z  Cost]]=Table1[[#This Row],[ORTools FZN2 Cost]],Table1[[#This Row],[ORTools FZN2 State]]="Optimal",Table1[[#This Row],[Gurobi DM''z  State]]="Suboptimal"),1,"")</f>
        <v/>
      </c>
      <c r="DZ5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59" spans="1:130" ht="15.75" x14ac:dyDescent="0.25">
      <c r="A59" s="46" t="s">
        <v>85</v>
      </c>
      <c r="B59" s="5">
        <v>20</v>
      </c>
      <c r="C59" s="2">
        <v>10</v>
      </c>
      <c r="D59" s="5">
        <v>102</v>
      </c>
      <c r="E59" s="2">
        <v>13</v>
      </c>
      <c r="F59" s="5">
        <v>32</v>
      </c>
      <c r="G59" s="2">
        <v>0</v>
      </c>
      <c r="H59" s="4">
        <f t="shared" si="0"/>
        <v>0</v>
      </c>
      <c r="I59" s="4">
        <f>Table1[[#This Row],[B]]+Table1[[#This Row],[Atomic Constraints]]+Table1[[#This Row],[Soft Atomic Constraints]]+Table1[[#This Row],[Disjunctive Constraints]]+Table1[[#This Row],[Direct Successors]]</f>
        <v>157</v>
      </c>
      <c r="J59" s="5" t="s">
        <v>25</v>
      </c>
      <c r="K59" s="2">
        <v>50686</v>
      </c>
      <c r="L59" s="2">
        <v>1.6001668</v>
      </c>
      <c r="M59" s="2" t="str">
        <f>IF(AND(Table1[[#This Row],[Chuffed MZ1 Cost]]=Table1[[#This Row],[ORTools FZN2 Cost]],Table1[[#This Row],[ORTools FZN2 State]]="Optimal",Table1[[#This Row],[Chuffed MZ1 State]]="Suboptimal"),1,"")</f>
        <v/>
      </c>
      <c r="N59" s="5" t="s">
        <v>25</v>
      </c>
      <c r="O59" s="2">
        <v>50686</v>
      </c>
      <c r="P59" s="2">
        <v>0.95930590000000004</v>
      </c>
      <c r="Q59" s="2" t="str">
        <f>IF(AND(Table1[[#This Row],[Chuffed MZ2 Cost]]=Table1[[#This Row],[ORTools FZN2 Cost]],Table1[[#This Row],[ORTools FZN2 State]]="Optimal",Table1[[#This Row],[Chuffed MZ2 State]]="Suboptimal"),1,"")</f>
        <v/>
      </c>
      <c r="R59" s="5" t="s">
        <v>25</v>
      </c>
      <c r="S59" s="2">
        <v>50686</v>
      </c>
      <c r="T59" s="2">
        <v>0.73799999999937405</v>
      </c>
      <c r="U59" s="2"/>
      <c r="V59" s="5" t="s">
        <v>25</v>
      </c>
      <c r="W59" s="2">
        <v>50686</v>
      </c>
      <c r="X59" s="2">
        <v>0.51876880000000003</v>
      </c>
      <c r="Y59" s="2" t="str">
        <f>IF(AND(Table1[[#This Row],[ORTools FZN1 Cost]]=Table1[[#This Row],[ORTools FZN2 Cost]],Table1[[#This Row],[ORTools FZN2 State]]="Optimal",Table1[[#This Row],[ORTools FZN1 State]]="Suboptimal"),1,"")</f>
        <v/>
      </c>
      <c r="Z59" s="5" t="s">
        <v>25</v>
      </c>
      <c r="AA59" s="2">
        <v>50686</v>
      </c>
      <c r="AB59" s="2">
        <v>0.5182582</v>
      </c>
      <c r="AC59" s="39" t="s">
        <v>25</v>
      </c>
      <c r="AD59" s="39">
        <v>50686</v>
      </c>
      <c r="AE59" s="2">
        <v>1.3261011</v>
      </c>
      <c r="AF59" s="2" t="str">
        <f>IF(AND(Table1[[#This Row],[Cplex MB Cost]]=Table1[[#This Row],[ORTools FZN2 Cost]],Table1[[#This Row],[ORTools FZN2 State]]="Optimal",Table1[[#This Row],[Cplex MB State]]="Suboptimal"),1,"")</f>
        <v/>
      </c>
      <c r="AG59" s="4">
        <f>IF(AND(AC59="Optimal",AD59&lt;&gt;AA59,Table1[[#This Row],[Example]]&lt;&gt;"R001",Table1[[#This Row],[Example]]&lt;&gt;"R002"),AD59-AA59,)</f>
        <v>0</v>
      </c>
      <c r="AH59" s="5" t="s">
        <v>25</v>
      </c>
      <c r="AI59" s="2">
        <v>50686</v>
      </c>
      <c r="AJ59" s="2">
        <v>7.4992435999999998</v>
      </c>
      <c r="AK59" s="2" t="str">
        <f>IF(AND(Table1[[#This Row],[Cplex MD Cost]]=Table1[[#This Row],[ORTools FZN2 Cost]],Table1[[#This Row],[ORTools FZN2 State]]="Optimal",Table1[[#This Row],[Cplex MD State]]="Suboptimal"),1,"")</f>
        <v/>
      </c>
      <c r="AL59" s="4">
        <f>IF(AND(AH59="Optimal",AI59&lt;&gt;AA59,Table1[[#This Row],[Example]]&lt;&gt;"R001",Table1[[#This Row],[Example]]&lt;&gt;"R002"),AI59-AA59,)</f>
        <v>0</v>
      </c>
      <c r="AM59" s="39" t="s">
        <v>25</v>
      </c>
      <c r="AN59" s="39">
        <v>50686</v>
      </c>
      <c r="AO59" s="2">
        <v>0.83451090000000006</v>
      </c>
      <c r="AP5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59" s="2" t="str">
        <f>IF(AND(Table1[[#This Row],[Cplex MI Cost]]=Table1[[#This Row],[ORTools FZN2 Cost]],Table1[[#This Row],[ORTools FZN2 State]]="Optimal",Table1[[#This Row],[Cplex MI State]]="Suboptimal"),1,"")</f>
        <v/>
      </c>
      <c r="AR59" s="12" t="s">
        <v>26</v>
      </c>
      <c r="AS59" s="12">
        <v>50686</v>
      </c>
      <c r="AT59" s="12">
        <v>16.788364699999999</v>
      </c>
      <c r="AU59" s="12">
        <f>IF(AND(Table1[[#This Row],[Z3 SMT2-1 Maxres Cost]]=Table1[[#This Row],[ORTools FZN2 Cost]],Table1[[#This Row],[ORTools FZN2 State]]="Optimal"),1,"")</f>
        <v>1</v>
      </c>
      <c r="AV59" s="12" t="s">
        <v>26</v>
      </c>
      <c r="AW59" s="12">
        <v>50686</v>
      </c>
      <c r="AX59" s="12">
        <v>17.278179600000001</v>
      </c>
      <c r="AY59" s="12">
        <f>IF(AND(Table1[[#This Row],[Z3 SMT2-1 PdMaxres Cost]]=Table1[[#This Row],[ORTools FZN2 Cost]],Table1[[#This Row],[ORTools FZN2 State]]="Optimal"),1,"")</f>
        <v>1</v>
      </c>
      <c r="AZ59" s="12" t="s">
        <v>26</v>
      </c>
      <c r="BA59" s="12">
        <v>50686</v>
      </c>
      <c r="BB59" s="12">
        <v>19.659234900000001</v>
      </c>
      <c r="BC59" s="12">
        <f>IF(AND(Table1[[#This Row],[Z3 SMT2-1 WMax Cost]]=Table1[[#This Row],[ORTools FZN2 Cost]],Table1[[#This Row],[ORTools FZN2 State]]="Optimal"),1,"")</f>
        <v>1</v>
      </c>
      <c r="BD59" s="12" t="s">
        <v>26</v>
      </c>
      <c r="BE59" s="12">
        <v>50686</v>
      </c>
      <c r="BF59" s="12">
        <v>16.847371299999999</v>
      </c>
      <c r="BG59" s="12">
        <f>IF(AND(Table1[[#This Row],[Z3 SMT2-2 Maxres Cost]]=Table1[[#This Row],[ORTools FZN2 Cost]],Table1[[#This Row],[ORTools FZN2 State]]="Optimal"),1,"")</f>
        <v>1</v>
      </c>
      <c r="BH59" s="12" t="s">
        <v>26</v>
      </c>
      <c r="BI59" s="12">
        <v>50686</v>
      </c>
      <c r="BJ59" s="12">
        <v>17.210299299999999</v>
      </c>
      <c r="BK59" s="12">
        <f>IF(AND(Table1[[#This Row],[Z3 SMT2-2 PdMaxres Cost]]=Table1[[#This Row],[ORTools FZN2 Cost]],Table1[[#This Row],[ORTools FZN2 State]]="Optimal"),1,"")</f>
        <v>1</v>
      </c>
      <c r="BL59" s="12" t="s">
        <v>26</v>
      </c>
      <c r="BM59" s="12">
        <v>50686</v>
      </c>
      <c r="BN59" s="12">
        <v>17.102238199999999</v>
      </c>
      <c r="BO59" s="11">
        <f>IF(AND(Table1[[#This Row],[Z3 SMT2-2 PdMaxres Cost]]=Table1[[#This Row],[ORTools FZN2 Cost]],Table1[[#This Row],[ORTools FZN2 State]]="Optimal"),1,"")</f>
        <v>1</v>
      </c>
      <c r="BP59" s="5" t="s">
        <v>25</v>
      </c>
      <c r="BQ59" s="2">
        <v>50686</v>
      </c>
      <c r="BR59" s="2">
        <v>3.2922085999999999</v>
      </c>
      <c r="BS59" s="2" t="str">
        <f>IF(AND(Table1[[#This Row],[Gurobi MB Cost]]=Table1[[#This Row],[ORTools FZN2 Cost]],Table1[[#This Row],[ORTools FZN2 State]]="Optimal",Table1[[#This Row],[Gurobi MB State]]="Suboptimal"),1,"")</f>
        <v/>
      </c>
      <c r="BT5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59" s="5" t="s">
        <v>25</v>
      </c>
      <c r="BV59" s="2">
        <v>50686</v>
      </c>
      <c r="BW59" s="2">
        <v>12.488747399999999</v>
      </c>
      <c r="BX59" s="2" t="str">
        <f>IF(AND(Table1[[#This Row],[Gurobi MD Cost]]=Table1[[#This Row],[ORTools FZN2 Cost]],Table1[[#This Row],[ORTools FZN2 State]]="Optimal",Table1[[#This Row],[Gurobi MD State]]="Suboptimal"),1,"")</f>
        <v/>
      </c>
      <c r="BY5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59" s="5" t="s">
        <v>25</v>
      </c>
      <c r="CA59" s="2">
        <v>50686</v>
      </c>
      <c r="CB59" s="2">
        <v>1.9490634</v>
      </c>
      <c r="CC59" s="2" t="str">
        <f>IF(AND(Table1[[#This Row],[Gurobi MI Cost]]=Table1[[#This Row],[ORTools FZN2 Cost]],Table1[[#This Row],[ORTools FZN2 State]]="Optimal",Table1[[#This Row],[Gurobi MI State]]="Suboptimal"),1,"")</f>
        <v/>
      </c>
      <c r="CD5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59" s="39" t="s">
        <v>42</v>
      </c>
      <c r="CF59" s="2">
        <v>-8421</v>
      </c>
      <c r="CG59" s="39">
        <v>306.03555720000003</v>
      </c>
      <c r="CH59" s="39" t="s">
        <v>42</v>
      </c>
      <c r="CI59" s="39">
        <v>-8421</v>
      </c>
      <c r="CJ59" s="2">
        <v>306.00298700000002</v>
      </c>
      <c r="CK59" s="5" t="s">
        <v>25</v>
      </c>
      <c r="CL59" s="2">
        <v>50686</v>
      </c>
      <c r="CM59" s="2">
        <v>0.74799999999959299</v>
      </c>
      <c r="CN59" s="5" t="s">
        <v>25</v>
      </c>
      <c r="CO59" s="2">
        <v>50686</v>
      </c>
      <c r="CP59" s="2">
        <v>0.85363120000000003</v>
      </c>
      <c r="CQ59" s="5" t="s">
        <v>25</v>
      </c>
      <c r="CR59" s="2">
        <v>50686</v>
      </c>
      <c r="CS59" s="2">
        <v>0.83817410000000003</v>
      </c>
      <c r="CT59" s="6" t="s">
        <v>25</v>
      </c>
      <c r="CU59" s="4">
        <v>50686</v>
      </c>
      <c r="CV59" s="4">
        <v>0.84024810000000005</v>
      </c>
      <c r="CW59" s="39" t="s">
        <v>25</v>
      </c>
      <c r="CX59" s="39">
        <v>50686</v>
      </c>
      <c r="CY59" s="2">
        <v>2.6930999999999998</v>
      </c>
      <c r="CZ59" s="2" t="str">
        <f>IF(AND(Table1[[#This Row],[Cplex MZ1 Cost]]=Table1[[#This Row],[ORTools FZN2 Cost]],Table1[[#This Row],[ORTools FZN2 State]]="Optimal",Table1[[#This Row],[Cplex MZ1 State]]="Suboptimal"),1,"")</f>
        <v/>
      </c>
      <c r="DA59" s="5" t="s">
        <v>25</v>
      </c>
      <c r="DB59" s="2">
        <v>50686</v>
      </c>
      <c r="DC59" s="2">
        <v>2.5571999999999999</v>
      </c>
      <c r="DD59" s="2" t="str">
        <f>IF(AND(Table1[[#This Row],[Cplex MZ2 Cost]]=Table1[[#This Row],[ORTools FZN2 Cost]],Table1[[#This Row],[ORTools FZN2 State]]="Optimal",Table1[[#This Row],[Cplex MZ2 State]]="Suboptimal"),1,"")</f>
        <v/>
      </c>
      <c r="DE59" s="39" t="s">
        <v>25</v>
      </c>
      <c r="DF59" s="39">
        <v>50686</v>
      </c>
      <c r="DG59" s="2">
        <v>17.773199999999999</v>
      </c>
      <c r="DH59" s="2" t="str">
        <f>IF(AND(Table1[[#This Row],[Gurobi MZ1 Cost]]=Table1[[#This Row],[ORTools FZN2 Cost]],Table1[[#This Row],[ORTools FZN2 State]]="Optimal",Table1[[#This Row],[Gurobi MZ1 State]]="Suboptimal"),1,"")</f>
        <v/>
      </c>
      <c r="DI59" s="5" t="s">
        <v>25</v>
      </c>
      <c r="DJ59" s="2">
        <v>50686</v>
      </c>
      <c r="DK59" s="2">
        <v>7.3998999999999997</v>
      </c>
      <c r="DL59" s="4" t="str">
        <f>IF(AND(Table1[[#This Row],[Gurobi MZ2 Cost]]=Table1[[#This Row],[ORTools FZN2 Cost]],Table1[[#This Row],[ORTools FZN2 State]]="Optimal",Table1[[#This Row],[Gurobi MZ2 State]]="Suboptimal"),1,"")</f>
        <v/>
      </c>
      <c r="DM59" s="39" t="s">
        <v>25</v>
      </c>
      <c r="DN59" s="39">
        <v>50686</v>
      </c>
      <c r="DO59" s="65">
        <v>0.72199999999975195</v>
      </c>
      <c r="DP59" s="4" t="str">
        <f>IF(AND(Table1[[#This Row],[Cplex MC nonDual Cost]]=Table1[[#This Row],[ORTools FZN2 Cost]],Table1[[#This Row],[ORTools FZN2 State]]="Optimal",Table1[[#This Row],[Cplex MC nonDual State]]="Suboptimal"),1,"")</f>
        <v/>
      </c>
      <c r="DQ59" s="5" t="s">
        <v>25</v>
      </c>
      <c r="DR59" s="2">
        <v>50686</v>
      </c>
      <c r="DS59" s="2">
        <v>3.1154000000000002</v>
      </c>
      <c r="DT59" s="2" t="str">
        <f>IF(AND(Table1[[#This Row],[Cplex MIP DM''z Cost]]=Table1[[#This Row],[ORTools FZN2 Cost]],Table1[[#This Row],[ORTools FZN2 State]]="Optimal",Table1[[#This Row],[Cplex MIP DM''z  State]]="Suboptimal"),1,"")</f>
        <v/>
      </c>
      <c r="DU5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59" s="5" t="s">
        <v>25</v>
      </c>
      <c r="DW59" s="2">
        <v>50686</v>
      </c>
      <c r="DX59" s="2">
        <v>11.616099999999999</v>
      </c>
      <c r="DY59" s="4" t="str">
        <f>IF(AND(Table1[[#This Row],[Gurobi DM''z  Cost]]=Table1[[#This Row],[ORTools FZN2 Cost]],Table1[[#This Row],[ORTools FZN2 State]]="Optimal",Table1[[#This Row],[Gurobi DM''z  State]]="Suboptimal"),1,"")</f>
        <v/>
      </c>
      <c r="DZ5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0" spans="1:130" ht="15.75" x14ac:dyDescent="0.25">
      <c r="A60" s="46" t="s">
        <v>86</v>
      </c>
      <c r="B60" s="5">
        <v>40</v>
      </c>
      <c r="C60" s="2">
        <v>20</v>
      </c>
      <c r="D60" s="5">
        <v>446</v>
      </c>
      <c r="E60" s="2">
        <v>26</v>
      </c>
      <c r="F60" s="5">
        <v>56</v>
      </c>
      <c r="G60" s="2">
        <v>0</v>
      </c>
      <c r="H60" s="4">
        <f t="shared" si="0"/>
        <v>0</v>
      </c>
      <c r="I60" s="4">
        <f>Table1[[#This Row],[B]]+Table1[[#This Row],[Atomic Constraints]]+Table1[[#This Row],[Soft Atomic Constraints]]+Table1[[#This Row],[Disjunctive Constraints]]+Table1[[#This Row],[Direct Successors]]</f>
        <v>548</v>
      </c>
      <c r="J60" s="5" t="s">
        <v>25</v>
      </c>
      <c r="K60" s="2">
        <v>1041084</v>
      </c>
      <c r="L60" s="2">
        <v>23.301815900000001</v>
      </c>
      <c r="M60" s="2" t="str">
        <f>IF(AND(Table1[[#This Row],[Chuffed MZ1 Cost]]=Table1[[#This Row],[ORTools FZN2 Cost]],Table1[[#This Row],[ORTools FZN2 State]]="Optimal",Table1[[#This Row],[Chuffed MZ1 State]]="Suboptimal"),1,"")</f>
        <v/>
      </c>
      <c r="N60" s="5" t="s">
        <v>25</v>
      </c>
      <c r="O60" s="2">
        <v>1041084</v>
      </c>
      <c r="P60" s="2">
        <v>26.857826899999999</v>
      </c>
      <c r="Q60" s="2" t="str">
        <f>IF(AND(Table1[[#This Row],[Chuffed MZ2 Cost]]=Table1[[#This Row],[ORTools FZN2 Cost]],Table1[[#This Row],[ORTools FZN2 State]]="Optimal",Table1[[#This Row],[Chuffed MZ2 State]]="Suboptimal"),1,"")</f>
        <v/>
      </c>
      <c r="R60" s="11" t="s">
        <v>26</v>
      </c>
      <c r="S60" s="11">
        <v>1041084</v>
      </c>
      <c r="T60" s="11">
        <v>300.04599999999999</v>
      </c>
      <c r="U60" s="11">
        <v>1</v>
      </c>
      <c r="V60" s="5" t="s">
        <v>25</v>
      </c>
      <c r="W60" s="2">
        <v>1041084</v>
      </c>
      <c r="X60" s="2">
        <v>6.0284034000000002</v>
      </c>
      <c r="Y60" s="2" t="str">
        <f>IF(AND(Table1[[#This Row],[ORTools FZN1 Cost]]=Table1[[#This Row],[ORTools FZN2 Cost]],Table1[[#This Row],[ORTools FZN2 State]]="Optimal",Table1[[#This Row],[ORTools FZN1 State]]="Suboptimal"),1,"")</f>
        <v/>
      </c>
      <c r="Z60" s="5" t="s">
        <v>25</v>
      </c>
      <c r="AA60" s="2">
        <v>1041084</v>
      </c>
      <c r="AB60" s="2">
        <v>5.6074728</v>
      </c>
      <c r="AC60" s="39" t="s">
        <v>26</v>
      </c>
      <c r="AD60" s="39">
        <v>1106763</v>
      </c>
      <c r="AE60" s="2">
        <v>300.12991870000002</v>
      </c>
      <c r="AF60" s="2" t="str">
        <f>IF(AND(Table1[[#This Row],[Cplex MB Cost]]=Table1[[#This Row],[ORTools FZN2 Cost]],Table1[[#This Row],[ORTools FZN2 State]]="Optimal",Table1[[#This Row],[Cplex MB State]]="Suboptimal"),1,"")</f>
        <v/>
      </c>
      <c r="AG60" s="4">
        <f>IF(AND(AC60="Optimal",AD60&lt;&gt;AA60,Table1[[#This Row],[Example]]&lt;&gt;"R001",Table1[[#This Row],[Example]]&lt;&gt;"R002"),AD60-AA60,)</f>
        <v>0</v>
      </c>
      <c r="AH60" s="5" t="s">
        <v>42</v>
      </c>
      <c r="AI60" s="2">
        <v>-65641</v>
      </c>
      <c r="AJ60" s="2">
        <v>302.81171440000003</v>
      </c>
      <c r="AK60" s="2" t="str">
        <f>IF(AND(Table1[[#This Row],[Cplex MD Cost]]=Table1[[#This Row],[ORTools FZN2 Cost]],Table1[[#This Row],[ORTools FZN2 State]]="Optimal",Table1[[#This Row],[Cplex MD State]]="Suboptimal"),1,"")</f>
        <v/>
      </c>
      <c r="AL60" s="2">
        <f>IF(AND(AH60="Optimal",AI60&lt;&gt;AA60,Table1[[#This Row],[Example]]&lt;&gt;"R001",Table1[[#This Row],[Example]]&lt;&gt;"R002"),AI60-AA60,)</f>
        <v>0</v>
      </c>
      <c r="AM60" s="39" t="s">
        <v>26</v>
      </c>
      <c r="AN60" s="39">
        <v>1041086</v>
      </c>
      <c r="AO60" s="2">
        <v>300.04590589999998</v>
      </c>
      <c r="AP6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0" s="4" t="str">
        <f>IF(AND(Table1[[#This Row],[Cplex MI Cost]]=Table1[[#This Row],[ORTools FZN2 Cost]],Table1[[#This Row],[ORTools FZN2 State]]="Optimal",Table1[[#This Row],[Cplex MI State]]="Suboptimal"),1,"")</f>
        <v/>
      </c>
      <c r="AR60" s="5" t="s">
        <v>42</v>
      </c>
      <c r="AS60" s="2">
        <v>-65641</v>
      </c>
      <c r="AT60" s="2">
        <v>300.04484230000003</v>
      </c>
      <c r="AU60" s="2" t="str">
        <f>IF(AND(Table1[[#This Row],[Z3 SMT2-1 Maxres Cost]]=Table1[[#This Row],[ORTools FZN2 Cost]],Table1[[#This Row],[ORTools FZN2 State]]="Optimal"),1,"")</f>
        <v/>
      </c>
      <c r="AV60" s="39" t="s">
        <v>42</v>
      </c>
      <c r="AW60" s="39">
        <v>-65641</v>
      </c>
      <c r="AX60" s="2">
        <v>300.0440074</v>
      </c>
      <c r="AY60" s="2" t="str">
        <f>IF(AND(Table1[[#This Row],[Z3 SMT2-1 PdMaxres Cost]]=Table1[[#This Row],[ORTools FZN2 Cost]],Table1[[#This Row],[ORTools FZN2 State]]="Optimal"),1,"")</f>
        <v/>
      </c>
      <c r="AZ60" s="5" t="s">
        <v>42</v>
      </c>
      <c r="BA60" s="2">
        <v>-65641</v>
      </c>
      <c r="BB60" s="39">
        <v>300.04374239999999</v>
      </c>
      <c r="BC60" s="39" t="str">
        <f>IF(AND(Table1[[#This Row],[Z3 SMT2-1 WMax Cost]]=Table1[[#This Row],[ORTools FZN2 Cost]],Table1[[#This Row],[ORTools FZN2 State]]="Optimal"),1,"")</f>
        <v/>
      </c>
      <c r="BD60" s="39" t="s">
        <v>42</v>
      </c>
      <c r="BE60" s="39">
        <v>-65641</v>
      </c>
      <c r="BF60" s="2">
        <v>300.045545</v>
      </c>
      <c r="BG60" s="2" t="str">
        <f>IF(AND(Table1[[#This Row],[Z3 SMT2-2 Maxres Cost]]=Table1[[#This Row],[ORTools FZN2 Cost]],Table1[[#This Row],[ORTools FZN2 State]]="Optimal"),1,"")</f>
        <v/>
      </c>
      <c r="BH60" s="5" t="s">
        <v>42</v>
      </c>
      <c r="BI60" s="2">
        <v>-65641</v>
      </c>
      <c r="BJ60" s="39">
        <v>300.04826539999999</v>
      </c>
      <c r="BK60" s="39" t="str">
        <f>IF(AND(Table1[[#This Row],[Z3 SMT2-2 PdMaxres Cost]]=Table1[[#This Row],[ORTools FZN2 Cost]],Table1[[#This Row],[ORTools FZN2 State]]="Optimal"),1,"")</f>
        <v/>
      </c>
      <c r="BL60" s="39" t="s">
        <v>42</v>
      </c>
      <c r="BM60" s="39">
        <v>-65641</v>
      </c>
      <c r="BN60" s="2">
        <v>300.04463609999999</v>
      </c>
      <c r="BO60" s="4" t="str">
        <f>IF(AND(Table1[[#This Row],[Z3 SMT2-2 PdMaxres Cost]]=Table1[[#This Row],[ORTools FZN2 Cost]],Table1[[#This Row],[ORTools FZN2 State]]="Optimal"),1,"")</f>
        <v/>
      </c>
      <c r="BP60" s="5" t="s">
        <v>26</v>
      </c>
      <c r="BQ60" s="2">
        <v>1041084</v>
      </c>
      <c r="BR60" s="2">
        <v>300.0406638</v>
      </c>
      <c r="BS60" s="2">
        <f>IF(AND(Table1[[#This Row],[Gurobi MB Cost]]=Table1[[#This Row],[ORTools FZN2 Cost]],Table1[[#This Row],[ORTools FZN2 State]]="Optimal",Table1[[#This Row],[Gurobi MB State]]="Suboptimal"),1,"")</f>
        <v>1</v>
      </c>
      <c r="BT6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0" s="5" t="s">
        <v>42</v>
      </c>
      <c r="BV60" s="2">
        <v>-65641</v>
      </c>
      <c r="BW60" s="2">
        <v>300.08054920000001</v>
      </c>
      <c r="BX60" s="2" t="str">
        <f>IF(AND(Table1[[#This Row],[Gurobi MD Cost]]=Table1[[#This Row],[ORTools FZN2 Cost]],Table1[[#This Row],[ORTools FZN2 State]]="Optimal",Table1[[#This Row],[Gurobi MD State]]="Suboptimal"),1,"")</f>
        <v/>
      </c>
      <c r="BY6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0" s="5" t="s">
        <v>26</v>
      </c>
      <c r="CA60" s="2">
        <v>1041084</v>
      </c>
      <c r="CB60" s="2">
        <v>300.2098901</v>
      </c>
      <c r="CC60" s="2">
        <f>IF(AND(Table1[[#This Row],[Gurobi MI Cost]]=Table1[[#This Row],[ORTools FZN2 Cost]],Table1[[#This Row],[ORTools FZN2 State]]="Optimal",Table1[[#This Row],[Gurobi MI State]]="Suboptimal"),1,"")</f>
        <v>1</v>
      </c>
      <c r="CD6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0" s="39" t="s">
        <v>42</v>
      </c>
      <c r="CF60" s="2">
        <v>-65641</v>
      </c>
      <c r="CG60" s="39">
        <v>306.06677100000002</v>
      </c>
      <c r="CH60" s="39" t="s">
        <v>42</v>
      </c>
      <c r="CI60" s="39">
        <v>-65641</v>
      </c>
      <c r="CJ60" s="2">
        <v>306.0359813</v>
      </c>
      <c r="CK60" s="5" t="s">
        <v>25</v>
      </c>
      <c r="CL60" s="2">
        <v>1041084</v>
      </c>
      <c r="CM60" s="2">
        <v>97.162999999999599</v>
      </c>
      <c r="CN60" s="5" t="s">
        <v>25</v>
      </c>
      <c r="CO60" s="2">
        <v>1041084</v>
      </c>
      <c r="CP60" s="2">
        <v>6.2144301999999998</v>
      </c>
      <c r="CQ60" s="5" t="s">
        <v>25</v>
      </c>
      <c r="CR60" s="2">
        <v>1041084</v>
      </c>
      <c r="CS60" s="2">
        <v>5.7877821000000003</v>
      </c>
      <c r="CT60" s="6" t="s">
        <v>25</v>
      </c>
      <c r="CU60" s="4">
        <v>1041084</v>
      </c>
      <c r="CV60" s="4">
        <v>4.7613425999999999</v>
      </c>
      <c r="CW60" s="39" t="s">
        <v>25</v>
      </c>
      <c r="CX60" s="39">
        <v>1041084</v>
      </c>
      <c r="CY60" s="2">
        <v>208.11359999999999</v>
      </c>
      <c r="CZ60" s="2" t="str">
        <f>IF(AND(Table1[[#This Row],[Cplex MZ1 Cost]]=Table1[[#This Row],[ORTools FZN2 Cost]],Table1[[#This Row],[ORTools FZN2 State]]="Optimal",Table1[[#This Row],[Cplex MZ1 State]]="Suboptimal"),1,"")</f>
        <v/>
      </c>
      <c r="DA60" s="5" t="s">
        <v>25</v>
      </c>
      <c r="DB60" s="2">
        <v>1041084</v>
      </c>
      <c r="DC60" s="2">
        <v>191.67529999999999</v>
      </c>
      <c r="DD60" s="2" t="str">
        <f>IF(AND(Table1[[#This Row],[Cplex MZ2 Cost]]=Table1[[#This Row],[ORTools FZN2 Cost]],Table1[[#This Row],[ORTools FZN2 State]]="Optimal",Table1[[#This Row],[Cplex MZ2 State]]="Suboptimal"),1,"")</f>
        <v/>
      </c>
      <c r="DE60" s="39" t="s">
        <v>26</v>
      </c>
      <c r="DF60" s="39">
        <v>1041127</v>
      </c>
      <c r="DG60" s="2">
        <v>300.00510000000003</v>
      </c>
      <c r="DH60" s="2" t="str">
        <f>IF(AND(Table1[[#This Row],[Gurobi MZ1 Cost]]=Table1[[#This Row],[ORTools FZN2 Cost]],Table1[[#This Row],[ORTools FZN2 State]]="Optimal",Table1[[#This Row],[Gurobi MZ1 State]]="Suboptimal"),1,"")</f>
        <v/>
      </c>
      <c r="DI60" s="5" t="s">
        <v>26</v>
      </c>
      <c r="DJ60" s="2">
        <v>1041244</v>
      </c>
      <c r="DK60" s="2">
        <v>300.00369999999998</v>
      </c>
      <c r="DL60" s="4" t="str">
        <f>IF(AND(Table1[[#This Row],[Gurobi MZ2 Cost]]=Table1[[#This Row],[ORTools FZN2 Cost]],Table1[[#This Row],[ORTools FZN2 State]]="Optimal",Table1[[#This Row],[Gurobi MZ2 State]]="Suboptimal"),1,"")</f>
        <v/>
      </c>
      <c r="DM60" s="39" t="s">
        <v>26</v>
      </c>
      <c r="DN60" s="12">
        <v>1041084</v>
      </c>
      <c r="DO60" s="69">
        <v>300.03300000000002</v>
      </c>
      <c r="DP60" s="11">
        <f>IF(AND(Table1[[#This Row],[Cplex MC nonDual Cost]]=Table1[[#This Row],[ORTools FZN2 Cost]],Table1[[#This Row],[ORTools FZN2 State]]="Optimal",Table1[[#This Row],[Cplex MC nonDual State]]="Suboptimal"),1,"")</f>
        <v>1</v>
      </c>
      <c r="DQ60" s="5" t="s">
        <v>25</v>
      </c>
      <c r="DR60" s="2">
        <v>1041084</v>
      </c>
      <c r="DS60" s="2">
        <v>189.9974</v>
      </c>
      <c r="DT60" s="2" t="str">
        <f>IF(AND(Table1[[#This Row],[Cplex MIP DM''z Cost]]=Table1[[#This Row],[ORTools FZN2 Cost]],Table1[[#This Row],[ORTools FZN2 State]]="Optimal",Table1[[#This Row],[Cplex MIP DM''z  State]]="Suboptimal"),1,"")</f>
        <v/>
      </c>
      <c r="DU6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0" s="5" t="s">
        <v>26</v>
      </c>
      <c r="DW60" s="2">
        <v>1042685</v>
      </c>
      <c r="DX60" s="2">
        <v>300.0163</v>
      </c>
      <c r="DY60" s="4" t="str">
        <f>IF(AND(Table1[[#This Row],[Gurobi DM''z  Cost]]=Table1[[#This Row],[ORTools FZN2 Cost]],Table1[[#This Row],[ORTools FZN2 State]]="Optimal",Table1[[#This Row],[Gurobi DM''z  State]]="Suboptimal"),1,"")</f>
        <v/>
      </c>
      <c r="DZ6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1" spans="1:130" ht="15.75" x14ac:dyDescent="0.25">
      <c r="A61" s="46" t="s">
        <v>87</v>
      </c>
      <c r="B61" s="5">
        <v>70</v>
      </c>
      <c r="C61" s="2">
        <v>35</v>
      </c>
      <c r="D61" s="5">
        <v>1320</v>
      </c>
      <c r="E61" s="2">
        <v>56</v>
      </c>
      <c r="F61" s="5">
        <v>143</v>
      </c>
      <c r="G61" s="2">
        <v>0</v>
      </c>
      <c r="H61" s="4">
        <f t="shared" si="0"/>
        <v>0</v>
      </c>
      <c r="I61" s="4">
        <f>Table1[[#This Row],[B]]+Table1[[#This Row],[Atomic Constraints]]+Table1[[#This Row],[Soft Atomic Constraints]]+Table1[[#This Row],[Disjunctive Constraints]]+Table1[[#This Row],[Direct Successors]]</f>
        <v>1554</v>
      </c>
      <c r="J61" s="5" t="s">
        <v>26</v>
      </c>
      <c r="K61" s="2">
        <v>11793266</v>
      </c>
      <c r="L61" s="2">
        <v>303.19413409999999</v>
      </c>
      <c r="M61" s="2" t="str">
        <f>IF(AND(Table1[[#This Row],[Chuffed MZ1 Cost]]=Table1[[#This Row],[ORTools FZN2 Cost]],Table1[[#This Row],[ORTools FZN2 State]]="Optimal",Table1[[#This Row],[Chuffed MZ1 State]]="Suboptimal"),1,"")</f>
        <v/>
      </c>
      <c r="N61" s="5" t="s">
        <v>26</v>
      </c>
      <c r="O61" s="2">
        <v>11093068</v>
      </c>
      <c r="P61" s="2">
        <v>303.18316909999999</v>
      </c>
      <c r="Q61" s="2" t="str">
        <f>IF(AND(Table1[[#This Row],[Chuffed MZ2 Cost]]=Table1[[#This Row],[ORTools FZN2 Cost]],Table1[[#This Row],[ORTools FZN2 State]]="Optimal",Table1[[#This Row],[Chuffed MZ2 State]]="Suboptimal"),1,"")</f>
        <v/>
      </c>
      <c r="R61" s="6" t="s">
        <v>26</v>
      </c>
      <c r="S61" s="4">
        <v>9005174</v>
      </c>
      <c r="T61" s="4">
        <v>300.04000000000002</v>
      </c>
      <c r="U61" s="4"/>
      <c r="V61" s="5" t="s">
        <v>25</v>
      </c>
      <c r="W61" s="2">
        <v>9004810</v>
      </c>
      <c r="X61" s="2">
        <v>170.17995440000001</v>
      </c>
      <c r="Y61" s="2" t="str">
        <f>IF(AND(Table1[[#This Row],[ORTools FZN1 Cost]]=Table1[[#This Row],[ORTools FZN2 Cost]],Table1[[#This Row],[ORTools FZN2 State]]="Optimal",Table1[[#This Row],[ORTools FZN1 State]]="Suboptimal"),1,"")</f>
        <v/>
      </c>
      <c r="Z61" s="5" t="s">
        <v>25</v>
      </c>
      <c r="AA61" s="2">
        <v>9004810</v>
      </c>
      <c r="AB61" s="2">
        <v>190.76567130000001</v>
      </c>
      <c r="AC61" s="39" t="s">
        <v>42</v>
      </c>
      <c r="AD61" s="39">
        <v>-347971</v>
      </c>
      <c r="AE61" s="2">
        <v>300.11511739999997</v>
      </c>
      <c r="AF61" s="2" t="str">
        <f>IF(AND(Table1[[#This Row],[Cplex MB Cost]]=Table1[[#This Row],[ORTools FZN2 Cost]],Table1[[#This Row],[ORTools FZN2 State]]="Optimal",Table1[[#This Row],[Cplex MB State]]="Suboptimal"),1,"")</f>
        <v/>
      </c>
      <c r="AG61" s="4">
        <f>IF(AND(AC61="Optimal",AD61&lt;&gt;AA61,Table1[[#This Row],[Example]]&lt;&gt;"R001",Table1[[#This Row],[Example]]&lt;&gt;"R002"),AD61-AA61,)</f>
        <v>0</v>
      </c>
      <c r="AH61" s="5" t="s">
        <v>42</v>
      </c>
      <c r="AI61" s="2">
        <v>-347971</v>
      </c>
      <c r="AJ61" s="2">
        <v>300.3837279</v>
      </c>
      <c r="AK61" s="2" t="str">
        <f>IF(AND(Table1[[#This Row],[Cplex MD Cost]]=Table1[[#This Row],[ORTools FZN2 Cost]],Table1[[#This Row],[ORTools FZN2 State]]="Optimal",Table1[[#This Row],[Cplex MD State]]="Suboptimal"),1,"")</f>
        <v/>
      </c>
      <c r="AL61" s="2">
        <f>IF(AND(AH61="Optimal",AI61&lt;&gt;AA61,Table1[[#This Row],[Example]]&lt;&gt;"R001",Table1[[#This Row],[Example]]&lt;&gt;"R002"),AI61-AA61,)</f>
        <v>0</v>
      </c>
      <c r="AM61" s="39" t="s">
        <v>26</v>
      </c>
      <c r="AN61" s="39">
        <v>9705797</v>
      </c>
      <c r="AO61" s="2">
        <v>300.1097777</v>
      </c>
      <c r="AP6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1" s="2" t="str">
        <f>IF(AND(Table1[[#This Row],[Cplex MI Cost]]=Table1[[#This Row],[ORTools FZN2 Cost]],Table1[[#This Row],[ORTools FZN2 State]]="Optimal",Table1[[#This Row],[Cplex MI State]]="Suboptimal"),1,"")</f>
        <v/>
      </c>
      <c r="AR61" s="5" t="s">
        <v>42</v>
      </c>
      <c r="AS61" s="2">
        <v>-347971</v>
      </c>
      <c r="AT61" s="2">
        <v>300.0699214</v>
      </c>
      <c r="AU61" s="2" t="str">
        <f>IF(AND(Table1[[#This Row],[Z3 SMT2-1 Maxres Cost]]=Table1[[#This Row],[ORTools FZN2 Cost]],Table1[[#This Row],[ORTools FZN2 State]]="Optimal"),1,"")</f>
        <v/>
      </c>
      <c r="AV61" s="39" t="s">
        <v>42</v>
      </c>
      <c r="AW61" s="39">
        <v>-347971</v>
      </c>
      <c r="AX61" s="2">
        <v>300.07562769999998</v>
      </c>
      <c r="AY61" s="2" t="str">
        <f>IF(AND(Table1[[#This Row],[Z3 SMT2-1 PdMaxres Cost]]=Table1[[#This Row],[ORTools FZN2 Cost]],Table1[[#This Row],[ORTools FZN2 State]]="Optimal"),1,"")</f>
        <v/>
      </c>
      <c r="AZ61" s="5" t="s">
        <v>42</v>
      </c>
      <c r="BA61" s="2">
        <v>-347971</v>
      </c>
      <c r="BB61" s="39">
        <v>300.0902615</v>
      </c>
      <c r="BC61" s="39" t="str">
        <f>IF(AND(Table1[[#This Row],[Z3 SMT2-1 WMax Cost]]=Table1[[#This Row],[ORTools FZN2 Cost]],Table1[[#This Row],[ORTools FZN2 State]]="Optimal"),1,"")</f>
        <v/>
      </c>
      <c r="BD61" s="39" t="s">
        <v>42</v>
      </c>
      <c r="BE61" s="39">
        <v>-347971</v>
      </c>
      <c r="BF61" s="2">
        <v>300.06931850000001</v>
      </c>
      <c r="BG61" s="2" t="str">
        <f>IF(AND(Table1[[#This Row],[Z3 SMT2-2 Maxres Cost]]=Table1[[#This Row],[ORTools FZN2 Cost]],Table1[[#This Row],[ORTools FZN2 State]]="Optimal"),1,"")</f>
        <v/>
      </c>
      <c r="BH61" s="5" t="s">
        <v>42</v>
      </c>
      <c r="BI61" s="2">
        <v>-347971</v>
      </c>
      <c r="BJ61" s="39">
        <v>300.06554619999997</v>
      </c>
      <c r="BK61" s="39" t="str">
        <f>IF(AND(Table1[[#This Row],[Z3 SMT2-2 PdMaxres Cost]]=Table1[[#This Row],[ORTools FZN2 Cost]],Table1[[#This Row],[ORTools FZN2 State]]="Optimal"),1,"")</f>
        <v/>
      </c>
      <c r="BL61" s="39" t="s">
        <v>42</v>
      </c>
      <c r="BM61" s="39">
        <v>-347971</v>
      </c>
      <c r="BN61" s="2">
        <v>300.05847770000003</v>
      </c>
      <c r="BO61" s="4" t="str">
        <f>IF(AND(Table1[[#This Row],[Z3 SMT2-2 PdMaxres Cost]]=Table1[[#This Row],[ORTools FZN2 Cost]],Table1[[#This Row],[ORTools FZN2 State]]="Optimal"),1,"")</f>
        <v/>
      </c>
      <c r="BP61" s="5" t="s">
        <v>42</v>
      </c>
      <c r="BQ61" s="2">
        <v>-347971</v>
      </c>
      <c r="BR61" s="2">
        <v>300.78554860000003</v>
      </c>
      <c r="BS61" s="2" t="str">
        <f>IF(AND(Table1[[#This Row],[Gurobi MB Cost]]=Table1[[#This Row],[ORTools FZN2 Cost]],Table1[[#This Row],[ORTools FZN2 State]]="Optimal",Table1[[#This Row],[Gurobi MB State]]="Suboptimal"),1,"")</f>
        <v/>
      </c>
      <c r="BT6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1" s="5" t="s">
        <v>42</v>
      </c>
      <c r="BV61" s="2">
        <v>-347971</v>
      </c>
      <c r="BW61" s="2">
        <v>300.14919370000001</v>
      </c>
      <c r="BX61" s="2" t="str">
        <f>IF(AND(Table1[[#This Row],[Gurobi MD Cost]]=Table1[[#This Row],[ORTools FZN2 Cost]],Table1[[#This Row],[ORTools FZN2 State]]="Optimal",Table1[[#This Row],[Gurobi MD State]]="Suboptimal"),1,"")</f>
        <v/>
      </c>
      <c r="BY6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1" s="5" t="s">
        <v>42</v>
      </c>
      <c r="CA61" s="2">
        <v>-347971</v>
      </c>
      <c r="CB61" s="2">
        <v>309.6483235</v>
      </c>
      <c r="CC61" s="2" t="str">
        <f>IF(AND(Table1[[#This Row],[Gurobi MI Cost]]=Table1[[#This Row],[ORTools FZN2 Cost]],Table1[[#This Row],[ORTools FZN2 State]]="Optimal",Table1[[#This Row],[Gurobi MI State]]="Suboptimal"),1,"")</f>
        <v/>
      </c>
      <c r="CD6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1" s="39" t="s">
        <v>42</v>
      </c>
      <c r="CF61" s="2">
        <v>-347971</v>
      </c>
      <c r="CG61" s="39">
        <v>306.21259739999999</v>
      </c>
      <c r="CH61" s="39" t="s">
        <v>42</v>
      </c>
      <c r="CI61" s="39">
        <v>-347971</v>
      </c>
      <c r="CJ61" s="2">
        <v>306.0870683</v>
      </c>
      <c r="CK61" s="5" t="s">
        <v>26</v>
      </c>
      <c r="CL61" s="2">
        <v>9009779</v>
      </c>
      <c r="CM61" s="2">
        <v>300.06299999999999</v>
      </c>
      <c r="CN61" s="5" t="s">
        <v>26</v>
      </c>
      <c r="CO61" s="2">
        <v>11430820</v>
      </c>
      <c r="CP61" s="2">
        <v>303.1469457</v>
      </c>
      <c r="CQ61" s="5" t="s">
        <v>25</v>
      </c>
      <c r="CR61" s="2">
        <v>9004810</v>
      </c>
      <c r="CS61" s="2">
        <v>80.890347800000001</v>
      </c>
      <c r="CT61" s="6" t="s">
        <v>25</v>
      </c>
      <c r="CU61" s="4">
        <v>9004810</v>
      </c>
      <c r="CV61" s="4">
        <v>38.012900100000003</v>
      </c>
      <c r="CW61" s="39" t="s">
        <v>42</v>
      </c>
      <c r="CX61" s="39"/>
      <c r="CY61" s="2">
        <v>300.0222</v>
      </c>
      <c r="CZ61" s="2" t="str">
        <f>IF(AND(Table1[[#This Row],[Cplex MZ1 Cost]]=Table1[[#This Row],[ORTools FZN2 Cost]],Table1[[#This Row],[ORTools FZN2 State]]="Optimal",Table1[[#This Row],[Cplex MZ1 State]]="Suboptimal"),1,"")</f>
        <v/>
      </c>
      <c r="DA61" s="5" t="s">
        <v>42</v>
      </c>
      <c r="DB61" s="2"/>
      <c r="DC61" s="2">
        <v>300.01659999999998</v>
      </c>
      <c r="DD61" s="2" t="str">
        <f>IF(AND(Table1[[#This Row],[Cplex MZ2 Cost]]=Table1[[#This Row],[ORTools FZN2 Cost]],Table1[[#This Row],[ORTools FZN2 State]]="Optimal",Table1[[#This Row],[Cplex MZ2 State]]="Suboptimal"),1,"")</f>
        <v/>
      </c>
      <c r="DE61" s="39" t="s">
        <v>42</v>
      </c>
      <c r="DF61" s="39"/>
      <c r="DG61" s="2">
        <v>300.20150000000001</v>
      </c>
      <c r="DH61" s="2" t="str">
        <f>IF(AND(Table1[[#This Row],[Gurobi MZ1 Cost]]=Table1[[#This Row],[ORTools FZN2 Cost]],Table1[[#This Row],[ORTools FZN2 State]]="Optimal",Table1[[#This Row],[Gurobi MZ1 State]]="Suboptimal"),1,"")</f>
        <v/>
      </c>
      <c r="DI61" s="5" t="s">
        <v>42</v>
      </c>
      <c r="DJ61" s="2"/>
      <c r="DK61" s="2">
        <v>300.06729999999999</v>
      </c>
      <c r="DL61" s="4" t="str">
        <f>IF(AND(Table1[[#This Row],[Gurobi MZ2 Cost]]=Table1[[#This Row],[ORTools FZN2 Cost]],Table1[[#This Row],[ORTools FZN2 State]]="Optimal",Table1[[#This Row],[Gurobi MZ2 State]]="Suboptimal"),1,"")</f>
        <v/>
      </c>
      <c r="DM61" s="39" t="s">
        <v>26</v>
      </c>
      <c r="DN61" s="39">
        <v>9004881</v>
      </c>
      <c r="DO61" s="65">
        <v>300.09100000000001</v>
      </c>
      <c r="DP61" s="4" t="str">
        <f>IF(AND(Table1[[#This Row],[Cplex MC nonDual Cost]]=Table1[[#This Row],[ORTools FZN2 Cost]],Table1[[#This Row],[ORTools FZN2 State]]="Optimal",Table1[[#This Row],[Cplex MC nonDual State]]="Suboptimal"),1,"")</f>
        <v/>
      </c>
      <c r="DQ61" s="5" t="s">
        <v>26</v>
      </c>
      <c r="DR61" s="2">
        <v>10391805</v>
      </c>
      <c r="DS61" s="2">
        <v>300.02179999999998</v>
      </c>
      <c r="DT61" s="2" t="str">
        <f>IF(AND(Table1[[#This Row],[Cplex MIP DM''z Cost]]=Table1[[#This Row],[ORTools FZN2 Cost]],Table1[[#This Row],[ORTools FZN2 State]]="Optimal",Table1[[#This Row],[Cplex MIP DM''z  State]]="Suboptimal"),1,"")</f>
        <v/>
      </c>
      <c r="DU6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1" s="5" t="s">
        <v>42</v>
      </c>
      <c r="DW61" s="2"/>
      <c r="DX61" s="2">
        <v>299.99259999999998</v>
      </c>
      <c r="DY61" s="4" t="str">
        <f>IF(AND(Table1[[#This Row],[Gurobi DM''z  Cost]]=Table1[[#This Row],[ORTools FZN2 Cost]],Table1[[#This Row],[ORTools FZN2 State]]="Optimal",Table1[[#This Row],[Gurobi DM''z  State]]="Suboptimal"),1,"")</f>
        <v/>
      </c>
      <c r="DZ6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2" spans="1:130" ht="15.75" x14ac:dyDescent="0.25">
      <c r="A62" s="46" t="s">
        <v>88</v>
      </c>
      <c r="B62" s="5">
        <v>100</v>
      </c>
      <c r="C62" s="2">
        <v>50</v>
      </c>
      <c r="D62" s="5">
        <v>2471</v>
      </c>
      <c r="E62" s="2">
        <v>86</v>
      </c>
      <c r="F62" s="5">
        <v>339</v>
      </c>
      <c r="G62" s="2">
        <v>0</v>
      </c>
      <c r="H62" s="4">
        <f t="shared" si="0"/>
        <v>0</v>
      </c>
      <c r="I62" s="4">
        <f>Table1[[#This Row],[B]]+Table1[[#This Row],[Atomic Constraints]]+Table1[[#This Row],[Soft Atomic Constraints]]+Table1[[#This Row],[Disjunctive Constraints]]+Table1[[#This Row],[Direct Successors]]</f>
        <v>2946</v>
      </c>
      <c r="J62" s="5" t="s">
        <v>42</v>
      </c>
      <c r="K62" s="2">
        <v>-1010101</v>
      </c>
      <c r="L62" s="2">
        <v>306.09528449999999</v>
      </c>
      <c r="M62" s="2" t="str">
        <f>IF(AND(Table1[[#This Row],[Chuffed MZ1 Cost]]=Table1[[#This Row],[ORTools FZN2 Cost]],Table1[[#This Row],[ORTools FZN2 State]]="Optimal",Table1[[#This Row],[Chuffed MZ1 State]]="Suboptimal"),1,"")</f>
        <v/>
      </c>
      <c r="N62" s="5" t="s">
        <v>42</v>
      </c>
      <c r="O62" s="2">
        <v>-1010101</v>
      </c>
      <c r="P62" s="2">
        <v>305.94776530000001</v>
      </c>
      <c r="Q62" s="2" t="str">
        <f>IF(AND(Table1[[#This Row],[Chuffed MZ2 Cost]]=Table1[[#This Row],[ORTools FZN2 Cost]],Table1[[#This Row],[ORTools FZN2 State]]="Optimal",Table1[[#This Row],[Chuffed MZ2 State]]="Suboptimal"),1,"")</f>
        <v/>
      </c>
      <c r="R62" s="5" t="s">
        <v>26</v>
      </c>
      <c r="S62" s="2">
        <v>43308025</v>
      </c>
      <c r="T62" s="2">
        <v>300.38799999999998</v>
      </c>
      <c r="U62" s="2"/>
      <c r="V62" s="5" t="s">
        <v>42</v>
      </c>
      <c r="W62" s="2">
        <v>-1010101</v>
      </c>
      <c r="X62" s="2">
        <v>302.03186249999999</v>
      </c>
      <c r="Y62" s="2" t="str">
        <f>IF(AND(Table1[[#This Row],[ORTools FZN1 Cost]]=Table1[[#This Row],[ORTools FZN2 Cost]],Table1[[#This Row],[ORTools FZN2 State]]="Optimal",Table1[[#This Row],[ORTools FZN1 State]]="Suboptimal"),1,"")</f>
        <v/>
      </c>
      <c r="Z62" s="5" t="s">
        <v>42</v>
      </c>
      <c r="AA62" s="2">
        <v>-1010101</v>
      </c>
      <c r="AB62" s="2">
        <v>302.23455899999999</v>
      </c>
      <c r="AC62" s="39" t="s">
        <v>42</v>
      </c>
      <c r="AD62" s="39">
        <v>-1010101</v>
      </c>
      <c r="AE62" s="2">
        <v>300.20491650000002</v>
      </c>
      <c r="AF62" s="2" t="str">
        <f>IF(AND(Table1[[#This Row],[Cplex MB Cost]]=Table1[[#This Row],[ORTools FZN2 Cost]],Table1[[#This Row],[ORTools FZN2 State]]="Optimal",Table1[[#This Row],[Cplex MB State]]="Suboptimal"),1,"")</f>
        <v/>
      </c>
      <c r="AG62" s="4">
        <f>IF(AND(AC62="Optimal",AD62&lt;&gt;AA62,Table1[[#This Row],[Example]]&lt;&gt;"R001",Table1[[#This Row],[Example]]&lt;&gt;"R002"),AD62-AA62,)</f>
        <v>0</v>
      </c>
      <c r="AH62" s="5" t="s">
        <v>42</v>
      </c>
      <c r="AI62" s="2">
        <v>-1010101</v>
      </c>
      <c r="AJ62" s="2">
        <v>301.36351480000002</v>
      </c>
      <c r="AK62" s="2" t="str">
        <f>IF(AND(Table1[[#This Row],[Cplex MD Cost]]=Table1[[#This Row],[ORTools FZN2 Cost]],Table1[[#This Row],[ORTools FZN2 State]]="Optimal",Table1[[#This Row],[Cplex MD State]]="Suboptimal"),1,"")</f>
        <v/>
      </c>
      <c r="AL62" s="4">
        <f>IF(AND(AH62="Optimal",AI62&lt;&gt;AA62,Table1[[#This Row],[Example]]&lt;&gt;"R001",Table1[[#This Row],[Example]]&lt;&gt;"R002"),AI62-AA62,)</f>
        <v>0</v>
      </c>
      <c r="AM62" s="39" t="s">
        <v>42</v>
      </c>
      <c r="AN62" s="39">
        <v>-1010101</v>
      </c>
      <c r="AO62" s="2">
        <v>300.13724819999999</v>
      </c>
      <c r="AP6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2" s="4" t="str">
        <f>IF(AND(Table1[[#This Row],[Cplex MI Cost]]=Table1[[#This Row],[ORTools FZN2 Cost]],Table1[[#This Row],[ORTools FZN2 State]]="Optimal",Table1[[#This Row],[Cplex MI State]]="Suboptimal"),1,"")</f>
        <v/>
      </c>
      <c r="AR62" s="5" t="s">
        <v>42</v>
      </c>
      <c r="AS62" s="2">
        <v>-1010101</v>
      </c>
      <c r="AT62" s="2">
        <v>300.11737390000002</v>
      </c>
      <c r="AU62" s="2" t="str">
        <f>IF(AND(Table1[[#This Row],[Z3 SMT2-1 Maxres Cost]]=Table1[[#This Row],[ORTools FZN2 Cost]],Table1[[#This Row],[ORTools FZN2 State]]="Optimal"),1,"")</f>
        <v/>
      </c>
      <c r="AV62" s="39" t="s">
        <v>42</v>
      </c>
      <c r="AW62" s="39">
        <v>-1010101</v>
      </c>
      <c r="AX62" s="2">
        <v>300.11397579999999</v>
      </c>
      <c r="AY62" s="2" t="str">
        <f>IF(AND(Table1[[#This Row],[Z3 SMT2-1 PdMaxres Cost]]=Table1[[#This Row],[ORTools FZN2 Cost]],Table1[[#This Row],[ORTools FZN2 State]]="Optimal"),1,"")</f>
        <v/>
      </c>
      <c r="AZ62" s="5" t="s">
        <v>42</v>
      </c>
      <c r="BA62" s="2">
        <v>-1010101</v>
      </c>
      <c r="BB62" s="39">
        <v>300.1326244</v>
      </c>
      <c r="BC62" s="39" t="str">
        <f>IF(AND(Table1[[#This Row],[Z3 SMT2-1 WMax Cost]]=Table1[[#This Row],[ORTools FZN2 Cost]],Table1[[#This Row],[ORTools FZN2 State]]="Optimal"),1,"")</f>
        <v/>
      </c>
      <c r="BD62" s="39" t="s">
        <v>42</v>
      </c>
      <c r="BE62" s="39">
        <v>-1010101</v>
      </c>
      <c r="BF62" s="2">
        <v>300.10406419999998</v>
      </c>
      <c r="BG62" s="2" t="str">
        <f>IF(AND(Table1[[#This Row],[Z3 SMT2-2 Maxres Cost]]=Table1[[#This Row],[ORTools FZN2 Cost]],Table1[[#This Row],[ORTools FZN2 State]]="Optimal"),1,"")</f>
        <v/>
      </c>
      <c r="BH62" s="5" t="s">
        <v>42</v>
      </c>
      <c r="BI62" s="2">
        <v>-1010101</v>
      </c>
      <c r="BJ62" s="39">
        <v>300.0977226</v>
      </c>
      <c r="BK62" s="39" t="str">
        <f>IF(AND(Table1[[#This Row],[Z3 SMT2-2 PdMaxres Cost]]=Table1[[#This Row],[ORTools FZN2 Cost]],Table1[[#This Row],[ORTools FZN2 State]]="Optimal"),1,"")</f>
        <v/>
      </c>
      <c r="BL62" s="39" t="s">
        <v>42</v>
      </c>
      <c r="BM62" s="39">
        <v>-1010101</v>
      </c>
      <c r="BN62" s="2">
        <v>300.10126070000001</v>
      </c>
      <c r="BO62" s="4" t="str">
        <f>IF(AND(Table1[[#This Row],[Z3 SMT2-2 PdMaxres Cost]]=Table1[[#This Row],[ORTools FZN2 Cost]],Table1[[#This Row],[ORTools FZN2 State]]="Optimal"),1,"")</f>
        <v/>
      </c>
      <c r="BP62" s="5" t="s">
        <v>42</v>
      </c>
      <c r="BQ62" s="2">
        <v>-1010101</v>
      </c>
      <c r="BR62" s="2">
        <v>300.06628799999999</v>
      </c>
      <c r="BS62" s="2" t="str">
        <f>IF(AND(Table1[[#This Row],[Gurobi MB Cost]]=Table1[[#This Row],[ORTools FZN2 Cost]],Table1[[#This Row],[ORTools FZN2 State]]="Optimal",Table1[[#This Row],[Gurobi MB State]]="Suboptimal"),1,"")</f>
        <v/>
      </c>
      <c r="BT6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2" s="5" t="s">
        <v>42</v>
      </c>
      <c r="BV62" s="2">
        <v>-1010101</v>
      </c>
      <c r="BW62" s="2">
        <v>300.21645790000002</v>
      </c>
      <c r="BX62" s="2" t="str">
        <f>IF(AND(Table1[[#This Row],[Gurobi MD Cost]]=Table1[[#This Row],[ORTools FZN2 Cost]],Table1[[#This Row],[ORTools FZN2 State]]="Optimal",Table1[[#This Row],[Gurobi MD State]]="Suboptimal"),1,"")</f>
        <v/>
      </c>
      <c r="BY6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2" s="5" t="s">
        <v>42</v>
      </c>
      <c r="CA62" s="2">
        <v>-1010101</v>
      </c>
      <c r="CB62" s="2">
        <v>311.37012750000002</v>
      </c>
      <c r="CC62" s="2" t="str">
        <f>IF(AND(Table1[[#This Row],[Gurobi MI Cost]]=Table1[[#This Row],[ORTools FZN2 Cost]],Table1[[#This Row],[ORTools FZN2 State]]="Optimal",Table1[[#This Row],[Gurobi MI State]]="Suboptimal"),1,"")</f>
        <v/>
      </c>
      <c r="CD6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2" s="39" t="s">
        <v>42</v>
      </c>
      <c r="CF62" s="2">
        <v>-1010101</v>
      </c>
      <c r="CG62" s="39">
        <v>306.32380849999998</v>
      </c>
      <c r="CH62" s="39" t="s">
        <v>42</v>
      </c>
      <c r="CI62" s="39">
        <v>-1010101</v>
      </c>
      <c r="CJ62" s="2">
        <v>306.25821400000001</v>
      </c>
      <c r="CK62" s="5" t="s">
        <v>26</v>
      </c>
      <c r="CL62" s="2">
        <v>41288517</v>
      </c>
      <c r="CM62" s="2">
        <v>300.06799999999902</v>
      </c>
      <c r="CN62" s="5" t="s">
        <v>26</v>
      </c>
      <c r="CO62" s="2">
        <v>49359253</v>
      </c>
      <c r="CP62" s="2">
        <v>305.8607212</v>
      </c>
      <c r="CQ62" s="5" t="s">
        <v>26</v>
      </c>
      <c r="CR62" s="2">
        <v>43309621</v>
      </c>
      <c r="CS62" s="2">
        <v>302.95952269999998</v>
      </c>
      <c r="CT62" s="6" t="s">
        <v>25</v>
      </c>
      <c r="CU62" s="4">
        <v>40318202</v>
      </c>
      <c r="CV62" s="4">
        <v>98.2256675</v>
      </c>
      <c r="CW62" s="39" t="s">
        <v>42</v>
      </c>
      <c r="CX62" s="39"/>
      <c r="CY62" s="2">
        <v>300.04180000000002</v>
      </c>
      <c r="CZ62" s="2" t="str">
        <f>IF(AND(Table1[[#This Row],[Cplex MZ1 Cost]]=Table1[[#This Row],[ORTools FZN2 Cost]],Table1[[#This Row],[ORTools FZN2 State]]="Optimal",Table1[[#This Row],[Cplex MZ1 State]]="Suboptimal"),1,"")</f>
        <v/>
      </c>
      <c r="DA62" s="5" t="s">
        <v>42</v>
      </c>
      <c r="DB62" s="2"/>
      <c r="DC62" s="2">
        <v>300.05040000000002</v>
      </c>
      <c r="DD62" s="2" t="str">
        <f>IF(AND(Table1[[#This Row],[Cplex MZ2 Cost]]=Table1[[#This Row],[ORTools FZN2 Cost]],Table1[[#This Row],[ORTools FZN2 State]]="Optimal",Table1[[#This Row],[Cplex MZ2 State]]="Suboptimal"),1,"")</f>
        <v/>
      </c>
      <c r="DE62" s="39" t="s">
        <v>42</v>
      </c>
      <c r="DF62" s="39"/>
      <c r="DG62" s="2">
        <v>300.00569999999999</v>
      </c>
      <c r="DH62" s="2" t="str">
        <f>IF(AND(Table1[[#This Row],[Gurobi MZ1 Cost]]=Table1[[#This Row],[ORTools FZN2 Cost]],Table1[[#This Row],[ORTools FZN2 State]]="Optimal",Table1[[#This Row],[Gurobi MZ1 State]]="Suboptimal"),1,"")</f>
        <v/>
      </c>
      <c r="DI62" s="5" t="s">
        <v>42</v>
      </c>
      <c r="DJ62" s="2"/>
      <c r="DK62" s="2">
        <v>300.00130000000001</v>
      </c>
      <c r="DL62" s="4" t="str">
        <f>IF(AND(Table1[[#This Row],[Gurobi MZ2 Cost]]=Table1[[#This Row],[ORTools FZN2 Cost]],Table1[[#This Row],[ORTools FZN2 State]]="Optimal",Table1[[#This Row],[Gurobi MZ2 State]]="Suboptimal"),1,"")</f>
        <v/>
      </c>
      <c r="DM62" s="39" t="s">
        <v>26</v>
      </c>
      <c r="DN62" s="39">
        <v>41308523</v>
      </c>
      <c r="DO62" s="65">
        <v>300.39899999999898</v>
      </c>
      <c r="DP62" s="4" t="str">
        <f>IF(AND(Table1[[#This Row],[Cplex MC nonDual Cost]]=Table1[[#This Row],[ORTools FZN2 Cost]],Table1[[#This Row],[ORTools FZN2 State]]="Optimal",Table1[[#This Row],[Cplex MC nonDual State]]="Suboptimal"),1,"")</f>
        <v/>
      </c>
      <c r="DQ62" s="5" t="s">
        <v>42</v>
      </c>
      <c r="DR62" s="2"/>
      <c r="DS62" s="2">
        <v>300.01490000000001</v>
      </c>
      <c r="DT62" s="2" t="str">
        <f>IF(AND(Table1[[#This Row],[Cplex MIP DM''z Cost]]=Table1[[#This Row],[ORTools FZN2 Cost]],Table1[[#This Row],[ORTools FZN2 State]]="Optimal",Table1[[#This Row],[Cplex MIP DM''z  State]]="Suboptimal"),1,"")</f>
        <v/>
      </c>
      <c r="DU6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2" s="5" t="s">
        <v>42</v>
      </c>
      <c r="DW62" s="2"/>
      <c r="DX62" s="2">
        <v>300.01909999999998</v>
      </c>
      <c r="DY62" s="4" t="str">
        <f>IF(AND(Table1[[#This Row],[Gurobi DM''z  Cost]]=Table1[[#This Row],[ORTools FZN2 Cost]],Table1[[#This Row],[ORTools FZN2 State]]="Optimal",Table1[[#This Row],[Gurobi DM''z  State]]="Suboptimal"),1,"")</f>
        <v/>
      </c>
      <c r="DZ6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3" spans="1:130" ht="15.75" x14ac:dyDescent="0.25">
      <c r="A63" s="46" t="s">
        <v>89</v>
      </c>
      <c r="B63" s="5">
        <v>130</v>
      </c>
      <c r="C63" s="2">
        <v>65</v>
      </c>
      <c r="D63" s="5">
        <v>4421</v>
      </c>
      <c r="E63" s="2">
        <v>116</v>
      </c>
      <c r="F63" s="5">
        <v>484</v>
      </c>
      <c r="G63" s="2">
        <v>0</v>
      </c>
      <c r="H63" s="4">
        <f t="shared" si="0"/>
        <v>0</v>
      </c>
      <c r="I63" s="4">
        <f>Table1[[#This Row],[B]]+Table1[[#This Row],[Atomic Constraints]]+Table1[[#This Row],[Soft Atomic Constraints]]+Table1[[#This Row],[Disjunctive Constraints]]+Table1[[#This Row],[Direct Successors]]</f>
        <v>5086</v>
      </c>
      <c r="J63" s="5" t="s">
        <v>42</v>
      </c>
      <c r="K63" s="2">
        <v>-2214031</v>
      </c>
      <c r="L63" s="2">
        <v>309.53131150000002</v>
      </c>
      <c r="M63" s="2" t="str">
        <f>IF(AND(Table1[[#This Row],[Chuffed MZ1 Cost]]=Table1[[#This Row],[ORTools FZN2 Cost]],Table1[[#This Row],[ORTools FZN2 State]]="Optimal",Table1[[#This Row],[Chuffed MZ1 State]]="Suboptimal"),1,"")</f>
        <v/>
      </c>
      <c r="N63" s="5" t="s">
        <v>42</v>
      </c>
      <c r="O63" s="2">
        <v>-2214031</v>
      </c>
      <c r="P63" s="2">
        <v>309.34125879999999</v>
      </c>
      <c r="Q63" s="2" t="str">
        <f>IF(AND(Table1[[#This Row],[Chuffed MZ2 Cost]]=Table1[[#This Row],[ORTools FZN2 Cost]],Table1[[#This Row],[ORTools FZN2 State]]="Optimal",Table1[[#This Row],[Chuffed MZ2 State]]="Suboptimal"),1,"")</f>
        <v/>
      </c>
      <c r="R63" s="6" t="s">
        <v>26</v>
      </c>
      <c r="S63" s="4">
        <v>114797587</v>
      </c>
      <c r="T63" s="4">
        <v>300.73</v>
      </c>
      <c r="U63" s="4"/>
      <c r="V63" s="5" t="s">
        <v>42</v>
      </c>
      <c r="W63" s="2">
        <v>-2214031</v>
      </c>
      <c r="X63" s="2">
        <v>302.947565</v>
      </c>
      <c r="Y63" s="2" t="str">
        <f>IF(AND(Table1[[#This Row],[ORTools FZN1 Cost]]=Table1[[#This Row],[ORTools FZN2 Cost]],Table1[[#This Row],[ORTools FZN2 State]]="Optimal",Table1[[#This Row],[ORTools FZN1 State]]="Suboptimal"),1,"")</f>
        <v/>
      </c>
      <c r="Z63" s="5" t="s">
        <v>42</v>
      </c>
      <c r="AA63" s="2">
        <v>-2214031</v>
      </c>
      <c r="AB63" s="2">
        <v>302.97869400000002</v>
      </c>
      <c r="AC63" s="39" t="s">
        <v>42</v>
      </c>
      <c r="AD63" s="39">
        <v>-2214031</v>
      </c>
      <c r="AE63" s="2">
        <v>300.2868163</v>
      </c>
      <c r="AF63" s="2" t="str">
        <f>IF(AND(Table1[[#This Row],[Cplex MB Cost]]=Table1[[#This Row],[ORTools FZN2 Cost]],Table1[[#This Row],[ORTools FZN2 State]]="Optimal",Table1[[#This Row],[Cplex MB State]]="Suboptimal"),1,"")</f>
        <v/>
      </c>
      <c r="AG63" s="4">
        <f>IF(AND(AC63="Optimal",AD63&lt;&gt;AA63,Table1[[#This Row],[Example]]&lt;&gt;"R001",Table1[[#This Row],[Example]]&lt;&gt;"R002"),AD63-AA63,)</f>
        <v>0</v>
      </c>
      <c r="AH63" s="5" t="s">
        <v>42</v>
      </c>
      <c r="AI63" s="2">
        <v>-2214031</v>
      </c>
      <c r="AJ63" s="2">
        <v>303.63705190000002</v>
      </c>
      <c r="AK63" s="2" t="str">
        <f>IF(AND(Table1[[#This Row],[Cplex MD Cost]]=Table1[[#This Row],[ORTools FZN2 Cost]],Table1[[#This Row],[ORTools FZN2 State]]="Optimal",Table1[[#This Row],[Cplex MD State]]="Suboptimal"),1,"")</f>
        <v/>
      </c>
      <c r="AL63" s="4">
        <f>IF(AND(AH63="Optimal",AI63&lt;&gt;AA63,Table1[[#This Row],[Example]]&lt;&gt;"R001",Table1[[#This Row],[Example]]&lt;&gt;"R002"),AI63-AA63,)</f>
        <v>0</v>
      </c>
      <c r="AM63" s="39" t="s">
        <v>51</v>
      </c>
      <c r="AN63" s="39">
        <v>-2214031</v>
      </c>
      <c r="AO63" s="2">
        <v>115.22515730000001</v>
      </c>
      <c r="AP6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3" s="4" t="str">
        <f>IF(AND(Table1[[#This Row],[Cplex MI Cost]]=Table1[[#This Row],[ORTools FZN2 Cost]],Table1[[#This Row],[ORTools FZN2 State]]="Optimal",Table1[[#This Row],[Cplex MI State]]="Suboptimal"),1,"")</f>
        <v/>
      </c>
      <c r="AR63" s="5" t="s">
        <v>42</v>
      </c>
      <c r="AS63" s="2">
        <v>-2214031</v>
      </c>
      <c r="AT63" s="2">
        <v>300.17441109999999</v>
      </c>
      <c r="AU63" s="2" t="str">
        <f>IF(AND(Table1[[#This Row],[Z3 SMT2-1 Maxres Cost]]=Table1[[#This Row],[ORTools FZN2 Cost]],Table1[[#This Row],[ORTools FZN2 State]]="Optimal"),1,"")</f>
        <v/>
      </c>
      <c r="AV63" s="39" t="s">
        <v>42</v>
      </c>
      <c r="AW63" s="39">
        <v>-2214031</v>
      </c>
      <c r="AX63" s="2">
        <v>300.19733200000002</v>
      </c>
      <c r="AY63" s="2" t="str">
        <f>IF(AND(Table1[[#This Row],[Z3 SMT2-1 PdMaxres Cost]]=Table1[[#This Row],[ORTools FZN2 Cost]],Table1[[#This Row],[ORTools FZN2 State]]="Optimal"),1,"")</f>
        <v/>
      </c>
      <c r="AZ63" s="5" t="s">
        <v>42</v>
      </c>
      <c r="BA63" s="2">
        <v>-2214031</v>
      </c>
      <c r="BB63" s="39">
        <v>300.26059229999998</v>
      </c>
      <c r="BC63" s="39" t="str">
        <f>IF(AND(Table1[[#This Row],[Z3 SMT2-1 WMax Cost]]=Table1[[#This Row],[ORTools FZN2 Cost]],Table1[[#This Row],[ORTools FZN2 State]]="Optimal"),1,"")</f>
        <v/>
      </c>
      <c r="BD63" s="39" t="s">
        <v>42</v>
      </c>
      <c r="BE63" s="39">
        <v>-2214031</v>
      </c>
      <c r="BF63" s="2">
        <v>300.19451199999997</v>
      </c>
      <c r="BG63" s="2" t="str">
        <f>IF(AND(Table1[[#This Row],[Z3 SMT2-2 Maxres Cost]]=Table1[[#This Row],[ORTools FZN2 Cost]],Table1[[#This Row],[ORTools FZN2 State]]="Optimal"),1,"")</f>
        <v/>
      </c>
      <c r="BH63" s="5" t="s">
        <v>42</v>
      </c>
      <c r="BI63" s="2">
        <v>-2214031</v>
      </c>
      <c r="BJ63" s="39">
        <v>300.20355919999997</v>
      </c>
      <c r="BK63" s="39" t="str">
        <f>IF(AND(Table1[[#This Row],[Z3 SMT2-2 PdMaxres Cost]]=Table1[[#This Row],[ORTools FZN2 Cost]],Table1[[#This Row],[ORTools FZN2 State]]="Optimal"),1,"")</f>
        <v/>
      </c>
      <c r="BL63" s="39" t="s">
        <v>42</v>
      </c>
      <c r="BM63" s="39">
        <v>-2214031</v>
      </c>
      <c r="BN63" s="2">
        <v>300.19334950000001</v>
      </c>
      <c r="BO63" s="4" t="str">
        <f>IF(AND(Table1[[#This Row],[Z3 SMT2-2 PdMaxres Cost]]=Table1[[#This Row],[ORTools FZN2 Cost]],Table1[[#This Row],[ORTools FZN2 State]]="Optimal"),1,"")</f>
        <v/>
      </c>
      <c r="BP63" s="5" t="s">
        <v>42</v>
      </c>
      <c r="BQ63" s="2">
        <v>-2214031</v>
      </c>
      <c r="BR63" s="2">
        <v>300.22469380000001</v>
      </c>
      <c r="BS63" s="2" t="str">
        <f>IF(AND(Table1[[#This Row],[Gurobi MB Cost]]=Table1[[#This Row],[ORTools FZN2 Cost]],Table1[[#This Row],[ORTools FZN2 State]]="Optimal",Table1[[#This Row],[Gurobi MB State]]="Suboptimal"),1,"")</f>
        <v/>
      </c>
      <c r="BT6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3" s="5" t="s">
        <v>42</v>
      </c>
      <c r="BV63" s="2">
        <v>-2214031</v>
      </c>
      <c r="BW63" s="2">
        <v>300.22907570000001</v>
      </c>
      <c r="BX63" s="2" t="str">
        <f>IF(AND(Table1[[#This Row],[Gurobi MD Cost]]=Table1[[#This Row],[ORTools FZN2 Cost]],Table1[[#This Row],[ORTools FZN2 State]]="Optimal",Table1[[#This Row],[Gurobi MD State]]="Suboptimal"),1,"")</f>
        <v/>
      </c>
      <c r="BY6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3" s="5" t="s">
        <v>42</v>
      </c>
      <c r="CA63" s="2">
        <v>-2214031</v>
      </c>
      <c r="CB63" s="2">
        <v>300.25900589999998</v>
      </c>
      <c r="CC63" s="2" t="str">
        <f>IF(AND(Table1[[#This Row],[Gurobi MI Cost]]=Table1[[#This Row],[ORTools FZN2 Cost]],Table1[[#This Row],[ORTools FZN2 State]]="Optimal",Table1[[#This Row],[Gurobi MI State]]="Suboptimal"),1,"")</f>
        <v/>
      </c>
      <c r="CD6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3" s="39" t="s">
        <v>42</v>
      </c>
      <c r="CF63" s="2">
        <v>-2214031</v>
      </c>
      <c r="CG63" s="39">
        <v>312.37027260000002</v>
      </c>
      <c r="CH63" s="39" t="s">
        <v>42</v>
      </c>
      <c r="CI63" s="39">
        <v>-2214031</v>
      </c>
      <c r="CJ63" s="2">
        <v>311.58702249999999</v>
      </c>
      <c r="CK63" s="5" t="s">
        <v>26</v>
      </c>
      <c r="CL63" s="2">
        <v>114831367</v>
      </c>
      <c r="CM63" s="2">
        <v>300.863</v>
      </c>
      <c r="CN63" s="5" t="s">
        <v>42</v>
      </c>
      <c r="CO63" s="2">
        <v>-2214031</v>
      </c>
      <c r="CP63" s="2">
        <v>309.0195003</v>
      </c>
      <c r="CQ63" s="5" t="s">
        <v>26</v>
      </c>
      <c r="CR63" s="2">
        <v>141282112</v>
      </c>
      <c r="CS63" s="2">
        <v>304.67321709999999</v>
      </c>
      <c r="CT63" s="6" t="s">
        <v>26</v>
      </c>
      <c r="CU63" s="4">
        <v>106010360</v>
      </c>
      <c r="CV63" s="4">
        <v>310.6231593</v>
      </c>
      <c r="CW63" s="39" t="s">
        <v>42</v>
      </c>
      <c r="CX63" s="39"/>
      <c r="CY63" s="2">
        <v>300.05529999999999</v>
      </c>
      <c r="CZ63" s="2" t="str">
        <f>IF(AND(Table1[[#This Row],[Cplex MZ1 Cost]]=Table1[[#This Row],[ORTools FZN2 Cost]],Table1[[#This Row],[ORTools FZN2 State]]="Optimal",Table1[[#This Row],[Cplex MZ1 State]]="Suboptimal"),1,"")</f>
        <v/>
      </c>
      <c r="DA63" s="5" t="s">
        <v>42</v>
      </c>
      <c r="DB63" s="2"/>
      <c r="DC63" s="2">
        <v>300.04199999999997</v>
      </c>
      <c r="DD63" s="2" t="str">
        <f>IF(AND(Table1[[#This Row],[Cplex MZ2 Cost]]=Table1[[#This Row],[ORTools FZN2 Cost]],Table1[[#This Row],[ORTools FZN2 State]]="Optimal",Table1[[#This Row],[Cplex MZ2 State]]="Suboptimal"),1,"")</f>
        <v/>
      </c>
      <c r="DE63" s="39" t="s">
        <v>42</v>
      </c>
      <c r="DF63" s="39"/>
      <c r="DG63" s="2">
        <v>300.18090000000001</v>
      </c>
      <c r="DH63" s="2" t="str">
        <f>IF(AND(Table1[[#This Row],[Gurobi MZ1 Cost]]=Table1[[#This Row],[ORTools FZN2 Cost]],Table1[[#This Row],[ORTools FZN2 State]]="Optimal",Table1[[#This Row],[Gurobi MZ1 State]]="Suboptimal"),1,"")</f>
        <v/>
      </c>
      <c r="DI63" s="5" t="s">
        <v>42</v>
      </c>
      <c r="DJ63" s="2"/>
      <c r="DK63" s="2">
        <v>300.07249999999999</v>
      </c>
      <c r="DL63" s="4" t="str">
        <f>IF(AND(Table1[[#This Row],[Gurobi MZ2 Cost]]=Table1[[#This Row],[ORTools FZN2 Cost]],Table1[[#This Row],[ORTools FZN2 State]]="Optimal",Table1[[#This Row],[Gurobi MZ2 State]]="Suboptimal"),1,"")</f>
        <v/>
      </c>
      <c r="DM63" s="39" t="s">
        <v>26</v>
      </c>
      <c r="DN63" s="39">
        <v>112601869</v>
      </c>
      <c r="DO63" s="65">
        <v>300.31900000000098</v>
      </c>
      <c r="DP63" s="4" t="str">
        <f>IF(AND(Table1[[#This Row],[Cplex MC nonDual Cost]]=Table1[[#This Row],[ORTools FZN2 Cost]],Table1[[#This Row],[ORTools FZN2 State]]="Optimal",Table1[[#This Row],[Cplex MC nonDual State]]="Suboptimal"),1,"")</f>
        <v/>
      </c>
      <c r="DQ63" s="5" t="s">
        <v>42</v>
      </c>
      <c r="DR63" s="2"/>
      <c r="DS63" s="2">
        <v>300.07499999999999</v>
      </c>
      <c r="DT63" s="2" t="str">
        <f>IF(AND(Table1[[#This Row],[Cplex MIP DM''z Cost]]=Table1[[#This Row],[ORTools FZN2 Cost]],Table1[[#This Row],[ORTools FZN2 State]]="Optimal",Table1[[#This Row],[Cplex MIP DM''z  State]]="Suboptimal"),1,"")</f>
        <v/>
      </c>
      <c r="DU6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3" s="5" t="s">
        <v>42</v>
      </c>
      <c r="DW63" s="2"/>
      <c r="DX63" s="2">
        <v>300.0779</v>
      </c>
      <c r="DY63" s="4" t="str">
        <f>IF(AND(Table1[[#This Row],[Gurobi DM''z  Cost]]=Table1[[#This Row],[ORTools FZN2 Cost]],Table1[[#This Row],[ORTools FZN2 State]]="Optimal",Table1[[#This Row],[Gurobi DM''z  State]]="Suboptimal"),1,"")</f>
        <v/>
      </c>
      <c r="DZ6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4" spans="1:130" ht="15.75" x14ac:dyDescent="0.25">
      <c r="A64" s="46" t="s">
        <v>90</v>
      </c>
      <c r="B64" s="5">
        <v>160</v>
      </c>
      <c r="C64" s="2">
        <v>80</v>
      </c>
      <c r="D64" s="5">
        <v>6800</v>
      </c>
      <c r="E64" s="2">
        <v>146</v>
      </c>
      <c r="F64" s="5">
        <v>692</v>
      </c>
      <c r="G64" s="2">
        <v>0</v>
      </c>
      <c r="H64" s="4">
        <f t="shared" si="0"/>
        <v>0</v>
      </c>
      <c r="I64" s="4">
        <f>Table1[[#This Row],[B]]+Table1[[#This Row],[Atomic Constraints]]+Table1[[#This Row],[Soft Atomic Constraints]]+Table1[[#This Row],[Disjunctive Constraints]]+Table1[[#This Row],[Direct Successors]]</f>
        <v>7718</v>
      </c>
      <c r="J64" s="5" t="s">
        <v>42</v>
      </c>
      <c r="K64" s="2">
        <v>-4121761</v>
      </c>
      <c r="L64" s="2">
        <v>313.90003039999999</v>
      </c>
      <c r="M64" s="2" t="str">
        <f>IF(AND(Table1[[#This Row],[Chuffed MZ1 Cost]]=Table1[[#This Row],[ORTools FZN2 Cost]],Table1[[#This Row],[ORTools FZN2 State]]="Optimal",Table1[[#This Row],[Chuffed MZ1 State]]="Suboptimal"),1,"")</f>
        <v/>
      </c>
      <c r="N64" s="5" t="s">
        <v>42</v>
      </c>
      <c r="O64" s="2">
        <v>-4121761</v>
      </c>
      <c r="P64" s="2">
        <v>313.67521140000002</v>
      </c>
      <c r="Q64" s="2" t="str">
        <f>IF(AND(Table1[[#This Row],[Chuffed MZ2 Cost]]=Table1[[#This Row],[ORTools FZN2 Cost]],Table1[[#This Row],[ORTools FZN2 State]]="Optimal",Table1[[#This Row],[Chuffed MZ2 State]]="Suboptimal"),1,"")</f>
        <v/>
      </c>
      <c r="R64" s="5" t="s">
        <v>26</v>
      </c>
      <c r="S64" s="2">
        <v>267311403</v>
      </c>
      <c r="T64" s="2">
        <v>301.11099999999902</v>
      </c>
      <c r="U64" s="2"/>
      <c r="V64" s="5" t="s">
        <v>42</v>
      </c>
      <c r="W64" s="2">
        <v>-4121761</v>
      </c>
      <c r="X64" s="2">
        <v>304.1678574</v>
      </c>
      <c r="Y64" s="2" t="str">
        <f>IF(AND(Table1[[#This Row],[ORTools FZN1 Cost]]=Table1[[#This Row],[ORTools FZN2 Cost]],Table1[[#This Row],[ORTools FZN2 State]]="Optimal",Table1[[#This Row],[ORTools FZN1 State]]="Suboptimal"),1,"")</f>
        <v/>
      </c>
      <c r="Z64" s="5" t="s">
        <v>42</v>
      </c>
      <c r="AA64" s="2">
        <v>-4121761</v>
      </c>
      <c r="AB64" s="2">
        <v>304.25967500000002</v>
      </c>
      <c r="AC64" s="39" t="s">
        <v>42</v>
      </c>
      <c r="AD64" s="39">
        <v>-4121761</v>
      </c>
      <c r="AE64" s="2">
        <v>300.36800690000001</v>
      </c>
      <c r="AF64" s="2" t="str">
        <f>IF(AND(Table1[[#This Row],[Cplex MB Cost]]=Table1[[#This Row],[ORTools FZN2 Cost]],Table1[[#This Row],[ORTools FZN2 State]]="Optimal",Table1[[#This Row],[Cplex MB State]]="Suboptimal"),1,"")</f>
        <v/>
      </c>
      <c r="AG64" s="4">
        <f>IF(AND(AC64="Optimal",AD64&lt;&gt;AA64,Table1[[#This Row],[Example]]&lt;&gt;"R001",Table1[[#This Row],[Example]]&lt;&gt;"R002"),AD64-AA64,)</f>
        <v>0</v>
      </c>
      <c r="AH64" s="5" t="s">
        <v>42</v>
      </c>
      <c r="AI64" s="2">
        <v>-4121761</v>
      </c>
      <c r="AJ64" s="2">
        <v>307.17973660000001</v>
      </c>
      <c r="AK64" s="2" t="str">
        <f>IF(AND(Table1[[#This Row],[Cplex MD Cost]]=Table1[[#This Row],[ORTools FZN2 Cost]],Table1[[#This Row],[ORTools FZN2 State]]="Optimal",Table1[[#This Row],[Cplex MD State]]="Suboptimal"),1,"")</f>
        <v/>
      </c>
      <c r="AL64" s="2">
        <f>IF(AND(AH64="Optimal",AI64&lt;&gt;AA64,Table1[[#This Row],[Example]]&lt;&gt;"R001",Table1[[#This Row],[Example]]&lt;&gt;"R002"),AI64-AA64,)</f>
        <v>0</v>
      </c>
      <c r="AM64" s="39" t="s">
        <v>42</v>
      </c>
      <c r="AN64" s="39">
        <v>-4121761</v>
      </c>
      <c r="AO64" s="2">
        <v>300.90713410000001</v>
      </c>
      <c r="AP6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4" s="4" t="str">
        <f>IF(AND(Table1[[#This Row],[Cplex MI Cost]]=Table1[[#This Row],[ORTools FZN2 Cost]],Table1[[#This Row],[ORTools FZN2 State]]="Optimal",Table1[[#This Row],[Cplex MI State]]="Suboptimal"),1,"")</f>
        <v/>
      </c>
      <c r="AR64" s="5" t="s">
        <v>42</v>
      </c>
      <c r="AS64" s="2">
        <v>-4121761</v>
      </c>
      <c r="AT64" s="2">
        <v>300.18350459999999</v>
      </c>
      <c r="AU64" s="2" t="str">
        <f>IF(AND(Table1[[#This Row],[Z3 SMT2-1 Maxres Cost]]=Table1[[#This Row],[ORTools FZN2 Cost]],Table1[[#This Row],[ORTools FZN2 State]]="Optimal"),1,"")</f>
        <v/>
      </c>
      <c r="AV64" s="39" t="s">
        <v>42</v>
      </c>
      <c r="AW64" s="39">
        <v>-4121761</v>
      </c>
      <c r="AX64" s="2">
        <v>300.18521120000003</v>
      </c>
      <c r="AY64" s="2" t="str">
        <f>IF(AND(Table1[[#This Row],[Z3 SMT2-1 PdMaxres Cost]]=Table1[[#This Row],[ORTools FZN2 Cost]],Table1[[#This Row],[ORTools FZN2 State]]="Optimal"),1,"")</f>
        <v/>
      </c>
      <c r="AZ64" s="5" t="s">
        <v>42</v>
      </c>
      <c r="BA64" s="2">
        <v>-4121761</v>
      </c>
      <c r="BB64" s="39">
        <v>300.25655160000002</v>
      </c>
      <c r="BC64" s="39" t="str">
        <f>IF(AND(Table1[[#This Row],[Z3 SMT2-1 WMax Cost]]=Table1[[#This Row],[ORTools FZN2 Cost]],Table1[[#This Row],[ORTools FZN2 State]]="Optimal"),1,"")</f>
        <v/>
      </c>
      <c r="BD64" s="39" t="s">
        <v>42</v>
      </c>
      <c r="BE64" s="39">
        <v>-4121761</v>
      </c>
      <c r="BF64" s="2">
        <v>300.20042289999998</v>
      </c>
      <c r="BG64" s="2" t="str">
        <f>IF(AND(Table1[[#This Row],[Z3 SMT2-2 Maxres Cost]]=Table1[[#This Row],[ORTools FZN2 Cost]],Table1[[#This Row],[ORTools FZN2 State]]="Optimal"),1,"")</f>
        <v/>
      </c>
      <c r="BH64" s="5" t="s">
        <v>42</v>
      </c>
      <c r="BI64" s="2">
        <v>-4121761</v>
      </c>
      <c r="BJ64" s="39">
        <v>300.17082829999998</v>
      </c>
      <c r="BK64" s="39" t="str">
        <f>IF(AND(Table1[[#This Row],[Z3 SMT2-2 PdMaxres Cost]]=Table1[[#This Row],[ORTools FZN2 Cost]],Table1[[#This Row],[ORTools FZN2 State]]="Optimal"),1,"")</f>
        <v/>
      </c>
      <c r="BL64" s="39" t="s">
        <v>42</v>
      </c>
      <c r="BM64" s="39">
        <v>-4121761</v>
      </c>
      <c r="BN64" s="2">
        <v>300.20171859999999</v>
      </c>
      <c r="BO64" s="4" t="str">
        <f>IF(AND(Table1[[#This Row],[Z3 SMT2-2 PdMaxres Cost]]=Table1[[#This Row],[ORTools FZN2 Cost]],Table1[[#This Row],[ORTools FZN2 State]]="Optimal"),1,"")</f>
        <v/>
      </c>
      <c r="BP64" s="5" t="s">
        <v>42</v>
      </c>
      <c r="BQ64" s="2">
        <v>-4121761</v>
      </c>
      <c r="BR64" s="2">
        <v>300.10892949999999</v>
      </c>
      <c r="BS64" s="2" t="str">
        <f>IF(AND(Table1[[#This Row],[Gurobi MB Cost]]=Table1[[#This Row],[ORTools FZN2 Cost]],Table1[[#This Row],[ORTools FZN2 State]]="Optimal",Table1[[#This Row],[Gurobi MB State]]="Suboptimal"),1,"")</f>
        <v/>
      </c>
      <c r="BT6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4" s="5" t="s">
        <v>42</v>
      </c>
      <c r="BV64" s="2">
        <v>-4121761</v>
      </c>
      <c r="BW64" s="2">
        <v>300.27225299999998</v>
      </c>
      <c r="BX64" s="2" t="str">
        <f>IF(AND(Table1[[#This Row],[Gurobi MD Cost]]=Table1[[#This Row],[ORTools FZN2 Cost]],Table1[[#This Row],[ORTools FZN2 State]]="Optimal",Table1[[#This Row],[Gurobi MD State]]="Suboptimal"),1,"")</f>
        <v/>
      </c>
      <c r="BY6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4" s="5" t="s">
        <v>42</v>
      </c>
      <c r="CA64" s="2">
        <v>-4121761</v>
      </c>
      <c r="CB64" s="2">
        <v>300.14281060000002</v>
      </c>
      <c r="CC64" s="2" t="str">
        <f>IF(AND(Table1[[#This Row],[Gurobi MI Cost]]=Table1[[#This Row],[ORTools FZN2 Cost]],Table1[[#This Row],[ORTools FZN2 State]]="Optimal",Table1[[#This Row],[Gurobi MI State]]="Suboptimal"),1,"")</f>
        <v/>
      </c>
      <c r="CD6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4" s="39" t="s">
        <v>42</v>
      </c>
      <c r="CF64" s="2">
        <v>-4121761</v>
      </c>
      <c r="CG64" s="39">
        <v>313.14844720000002</v>
      </c>
      <c r="CH64" s="39" t="s">
        <v>42</v>
      </c>
      <c r="CI64" s="39">
        <v>-4121761</v>
      </c>
      <c r="CJ64" s="2">
        <v>311.79853500000002</v>
      </c>
      <c r="CK64" s="5" t="s">
        <v>26</v>
      </c>
      <c r="CL64" s="2">
        <v>254947097</v>
      </c>
      <c r="CM64" s="2">
        <v>301.32499999999999</v>
      </c>
      <c r="CN64" s="5" t="s">
        <v>42</v>
      </c>
      <c r="CO64" s="2">
        <v>-4121761</v>
      </c>
      <c r="CP64" s="2">
        <v>313.45538349999998</v>
      </c>
      <c r="CQ64" s="5" t="s">
        <v>26</v>
      </c>
      <c r="CR64" s="2">
        <v>328906617</v>
      </c>
      <c r="CS64" s="2">
        <v>306.97763190000001</v>
      </c>
      <c r="CT64" s="6" t="s">
        <v>26</v>
      </c>
      <c r="CU64" s="4">
        <v>308579725</v>
      </c>
      <c r="CV64" s="4">
        <v>321.28001219999999</v>
      </c>
      <c r="CW64" s="39" t="s">
        <v>42</v>
      </c>
      <c r="CX64" s="39"/>
      <c r="CY64" s="2">
        <v>300.06950000000001</v>
      </c>
      <c r="CZ64" s="2" t="str">
        <f>IF(AND(Table1[[#This Row],[Cplex MZ1 Cost]]=Table1[[#This Row],[ORTools FZN2 Cost]],Table1[[#This Row],[ORTools FZN2 State]]="Optimal",Table1[[#This Row],[Cplex MZ1 State]]="Suboptimal"),1,"")</f>
        <v/>
      </c>
      <c r="DA64" s="5" t="s">
        <v>42</v>
      </c>
      <c r="DB64" s="2"/>
      <c r="DC64" s="2">
        <v>300.3064</v>
      </c>
      <c r="DD64" s="2" t="str">
        <f>IF(AND(Table1[[#This Row],[Cplex MZ2 Cost]]=Table1[[#This Row],[ORTools FZN2 Cost]],Table1[[#This Row],[ORTools FZN2 State]]="Optimal",Table1[[#This Row],[Cplex MZ2 State]]="Suboptimal"),1,"")</f>
        <v/>
      </c>
      <c r="DE64" s="39" t="s">
        <v>42</v>
      </c>
      <c r="DF64" s="39"/>
      <c r="DG64" s="2">
        <v>300.13639999999998</v>
      </c>
      <c r="DH64" s="2" t="str">
        <f>IF(AND(Table1[[#This Row],[Gurobi MZ1 Cost]]=Table1[[#This Row],[ORTools FZN2 Cost]],Table1[[#This Row],[ORTools FZN2 State]]="Optimal",Table1[[#This Row],[Gurobi MZ1 State]]="Suboptimal"),1,"")</f>
        <v/>
      </c>
      <c r="DI64" s="5" t="s">
        <v>42</v>
      </c>
      <c r="DJ64" s="2"/>
      <c r="DK64" s="2">
        <v>300.12540000000001</v>
      </c>
      <c r="DL64" s="4" t="str">
        <f>IF(AND(Table1[[#This Row],[Gurobi MZ2 Cost]]=Table1[[#This Row],[ORTools FZN2 Cost]],Table1[[#This Row],[ORTools FZN2 State]]="Optimal",Table1[[#This Row],[Gurobi MZ2 State]]="Suboptimal"),1,"")</f>
        <v/>
      </c>
      <c r="DM64" s="39" t="s">
        <v>26</v>
      </c>
      <c r="DN64" s="39">
        <v>271380859</v>
      </c>
      <c r="DO64" s="65">
        <v>300.45499999999902</v>
      </c>
      <c r="DP64" s="4" t="str">
        <f>IF(AND(Table1[[#This Row],[Cplex MC nonDual Cost]]=Table1[[#This Row],[ORTools FZN2 Cost]],Table1[[#This Row],[ORTools FZN2 State]]="Optimal",Table1[[#This Row],[Cplex MC nonDual State]]="Suboptimal"),1,"")</f>
        <v/>
      </c>
      <c r="DQ64" s="5" t="s">
        <v>42</v>
      </c>
      <c r="DR64" s="2"/>
      <c r="DS64" s="2">
        <v>300.81459999999998</v>
      </c>
      <c r="DT64" s="2" t="str">
        <f>IF(AND(Table1[[#This Row],[Cplex MIP DM''z Cost]]=Table1[[#This Row],[ORTools FZN2 Cost]],Table1[[#This Row],[ORTools FZN2 State]]="Optimal",Table1[[#This Row],[Cplex MIP DM''z  State]]="Suboptimal"),1,"")</f>
        <v/>
      </c>
      <c r="DU6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4" s="5" t="s">
        <v>42</v>
      </c>
      <c r="DW64" s="2"/>
      <c r="DX64" s="2">
        <v>300.01740000000001</v>
      </c>
      <c r="DY64" s="4" t="str">
        <f>IF(AND(Table1[[#This Row],[Gurobi DM''z  Cost]]=Table1[[#This Row],[ORTools FZN2 Cost]],Table1[[#This Row],[ORTools FZN2 State]]="Optimal",Table1[[#This Row],[Gurobi DM''z  State]]="Suboptimal"),1,"")</f>
        <v/>
      </c>
      <c r="DZ6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5" spans="1:130" ht="15.75" x14ac:dyDescent="0.25">
      <c r="A65" s="46" t="s">
        <v>91</v>
      </c>
      <c r="B65" s="5">
        <v>162</v>
      </c>
      <c r="C65" s="2">
        <v>81</v>
      </c>
      <c r="D65" s="5">
        <v>7026</v>
      </c>
      <c r="E65" s="2">
        <v>148</v>
      </c>
      <c r="F65" s="5">
        <v>740</v>
      </c>
      <c r="G65" s="2">
        <v>0</v>
      </c>
      <c r="H65" s="4">
        <f t="shared" si="0"/>
        <v>0</v>
      </c>
      <c r="I65" s="4">
        <f>Table1[[#This Row],[B]]+Table1[[#This Row],[Atomic Constraints]]+Table1[[#This Row],[Soft Atomic Constraints]]+Table1[[#This Row],[Disjunctive Constraints]]+Table1[[#This Row],[Direct Successors]]</f>
        <v>7995</v>
      </c>
      <c r="J65" s="5" t="s">
        <v>42</v>
      </c>
      <c r="K65" s="2">
        <v>-4277935</v>
      </c>
      <c r="L65" s="2">
        <v>314.40578820000002</v>
      </c>
      <c r="M65" s="2" t="str">
        <f>IF(AND(Table1[[#This Row],[Chuffed MZ1 Cost]]=Table1[[#This Row],[ORTools FZN2 Cost]],Table1[[#This Row],[ORTools FZN2 State]]="Optimal",Table1[[#This Row],[Chuffed MZ1 State]]="Suboptimal"),1,"")</f>
        <v/>
      </c>
      <c r="N65" s="5" t="s">
        <v>42</v>
      </c>
      <c r="O65" s="2">
        <v>-4277935</v>
      </c>
      <c r="P65" s="2">
        <v>313.7220289</v>
      </c>
      <c r="Q65" s="2" t="str">
        <f>IF(AND(Table1[[#This Row],[Chuffed MZ2 Cost]]=Table1[[#This Row],[ORTools FZN2 Cost]],Table1[[#This Row],[ORTools FZN2 State]]="Optimal",Table1[[#This Row],[Chuffed MZ2 State]]="Suboptimal"),1,"")</f>
        <v/>
      </c>
      <c r="R65" s="6" t="s">
        <v>26</v>
      </c>
      <c r="S65" s="4">
        <v>290280719</v>
      </c>
      <c r="T65" s="4">
        <v>301.11700000000002</v>
      </c>
      <c r="U65" s="4"/>
      <c r="V65" s="5" t="s">
        <v>42</v>
      </c>
      <c r="W65" s="2">
        <v>-4277935</v>
      </c>
      <c r="X65" s="2">
        <v>304.27277070000002</v>
      </c>
      <c r="Y65" s="2" t="str">
        <f>IF(AND(Table1[[#This Row],[ORTools FZN1 Cost]]=Table1[[#This Row],[ORTools FZN2 Cost]],Table1[[#This Row],[ORTools FZN2 State]]="Optimal",Table1[[#This Row],[ORTools FZN1 State]]="Suboptimal"),1,"")</f>
        <v/>
      </c>
      <c r="Z65" s="5" t="s">
        <v>42</v>
      </c>
      <c r="AA65" s="2">
        <v>-4277935</v>
      </c>
      <c r="AB65" s="2">
        <v>304.41476569999998</v>
      </c>
      <c r="AC65" s="39" t="s">
        <v>42</v>
      </c>
      <c r="AD65" s="39">
        <v>-4277935</v>
      </c>
      <c r="AE65" s="2">
        <v>300.41506679999998</v>
      </c>
      <c r="AF65" s="2" t="str">
        <f>IF(AND(Table1[[#This Row],[Cplex MB Cost]]=Table1[[#This Row],[ORTools FZN2 Cost]],Table1[[#This Row],[ORTools FZN2 State]]="Optimal",Table1[[#This Row],[Cplex MB State]]="Suboptimal"),1,"")</f>
        <v/>
      </c>
      <c r="AG65" s="4">
        <f>IF(AND(AC65="Optimal",AD65&lt;&gt;AA65,Table1[[#This Row],[Example]]&lt;&gt;"R001",Table1[[#This Row],[Example]]&lt;&gt;"R002"),AD65-AA65,)</f>
        <v>0</v>
      </c>
      <c r="AH65" s="5" t="s">
        <v>42</v>
      </c>
      <c r="AI65" s="2">
        <v>-4277935</v>
      </c>
      <c r="AJ65" s="2">
        <v>307.43871189999999</v>
      </c>
      <c r="AK65" s="2" t="str">
        <f>IF(AND(Table1[[#This Row],[Cplex MD Cost]]=Table1[[#This Row],[ORTools FZN2 Cost]],Table1[[#This Row],[ORTools FZN2 State]]="Optimal",Table1[[#This Row],[Cplex MD State]]="Suboptimal"),1,"")</f>
        <v/>
      </c>
      <c r="AL65" s="4">
        <f>IF(AND(AH65="Optimal",AI65&lt;&gt;AA65,Table1[[#This Row],[Example]]&lt;&gt;"R001",Table1[[#This Row],[Example]]&lt;&gt;"R002"),AI65-AA65,)</f>
        <v>0</v>
      </c>
      <c r="AM65" s="39" t="s">
        <v>42</v>
      </c>
      <c r="AN65" s="39">
        <v>-4277935</v>
      </c>
      <c r="AO65" s="2">
        <v>305.22619470000001</v>
      </c>
      <c r="AP6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5" s="4" t="str">
        <f>IF(AND(Table1[[#This Row],[Cplex MI Cost]]=Table1[[#This Row],[ORTools FZN2 Cost]],Table1[[#This Row],[ORTools FZN2 State]]="Optimal",Table1[[#This Row],[Cplex MI State]]="Suboptimal"),1,"")</f>
        <v/>
      </c>
      <c r="AR65" s="5" t="s">
        <v>42</v>
      </c>
      <c r="AS65" s="2">
        <v>-4277935</v>
      </c>
      <c r="AT65" s="2">
        <v>300.1813573</v>
      </c>
      <c r="AU65" s="2" t="str">
        <f>IF(AND(Table1[[#This Row],[Z3 SMT2-1 Maxres Cost]]=Table1[[#This Row],[ORTools FZN2 Cost]],Table1[[#This Row],[ORTools FZN2 State]]="Optimal"),1,"")</f>
        <v/>
      </c>
      <c r="AV65" s="39" t="s">
        <v>42</v>
      </c>
      <c r="AW65" s="39">
        <v>-4277935</v>
      </c>
      <c r="AX65" s="2">
        <v>300.18520039999999</v>
      </c>
      <c r="AY65" s="2" t="str">
        <f>IF(AND(Table1[[#This Row],[Z3 SMT2-1 PdMaxres Cost]]=Table1[[#This Row],[ORTools FZN2 Cost]],Table1[[#This Row],[ORTools FZN2 State]]="Optimal"),1,"")</f>
        <v/>
      </c>
      <c r="AZ65" s="5" t="s">
        <v>42</v>
      </c>
      <c r="BA65" s="2">
        <v>-4277935</v>
      </c>
      <c r="BB65" s="39">
        <v>300.18175359999998</v>
      </c>
      <c r="BC65" s="39" t="str">
        <f>IF(AND(Table1[[#This Row],[Z3 SMT2-1 WMax Cost]]=Table1[[#This Row],[ORTools FZN2 Cost]],Table1[[#This Row],[ORTools FZN2 State]]="Optimal"),1,"")</f>
        <v/>
      </c>
      <c r="BD65" s="39" t="s">
        <v>42</v>
      </c>
      <c r="BE65" s="39">
        <v>-4277935</v>
      </c>
      <c r="BF65" s="2">
        <v>300.22788889999998</v>
      </c>
      <c r="BG65" s="2" t="str">
        <f>IF(AND(Table1[[#This Row],[Z3 SMT2-2 Maxres Cost]]=Table1[[#This Row],[ORTools FZN2 Cost]],Table1[[#This Row],[ORTools FZN2 State]]="Optimal"),1,"")</f>
        <v/>
      </c>
      <c r="BH65" s="5" t="s">
        <v>42</v>
      </c>
      <c r="BI65" s="2">
        <v>-4277935</v>
      </c>
      <c r="BJ65" s="39">
        <v>300.2333683</v>
      </c>
      <c r="BK65" s="39" t="str">
        <f>IF(AND(Table1[[#This Row],[Z3 SMT2-2 PdMaxres Cost]]=Table1[[#This Row],[ORTools FZN2 Cost]],Table1[[#This Row],[ORTools FZN2 State]]="Optimal"),1,"")</f>
        <v/>
      </c>
      <c r="BL65" s="39" t="s">
        <v>42</v>
      </c>
      <c r="BM65" s="39">
        <v>-4277935</v>
      </c>
      <c r="BN65" s="2">
        <v>300.23076950000001</v>
      </c>
      <c r="BO65" s="4" t="str">
        <f>IF(AND(Table1[[#This Row],[Z3 SMT2-2 PdMaxres Cost]]=Table1[[#This Row],[ORTools FZN2 Cost]],Table1[[#This Row],[ORTools FZN2 State]]="Optimal"),1,"")</f>
        <v/>
      </c>
      <c r="BP65" s="5" t="s">
        <v>42</v>
      </c>
      <c r="BQ65" s="2">
        <v>-4277935</v>
      </c>
      <c r="BR65" s="2">
        <v>300.09334050000001</v>
      </c>
      <c r="BS65" s="2" t="str">
        <f>IF(AND(Table1[[#This Row],[Gurobi MB Cost]]=Table1[[#This Row],[ORTools FZN2 Cost]],Table1[[#This Row],[ORTools FZN2 State]]="Optimal",Table1[[#This Row],[Gurobi MB State]]="Suboptimal"),1,"")</f>
        <v/>
      </c>
      <c r="BT6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5" s="5" t="s">
        <v>42</v>
      </c>
      <c r="BV65" s="2">
        <v>-4277935</v>
      </c>
      <c r="BW65" s="2">
        <v>300.27419609999998</v>
      </c>
      <c r="BX65" s="2" t="str">
        <f>IF(AND(Table1[[#This Row],[Gurobi MD Cost]]=Table1[[#This Row],[ORTools FZN2 Cost]],Table1[[#This Row],[ORTools FZN2 State]]="Optimal",Table1[[#This Row],[Gurobi MD State]]="Suboptimal"),1,"")</f>
        <v/>
      </c>
      <c r="BY6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5" s="5" t="s">
        <v>42</v>
      </c>
      <c r="CA65" s="2">
        <v>-4277935</v>
      </c>
      <c r="CB65" s="2">
        <v>300.18390799999997</v>
      </c>
      <c r="CC65" s="2" t="str">
        <f>IF(AND(Table1[[#This Row],[Gurobi MI Cost]]=Table1[[#This Row],[ORTools FZN2 Cost]],Table1[[#This Row],[ORTools FZN2 State]]="Optimal",Table1[[#This Row],[Gurobi MI State]]="Suboptimal"),1,"")</f>
        <v/>
      </c>
      <c r="CD6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5" s="39" t="s">
        <v>42</v>
      </c>
      <c r="CF65" s="2">
        <v>-4277935</v>
      </c>
      <c r="CG65" s="39">
        <v>314.13829930000003</v>
      </c>
      <c r="CH65" s="39" t="s">
        <v>42</v>
      </c>
      <c r="CI65" s="39">
        <v>-4277935</v>
      </c>
      <c r="CJ65" s="2">
        <v>311.84114440000002</v>
      </c>
      <c r="CK65" s="5" t="s">
        <v>26</v>
      </c>
      <c r="CL65" s="2">
        <v>290226937</v>
      </c>
      <c r="CM65" s="2">
        <v>300.10599999999999</v>
      </c>
      <c r="CN65" s="5" t="s">
        <v>26</v>
      </c>
      <c r="CO65" s="2">
        <v>345683474</v>
      </c>
      <c r="CP65" s="2">
        <v>313.3506605</v>
      </c>
      <c r="CQ65" s="5" t="s">
        <v>42</v>
      </c>
      <c r="CR65" s="2">
        <v>-4277935</v>
      </c>
      <c r="CS65" s="2">
        <v>307.53296369999998</v>
      </c>
      <c r="CT65" s="6" t="s">
        <v>26</v>
      </c>
      <c r="CU65" s="4">
        <v>345735925</v>
      </c>
      <c r="CV65" s="4">
        <v>263.74145090000002</v>
      </c>
      <c r="CW65" s="39" t="s">
        <v>42</v>
      </c>
      <c r="CX65" s="39"/>
      <c r="CY65" s="2">
        <v>300.072</v>
      </c>
      <c r="CZ65" s="2" t="str">
        <f>IF(AND(Table1[[#This Row],[Cplex MZ1 Cost]]=Table1[[#This Row],[ORTools FZN2 Cost]],Table1[[#This Row],[ORTools FZN2 State]]="Optimal",Table1[[#This Row],[Cplex MZ1 State]]="Suboptimal"),1,"")</f>
        <v/>
      </c>
      <c r="DA65" s="5" t="s">
        <v>42</v>
      </c>
      <c r="DB65" s="2"/>
      <c r="DC65" s="2">
        <v>300.07839999999999</v>
      </c>
      <c r="DD65" s="2" t="str">
        <f>IF(AND(Table1[[#This Row],[Cplex MZ2 Cost]]=Table1[[#This Row],[ORTools FZN2 Cost]],Table1[[#This Row],[ORTools FZN2 State]]="Optimal",Table1[[#This Row],[Cplex MZ2 State]]="Suboptimal"),1,"")</f>
        <v/>
      </c>
      <c r="DE65" s="39" t="s">
        <v>42</v>
      </c>
      <c r="DF65" s="39"/>
      <c r="DG65" s="2">
        <v>300.08580000000001</v>
      </c>
      <c r="DH65" s="2" t="str">
        <f>IF(AND(Table1[[#This Row],[Gurobi MZ1 Cost]]=Table1[[#This Row],[ORTools FZN2 Cost]],Table1[[#This Row],[ORTools FZN2 State]]="Optimal",Table1[[#This Row],[Gurobi MZ1 State]]="Suboptimal"),1,"")</f>
        <v/>
      </c>
      <c r="DI65" s="5" t="s">
        <v>42</v>
      </c>
      <c r="DJ65" s="2"/>
      <c r="DK65" s="2">
        <v>300.04329999999999</v>
      </c>
      <c r="DL65" s="4" t="str">
        <f>IF(AND(Table1[[#This Row],[Gurobi MZ2 Cost]]=Table1[[#This Row],[ORTools FZN2 Cost]],Table1[[#This Row],[ORTools FZN2 State]]="Optimal",Table1[[#This Row],[Gurobi MZ2 State]]="Suboptimal"),1,"")</f>
        <v/>
      </c>
      <c r="DM65" s="39" t="s">
        <v>26</v>
      </c>
      <c r="DN65" s="39">
        <v>285874818</v>
      </c>
      <c r="DO65" s="65">
        <v>300.58899999999898</v>
      </c>
      <c r="DP65" s="4" t="str">
        <f>IF(AND(Table1[[#This Row],[Cplex MC nonDual Cost]]=Table1[[#This Row],[ORTools FZN2 Cost]],Table1[[#This Row],[ORTools FZN2 State]]="Optimal",Table1[[#This Row],[Cplex MC nonDual State]]="Suboptimal"),1,"")</f>
        <v/>
      </c>
      <c r="DQ65" s="5" t="s">
        <v>42</v>
      </c>
      <c r="DR65" s="2"/>
      <c r="DS65" s="2">
        <v>300.077</v>
      </c>
      <c r="DT65" s="2" t="str">
        <f>IF(AND(Table1[[#This Row],[Cplex MIP DM''z Cost]]=Table1[[#This Row],[ORTools FZN2 Cost]],Table1[[#This Row],[ORTools FZN2 State]]="Optimal",Table1[[#This Row],[Cplex MIP DM''z  State]]="Suboptimal"),1,"")</f>
        <v/>
      </c>
      <c r="DU6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5" s="5" t="s">
        <v>42</v>
      </c>
      <c r="DW65" s="2"/>
      <c r="DX65" s="2">
        <v>300.14030000000002</v>
      </c>
      <c r="DY65" s="4" t="str">
        <f>IF(AND(Table1[[#This Row],[Gurobi DM''z  Cost]]=Table1[[#This Row],[ORTools FZN2 Cost]],Table1[[#This Row],[ORTools FZN2 State]]="Optimal",Table1[[#This Row],[Gurobi DM''z  State]]="Suboptimal"),1,"")</f>
        <v/>
      </c>
      <c r="DZ6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6" spans="1:130" ht="15.75" x14ac:dyDescent="0.25">
      <c r="A66" s="46" t="s">
        <v>92</v>
      </c>
      <c r="B66" s="5">
        <v>162</v>
      </c>
      <c r="C66" s="2">
        <v>81</v>
      </c>
      <c r="D66" s="5">
        <v>6560</v>
      </c>
      <c r="E66" s="2">
        <v>148</v>
      </c>
      <c r="F66" s="5">
        <v>823</v>
      </c>
      <c r="G66" s="2">
        <v>0</v>
      </c>
      <c r="H66" s="4">
        <f t="shared" si="0"/>
        <v>0</v>
      </c>
      <c r="I66" s="4">
        <f>Table1[[#This Row],[B]]+Table1[[#This Row],[Atomic Constraints]]+Table1[[#This Row],[Soft Atomic Constraints]]+Table1[[#This Row],[Disjunctive Constraints]]+Table1[[#This Row],[Direct Successors]]</f>
        <v>7612</v>
      </c>
      <c r="J66" s="5" t="s">
        <v>42</v>
      </c>
      <c r="K66" s="2">
        <v>-4277935</v>
      </c>
      <c r="L66" s="2">
        <v>314.14345900000001</v>
      </c>
      <c r="M66" s="2" t="str">
        <f>IF(AND(Table1[[#This Row],[Chuffed MZ1 Cost]]=Table1[[#This Row],[ORTools FZN2 Cost]],Table1[[#This Row],[ORTools FZN2 State]]="Optimal",Table1[[#This Row],[Chuffed MZ1 State]]="Suboptimal"),1,"")</f>
        <v/>
      </c>
      <c r="N66" s="5" t="s">
        <v>42</v>
      </c>
      <c r="O66" s="2">
        <v>-4277935</v>
      </c>
      <c r="P66" s="2">
        <v>314.23235110000002</v>
      </c>
      <c r="Q66" s="2" t="str">
        <f>IF(AND(Table1[[#This Row],[Chuffed MZ2 Cost]]=Table1[[#This Row],[ORTools FZN2 Cost]],Table1[[#This Row],[ORTools FZN2 State]]="Optimal",Table1[[#This Row],[Chuffed MZ2 State]]="Suboptimal"),1,"")</f>
        <v/>
      </c>
      <c r="R66" s="5" t="s">
        <v>26</v>
      </c>
      <c r="S66" s="2">
        <v>174821030</v>
      </c>
      <c r="T66" s="2">
        <v>301.13799999999901</v>
      </c>
      <c r="U66" s="2"/>
      <c r="V66" s="5" t="s">
        <v>42</v>
      </c>
      <c r="W66" s="2">
        <v>-4277935</v>
      </c>
      <c r="X66" s="2">
        <v>304.27044089999998</v>
      </c>
      <c r="Y66" s="2" t="str">
        <f>IF(AND(Table1[[#This Row],[ORTools FZN1 Cost]]=Table1[[#This Row],[ORTools FZN2 Cost]],Table1[[#This Row],[ORTools FZN2 State]]="Optimal",Table1[[#This Row],[ORTools FZN1 State]]="Suboptimal"),1,"")</f>
        <v/>
      </c>
      <c r="Z66" s="5" t="s">
        <v>42</v>
      </c>
      <c r="AA66" s="2">
        <v>-4277935</v>
      </c>
      <c r="AB66" s="2">
        <v>304.4343892</v>
      </c>
      <c r="AC66" s="39" t="s">
        <v>42</v>
      </c>
      <c r="AD66" s="39">
        <v>-4277935</v>
      </c>
      <c r="AE66" s="2">
        <v>300.3841347</v>
      </c>
      <c r="AF66" s="2" t="str">
        <f>IF(AND(Table1[[#This Row],[Cplex MB Cost]]=Table1[[#This Row],[ORTools FZN2 Cost]],Table1[[#This Row],[ORTools FZN2 State]]="Optimal",Table1[[#This Row],[Cplex MB State]]="Suboptimal"),1,"")</f>
        <v/>
      </c>
      <c r="AG66" s="4">
        <f>IF(AND(AC66="Optimal",AD66&lt;&gt;AA66,Table1[[#This Row],[Example]]&lt;&gt;"R001",Table1[[#This Row],[Example]]&lt;&gt;"R002"),AD66-AA66,)</f>
        <v>0</v>
      </c>
      <c r="AH66" s="5" t="s">
        <v>42</v>
      </c>
      <c r="AI66" s="2">
        <v>-4277935</v>
      </c>
      <c r="AJ66" s="2">
        <v>307.57207390000002</v>
      </c>
      <c r="AK66" s="2" t="str">
        <f>IF(AND(Table1[[#This Row],[Cplex MD Cost]]=Table1[[#This Row],[ORTools FZN2 Cost]],Table1[[#This Row],[ORTools FZN2 State]]="Optimal",Table1[[#This Row],[Cplex MD State]]="Suboptimal"),1,"")</f>
        <v/>
      </c>
      <c r="AL66" s="2">
        <f>IF(AND(AH66="Optimal",AI66&lt;&gt;AA66,Table1[[#This Row],[Example]]&lt;&gt;"R001",Table1[[#This Row],[Example]]&lt;&gt;"R002"),AI66-AA66,)</f>
        <v>0</v>
      </c>
      <c r="AM66" s="39" t="s">
        <v>42</v>
      </c>
      <c r="AN66" s="39">
        <v>-4277935</v>
      </c>
      <c r="AO66" s="2">
        <v>301.11662360000003</v>
      </c>
      <c r="AP6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6" s="4" t="str">
        <f>IF(AND(Table1[[#This Row],[Cplex MI Cost]]=Table1[[#This Row],[ORTools FZN2 Cost]],Table1[[#This Row],[ORTools FZN2 State]]="Optimal",Table1[[#This Row],[Cplex MI State]]="Suboptimal"),1,"")</f>
        <v/>
      </c>
      <c r="AR66" s="5" t="s">
        <v>42</v>
      </c>
      <c r="AS66" s="2">
        <v>-4277935</v>
      </c>
      <c r="AT66" s="2">
        <v>300.1570845</v>
      </c>
      <c r="AU66" s="2" t="str">
        <f>IF(AND(Table1[[#This Row],[Z3 SMT2-1 Maxres Cost]]=Table1[[#This Row],[ORTools FZN2 Cost]],Table1[[#This Row],[ORTools FZN2 State]]="Optimal"),1,"")</f>
        <v/>
      </c>
      <c r="AV66" s="39" t="s">
        <v>42</v>
      </c>
      <c r="AW66" s="39">
        <v>-4277935</v>
      </c>
      <c r="AX66" s="2">
        <v>300.16421480000002</v>
      </c>
      <c r="AY66" s="2" t="str">
        <f>IF(AND(Table1[[#This Row],[Z3 SMT2-1 PdMaxres Cost]]=Table1[[#This Row],[ORTools FZN2 Cost]],Table1[[#This Row],[ORTools FZN2 State]]="Optimal"),1,"")</f>
        <v/>
      </c>
      <c r="AZ66" s="5" t="s">
        <v>42</v>
      </c>
      <c r="BA66" s="2">
        <v>-4277935</v>
      </c>
      <c r="BB66" s="39">
        <v>300.17382370000001</v>
      </c>
      <c r="BC66" s="39" t="str">
        <f>IF(AND(Table1[[#This Row],[Z3 SMT2-1 WMax Cost]]=Table1[[#This Row],[ORTools FZN2 Cost]],Table1[[#This Row],[ORTools FZN2 State]]="Optimal"),1,"")</f>
        <v/>
      </c>
      <c r="BD66" s="39" t="s">
        <v>42</v>
      </c>
      <c r="BE66" s="39">
        <v>-4277935</v>
      </c>
      <c r="BF66" s="2">
        <v>300.22575970000003</v>
      </c>
      <c r="BG66" s="2" t="str">
        <f>IF(AND(Table1[[#This Row],[Z3 SMT2-2 Maxres Cost]]=Table1[[#This Row],[ORTools FZN2 Cost]],Table1[[#This Row],[ORTools FZN2 State]]="Optimal"),1,"")</f>
        <v/>
      </c>
      <c r="BH66" s="5" t="s">
        <v>42</v>
      </c>
      <c r="BI66" s="2">
        <v>-4277935</v>
      </c>
      <c r="BJ66" s="39">
        <v>300.2330814</v>
      </c>
      <c r="BK66" s="39" t="str">
        <f>IF(AND(Table1[[#This Row],[Z3 SMT2-2 PdMaxres Cost]]=Table1[[#This Row],[ORTools FZN2 Cost]],Table1[[#This Row],[ORTools FZN2 State]]="Optimal"),1,"")</f>
        <v/>
      </c>
      <c r="BL66" s="39" t="s">
        <v>42</v>
      </c>
      <c r="BM66" s="39">
        <v>-4277935</v>
      </c>
      <c r="BN66" s="2">
        <v>300.2383451</v>
      </c>
      <c r="BO66" s="4" t="str">
        <f>IF(AND(Table1[[#This Row],[Z3 SMT2-2 PdMaxres Cost]]=Table1[[#This Row],[ORTools FZN2 Cost]],Table1[[#This Row],[ORTools FZN2 State]]="Optimal"),1,"")</f>
        <v/>
      </c>
      <c r="BP66" s="5" t="s">
        <v>42</v>
      </c>
      <c r="BQ66" s="2">
        <v>-4277935</v>
      </c>
      <c r="BR66" s="2">
        <v>301.46805019999999</v>
      </c>
      <c r="BS66" s="2" t="str">
        <f>IF(AND(Table1[[#This Row],[Gurobi MB Cost]]=Table1[[#This Row],[ORTools FZN2 Cost]],Table1[[#This Row],[ORTools FZN2 State]]="Optimal",Table1[[#This Row],[Gurobi MB State]]="Suboptimal"),1,"")</f>
        <v/>
      </c>
      <c r="BT6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6" s="5" t="s">
        <v>42</v>
      </c>
      <c r="BV66" s="2">
        <v>-4277935</v>
      </c>
      <c r="BW66" s="2">
        <v>300.24557779999998</v>
      </c>
      <c r="BX66" s="2" t="str">
        <f>IF(AND(Table1[[#This Row],[Gurobi MD Cost]]=Table1[[#This Row],[ORTools FZN2 Cost]],Table1[[#This Row],[ORTools FZN2 State]]="Optimal",Table1[[#This Row],[Gurobi MD State]]="Suboptimal"),1,"")</f>
        <v/>
      </c>
      <c r="BY6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6" s="5" t="s">
        <v>42</v>
      </c>
      <c r="CA66" s="2">
        <v>-4277935</v>
      </c>
      <c r="CB66" s="2">
        <v>300.79497359999999</v>
      </c>
      <c r="CC66" s="2" t="str">
        <f>IF(AND(Table1[[#This Row],[Gurobi MI Cost]]=Table1[[#This Row],[ORTools FZN2 Cost]],Table1[[#This Row],[ORTools FZN2 State]]="Optimal",Table1[[#This Row],[Gurobi MI State]]="Suboptimal"),1,"")</f>
        <v/>
      </c>
      <c r="CD6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6" s="39" t="s">
        <v>42</v>
      </c>
      <c r="CF66" s="2">
        <v>-4277935</v>
      </c>
      <c r="CG66" s="39">
        <v>318.06316120000002</v>
      </c>
      <c r="CH66" s="39" t="s">
        <v>42</v>
      </c>
      <c r="CI66" s="39">
        <v>-4277935</v>
      </c>
      <c r="CJ66" s="2">
        <v>311.85930789999998</v>
      </c>
      <c r="CK66" s="5" t="s">
        <v>26</v>
      </c>
      <c r="CL66" s="2">
        <v>174847946</v>
      </c>
      <c r="CM66" s="2">
        <v>300.12599999999998</v>
      </c>
      <c r="CN66" s="5" t="s">
        <v>42</v>
      </c>
      <c r="CO66" s="2">
        <v>-4277935</v>
      </c>
      <c r="CP66" s="2">
        <v>313.4989842</v>
      </c>
      <c r="CQ66" s="5" t="s">
        <v>26</v>
      </c>
      <c r="CR66" s="2">
        <v>345225948</v>
      </c>
      <c r="CS66" s="2">
        <v>307.2952927</v>
      </c>
      <c r="CT66" s="6" t="s">
        <v>26</v>
      </c>
      <c r="CU66" s="4">
        <v>115300753</v>
      </c>
      <c r="CV66" s="4">
        <v>351.77154539999998</v>
      </c>
      <c r="CW66" s="39" t="s">
        <v>42</v>
      </c>
      <c r="CX66" s="39"/>
      <c r="CY66" s="2">
        <v>300.06270000000001</v>
      </c>
      <c r="CZ66" s="2" t="str">
        <f>IF(AND(Table1[[#This Row],[Cplex MZ1 Cost]]=Table1[[#This Row],[ORTools FZN2 Cost]],Table1[[#This Row],[ORTools FZN2 State]]="Optimal",Table1[[#This Row],[Cplex MZ1 State]]="Suboptimal"),1,"")</f>
        <v/>
      </c>
      <c r="DA66" s="5" t="s">
        <v>42</v>
      </c>
      <c r="DB66" s="2"/>
      <c r="DC66" s="2">
        <v>300.03800000000001</v>
      </c>
      <c r="DD66" s="2" t="str">
        <f>IF(AND(Table1[[#This Row],[Cplex MZ2 Cost]]=Table1[[#This Row],[ORTools FZN2 Cost]],Table1[[#This Row],[ORTools FZN2 State]]="Optimal",Table1[[#This Row],[Cplex MZ2 State]]="Suboptimal"),1,"")</f>
        <v/>
      </c>
      <c r="DE66" s="39" t="s">
        <v>42</v>
      </c>
      <c r="DF66" s="39"/>
      <c r="DG66" s="2">
        <v>300.4708</v>
      </c>
      <c r="DH66" s="2" t="str">
        <f>IF(AND(Table1[[#This Row],[Gurobi MZ1 Cost]]=Table1[[#This Row],[ORTools FZN2 Cost]],Table1[[#This Row],[ORTools FZN2 State]]="Optimal",Table1[[#This Row],[Gurobi MZ1 State]]="Suboptimal"),1,"")</f>
        <v/>
      </c>
      <c r="DI66" s="5" t="s">
        <v>42</v>
      </c>
      <c r="DJ66" s="2"/>
      <c r="DK66" s="2">
        <v>300.02179999999998</v>
      </c>
      <c r="DL66" s="4" t="str">
        <f>IF(AND(Table1[[#This Row],[Gurobi MZ2 Cost]]=Table1[[#This Row],[ORTools FZN2 Cost]],Table1[[#This Row],[ORTools FZN2 State]]="Optimal",Table1[[#This Row],[Gurobi MZ2 State]]="Suboptimal"),1,"")</f>
        <v/>
      </c>
      <c r="DM66" s="39" t="s">
        <v>26</v>
      </c>
      <c r="DN66" s="39">
        <v>145061774</v>
      </c>
      <c r="DO66" s="65">
        <v>300.784999999999</v>
      </c>
      <c r="DP66" s="4" t="str">
        <f>IF(AND(Table1[[#This Row],[Cplex MC nonDual Cost]]=Table1[[#This Row],[ORTools FZN2 Cost]],Table1[[#This Row],[ORTools FZN2 State]]="Optimal",Table1[[#This Row],[Cplex MC nonDual State]]="Suboptimal"),1,"")</f>
        <v/>
      </c>
      <c r="DQ66" s="5" t="s">
        <v>42</v>
      </c>
      <c r="DR66" s="2"/>
      <c r="DS66" s="2">
        <v>300.08800000000002</v>
      </c>
      <c r="DT66" s="2" t="str">
        <f>IF(AND(Table1[[#This Row],[Cplex MIP DM''z Cost]]=Table1[[#This Row],[ORTools FZN2 Cost]],Table1[[#This Row],[ORTools FZN2 State]]="Optimal",Table1[[#This Row],[Cplex MIP DM''z  State]]="Suboptimal"),1,"")</f>
        <v/>
      </c>
      <c r="DU6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6" s="5" t="s">
        <v>42</v>
      </c>
      <c r="DW66" s="2"/>
      <c r="DX66" s="2">
        <v>302.70830000000001</v>
      </c>
      <c r="DY66" s="4" t="str">
        <f>IF(AND(Table1[[#This Row],[Gurobi DM''z  Cost]]=Table1[[#This Row],[ORTools FZN2 Cost]],Table1[[#This Row],[ORTools FZN2 State]]="Optimal",Table1[[#This Row],[Gurobi DM''z  State]]="Suboptimal"),1,"")</f>
        <v/>
      </c>
      <c r="DZ6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7" spans="1:130" ht="15.75" x14ac:dyDescent="0.25">
      <c r="A67" s="46" t="s">
        <v>93</v>
      </c>
      <c r="B67" s="5">
        <v>166</v>
      </c>
      <c r="C67" s="2">
        <v>83</v>
      </c>
      <c r="D67" s="5">
        <v>7307</v>
      </c>
      <c r="E67" s="2">
        <v>152</v>
      </c>
      <c r="F67" s="5">
        <v>797</v>
      </c>
      <c r="G67" s="2">
        <v>0</v>
      </c>
      <c r="H67" s="4">
        <f t="shared" ref="H67:H130" si="1" xml:space="preserve"> B67-PRODUCT(2,C67)</f>
        <v>0</v>
      </c>
      <c r="I67" s="4">
        <f>Table1[[#This Row],[B]]+Table1[[#This Row],[Atomic Constraints]]+Table1[[#This Row],[Soft Atomic Constraints]]+Table1[[#This Row],[Disjunctive Constraints]]+Table1[[#This Row],[Direct Successors]]</f>
        <v>8339</v>
      </c>
      <c r="J67" s="5" t="s">
        <v>42</v>
      </c>
      <c r="K67" s="2">
        <v>-4602019</v>
      </c>
      <c r="L67" s="2">
        <v>314.89920489999997</v>
      </c>
      <c r="M67" s="2" t="str">
        <f>IF(AND(Table1[[#This Row],[Chuffed MZ1 Cost]]=Table1[[#This Row],[ORTools FZN2 Cost]],Table1[[#This Row],[ORTools FZN2 State]]="Optimal",Table1[[#This Row],[Chuffed MZ1 State]]="Suboptimal"),1,"")</f>
        <v/>
      </c>
      <c r="N67" s="5" t="s">
        <v>42</v>
      </c>
      <c r="O67" s="2">
        <v>-4602019</v>
      </c>
      <c r="P67" s="2">
        <v>315.01103749999999</v>
      </c>
      <c r="Q67" s="2" t="str">
        <f>IF(AND(Table1[[#This Row],[Chuffed MZ2 Cost]]=Table1[[#This Row],[ORTools FZN2 Cost]],Table1[[#This Row],[ORTools FZN2 State]]="Optimal",Table1[[#This Row],[Chuffed MZ2 State]]="Suboptimal"),1,"")</f>
        <v/>
      </c>
      <c r="R67" s="6" t="s">
        <v>26</v>
      </c>
      <c r="S67" s="4">
        <v>321464195</v>
      </c>
      <c r="T67" s="4">
        <v>300.08300000000099</v>
      </c>
      <c r="U67" s="4"/>
      <c r="V67" s="5" t="s">
        <v>42</v>
      </c>
      <c r="W67" s="2">
        <v>-4602019</v>
      </c>
      <c r="X67" s="2">
        <v>304.43332650000002</v>
      </c>
      <c r="Y67" s="2" t="str">
        <f>IF(AND(Table1[[#This Row],[ORTools FZN1 Cost]]=Table1[[#This Row],[ORTools FZN2 Cost]],Table1[[#This Row],[ORTools FZN2 State]]="Optimal",Table1[[#This Row],[ORTools FZN1 State]]="Suboptimal"),1,"")</f>
        <v/>
      </c>
      <c r="Z67" s="5" t="s">
        <v>42</v>
      </c>
      <c r="AA67" s="2">
        <v>-4602019</v>
      </c>
      <c r="AB67" s="2">
        <v>304.53014530000002</v>
      </c>
      <c r="AC67" s="39" t="s">
        <v>42</v>
      </c>
      <c r="AD67" s="39">
        <v>-4602019</v>
      </c>
      <c r="AE67" s="2">
        <v>300.22984839999998</v>
      </c>
      <c r="AF67" s="2" t="str">
        <f>IF(AND(Table1[[#This Row],[Cplex MB Cost]]=Table1[[#This Row],[ORTools FZN2 Cost]],Table1[[#This Row],[ORTools FZN2 State]]="Optimal",Table1[[#This Row],[Cplex MB State]]="Suboptimal"),1,"")</f>
        <v/>
      </c>
      <c r="AG67" s="4">
        <f>IF(AND(AC67="Optimal",AD67&lt;&gt;AA67,Table1[[#This Row],[Example]]&lt;&gt;"R001",Table1[[#This Row],[Example]]&lt;&gt;"R002"),AD67-AA67,)</f>
        <v>0</v>
      </c>
      <c r="AH67" s="5" t="s">
        <v>42</v>
      </c>
      <c r="AI67" s="2">
        <v>-4602019</v>
      </c>
      <c r="AJ67" s="2">
        <v>307.86710349999998</v>
      </c>
      <c r="AK67" s="2" t="str">
        <f>IF(AND(Table1[[#This Row],[Cplex MD Cost]]=Table1[[#This Row],[ORTools FZN2 Cost]],Table1[[#This Row],[ORTools FZN2 State]]="Optimal",Table1[[#This Row],[Cplex MD State]]="Suboptimal"),1,"")</f>
        <v/>
      </c>
      <c r="AL67" s="4">
        <f>IF(AND(AH67="Optimal",AI67&lt;&gt;AA67,Table1[[#This Row],[Example]]&lt;&gt;"R001",Table1[[#This Row],[Example]]&lt;&gt;"R002"),AI67-AA67,)</f>
        <v>0</v>
      </c>
      <c r="AM67" s="39" t="s">
        <v>42</v>
      </c>
      <c r="AN67" s="39">
        <v>-4602019</v>
      </c>
      <c r="AO67" s="2">
        <v>301.62661100000003</v>
      </c>
      <c r="AP6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7" s="4" t="str">
        <f>IF(AND(Table1[[#This Row],[Cplex MI Cost]]=Table1[[#This Row],[ORTools FZN2 Cost]],Table1[[#This Row],[ORTools FZN2 State]]="Optimal",Table1[[#This Row],[Cplex MI State]]="Suboptimal"),1,"")</f>
        <v/>
      </c>
      <c r="AR67" s="5" t="s">
        <v>42</v>
      </c>
      <c r="AS67" s="2">
        <v>-4602019</v>
      </c>
      <c r="AT67" s="2">
        <v>300.1903987</v>
      </c>
      <c r="AU67" s="2" t="str">
        <f>IF(AND(Table1[[#This Row],[Z3 SMT2-1 Maxres Cost]]=Table1[[#This Row],[ORTools FZN2 Cost]],Table1[[#This Row],[ORTools FZN2 State]]="Optimal"),1,"")</f>
        <v/>
      </c>
      <c r="AV67" s="39" t="s">
        <v>42</v>
      </c>
      <c r="AW67" s="39">
        <v>-4602019</v>
      </c>
      <c r="AX67" s="2">
        <v>300.18396749999999</v>
      </c>
      <c r="AY67" s="2" t="str">
        <f>IF(AND(Table1[[#This Row],[Z3 SMT2-1 PdMaxres Cost]]=Table1[[#This Row],[ORTools FZN2 Cost]],Table1[[#This Row],[ORTools FZN2 State]]="Optimal"),1,"")</f>
        <v/>
      </c>
      <c r="AZ67" s="5" t="s">
        <v>42</v>
      </c>
      <c r="BA67" s="2">
        <v>-4602019</v>
      </c>
      <c r="BB67" s="39">
        <v>300.22478189999998</v>
      </c>
      <c r="BC67" s="39" t="str">
        <f>IF(AND(Table1[[#This Row],[Z3 SMT2-1 WMax Cost]]=Table1[[#This Row],[ORTools FZN2 Cost]],Table1[[#This Row],[ORTools FZN2 State]]="Optimal"),1,"")</f>
        <v/>
      </c>
      <c r="BD67" s="39" t="s">
        <v>42</v>
      </c>
      <c r="BE67" s="39">
        <v>-4602019</v>
      </c>
      <c r="BF67" s="2">
        <v>300.1742261</v>
      </c>
      <c r="BG67" s="2" t="str">
        <f>IF(AND(Table1[[#This Row],[Z3 SMT2-2 Maxres Cost]]=Table1[[#This Row],[ORTools FZN2 Cost]],Table1[[#This Row],[ORTools FZN2 State]]="Optimal"),1,"")</f>
        <v/>
      </c>
      <c r="BH67" s="5" t="s">
        <v>42</v>
      </c>
      <c r="BI67" s="2">
        <v>-4602019</v>
      </c>
      <c r="BJ67" s="39">
        <v>300.17687960000001</v>
      </c>
      <c r="BK67" s="39" t="str">
        <f>IF(AND(Table1[[#This Row],[Z3 SMT2-2 PdMaxres Cost]]=Table1[[#This Row],[ORTools FZN2 Cost]],Table1[[#This Row],[ORTools FZN2 State]]="Optimal"),1,"")</f>
        <v/>
      </c>
      <c r="BL67" s="39" t="s">
        <v>42</v>
      </c>
      <c r="BM67" s="39">
        <v>-4602019</v>
      </c>
      <c r="BN67" s="2">
        <v>300.1865292</v>
      </c>
      <c r="BO67" s="4" t="str">
        <f>IF(AND(Table1[[#This Row],[Z3 SMT2-2 PdMaxres Cost]]=Table1[[#This Row],[ORTools FZN2 Cost]],Table1[[#This Row],[ORTools FZN2 State]]="Optimal"),1,"")</f>
        <v/>
      </c>
      <c r="BP67" s="5" t="s">
        <v>42</v>
      </c>
      <c r="BQ67" s="2">
        <v>-4602019</v>
      </c>
      <c r="BR67" s="2">
        <v>300.43360740000003</v>
      </c>
      <c r="BS67" s="2" t="str">
        <f>IF(AND(Table1[[#This Row],[Gurobi MB Cost]]=Table1[[#This Row],[ORTools FZN2 Cost]],Table1[[#This Row],[ORTools FZN2 State]]="Optimal",Table1[[#This Row],[Gurobi MB State]]="Suboptimal"),1,"")</f>
        <v/>
      </c>
      <c r="BT6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7" s="5" t="s">
        <v>42</v>
      </c>
      <c r="BV67" s="2">
        <v>-4602019</v>
      </c>
      <c r="BW67" s="2">
        <v>300.38765369999999</v>
      </c>
      <c r="BX67" s="2" t="str">
        <f>IF(AND(Table1[[#This Row],[Gurobi MD Cost]]=Table1[[#This Row],[ORTools FZN2 Cost]],Table1[[#This Row],[ORTools FZN2 State]]="Optimal",Table1[[#This Row],[Gurobi MD State]]="Suboptimal"),1,"")</f>
        <v/>
      </c>
      <c r="BY6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7" s="5" t="s">
        <v>42</v>
      </c>
      <c r="CA67" s="2">
        <v>-4602019</v>
      </c>
      <c r="CB67" s="2">
        <v>300.16852710000001</v>
      </c>
      <c r="CC67" s="2" t="str">
        <f>IF(AND(Table1[[#This Row],[Gurobi MI Cost]]=Table1[[#This Row],[ORTools FZN2 Cost]],Table1[[#This Row],[ORTools FZN2 State]]="Optimal",Table1[[#This Row],[Gurobi MI State]]="Suboptimal"),1,"")</f>
        <v/>
      </c>
      <c r="CD6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7" s="39" t="s">
        <v>42</v>
      </c>
      <c r="CF67" s="2">
        <v>-4602019</v>
      </c>
      <c r="CG67" s="39">
        <v>319.5252883</v>
      </c>
      <c r="CH67" s="39" t="s">
        <v>42</v>
      </c>
      <c r="CI67" s="39">
        <v>-4602019</v>
      </c>
      <c r="CJ67" s="2">
        <v>316.88210290000001</v>
      </c>
      <c r="CK67" s="5" t="s">
        <v>26</v>
      </c>
      <c r="CL67" s="2">
        <v>298483465</v>
      </c>
      <c r="CM67" s="2">
        <v>301.50499999999897</v>
      </c>
      <c r="CN67" s="5" t="s">
        <v>26</v>
      </c>
      <c r="CO67" s="2">
        <v>381206110</v>
      </c>
      <c r="CP67" s="2">
        <v>314.11714890000002</v>
      </c>
      <c r="CQ67" s="5" t="s">
        <v>26</v>
      </c>
      <c r="CR67" s="2">
        <v>381097568</v>
      </c>
      <c r="CS67" s="2">
        <v>307.42445980000002</v>
      </c>
      <c r="CT67" s="6" t="s">
        <v>26</v>
      </c>
      <c r="CU67" s="4">
        <v>371837057</v>
      </c>
      <c r="CV67" s="4">
        <v>288.52163689999998</v>
      </c>
      <c r="CW67" s="39" t="s">
        <v>42</v>
      </c>
      <c r="CX67" s="39"/>
      <c r="CY67" s="2">
        <v>300.07339999999999</v>
      </c>
      <c r="CZ67" s="2" t="str">
        <f>IF(AND(Table1[[#This Row],[Cplex MZ1 Cost]]=Table1[[#This Row],[ORTools FZN2 Cost]],Table1[[#This Row],[ORTools FZN2 State]]="Optimal",Table1[[#This Row],[Cplex MZ1 State]]="Suboptimal"),1,"")</f>
        <v/>
      </c>
      <c r="DA67" s="5" t="s">
        <v>42</v>
      </c>
      <c r="DB67" s="2"/>
      <c r="DC67" s="2">
        <v>300.07740000000001</v>
      </c>
      <c r="DD67" s="2" t="str">
        <f>IF(AND(Table1[[#This Row],[Cplex MZ2 Cost]]=Table1[[#This Row],[ORTools FZN2 Cost]],Table1[[#This Row],[ORTools FZN2 State]]="Optimal",Table1[[#This Row],[Cplex MZ2 State]]="Suboptimal"),1,"")</f>
        <v/>
      </c>
      <c r="DE67" s="39" t="s">
        <v>42</v>
      </c>
      <c r="DF67" s="39"/>
      <c r="DG67" s="2">
        <v>301.14420000000001</v>
      </c>
      <c r="DH67" s="2" t="str">
        <f>IF(AND(Table1[[#This Row],[Gurobi MZ1 Cost]]=Table1[[#This Row],[ORTools FZN2 Cost]],Table1[[#This Row],[ORTools FZN2 State]]="Optimal",Table1[[#This Row],[Gurobi MZ1 State]]="Suboptimal"),1,"")</f>
        <v/>
      </c>
      <c r="DI67" s="5" t="s">
        <v>42</v>
      </c>
      <c r="DJ67" s="2"/>
      <c r="DK67" s="2">
        <v>300.55790000000002</v>
      </c>
      <c r="DL67" s="4" t="str">
        <f>IF(AND(Table1[[#This Row],[Gurobi MZ2 Cost]]=Table1[[#This Row],[ORTools FZN2 Cost]],Table1[[#This Row],[ORTools FZN2 State]]="Optimal",Table1[[#This Row],[Gurobi MZ2 State]]="Suboptimal"),1,"")</f>
        <v/>
      </c>
      <c r="DM67" s="39" t="s">
        <v>26</v>
      </c>
      <c r="DN67" s="39">
        <v>326178602</v>
      </c>
      <c r="DO67" s="65">
        <v>300.79399999999902</v>
      </c>
      <c r="DP67" s="4" t="str">
        <f>IF(AND(Table1[[#This Row],[Cplex MC nonDual Cost]]=Table1[[#This Row],[ORTools FZN2 Cost]],Table1[[#This Row],[ORTools FZN2 State]]="Optimal",Table1[[#This Row],[Cplex MC nonDual State]]="Suboptimal"),1,"")</f>
        <v/>
      </c>
      <c r="DQ67" s="5" t="s">
        <v>42</v>
      </c>
      <c r="DR67" s="2"/>
      <c r="DS67" s="2">
        <v>300.09739999999999</v>
      </c>
      <c r="DT67" s="2" t="str">
        <f>IF(AND(Table1[[#This Row],[Cplex MIP DM''z Cost]]=Table1[[#This Row],[ORTools FZN2 Cost]],Table1[[#This Row],[ORTools FZN2 State]]="Optimal",Table1[[#This Row],[Cplex MIP DM''z  State]]="Suboptimal"),1,"")</f>
        <v/>
      </c>
      <c r="DU6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7" s="5" t="s">
        <v>42</v>
      </c>
      <c r="DW67" s="2"/>
      <c r="DX67" s="2">
        <v>300.71370000000002</v>
      </c>
      <c r="DY67" s="4" t="str">
        <f>IF(AND(Table1[[#This Row],[Gurobi DM''z  Cost]]=Table1[[#This Row],[ORTools FZN2 Cost]],Table1[[#This Row],[ORTools FZN2 State]]="Optimal",Table1[[#This Row],[Gurobi DM''z  State]]="Suboptimal"),1,"")</f>
        <v/>
      </c>
      <c r="DZ6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8" spans="1:130" ht="15.75" x14ac:dyDescent="0.25">
      <c r="A68" s="46" t="s">
        <v>94</v>
      </c>
      <c r="B68" s="5">
        <v>170</v>
      </c>
      <c r="C68" s="2">
        <v>85</v>
      </c>
      <c r="D68" s="5">
        <v>7651</v>
      </c>
      <c r="E68" s="2">
        <v>156</v>
      </c>
      <c r="F68" s="5">
        <v>842</v>
      </c>
      <c r="G68" s="2">
        <v>0</v>
      </c>
      <c r="H68" s="4">
        <f t="shared" si="1"/>
        <v>0</v>
      </c>
      <c r="I68" s="4">
        <f>Table1[[#This Row],[B]]+Table1[[#This Row],[Atomic Constraints]]+Table1[[#This Row],[Soft Atomic Constraints]]+Table1[[#This Row],[Disjunctive Constraints]]+Table1[[#This Row],[Direct Successors]]</f>
        <v>8734</v>
      </c>
      <c r="J68" s="5" t="s">
        <v>42</v>
      </c>
      <c r="K68" s="2">
        <v>-4942071</v>
      </c>
      <c r="L68" s="2">
        <v>315.5498063</v>
      </c>
      <c r="M68" s="2" t="str">
        <f>IF(AND(Table1[[#This Row],[Chuffed MZ1 Cost]]=Table1[[#This Row],[ORTools FZN2 Cost]],Table1[[#This Row],[ORTools FZN2 State]]="Optimal",Table1[[#This Row],[Chuffed MZ1 State]]="Suboptimal"),1,"")</f>
        <v/>
      </c>
      <c r="N68" s="5" t="s">
        <v>42</v>
      </c>
      <c r="O68" s="2">
        <v>-4942071</v>
      </c>
      <c r="P68" s="2">
        <v>315.59627740000002</v>
      </c>
      <c r="Q68" s="2" t="str">
        <f>IF(AND(Table1[[#This Row],[Chuffed MZ2 Cost]]=Table1[[#This Row],[ORTools FZN2 Cost]],Table1[[#This Row],[ORTools FZN2 State]]="Optimal",Table1[[#This Row],[Chuffed MZ2 State]]="Suboptimal"),1,"")</f>
        <v/>
      </c>
      <c r="R68" s="5" t="s">
        <v>26</v>
      </c>
      <c r="S68" s="2">
        <v>364859158</v>
      </c>
      <c r="T68" s="2">
        <v>301.61100000000101</v>
      </c>
      <c r="U68" s="2"/>
      <c r="V68" s="5" t="s">
        <v>42</v>
      </c>
      <c r="W68" s="2">
        <v>-4942071</v>
      </c>
      <c r="X68" s="2">
        <v>304.72192269999999</v>
      </c>
      <c r="Y68" s="2" t="str">
        <f>IF(AND(Table1[[#This Row],[ORTools FZN1 Cost]]=Table1[[#This Row],[ORTools FZN2 Cost]],Table1[[#This Row],[ORTools FZN2 State]]="Optimal",Table1[[#This Row],[ORTools FZN1 State]]="Suboptimal"),1,"")</f>
        <v/>
      </c>
      <c r="Z68" s="5" t="s">
        <v>42</v>
      </c>
      <c r="AA68" s="2">
        <v>-4942071</v>
      </c>
      <c r="AB68" s="2">
        <v>304.98067329999998</v>
      </c>
      <c r="AC68" s="39" t="s">
        <v>42</v>
      </c>
      <c r="AD68" s="39">
        <v>-4942071</v>
      </c>
      <c r="AE68" s="2">
        <v>300.2046929</v>
      </c>
      <c r="AF68" s="2" t="str">
        <f>IF(AND(Table1[[#This Row],[Cplex MB Cost]]=Table1[[#This Row],[ORTools FZN2 Cost]],Table1[[#This Row],[ORTools FZN2 State]]="Optimal",Table1[[#This Row],[Cplex MB State]]="Suboptimal"),1,"")</f>
        <v/>
      </c>
      <c r="AG68" s="4">
        <f>IF(AND(AC68="Optimal",AD68&lt;&gt;AA68,Table1[[#This Row],[Example]]&lt;&gt;"R001",Table1[[#This Row],[Example]]&lt;&gt;"R002"),AD68-AA68,)</f>
        <v>0</v>
      </c>
      <c r="AH68" s="5" t="s">
        <v>42</v>
      </c>
      <c r="AI68" s="2">
        <v>-4942071</v>
      </c>
      <c r="AJ68" s="2">
        <v>308.71447549999999</v>
      </c>
      <c r="AK68" s="2" t="str">
        <f>IF(AND(Table1[[#This Row],[Cplex MD Cost]]=Table1[[#This Row],[ORTools FZN2 Cost]],Table1[[#This Row],[ORTools FZN2 State]]="Optimal",Table1[[#This Row],[Cplex MD State]]="Suboptimal"),1,"")</f>
        <v/>
      </c>
      <c r="AL68" s="2">
        <f>IF(AND(AH68="Optimal",AI68&lt;&gt;AA68,Table1[[#This Row],[Example]]&lt;&gt;"R001",Table1[[#This Row],[Example]]&lt;&gt;"R002"),AI68-AA68,)</f>
        <v>0</v>
      </c>
      <c r="AM68" s="39" t="s">
        <v>42</v>
      </c>
      <c r="AN68" s="39">
        <v>-4942071</v>
      </c>
      <c r="AO68" s="2">
        <v>301.1404531</v>
      </c>
      <c r="AP6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8" s="4" t="str">
        <f>IF(AND(Table1[[#This Row],[Cplex MI Cost]]=Table1[[#This Row],[ORTools FZN2 Cost]],Table1[[#This Row],[ORTools FZN2 State]]="Optimal",Table1[[#This Row],[Cplex MI State]]="Suboptimal"),1,"")</f>
        <v/>
      </c>
      <c r="AR68" s="5" t="s">
        <v>42</v>
      </c>
      <c r="AS68" s="2">
        <v>-4942071</v>
      </c>
      <c r="AT68" s="2">
        <v>300.1797502</v>
      </c>
      <c r="AU68" s="2" t="str">
        <f>IF(AND(Table1[[#This Row],[Z3 SMT2-1 Maxres Cost]]=Table1[[#This Row],[ORTools FZN2 Cost]],Table1[[#This Row],[ORTools FZN2 State]]="Optimal"),1,"")</f>
        <v/>
      </c>
      <c r="AV68" s="39" t="s">
        <v>42</v>
      </c>
      <c r="AW68" s="39">
        <v>-4942071</v>
      </c>
      <c r="AX68" s="2">
        <v>300.1670532</v>
      </c>
      <c r="AY68" s="2" t="str">
        <f>IF(AND(Table1[[#This Row],[Z3 SMT2-1 PdMaxres Cost]]=Table1[[#This Row],[ORTools FZN2 Cost]],Table1[[#This Row],[ORTools FZN2 State]]="Optimal"),1,"")</f>
        <v/>
      </c>
      <c r="AZ68" s="5" t="s">
        <v>42</v>
      </c>
      <c r="BA68" s="2">
        <v>-4942071</v>
      </c>
      <c r="BB68" s="39">
        <v>300.22276620000002</v>
      </c>
      <c r="BC68" s="39" t="str">
        <f>IF(AND(Table1[[#This Row],[Z3 SMT2-1 WMax Cost]]=Table1[[#This Row],[ORTools FZN2 Cost]],Table1[[#This Row],[ORTools FZN2 State]]="Optimal"),1,"")</f>
        <v/>
      </c>
      <c r="BD68" s="39" t="s">
        <v>42</v>
      </c>
      <c r="BE68" s="39">
        <v>-4942071</v>
      </c>
      <c r="BF68" s="2">
        <v>300.18966799999998</v>
      </c>
      <c r="BG68" s="2" t="str">
        <f>IF(AND(Table1[[#This Row],[Z3 SMT2-2 Maxres Cost]]=Table1[[#This Row],[ORTools FZN2 Cost]],Table1[[#This Row],[ORTools FZN2 State]]="Optimal"),1,"")</f>
        <v/>
      </c>
      <c r="BH68" s="5" t="s">
        <v>42</v>
      </c>
      <c r="BI68" s="2">
        <v>-4942071</v>
      </c>
      <c r="BJ68" s="39">
        <v>300.18054360000002</v>
      </c>
      <c r="BK68" s="39" t="str">
        <f>IF(AND(Table1[[#This Row],[Z3 SMT2-2 PdMaxres Cost]]=Table1[[#This Row],[ORTools FZN2 Cost]],Table1[[#This Row],[ORTools FZN2 State]]="Optimal"),1,"")</f>
        <v/>
      </c>
      <c r="BL68" s="39" t="s">
        <v>42</v>
      </c>
      <c r="BM68" s="39">
        <v>-4942071</v>
      </c>
      <c r="BN68" s="2">
        <v>300.18523549999998</v>
      </c>
      <c r="BO68" s="4" t="str">
        <f>IF(AND(Table1[[#This Row],[Z3 SMT2-2 PdMaxres Cost]]=Table1[[#This Row],[ORTools FZN2 Cost]],Table1[[#This Row],[ORTools FZN2 State]]="Optimal"),1,"")</f>
        <v/>
      </c>
      <c r="BP68" s="5" t="s">
        <v>42</v>
      </c>
      <c r="BQ68" s="2">
        <v>-4942071</v>
      </c>
      <c r="BR68" s="2">
        <v>301.1712182</v>
      </c>
      <c r="BS68" s="2" t="str">
        <f>IF(AND(Table1[[#This Row],[Gurobi MB Cost]]=Table1[[#This Row],[ORTools FZN2 Cost]],Table1[[#This Row],[ORTools FZN2 State]]="Optimal",Table1[[#This Row],[Gurobi MB State]]="Suboptimal"),1,"")</f>
        <v/>
      </c>
      <c r="BT6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8" s="5" t="s">
        <v>42</v>
      </c>
      <c r="BV68" s="2">
        <v>-4942071</v>
      </c>
      <c r="BW68" s="2">
        <v>300.26663930000001</v>
      </c>
      <c r="BX68" s="2" t="str">
        <f>IF(AND(Table1[[#This Row],[Gurobi MD Cost]]=Table1[[#This Row],[ORTools FZN2 Cost]],Table1[[#This Row],[ORTools FZN2 State]]="Optimal",Table1[[#This Row],[Gurobi MD State]]="Suboptimal"),1,"")</f>
        <v/>
      </c>
      <c r="BY6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8" s="5" t="s">
        <v>42</v>
      </c>
      <c r="CA68" s="2">
        <v>-4942071</v>
      </c>
      <c r="CB68" s="2">
        <v>300.12845440000001</v>
      </c>
      <c r="CC68" s="2" t="str">
        <f>IF(AND(Table1[[#This Row],[Gurobi MI Cost]]=Table1[[#This Row],[ORTools FZN2 Cost]],Table1[[#This Row],[ORTools FZN2 State]]="Optimal",Table1[[#This Row],[Gurobi MI State]]="Suboptimal"),1,"")</f>
        <v/>
      </c>
      <c r="CD6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8" s="39" t="s">
        <v>42</v>
      </c>
      <c r="CF68" s="2">
        <v>-4942071</v>
      </c>
      <c r="CG68" s="39">
        <v>320.58421720000001</v>
      </c>
      <c r="CH68" s="39" t="s">
        <v>42</v>
      </c>
      <c r="CI68" s="39">
        <v>-4942071</v>
      </c>
      <c r="CJ68" s="2">
        <v>316.9724253</v>
      </c>
      <c r="CK68" s="5" t="s">
        <v>26</v>
      </c>
      <c r="CL68" s="2">
        <v>340295686</v>
      </c>
      <c r="CM68" s="2">
        <v>301.18999999999897</v>
      </c>
      <c r="CN68" s="5" t="s">
        <v>42</v>
      </c>
      <c r="CO68" s="2">
        <v>-4942071</v>
      </c>
      <c r="CP68" s="2">
        <v>314.78041999999999</v>
      </c>
      <c r="CQ68" s="5" t="s">
        <v>42</v>
      </c>
      <c r="CR68" s="2">
        <v>-4942071</v>
      </c>
      <c r="CS68" s="2">
        <v>307.48343649999998</v>
      </c>
      <c r="CT68" s="6" t="s">
        <v>26</v>
      </c>
      <c r="CU68" s="4">
        <v>394597596</v>
      </c>
      <c r="CV68" s="4">
        <v>335.07016909999999</v>
      </c>
      <c r="CW68" s="39" t="s">
        <v>42</v>
      </c>
      <c r="CX68" s="39"/>
      <c r="CY68" s="2">
        <v>300.16879999999998</v>
      </c>
      <c r="CZ68" s="2" t="str">
        <f>IF(AND(Table1[[#This Row],[Cplex MZ1 Cost]]=Table1[[#This Row],[ORTools FZN2 Cost]],Table1[[#This Row],[ORTools FZN2 State]]="Optimal",Table1[[#This Row],[Cplex MZ1 State]]="Suboptimal"),1,"")</f>
        <v/>
      </c>
      <c r="DA68" s="5" t="s">
        <v>42</v>
      </c>
      <c r="DB68" s="2"/>
      <c r="DC68" s="2">
        <v>300.18979999999999</v>
      </c>
      <c r="DD68" s="2" t="str">
        <f>IF(AND(Table1[[#This Row],[Cplex MZ2 Cost]]=Table1[[#This Row],[ORTools FZN2 Cost]],Table1[[#This Row],[ORTools FZN2 State]]="Optimal",Table1[[#This Row],[Cplex MZ2 State]]="Suboptimal"),1,"")</f>
        <v/>
      </c>
      <c r="DE68" s="39" t="s">
        <v>42</v>
      </c>
      <c r="DF68" s="39"/>
      <c r="DG68" s="2">
        <v>300.61130000000003</v>
      </c>
      <c r="DH68" s="2" t="str">
        <f>IF(AND(Table1[[#This Row],[Gurobi MZ1 Cost]]=Table1[[#This Row],[ORTools FZN2 Cost]],Table1[[#This Row],[ORTools FZN2 State]]="Optimal",Table1[[#This Row],[Gurobi MZ1 State]]="Suboptimal"),1,"")</f>
        <v/>
      </c>
      <c r="DI68" s="5" t="s">
        <v>42</v>
      </c>
      <c r="DJ68" s="2"/>
      <c r="DK68" s="2">
        <v>300.4873</v>
      </c>
      <c r="DL68" s="4" t="str">
        <f>IF(AND(Table1[[#This Row],[Gurobi MZ2 Cost]]=Table1[[#This Row],[ORTools FZN2 Cost]],Table1[[#This Row],[ORTools FZN2 State]]="Optimal",Table1[[#This Row],[Gurobi MZ2 State]]="Suboptimal"),1,"")</f>
        <v/>
      </c>
      <c r="DM68" s="39" t="s">
        <v>26</v>
      </c>
      <c r="DN68" s="39">
        <v>345267667</v>
      </c>
      <c r="DO68" s="65">
        <v>300.74200000000002</v>
      </c>
      <c r="DP68" s="4" t="str">
        <f>IF(AND(Table1[[#This Row],[Cplex MC nonDual Cost]]=Table1[[#This Row],[ORTools FZN2 Cost]],Table1[[#This Row],[ORTools FZN2 State]]="Optimal",Table1[[#This Row],[Cplex MC nonDual State]]="Suboptimal"),1,"")</f>
        <v/>
      </c>
      <c r="DQ68" s="5" t="s">
        <v>42</v>
      </c>
      <c r="DR68" s="2"/>
      <c r="DS68" s="2">
        <v>300.09379999999999</v>
      </c>
      <c r="DT68" s="2" t="str">
        <f>IF(AND(Table1[[#This Row],[Cplex MIP DM''z Cost]]=Table1[[#This Row],[ORTools FZN2 Cost]],Table1[[#This Row],[ORTools FZN2 State]]="Optimal",Table1[[#This Row],[Cplex MIP DM''z  State]]="Suboptimal"),1,"")</f>
        <v/>
      </c>
      <c r="DU6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8" s="5" t="s">
        <v>42</v>
      </c>
      <c r="DW68" s="2"/>
      <c r="DX68" s="2">
        <v>300.363</v>
      </c>
      <c r="DY68" s="4" t="str">
        <f>IF(AND(Table1[[#This Row],[Gurobi DM''z  Cost]]=Table1[[#This Row],[ORTools FZN2 Cost]],Table1[[#This Row],[ORTools FZN2 State]]="Optimal",Table1[[#This Row],[Gurobi DM''z  State]]="Suboptimal"),1,"")</f>
        <v/>
      </c>
      <c r="DZ6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69" spans="1:130" ht="15.75" x14ac:dyDescent="0.25">
      <c r="A69" s="46" t="s">
        <v>95</v>
      </c>
      <c r="B69" s="5">
        <v>180</v>
      </c>
      <c r="C69" s="2">
        <v>90</v>
      </c>
      <c r="D69" s="5">
        <v>8640</v>
      </c>
      <c r="E69" s="2">
        <v>166</v>
      </c>
      <c r="F69" s="5">
        <v>933</v>
      </c>
      <c r="G69" s="2">
        <v>0</v>
      </c>
      <c r="H69" s="4">
        <f t="shared" si="1"/>
        <v>0</v>
      </c>
      <c r="I69" s="4">
        <f>Table1[[#This Row],[B]]+Table1[[#This Row],[Atomic Constraints]]+Table1[[#This Row],[Soft Atomic Constraints]]+Table1[[#This Row],[Disjunctive Constraints]]+Table1[[#This Row],[Direct Successors]]</f>
        <v>9829</v>
      </c>
      <c r="J69" s="5" t="s">
        <v>42</v>
      </c>
      <c r="K69" s="2">
        <v>-5864581</v>
      </c>
      <c r="L69" s="2">
        <v>317.36787509999999</v>
      </c>
      <c r="M69" s="2" t="str">
        <f>IF(AND(Table1[[#This Row],[Chuffed MZ1 Cost]]=Table1[[#This Row],[ORTools FZN2 Cost]],Table1[[#This Row],[ORTools FZN2 State]]="Optimal",Table1[[#This Row],[Chuffed MZ1 State]]="Suboptimal"),1,"")</f>
        <v/>
      </c>
      <c r="N69" s="5" t="s">
        <v>42</v>
      </c>
      <c r="O69" s="2">
        <v>-5864581</v>
      </c>
      <c r="P69" s="2">
        <v>317.25827079999999</v>
      </c>
      <c r="Q69" s="2" t="str">
        <f>IF(AND(Table1[[#This Row],[Chuffed MZ2 Cost]]=Table1[[#This Row],[ORTools FZN2 Cost]],Table1[[#This Row],[ORTools FZN2 State]]="Optimal",Table1[[#This Row],[Chuffed MZ2 State]]="Suboptimal"),1,"")</f>
        <v/>
      </c>
      <c r="R69" s="6" t="s">
        <v>26</v>
      </c>
      <c r="S69" s="4">
        <v>421553740</v>
      </c>
      <c r="T69" s="4">
        <v>301.29000000000099</v>
      </c>
      <c r="U69" s="4"/>
      <c r="V69" s="5" t="s">
        <v>42</v>
      </c>
      <c r="W69" s="2">
        <v>-5864581</v>
      </c>
      <c r="X69" s="2">
        <v>305.19641280000002</v>
      </c>
      <c r="Y69" s="2" t="str">
        <f>IF(AND(Table1[[#This Row],[ORTools FZN1 Cost]]=Table1[[#This Row],[ORTools FZN2 Cost]],Table1[[#This Row],[ORTools FZN2 State]]="Optimal",Table1[[#This Row],[ORTools FZN1 State]]="Suboptimal"),1,"")</f>
        <v/>
      </c>
      <c r="Z69" s="5" t="s">
        <v>42</v>
      </c>
      <c r="AA69" s="2">
        <v>-5864581</v>
      </c>
      <c r="AB69" s="2">
        <v>305.73512549999998</v>
      </c>
      <c r="AC69" s="39" t="s">
        <v>42</v>
      </c>
      <c r="AD69" s="39">
        <v>-5864581</v>
      </c>
      <c r="AE69" s="2">
        <v>300.37279160000003</v>
      </c>
      <c r="AF69" s="2" t="str">
        <f>IF(AND(Table1[[#This Row],[Cplex MB Cost]]=Table1[[#This Row],[ORTools FZN2 Cost]],Table1[[#This Row],[ORTools FZN2 State]]="Optimal",Table1[[#This Row],[Cplex MB State]]="Suboptimal"),1,"")</f>
        <v/>
      </c>
      <c r="AG69" s="4">
        <f>IF(AND(AC69="Optimal",AD69&lt;&gt;AA69,Table1[[#This Row],[Example]]&lt;&gt;"R001",Table1[[#This Row],[Example]]&lt;&gt;"R002"),AD69-AA69,)</f>
        <v>0</v>
      </c>
      <c r="AH69" s="5" t="s">
        <v>42</v>
      </c>
      <c r="AI69" s="2">
        <v>-5864581</v>
      </c>
      <c r="AJ69" s="2">
        <v>308.4847436</v>
      </c>
      <c r="AK69" s="2" t="str">
        <f>IF(AND(Table1[[#This Row],[Cplex MD Cost]]=Table1[[#This Row],[ORTools FZN2 Cost]],Table1[[#This Row],[ORTools FZN2 State]]="Optimal",Table1[[#This Row],[Cplex MD State]]="Suboptimal"),1,"")</f>
        <v/>
      </c>
      <c r="AL69" s="4">
        <f>IF(AND(AH69="Optimal",AI69&lt;&gt;AA69,Table1[[#This Row],[Example]]&lt;&gt;"R001",Table1[[#This Row],[Example]]&lt;&gt;"R002"),AI69-AA69,)</f>
        <v>0</v>
      </c>
      <c r="AM69" s="39" t="s">
        <v>42</v>
      </c>
      <c r="AN69" s="39">
        <v>-5864581</v>
      </c>
      <c r="AO69" s="2">
        <v>301.35331209999998</v>
      </c>
      <c r="AP6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69" s="4" t="str">
        <f>IF(AND(Table1[[#This Row],[Cplex MI Cost]]=Table1[[#This Row],[ORTools FZN2 Cost]],Table1[[#This Row],[ORTools FZN2 State]]="Optimal",Table1[[#This Row],[Cplex MI State]]="Suboptimal"),1,"")</f>
        <v/>
      </c>
      <c r="AR69" s="5" t="s">
        <v>42</v>
      </c>
      <c r="AS69" s="2">
        <v>-5864581</v>
      </c>
      <c r="AT69" s="2">
        <v>300.18452309999998</v>
      </c>
      <c r="AU69" s="2" t="str">
        <f>IF(AND(Table1[[#This Row],[Z3 SMT2-1 Maxres Cost]]=Table1[[#This Row],[ORTools FZN2 Cost]],Table1[[#This Row],[ORTools FZN2 State]]="Optimal"),1,"")</f>
        <v/>
      </c>
      <c r="AV69" s="39" t="s">
        <v>42</v>
      </c>
      <c r="AW69" s="39">
        <v>-5864581</v>
      </c>
      <c r="AX69" s="2">
        <v>300.19079019999998</v>
      </c>
      <c r="AY69" s="2" t="str">
        <f>IF(AND(Table1[[#This Row],[Z3 SMT2-1 PdMaxres Cost]]=Table1[[#This Row],[ORTools FZN2 Cost]],Table1[[#This Row],[ORTools FZN2 State]]="Optimal"),1,"")</f>
        <v/>
      </c>
      <c r="AZ69" s="5" t="s">
        <v>42</v>
      </c>
      <c r="BA69" s="2">
        <v>-5864581</v>
      </c>
      <c r="BB69" s="39">
        <v>300.23208240000002</v>
      </c>
      <c r="BC69" s="39" t="str">
        <f>IF(AND(Table1[[#This Row],[Z3 SMT2-1 WMax Cost]]=Table1[[#This Row],[ORTools FZN2 Cost]],Table1[[#This Row],[ORTools FZN2 State]]="Optimal"),1,"")</f>
        <v/>
      </c>
      <c r="BD69" s="39" t="s">
        <v>42</v>
      </c>
      <c r="BE69" s="39">
        <v>-5864581</v>
      </c>
      <c r="BF69" s="2">
        <v>300.18636429999998</v>
      </c>
      <c r="BG69" s="2" t="str">
        <f>IF(AND(Table1[[#This Row],[Z3 SMT2-2 Maxres Cost]]=Table1[[#This Row],[ORTools FZN2 Cost]],Table1[[#This Row],[ORTools FZN2 State]]="Optimal"),1,"")</f>
        <v/>
      </c>
      <c r="BH69" s="5" t="s">
        <v>42</v>
      </c>
      <c r="BI69" s="2">
        <v>-5864581</v>
      </c>
      <c r="BJ69" s="39">
        <v>300.18849019999999</v>
      </c>
      <c r="BK69" s="39" t="str">
        <f>IF(AND(Table1[[#This Row],[Z3 SMT2-2 PdMaxres Cost]]=Table1[[#This Row],[ORTools FZN2 Cost]],Table1[[#This Row],[ORTools FZN2 State]]="Optimal"),1,"")</f>
        <v/>
      </c>
      <c r="BL69" s="39" t="s">
        <v>42</v>
      </c>
      <c r="BM69" s="39">
        <v>-5864581</v>
      </c>
      <c r="BN69" s="2">
        <v>300.19010680000002</v>
      </c>
      <c r="BO69" s="4" t="str">
        <f>IF(AND(Table1[[#This Row],[Z3 SMT2-2 PdMaxres Cost]]=Table1[[#This Row],[ORTools FZN2 Cost]],Table1[[#This Row],[ORTools FZN2 State]]="Optimal"),1,"")</f>
        <v/>
      </c>
      <c r="BP69" s="5" t="s">
        <v>42</v>
      </c>
      <c r="BQ69" s="2">
        <v>-5864581</v>
      </c>
      <c r="BR69" s="2">
        <v>300.11250919999998</v>
      </c>
      <c r="BS69" s="2" t="str">
        <f>IF(AND(Table1[[#This Row],[Gurobi MB Cost]]=Table1[[#This Row],[ORTools FZN2 Cost]],Table1[[#This Row],[ORTools FZN2 State]]="Optimal",Table1[[#This Row],[Gurobi MB State]]="Suboptimal"),1,"")</f>
        <v/>
      </c>
      <c r="BT6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69" s="5" t="s">
        <v>42</v>
      </c>
      <c r="BV69" s="2">
        <v>-5864581</v>
      </c>
      <c r="BW69" s="2">
        <v>300.36706900000001</v>
      </c>
      <c r="BX69" s="2" t="str">
        <f>IF(AND(Table1[[#This Row],[Gurobi MD Cost]]=Table1[[#This Row],[ORTools FZN2 Cost]],Table1[[#This Row],[ORTools FZN2 State]]="Optimal",Table1[[#This Row],[Gurobi MD State]]="Suboptimal"),1,"")</f>
        <v/>
      </c>
      <c r="BY6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69" s="5" t="s">
        <v>42</v>
      </c>
      <c r="CA69" s="2">
        <v>-5864581</v>
      </c>
      <c r="CB69" s="2">
        <v>301.02852259999997</v>
      </c>
      <c r="CC69" s="2" t="str">
        <f>IF(AND(Table1[[#This Row],[Gurobi MI Cost]]=Table1[[#This Row],[ORTools FZN2 Cost]],Table1[[#This Row],[ORTools FZN2 State]]="Optimal",Table1[[#This Row],[Gurobi MI State]]="Suboptimal"),1,"")</f>
        <v/>
      </c>
      <c r="CD6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69" s="39" t="s">
        <v>42</v>
      </c>
      <c r="CF69" s="2">
        <v>-5864581</v>
      </c>
      <c r="CG69" s="39">
        <v>318.49167619999997</v>
      </c>
      <c r="CH69" s="39" t="s">
        <v>42</v>
      </c>
      <c r="CI69" s="39">
        <v>-5864581</v>
      </c>
      <c r="CJ69" s="2">
        <v>317.03590609999998</v>
      </c>
      <c r="CK69" s="5" t="s">
        <v>26</v>
      </c>
      <c r="CL69" s="2">
        <v>415591984</v>
      </c>
      <c r="CM69" s="2">
        <v>301.45400000000001</v>
      </c>
      <c r="CN69" s="5" t="s">
        <v>42</v>
      </c>
      <c r="CO69" s="2">
        <v>-5864581</v>
      </c>
      <c r="CP69" s="2">
        <v>316.6359837</v>
      </c>
      <c r="CQ69" s="5" t="s">
        <v>42</v>
      </c>
      <c r="CR69" s="2">
        <v>-5864581</v>
      </c>
      <c r="CS69" s="2">
        <v>159.4747318</v>
      </c>
      <c r="CT69" s="6" t="s">
        <v>26</v>
      </c>
      <c r="CU69" s="4">
        <v>509229788</v>
      </c>
      <c r="CV69" s="4">
        <v>319.41779289999999</v>
      </c>
      <c r="CW69" s="39" t="s">
        <v>42</v>
      </c>
      <c r="CX69" s="39"/>
      <c r="CY69" s="2">
        <v>300.0693</v>
      </c>
      <c r="CZ69" s="2" t="str">
        <f>IF(AND(Table1[[#This Row],[Cplex MZ1 Cost]]=Table1[[#This Row],[ORTools FZN2 Cost]],Table1[[#This Row],[ORTools FZN2 State]]="Optimal",Table1[[#This Row],[Cplex MZ1 State]]="Suboptimal"),1,"")</f>
        <v/>
      </c>
      <c r="DA69" s="5" t="s">
        <v>42</v>
      </c>
      <c r="DB69" s="2"/>
      <c r="DC69" s="2">
        <v>300.30650000000003</v>
      </c>
      <c r="DD69" s="2" t="str">
        <f>IF(AND(Table1[[#This Row],[Cplex MZ2 Cost]]=Table1[[#This Row],[ORTools FZN2 Cost]],Table1[[#This Row],[ORTools FZN2 State]]="Optimal",Table1[[#This Row],[Cplex MZ2 State]]="Suboptimal"),1,"")</f>
        <v/>
      </c>
      <c r="DE69" s="39" t="s">
        <v>42</v>
      </c>
      <c r="DF69" s="39"/>
      <c r="DG69" s="2">
        <v>300.01729999999998</v>
      </c>
      <c r="DH69" s="2" t="str">
        <f>IF(AND(Table1[[#This Row],[Gurobi MZ1 Cost]]=Table1[[#This Row],[ORTools FZN2 Cost]],Table1[[#This Row],[ORTools FZN2 State]]="Optimal",Table1[[#This Row],[Gurobi MZ1 State]]="Suboptimal"),1,"")</f>
        <v/>
      </c>
      <c r="DI69" s="5" t="s">
        <v>42</v>
      </c>
      <c r="DJ69" s="2"/>
      <c r="DK69" s="2">
        <v>300.07810000000001</v>
      </c>
      <c r="DL69" s="4" t="str">
        <f>IF(AND(Table1[[#This Row],[Gurobi MZ2 Cost]]=Table1[[#This Row],[ORTools FZN2 Cost]],Table1[[#This Row],[ORTools FZN2 State]]="Optimal",Table1[[#This Row],[Gurobi MZ2 State]]="Suboptimal"),1,"")</f>
        <v/>
      </c>
      <c r="DM69" s="39" t="s">
        <v>26</v>
      </c>
      <c r="DN69" s="39">
        <v>444946394</v>
      </c>
      <c r="DO69" s="65">
        <v>300.84300000000002</v>
      </c>
      <c r="DP69" s="4" t="str">
        <f>IF(AND(Table1[[#This Row],[Cplex MC nonDual Cost]]=Table1[[#This Row],[ORTools FZN2 Cost]],Table1[[#This Row],[ORTools FZN2 State]]="Optimal",Table1[[#This Row],[Cplex MC nonDual State]]="Suboptimal"),1,"")</f>
        <v/>
      </c>
      <c r="DQ69" s="5" t="s">
        <v>42</v>
      </c>
      <c r="DR69" s="2"/>
      <c r="DS69" s="2">
        <v>300.221</v>
      </c>
      <c r="DT69" s="2" t="str">
        <f>IF(AND(Table1[[#This Row],[Cplex MIP DM''z Cost]]=Table1[[#This Row],[ORTools FZN2 Cost]],Table1[[#This Row],[ORTools FZN2 State]]="Optimal",Table1[[#This Row],[Cplex MIP DM''z  State]]="Suboptimal"),1,"")</f>
        <v/>
      </c>
      <c r="DU6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69" s="5" t="s">
        <v>42</v>
      </c>
      <c r="DW69" s="2"/>
      <c r="DX69" s="2">
        <v>300.05590000000001</v>
      </c>
      <c r="DY69" s="4" t="str">
        <f>IF(AND(Table1[[#This Row],[Gurobi DM''z  Cost]]=Table1[[#This Row],[ORTools FZN2 Cost]],Table1[[#This Row],[ORTools FZN2 State]]="Optimal",Table1[[#This Row],[Gurobi DM''z  State]]="Suboptimal"),1,"")</f>
        <v/>
      </c>
      <c r="DZ6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0" spans="1:130" ht="15.75" x14ac:dyDescent="0.25">
      <c r="A70" s="46" t="s">
        <v>96</v>
      </c>
      <c r="B70" s="5">
        <v>180</v>
      </c>
      <c r="C70" s="2">
        <v>90</v>
      </c>
      <c r="D70" s="5">
        <v>8159</v>
      </c>
      <c r="E70" s="2">
        <v>166</v>
      </c>
      <c r="F70" s="5">
        <v>1030</v>
      </c>
      <c r="G70" s="2">
        <v>0</v>
      </c>
      <c r="H70" s="4">
        <f t="shared" si="1"/>
        <v>0</v>
      </c>
      <c r="I70" s="4">
        <f>Table1[[#This Row],[B]]+Table1[[#This Row],[Atomic Constraints]]+Table1[[#This Row],[Soft Atomic Constraints]]+Table1[[#This Row],[Disjunctive Constraints]]+Table1[[#This Row],[Direct Successors]]</f>
        <v>9445</v>
      </c>
      <c r="J70" s="5" t="s">
        <v>42</v>
      </c>
      <c r="K70" s="2">
        <v>-5864581</v>
      </c>
      <c r="L70" s="2">
        <v>317.37634830000002</v>
      </c>
      <c r="M70" s="2" t="str">
        <f>IF(AND(Table1[[#This Row],[Chuffed MZ1 Cost]]=Table1[[#This Row],[ORTools FZN2 Cost]],Table1[[#This Row],[ORTools FZN2 State]]="Optimal",Table1[[#This Row],[Chuffed MZ1 State]]="Suboptimal"),1,"")</f>
        <v/>
      </c>
      <c r="N70" s="5" t="s">
        <v>42</v>
      </c>
      <c r="O70" s="2">
        <v>-5864581</v>
      </c>
      <c r="P70" s="2">
        <v>317.0550983</v>
      </c>
      <c r="Q70" s="2" t="str">
        <f>IF(AND(Table1[[#This Row],[Chuffed MZ2 Cost]]=Table1[[#This Row],[ORTools FZN2 Cost]],Table1[[#This Row],[ORTools FZN2 State]]="Optimal",Table1[[#This Row],[Chuffed MZ2 State]]="Suboptimal"),1,"")</f>
        <v/>
      </c>
      <c r="R70" s="5" t="s">
        <v>26</v>
      </c>
      <c r="S70" s="2">
        <v>298456962</v>
      </c>
      <c r="T70" s="2">
        <v>301.48200000000003</v>
      </c>
      <c r="U70" s="2"/>
      <c r="V70" s="5" t="s">
        <v>42</v>
      </c>
      <c r="W70" s="2">
        <v>-5864581</v>
      </c>
      <c r="X70" s="2">
        <v>305.32379200000003</v>
      </c>
      <c r="Y70" s="2" t="str">
        <f>IF(AND(Table1[[#This Row],[ORTools FZN1 Cost]]=Table1[[#This Row],[ORTools FZN2 Cost]],Table1[[#This Row],[ORTools FZN2 State]]="Optimal",Table1[[#This Row],[ORTools FZN1 State]]="Suboptimal"),1,"")</f>
        <v/>
      </c>
      <c r="Z70" s="5" t="s">
        <v>42</v>
      </c>
      <c r="AA70" s="2">
        <v>-5864581</v>
      </c>
      <c r="AB70" s="2">
        <v>305.26855799999998</v>
      </c>
      <c r="AC70" s="39" t="s">
        <v>42</v>
      </c>
      <c r="AD70" s="39">
        <v>-5864581</v>
      </c>
      <c r="AE70" s="2">
        <v>300.95763890000001</v>
      </c>
      <c r="AF70" s="2" t="str">
        <f>IF(AND(Table1[[#This Row],[Cplex MB Cost]]=Table1[[#This Row],[ORTools FZN2 Cost]],Table1[[#This Row],[ORTools FZN2 State]]="Optimal",Table1[[#This Row],[Cplex MB State]]="Suboptimal"),1,"")</f>
        <v/>
      </c>
      <c r="AG70" s="4">
        <f>IF(AND(AC70="Optimal",AD70&lt;&gt;AA70,Table1[[#This Row],[Example]]&lt;&gt;"R001",Table1[[#This Row],[Example]]&lt;&gt;"R002"),AD70-AA70,)</f>
        <v>0</v>
      </c>
      <c r="AH70" s="5" t="s">
        <v>42</v>
      </c>
      <c r="AI70" s="2">
        <v>-5864581</v>
      </c>
      <c r="AJ70" s="2">
        <v>308.72280310000002</v>
      </c>
      <c r="AK70" s="2" t="str">
        <f>IF(AND(Table1[[#This Row],[Cplex MD Cost]]=Table1[[#This Row],[ORTools FZN2 Cost]],Table1[[#This Row],[ORTools FZN2 State]]="Optimal",Table1[[#This Row],[Cplex MD State]]="Suboptimal"),1,"")</f>
        <v/>
      </c>
      <c r="AL70" s="4">
        <f>IF(AND(AH70="Optimal",AI70&lt;&gt;AA70,Table1[[#This Row],[Example]]&lt;&gt;"R001",Table1[[#This Row],[Example]]&lt;&gt;"R002"),AI70-AA70,)</f>
        <v>0</v>
      </c>
      <c r="AM70" s="39" t="s">
        <v>42</v>
      </c>
      <c r="AN70" s="39">
        <v>-5864581</v>
      </c>
      <c r="AO70" s="2">
        <v>301.42841720000001</v>
      </c>
      <c r="AP7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0" s="4" t="str">
        <f>IF(AND(Table1[[#This Row],[Cplex MI Cost]]=Table1[[#This Row],[ORTools FZN2 Cost]],Table1[[#This Row],[ORTools FZN2 State]]="Optimal",Table1[[#This Row],[Cplex MI State]]="Suboptimal"),1,"")</f>
        <v/>
      </c>
      <c r="AR70" s="5" t="s">
        <v>42</v>
      </c>
      <c r="AS70" s="2">
        <v>-5864581</v>
      </c>
      <c r="AT70" s="2">
        <v>300.19720480000001</v>
      </c>
      <c r="AU70" s="2" t="str">
        <f>IF(AND(Table1[[#This Row],[Z3 SMT2-1 Maxres Cost]]=Table1[[#This Row],[ORTools FZN2 Cost]],Table1[[#This Row],[ORTools FZN2 State]]="Optimal"),1,"")</f>
        <v/>
      </c>
      <c r="AV70" s="39" t="s">
        <v>42</v>
      </c>
      <c r="AW70" s="39">
        <v>-5864581</v>
      </c>
      <c r="AX70" s="2">
        <v>300.20242039999999</v>
      </c>
      <c r="AY70" s="2" t="str">
        <f>IF(AND(Table1[[#This Row],[Z3 SMT2-1 PdMaxres Cost]]=Table1[[#This Row],[ORTools FZN2 Cost]],Table1[[#This Row],[ORTools FZN2 State]]="Optimal"),1,"")</f>
        <v/>
      </c>
      <c r="AZ70" s="5" t="s">
        <v>42</v>
      </c>
      <c r="BA70" s="2">
        <v>-5864581</v>
      </c>
      <c r="BB70" s="39">
        <v>300.18535409999998</v>
      </c>
      <c r="BC70" s="39" t="str">
        <f>IF(AND(Table1[[#This Row],[Z3 SMT2-1 WMax Cost]]=Table1[[#This Row],[ORTools FZN2 Cost]],Table1[[#This Row],[ORTools FZN2 State]]="Optimal"),1,"")</f>
        <v/>
      </c>
      <c r="BD70" s="39" t="s">
        <v>42</v>
      </c>
      <c r="BE70" s="39">
        <v>-5864581</v>
      </c>
      <c r="BF70" s="2">
        <v>300.18650769999999</v>
      </c>
      <c r="BG70" s="2" t="str">
        <f>IF(AND(Table1[[#This Row],[Z3 SMT2-2 Maxres Cost]]=Table1[[#This Row],[ORTools FZN2 Cost]],Table1[[#This Row],[ORTools FZN2 State]]="Optimal"),1,"")</f>
        <v/>
      </c>
      <c r="BH70" s="5" t="s">
        <v>42</v>
      </c>
      <c r="BI70" s="2">
        <v>-5864581</v>
      </c>
      <c r="BJ70" s="39">
        <v>300.17515059999999</v>
      </c>
      <c r="BK70" s="39" t="str">
        <f>IF(AND(Table1[[#This Row],[Z3 SMT2-2 PdMaxres Cost]]=Table1[[#This Row],[ORTools FZN2 Cost]],Table1[[#This Row],[ORTools FZN2 State]]="Optimal"),1,"")</f>
        <v/>
      </c>
      <c r="BL70" s="39" t="s">
        <v>42</v>
      </c>
      <c r="BM70" s="39">
        <v>-5864581</v>
      </c>
      <c r="BN70" s="2">
        <v>300.18514449999998</v>
      </c>
      <c r="BO70" s="4" t="str">
        <f>IF(AND(Table1[[#This Row],[Z3 SMT2-2 PdMaxres Cost]]=Table1[[#This Row],[ORTools FZN2 Cost]],Table1[[#This Row],[ORTools FZN2 State]]="Optimal"),1,"")</f>
        <v/>
      </c>
      <c r="BP70" s="5" t="s">
        <v>42</v>
      </c>
      <c r="BQ70" s="2">
        <v>-5864581</v>
      </c>
      <c r="BR70" s="2">
        <v>300.10732239999999</v>
      </c>
      <c r="BS70" s="2" t="str">
        <f>IF(AND(Table1[[#This Row],[Gurobi MB Cost]]=Table1[[#This Row],[ORTools FZN2 Cost]],Table1[[#This Row],[ORTools FZN2 State]]="Optimal",Table1[[#This Row],[Gurobi MB State]]="Suboptimal"),1,"")</f>
        <v/>
      </c>
      <c r="BT7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0" s="5" t="s">
        <v>42</v>
      </c>
      <c r="BV70" s="2">
        <v>-5864581</v>
      </c>
      <c r="BW70" s="2">
        <v>300.4241336</v>
      </c>
      <c r="BX70" s="2" t="str">
        <f>IF(AND(Table1[[#This Row],[Gurobi MD Cost]]=Table1[[#This Row],[ORTools FZN2 Cost]],Table1[[#This Row],[ORTools FZN2 State]]="Optimal",Table1[[#This Row],[Gurobi MD State]]="Suboptimal"),1,"")</f>
        <v/>
      </c>
      <c r="BY7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0" s="5" t="s">
        <v>42</v>
      </c>
      <c r="CA70" s="2">
        <v>-5864581</v>
      </c>
      <c r="CB70" s="2">
        <v>300.09425210000001</v>
      </c>
      <c r="CC70" s="2" t="str">
        <f>IF(AND(Table1[[#This Row],[Gurobi MI Cost]]=Table1[[#This Row],[ORTools FZN2 Cost]],Table1[[#This Row],[ORTools FZN2 State]]="Optimal",Table1[[#This Row],[Gurobi MI State]]="Suboptimal"),1,"")</f>
        <v/>
      </c>
      <c r="CD7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0" s="39" t="s">
        <v>42</v>
      </c>
      <c r="CF70" s="2">
        <v>-5864581</v>
      </c>
      <c r="CG70" s="39">
        <v>320.73216170000001</v>
      </c>
      <c r="CH70" s="39" t="s">
        <v>42</v>
      </c>
      <c r="CI70" s="39">
        <v>-5864581</v>
      </c>
      <c r="CJ70" s="2">
        <v>317.10790589999999</v>
      </c>
      <c r="CK70" s="5" t="s">
        <v>26</v>
      </c>
      <c r="CL70" s="2">
        <v>286559148</v>
      </c>
      <c r="CM70" s="2">
        <v>301.52999999999901</v>
      </c>
      <c r="CN70" s="5" t="s">
        <v>42</v>
      </c>
      <c r="CO70" s="2">
        <v>-5864581</v>
      </c>
      <c r="CP70" s="2">
        <v>316.54766599999999</v>
      </c>
      <c r="CQ70" s="5" t="s">
        <v>42</v>
      </c>
      <c r="CR70" s="2">
        <v>-5864581</v>
      </c>
      <c r="CS70" s="2">
        <v>310.6471244</v>
      </c>
      <c r="CT70" s="6" t="s">
        <v>26</v>
      </c>
      <c r="CU70" s="4">
        <v>164122226</v>
      </c>
      <c r="CV70" s="4">
        <v>338.68571780000002</v>
      </c>
      <c r="CW70" s="39" t="s">
        <v>42</v>
      </c>
      <c r="CX70" s="39"/>
      <c r="CY70" s="2">
        <v>300.08190000000002</v>
      </c>
      <c r="CZ70" s="2" t="str">
        <f>IF(AND(Table1[[#This Row],[Cplex MZ1 Cost]]=Table1[[#This Row],[ORTools FZN2 Cost]],Table1[[#This Row],[ORTools FZN2 State]]="Optimal",Table1[[#This Row],[Cplex MZ1 State]]="Suboptimal"),1,"")</f>
        <v/>
      </c>
      <c r="DA70" s="5" t="s">
        <v>42</v>
      </c>
      <c r="DB70" s="2"/>
      <c r="DC70" s="2">
        <v>300.39580000000001</v>
      </c>
      <c r="DD70" s="2" t="str">
        <f>IF(AND(Table1[[#This Row],[Cplex MZ2 Cost]]=Table1[[#This Row],[ORTools FZN2 Cost]],Table1[[#This Row],[ORTools FZN2 State]]="Optimal",Table1[[#This Row],[Cplex MZ2 State]]="Suboptimal"),1,"")</f>
        <v/>
      </c>
      <c r="DE70" s="39" t="s">
        <v>42</v>
      </c>
      <c r="DF70" s="39"/>
      <c r="DG70" s="2">
        <v>300.18630000000002</v>
      </c>
      <c r="DH70" s="2" t="str">
        <f>IF(AND(Table1[[#This Row],[Gurobi MZ1 Cost]]=Table1[[#This Row],[ORTools FZN2 Cost]],Table1[[#This Row],[ORTools FZN2 State]]="Optimal",Table1[[#This Row],[Gurobi MZ1 State]]="Suboptimal"),1,"")</f>
        <v/>
      </c>
      <c r="DI70" s="5" t="s">
        <v>42</v>
      </c>
      <c r="DJ70" s="2"/>
      <c r="DK70" s="2">
        <v>300.45179999999999</v>
      </c>
      <c r="DL70" s="4" t="str">
        <f>IF(AND(Table1[[#This Row],[Gurobi MZ2 Cost]]=Table1[[#This Row],[ORTools FZN2 Cost]],Table1[[#This Row],[ORTools FZN2 State]]="Optimal",Table1[[#This Row],[Gurobi MZ2 State]]="Suboptimal"),1,"")</f>
        <v/>
      </c>
      <c r="DM70" s="39" t="s">
        <v>26</v>
      </c>
      <c r="DN70" s="39">
        <v>321812142</v>
      </c>
      <c r="DO70" s="65">
        <v>301.962999999999</v>
      </c>
      <c r="DP70" s="4" t="str">
        <f>IF(AND(Table1[[#This Row],[Cplex MC nonDual Cost]]=Table1[[#This Row],[ORTools FZN2 Cost]],Table1[[#This Row],[ORTools FZN2 State]]="Optimal",Table1[[#This Row],[Cplex MC nonDual State]]="Suboptimal"),1,"")</f>
        <v/>
      </c>
      <c r="DQ70" s="5" t="s">
        <v>42</v>
      </c>
      <c r="DR70" s="2"/>
      <c r="DS70" s="2">
        <v>300.27260000000001</v>
      </c>
      <c r="DT70" s="2" t="str">
        <f>IF(AND(Table1[[#This Row],[Cplex MIP DM''z Cost]]=Table1[[#This Row],[ORTools FZN2 Cost]],Table1[[#This Row],[ORTools FZN2 State]]="Optimal",Table1[[#This Row],[Cplex MIP DM''z  State]]="Suboptimal"),1,"")</f>
        <v/>
      </c>
      <c r="DU7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0" s="5" t="s">
        <v>42</v>
      </c>
      <c r="DW70" s="2"/>
      <c r="DX70" s="2">
        <v>300.04000000000002</v>
      </c>
      <c r="DY70" s="4" t="str">
        <f>IF(AND(Table1[[#This Row],[Gurobi DM''z  Cost]]=Table1[[#This Row],[ORTools FZN2 Cost]],Table1[[#This Row],[ORTools FZN2 State]]="Optimal",Table1[[#This Row],[Gurobi DM''z  State]]="Suboptimal"),1,"")</f>
        <v/>
      </c>
      <c r="DZ7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1" spans="1:130" ht="15.75" x14ac:dyDescent="0.25">
      <c r="A71" s="46" t="s">
        <v>97</v>
      </c>
      <c r="B71" s="5">
        <v>186</v>
      </c>
      <c r="C71" s="2">
        <v>93</v>
      </c>
      <c r="D71" s="5">
        <v>9313</v>
      </c>
      <c r="E71" s="2">
        <v>172</v>
      </c>
      <c r="F71" s="5">
        <v>971</v>
      </c>
      <c r="G71" s="2">
        <v>0</v>
      </c>
      <c r="H71" s="4">
        <f t="shared" si="1"/>
        <v>0</v>
      </c>
      <c r="I71" s="4">
        <f>Table1[[#This Row],[B]]+Table1[[#This Row],[Atomic Constraints]]+Table1[[#This Row],[Soft Atomic Constraints]]+Table1[[#This Row],[Disjunctive Constraints]]+Table1[[#This Row],[Direct Successors]]</f>
        <v>10549</v>
      </c>
      <c r="J71" s="5" t="s">
        <v>42</v>
      </c>
      <c r="K71" s="2">
        <v>-6469639</v>
      </c>
      <c r="L71" s="2">
        <v>318.68909910000002</v>
      </c>
      <c r="M71" s="2" t="str">
        <f>IF(AND(Table1[[#This Row],[Chuffed MZ1 Cost]]=Table1[[#This Row],[ORTools FZN2 Cost]],Table1[[#This Row],[ORTools FZN2 State]]="Optimal",Table1[[#This Row],[Chuffed MZ1 State]]="Suboptimal"),1,"")</f>
        <v/>
      </c>
      <c r="N71" s="5" t="s">
        <v>42</v>
      </c>
      <c r="O71" s="2">
        <v>-6469639</v>
      </c>
      <c r="P71" s="2">
        <v>318.2973192</v>
      </c>
      <c r="Q71" s="2" t="str">
        <f>IF(AND(Table1[[#This Row],[Chuffed MZ2 Cost]]=Table1[[#This Row],[ORTools FZN2 Cost]],Table1[[#This Row],[ORTools FZN2 State]]="Optimal",Table1[[#This Row],[Chuffed MZ2 State]]="Suboptimal"),1,"")</f>
        <v/>
      </c>
      <c r="R71" s="6" t="s">
        <v>26</v>
      </c>
      <c r="S71" s="4">
        <v>503541657</v>
      </c>
      <c r="T71" s="4">
        <v>300.34800000000001</v>
      </c>
      <c r="U71" s="4"/>
      <c r="V71" s="5" t="s">
        <v>42</v>
      </c>
      <c r="W71" s="2">
        <v>-6469639</v>
      </c>
      <c r="X71" s="2">
        <v>305.55054159999997</v>
      </c>
      <c r="Y71" s="2" t="str">
        <f>IF(AND(Table1[[#This Row],[ORTools FZN1 Cost]]=Table1[[#This Row],[ORTools FZN2 Cost]],Table1[[#This Row],[ORTools FZN2 State]]="Optimal",Table1[[#This Row],[ORTools FZN1 State]]="Suboptimal"),1,"")</f>
        <v/>
      </c>
      <c r="Z71" s="5" t="s">
        <v>42</v>
      </c>
      <c r="AA71" s="2">
        <v>-6469639</v>
      </c>
      <c r="AB71" s="2">
        <v>305.58321610000002</v>
      </c>
      <c r="AC71" s="39" t="s">
        <v>42</v>
      </c>
      <c r="AD71" s="39">
        <v>-6469639</v>
      </c>
      <c r="AE71" s="2">
        <v>300.39181339999999</v>
      </c>
      <c r="AF71" s="2" t="str">
        <f>IF(AND(Table1[[#This Row],[Cplex MB Cost]]=Table1[[#This Row],[ORTools FZN2 Cost]],Table1[[#This Row],[ORTools FZN2 State]]="Optimal",Table1[[#This Row],[Cplex MB State]]="Suboptimal"),1,"")</f>
        <v/>
      </c>
      <c r="AG71" s="4">
        <f>IF(AND(AC71="Optimal",AD71&lt;&gt;AA71,Table1[[#This Row],[Example]]&lt;&gt;"R001",Table1[[#This Row],[Example]]&lt;&gt;"R002"),AD71-AA71,)</f>
        <v>0</v>
      </c>
      <c r="AH71" s="5" t="s">
        <v>42</v>
      </c>
      <c r="AI71" s="2">
        <v>-6469639</v>
      </c>
      <c r="AJ71" s="2">
        <v>309.37006860000002</v>
      </c>
      <c r="AK71" s="2" t="str">
        <f>IF(AND(Table1[[#This Row],[Cplex MD Cost]]=Table1[[#This Row],[ORTools FZN2 Cost]],Table1[[#This Row],[ORTools FZN2 State]]="Optimal",Table1[[#This Row],[Cplex MD State]]="Suboptimal"),1,"")</f>
        <v/>
      </c>
      <c r="AL71" s="4">
        <f>IF(AND(AH71="Optimal",AI71&lt;&gt;AA71,Table1[[#This Row],[Example]]&lt;&gt;"R001",Table1[[#This Row],[Example]]&lt;&gt;"R002"),AI71-AA71,)</f>
        <v>0</v>
      </c>
      <c r="AM71" s="39" t="s">
        <v>42</v>
      </c>
      <c r="AN71" s="39">
        <v>-6469639</v>
      </c>
      <c r="AO71" s="2">
        <v>301.57945860000001</v>
      </c>
      <c r="AP7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1" s="4" t="str">
        <f>IF(AND(Table1[[#This Row],[Cplex MI Cost]]=Table1[[#This Row],[ORTools FZN2 Cost]],Table1[[#This Row],[ORTools FZN2 State]]="Optimal",Table1[[#This Row],[Cplex MI State]]="Suboptimal"),1,"")</f>
        <v/>
      </c>
      <c r="AR71" s="5" t="s">
        <v>42</v>
      </c>
      <c r="AS71" s="2">
        <v>-6469639</v>
      </c>
      <c r="AT71" s="2">
        <v>300.21328469999997</v>
      </c>
      <c r="AU71" s="2" t="str">
        <f>IF(AND(Table1[[#This Row],[Z3 SMT2-1 Maxres Cost]]=Table1[[#This Row],[ORTools FZN2 Cost]],Table1[[#This Row],[ORTools FZN2 State]]="Optimal"),1,"")</f>
        <v/>
      </c>
      <c r="AV71" s="39" t="s">
        <v>42</v>
      </c>
      <c r="AW71" s="39">
        <v>-6469639</v>
      </c>
      <c r="AX71" s="2">
        <v>300.20827700000001</v>
      </c>
      <c r="AY71" s="2" t="str">
        <f>IF(AND(Table1[[#This Row],[Z3 SMT2-1 PdMaxres Cost]]=Table1[[#This Row],[ORTools FZN2 Cost]],Table1[[#This Row],[ORTools FZN2 State]]="Optimal"),1,"")</f>
        <v/>
      </c>
      <c r="AZ71" s="5" t="s">
        <v>42</v>
      </c>
      <c r="BA71" s="2">
        <v>-6469639</v>
      </c>
      <c r="BB71" s="39">
        <v>300.21793750000001</v>
      </c>
      <c r="BC71" s="39" t="str">
        <f>IF(AND(Table1[[#This Row],[Z3 SMT2-1 WMax Cost]]=Table1[[#This Row],[ORTools FZN2 Cost]],Table1[[#This Row],[ORTools FZN2 State]]="Optimal"),1,"")</f>
        <v/>
      </c>
      <c r="BD71" s="39" t="s">
        <v>42</v>
      </c>
      <c r="BE71" s="39">
        <v>-6469639</v>
      </c>
      <c r="BF71" s="2">
        <v>300.30831480000001</v>
      </c>
      <c r="BG71" s="2" t="str">
        <f>IF(AND(Table1[[#This Row],[Z3 SMT2-2 Maxres Cost]]=Table1[[#This Row],[ORTools FZN2 Cost]],Table1[[#This Row],[ORTools FZN2 State]]="Optimal"),1,"")</f>
        <v/>
      </c>
      <c r="BH71" s="5" t="s">
        <v>42</v>
      </c>
      <c r="BI71" s="2">
        <v>-6469639</v>
      </c>
      <c r="BJ71" s="39">
        <v>300.3225789</v>
      </c>
      <c r="BK71" s="39" t="str">
        <f>IF(AND(Table1[[#This Row],[Z3 SMT2-2 PdMaxres Cost]]=Table1[[#This Row],[ORTools FZN2 Cost]],Table1[[#This Row],[ORTools FZN2 State]]="Optimal"),1,"")</f>
        <v/>
      </c>
      <c r="BL71" s="39" t="s">
        <v>42</v>
      </c>
      <c r="BM71" s="39">
        <v>-6469639</v>
      </c>
      <c r="BN71" s="2">
        <v>300.3129252</v>
      </c>
      <c r="BO71" s="4" t="str">
        <f>IF(AND(Table1[[#This Row],[Z3 SMT2-2 PdMaxres Cost]]=Table1[[#This Row],[ORTools FZN2 Cost]],Table1[[#This Row],[ORTools FZN2 State]]="Optimal"),1,"")</f>
        <v/>
      </c>
      <c r="BP71" s="5" t="s">
        <v>42</v>
      </c>
      <c r="BQ71" s="2">
        <v>-6469639</v>
      </c>
      <c r="BR71" s="2">
        <v>300.92818069999998</v>
      </c>
      <c r="BS71" s="2" t="str">
        <f>IF(AND(Table1[[#This Row],[Gurobi MB Cost]]=Table1[[#This Row],[ORTools FZN2 Cost]],Table1[[#This Row],[ORTools FZN2 State]]="Optimal",Table1[[#This Row],[Gurobi MB State]]="Suboptimal"),1,"")</f>
        <v/>
      </c>
      <c r="BT7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1" s="5" t="s">
        <v>42</v>
      </c>
      <c r="BV71" s="2">
        <v>-6469639</v>
      </c>
      <c r="BW71" s="2">
        <v>300.3604899</v>
      </c>
      <c r="BX71" s="2" t="str">
        <f>IF(AND(Table1[[#This Row],[Gurobi MD Cost]]=Table1[[#This Row],[ORTools FZN2 Cost]],Table1[[#This Row],[ORTools FZN2 State]]="Optimal",Table1[[#This Row],[Gurobi MD State]]="Suboptimal"),1,"")</f>
        <v/>
      </c>
      <c r="BY7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1" s="5" t="s">
        <v>42</v>
      </c>
      <c r="CA71" s="2">
        <v>-6469639</v>
      </c>
      <c r="CB71" s="2">
        <v>300.2893133</v>
      </c>
      <c r="CC71" s="2" t="str">
        <f>IF(AND(Table1[[#This Row],[Gurobi MI Cost]]=Table1[[#This Row],[ORTools FZN2 Cost]],Table1[[#This Row],[ORTools FZN2 State]]="Optimal",Table1[[#This Row],[Gurobi MI State]]="Suboptimal"),1,"")</f>
        <v/>
      </c>
      <c r="CD7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1" s="39" t="s">
        <v>42</v>
      </c>
      <c r="CF71" s="2">
        <v>-6469639</v>
      </c>
      <c r="CG71" s="39">
        <v>318.27576800000003</v>
      </c>
      <c r="CH71" s="39" t="s">
        <v>42</v>
      </c>
      <c r="CI71" s="39">
        <v>-6469639</v>
      </c>
      <c r="CJ71" s="2">
        <v>317.0636877</v>
      </c>
      <c r="CK71" s="5" t="s">
        <v>26</v>
      </c>
      <c r="CL71" s="2">
        <v>484269828</v>
      </c>
      <c r="CM71" s="2">
        <v>300.328000000001</v>
      </c>
      <c r="CN71" s="5" t="s">
        <v>42</v>
      </c>
      <c r="CO71" s="2">
        <v>-6469639</v>
      </c>
      <c r="CP71" s="2">
        <v>317.62858130000001</v>
      </c>
      <c r="CQ71" s="5" t="s">
        <v>42</v>
      </c>
      <c r="CR71" s="2">
        <v>-6469639</v>
      </c>
      <c r="CS71" s="2">
        <v>163.1094282</v>
      </c>
      <c r="CT71" s="6" t="s">
        <v>26</v>
      </c>
      <c r="CU71" s="4">
        <v>580931444</v>
      </c>
      <c r="CV71" s="4">
        <v>326.85709580000002</v>
      </c>
      <c r="CW71" s="39" t="s">
        <v>42</v>
      </c>
      <c r="CX71" s="39"/>
      <c r="CY71" s="2">
        <v>300.09190000000001</v>
      </c>
      <c r="CZ71" s="2" t="str">
        <f>IF(AND(Table1[[#This Row],[Cplex MZ1 Cost]]=Table1[[#This Row],[ORTools FZN2 Cost]],Table1[[#This Row],[ORTools FZN2 State]]="Optimal",Table1[[#This Row],[Cplex MZ1 State]]="Suboptimal"),1,"")</f>
        <v/>
      </c>
      <c r="DA71" s="5" t="s">
        <v>42</v>
      </c>
      <c r="DB71" s="2"/>
      <c r="DC71" s="2">
        <v>300.04570000000001</v>
      </c>
      <c r="DD71" s="2" t="str">
        <f>IF(AND(Table1[[#This Row],[Cplex MZ2 Cost]]=Table1[[#This Row],[ORTools FZN2 Cost]],Table1[[#This Row],[ORTools FZN2 State]]="Optimal",Table1[[#This Row],[Cplex MZ2 State]]="Suboptimal"),1,"")</f>
        <v/>
      </c>
      <c r="DE71" s="39" t="s">
        <v>42</v>
      </c>
      <c r="DF71" s="39"/>
      <c r="DG71" s="2">
        <v>300.04250000000002</v>
      </c>
      <c r="DH71" s="2" t="str">
        <f>IF(AND(Table1[[#This Row],[Gurobi MZ1 Cost]]=Table1[[#This Row],[ORTools FZN2 Cost]],Table1[[#This Row],[ORTools FZN2 State]]="Optimal",Table1[[#This Row],[Gurobi MZ1 State]]="Suboptimal"),1,"")</f>
        <v/>
      </c>
      <c r="DI71" s="5" t="s">
        <v>42</v>
      </c>
      <c r="DJ71" s="2"/>
      <c r="DK71" s="2">
        <v>300.27140000000003</v>
      </c>
      <c r="DL71" s="4" t="str">
        <f>IF(AND(Table1[[#This Row],[Gurobi MZ2 Cost]]=Table1[[#This Row],[ORTools FZN2 Cost]],Table1[[#This Row],[ORTools FZN2 State]]="Optimal",Table1[[#This Row],[Gurobi MZ2 State]]="Suboptimal"),1,"")</f>
        <v/>
      </c>
      <c r="DM71" s="39" t="s">
        <v>26</v>
      </c>
      <c r="DN71" s="39">
        <v>503749643</v>
      </c>
      <c r="DO71" s="65">
        <v>300.61399999999901</v>
      </c>
      <c r="DP71" s="4" t="str">
        <f>IF(AND(Table1[[#This Row],[Cplex MC nonDual Cost]]=Table1[[#This Row],[ORTools FZN2 Cost]],Table1[[#This Row],[ORTools FZN2 State]]="Optimal",Table1[[#This Row],[Cplex MC nonDual State]]="Suboptimal"),1,"")</f>
        <v/>
      </c>
      <c r="DQ71" s="5" t="s">
        <v>42</v>
      </c>
      <c r="DR71" s="2"/>
      <c r="DS71" s="2">
        <v>300.10120000000001</v>
      </c>
      <c r="DT71" s="2" t="str">
        <f>IF(AND(Table1[[#This Row],[Cplex MIP DM''z Cost]]=Table1[[#This Row],[ORTools FZN2 Cost]],Table1[[#This Row],[ORTools FZN2 State]]="Optimal",Table1[[#This Row],[Cplex MIP DM''z  State]]="Suboptimal"),1,"")</f>
        <v/>
      </c>
      <c r="DU7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1" s="5" t="s">
        <v>42</v>
      </c>
      <c r="DW71" s="2"/>
      <c r="DX71" s="2">
        <v>300.05610000000001</v>
      </c>
      <c r="DY71" s="4" t="str">
        <f>IF(AND(Table1[[#This Row],[Gurobi DM''z  Cost]]=Table1[[#This Row],[ORTools FZN2 Cost]],Table1[[#This Row],[ORTools FZN2 State]]="Optimal",Table1[[#This Row],[Gurobi DM''z  State]]="Suboptimal"),1,"")</f>
        <v/>
      </c>
      <c r="DZ7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2" spans="1:130" ht="15.75" x14ac:dyDescent="0.25">
      <c r="A72" s="46" t="s">
        <v>98</v>
      </c>
      <c r="B72" s="5">
        <v>190</v>
      </c>
      <c r="C72" s="2">
        <v>95</v>
      </c>
      <c r="D72" s="5">
        <v>9613</v>
      </c>
      <c r="E72" s="2">
        <v>176</v>
      </c>
      <c r="F72" s="5">
        <v>1010</v>
      </c>
      <c r="G72" s="2">
        <v>0</v>
      </c>
      <c r="H72" s="4">
        <f t="shared" si="1"/>
        <v>0</v>
      </c>
      <c r="I72" s="4">
        <f>Table1[[#This Row],[B]]+Table1[[#This Row],[Atomic Constraints]]+Table1[[#This Row],[Soft Atomic Constraints]]+Table1[[#This Row],[Disjunctive Constraints]]+Table1[[#This Row],[Direct Successors]]</f>
        <v>10894</v>
      </c>
      <c r="J72" s="5" t="s">
        <v>42</v>
      </c>
      <c r="K72" s="2">
        <v>-6895291</v>
      </c>
      <c r="L72" s="2">
        <v>319.47163160000002</v>
      </c>
      <c r="M72" s="2" t="str">
        <f>IF(AND(Table1[[#This Row],[Chuffed MZ1 Cost]]=Table1[[#This Row],[ORTools FZN2 Cost]],Table1[[#This Row],[ORTools FZN2 State]]="Optimal",Table1[[#This Row],[Chuffed MZ1 State]]="Suboptimal"),1,"")</f>
        <v/>
      </c>
      <c r="N72" s="5" t="s">
        <v>42</v>
      </c>
      <c r="O72" s="2">
        <v>-6895291</v>
      </c>
      <c r="P72" s="2">
        <v>318.8957241</v>
      </c>
      <c r="Q72" s="2" t="str">
        <f>IF(AND(Table1[[#This Row],[Chuffed MZ2 Cost]]=Table1[[#This Row],[ORTools FZN2 Cost]],Table1[[#This Row],[ORTools FZN2 State]]="Optimal",Table1[[#This Row],[Chuffed MZ2 State]]="Suboptimal"),1,"")</f>
        <v/>
      </c>
      <c r="R72" s="5" t="s">
        <v>26</v>
      </c>
      <c r="S72" s="2">
        <v>550485338</v>
      </c>
      <c r="T72" s="2">
        <v>300.07100000000003</v>
      </c>
      <c r="U72" s="2"/>
      <c r="V72" s="5" t="s">
        <v>42</v>
      </c>
      <c r="W72" s="2">
        <v>-6895291</v>
      </c>
      <c r="X72" s="2">
        <v>305.77583019999997</v>
      </c>
      <c r="Y72" s="2" t="str">
        <f>IF(AND(Table1[[#This Row],[ORTools FZN1 Cost]]=Table1[[#This Row],[ORTools FZN2 Cost]],Table1[[#This Row],[ORTools FZN2 State]]="Optimal",Table1[[#This Row],[ORTools FZN1 State]]="Suboptimal"),1,"")</f>
        <v/>
      </c>
      <c r="Z72" s="5" t="s">
        <v>42</v>
      </c>
      <c r="AA72" s="2">
        <v>-6895291</v>
      </c>
      <c r="AB72" s="2">
        <v>305.8355287</v>
      </c>
      <c r="AC72" s="39" t="s">
        <v>42</v>
      </c>
      <c r="AD72" s="39">
        <v>-6895291</v>
      </c>
      <c r="AE72" s="2">
        <v>300.2427118</v>
      </c>
      <c r="AF72" s="2" t="str">
        <f>IF(AND(Table1[[#This Row],[Cplex MB Cost]]=Table1[[#This Row],[ORTools FZN2 Cost]],Table1[[#This Row],[ORTools FZN2 State]]="Optimal",Table1[[#This Row],[Cplex MB State]]="Suboptimal"),1,"")</f>
        <v/>
      </c>
      <c r="AG72" s="4">
        <f>IF(AND(AC72="Optimal",AD72&lt;&gt;AA72,Table1[[#This Row],[Example]]&lt;&gt;"R001",Table1[[#This Row],[Example]]&lt;&gt;"R002"),AD72-AA72,)</f>
        <v>0</v>
      </c>
      <c r="AH72" s="5" t="s">
        <v>42</v>
      </c>
      <c r="AI72" s="2">
        <v>-6895291</v>
      </c>
      <c r="AJ72" s="2">
        <v>312.77559179999997</v>
      </c>
      <c r="AK72" s="2" t="str">
        <f>IF(AND(Table1[[#This Row],[Cplex MD Cost]]=Table1[[#This Row],[ORTools FZN2 Cost]],Table1[[#This Row],[ORTools FZN2 State]]="Optimal",Table1[[#This Row],[Cplex MD State]]="Suboptimal"),1,"")</f>
        <v/>
      </c>
      <c r="AL72" s="2">
        <f>IF(AND(AH72="Optimal",AI72&lt;&gt;AA72,Table1[[#This Row],[Example]]&lt;&gt;"R001",Table1[[#This Row],[Example]]&lt;&gt;"R002"),AI72-AA72,)</f>
        <v>0</v>
      </c>
      <c r="AM72" s="39" t="s">
        <v>42</v>
      </c>
      <c r="AN72" s="39">
        <v>-6895291</v>
      </c>
      <c r="AO72" s="2">
        <v>301.59248919999999</v>
      </c>
      <c r="AP7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2" s="4" t="str">
        <f>IF(AND(Table1[[#This Row],[Cplex MI Cost]]=Table1[[#This Row],[ORTools FZN2 Cost]],Table1[[#This Row],[ORTools FZN2 State]]="Optimal",Table1[[#This Row],[Cplex MI State]]="Suboptimal"),1,"")</f>
        <v/>
      </c>
      <c r="AR72" s="5" t="s">
        <v>42</v>
      </c>
      <c r="AS72" s="2">
        <v>-6895291</v>
      </c>
      <c r="AT72" s="2">
        <v>300.20989079999998</v>
      </c>
      <c r="AU72" s="2" t="str">
        <f>IF(AND(Table1[[#This Row],[Z3 SMT2-1 Maxres Cost]]=Table1[[#This Row],[ORTools FZN2 Cost]],Table1[[#This Row],[ORTools FZN2 State]]="Optimal"),1,"")</f>
        <v/>
      </c>
      <c r="AV72" s="39" t="s">
        <v>42</v>
      </c>
      <c r="AW72" s="39">
        <v>-6895291</v>
      </c>
      <c r="AX72" s="2">
        <v>300.23237760000001</v>
      </c>
      <c r="AY72" s="2" t="str">
        <f>IF(AND(Table1[[#This Row],[Z3 SMT2-1 PdMaxres Cost]]=Table1[[#This Row],[ORTools FZN2 Cost]],Table1[[#This Row],[ORTools FZN2 State]]="Optimal"),1,"")</f>
        <v/>
      </c>
      <c r="AZ72" s="5" t="s">
        <v>42</v>
      </c>
      <c r="BA72" s="2">
        <v>-6895291</v>
      </c>
      <c r="BB72" s="39">
        <v>300.20214129999999</v>
      </c>
      <c r="BC72" s="39" t="str">
        <f>IF(AND(Table1[[#This Row],[Z3 SMT2-1 WMax Cost]]=Table1[[#This Row],[ORTools FZN2 Cost]],Table1[[#This Row],[ORTools FZN2 State]]="Optimal"),1,"")</f>
        <v/>
      </c>
      <c r="BD72" s="39" t="s">
        <v>42</v>
      </c>
      <c r="BE72" s="39">
        <v>-6895291</v>
      </c>
      <c r="BF72" s="2">
        <v>300.23329039999999</v>
      </c>
      <c r="BG72" s="2" t="str">
        <f>IF(AND(Table1[[#This Row],[Z3 SMT2-2 Maxres Cost]]=Table1[[#This Row],[ORTools FZN2 Cost]],Table1[[#This Row],[ORTools FZN2 State]]="Optimal"),1,"")</f>
        <v/>
      </c>
      <c r="BH72" s="5" t="s">
        <v>42</v>
      </c>
      <c r="BI72" s="2">
        <v>-6895291</v>
      </c>
      <c r="BJ72" s="39">
        <v>300.2293866</v>
      </c>
      <c r="BK72" s="39" t="str">
        <f>IF(AND(Table1[[#This Row],[Z3 SMT2-2 PdMaxres Cost]]=Table1[[#This Row],[ORTools FZN2 Cost]],Table1[[#This Row],[ORTools FZN2 State]]="Optimal"),1,"")</f>
        <v/>
      </c>
      <c r="BL72" s="39" t="s">
        <v>42</v>
      </c>
      <c r="BM72" s="39">
        <v>-6895291</v>
      </c>
      <c r="BN72" s="2">
        <v>300.24337009999999</v>
      </c>
      <c r="BO72" s="4" t="str">
        <f>IF(AND(Table1[[#This Row],[Z3 SMT2-2 PdMaxres Cost]]=Table1[[#This Row],[ORTools FZN2 Cost]],Table1[[#This Row],[ORTools FZN2 State]]="Optimal"),1,"")</f>
        <v/>
      </c>
      <c r="BP72" s="5" t="s">
        <v>42</v>
      </c>
      <c r="BQ72" s="2">
        <v>-6895291</v>
      </c>
      <c r="BR72" s="2">
        <v>300.31321109999999</v>
      </c>
      <c r="BS72" s="2" t="str">
        <f>IF(AND(Table1[[#This Row],[Gurobi MB Cost]]=Table1[[#This Row],[ORTools FZN2 Cost]],Table1[[#This Row],[ORTools FZN2 State]]="Optimal",Table1[[#This Row],[Gurobi MB State]]="Suboptimal"),1,"")</f>
        <v/>
      </c>
      <c r="BT7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2" s="5" t="s">
        <v>42</v>
      </c>
      <c r="BV72" s="2">
        <v>-6895291</v>
      </c>
      <c r="BW72" s="2">
        <v>300.30846539999999</v>
      </c>
      <c r="BX72" s="2" t="str">
        <f>IF(AND(Table1[[#This Row],[Gurobi MD Cost]]=Table1[[#This Row],[ORTools FZN2 Cost]],Table1[[#This Row],[ORTools FZN2 State]]="Optimal",Table1[[#This Row],[Gurobi MD State]]="Suboptimal"),1,"")</f>
        <v/>
      </c>
      <c r="BY7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2" s="5" t="s">
        <v>42</v>
      </c>
      <c r="CA72" s="2">
        <v>-6895291</v>
      </c>
      <c r="CB72" s="2">
        <v>300.1705599</v>
      </c>
      <c r="CC72" s="2" t="str">
        <f>IF(AND(Table1[[#This Row],[Gurobi MI Cost]]=Table1[[#This Row],[ORTools FZN2 Cost]],Table1[[#This Row],[ORTools FZN2 State]]="Optimal",Table1[[#This Row],[Gurobi MI State]]="Suboptimal"),1,"")</f>
        <v/>
      </c>
      <c r="CD7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2" s="39" t="s">
        <v>42</v>
      </c>
      <c r="CF72" s="2">
        <v>-6895291</v>
      </c>
      <c r="CG72" s="39">
        <v>318.16653250000002</v>
      </c>
      <c r="CH72" s="39" t="s">
        <v>42</v>
      </c>
      <c r="CI72" s="39">
        <v>-6895291</v>
      </c>
      <c r="CJ72" s="2">
        <v>317.17598859999998</v>
      </c>
      <c r="CK72" s="5" t="s">
        <v>26</v>
      </c>
      <c r="CL72" s="2">
        <v>550270264</v>
      </c>
      <c r="CM72" s="2">
        <v>302.075999999999</v>
      </c>
      <c r="CN72" s="5" t="s">
        <v>42</v>
      </c>
      <c r="CO72" s="2">
        <v>-6895291</v>
      </c>
      <c r="CP72" s="2">
        <v>318.2850138</v>
      </c>
      <c r="CQ72" s="5" t="s">
        <v>42</v>
      </c>
      <c r="CR72" s="2">
        <v>-6895291</v>
      </c>
      <c r="CS72" s="2">
        <v>170.2387765</v>
      </c>
      <c r="CT72" s="6" t="s">
        <v>26</v>
      </c>
      <c r="CU72" s="4">
        <v>646729104</v>
      </c>
      <c r="CV72" s="4">
        <v>279.34880129999999</v>
      </c>
      <c r="CW72" s="39" t="s">
        <v>42</v>
      </c>
      <c r="CX72" s="39"/>
      <c r="CY72" s="2">
        <v>300.0831</v>
      </c>
      <c r="CZ72" s="2" t="str">
        <f>IF(AND(Table1[[#This Row],[Cplex MZ1 Cost]]=Table1[[#This Row],[ORTools FZN2 Cost]],Table1[[#This Row],[ORTools FZN2 State]]="Optimal",Table1[[#This Row],[Cplex MZ1 State]]="Suboptimal"),1,"")</f>
        <v/>
      </c>
      <c r="DA72" s="5" t="s">
        <v>42</v>
      </c>
      <c r="DB72" s="2"/>
      <c r="DC72" s="2">
        <v>300.3252</v>
      </c>
      <c r="DD72" s="2" t="str">
        <f>IF(AND(Table1[[#This Row],[Cplex MZ2 Cost]]=Table1[[#This Row],[ORTools FZN2 Cost]],Table1[[#This Row],[ORTools FZN2 State]]="Optimal",Table1[[#This Row],[Cplex MZ2 State]]="Suboptimal"),1,"")</f>
        <v/>
      </c>
      <c r="DE72" s="39" t="s">
        <v>42</v>
      </c>
      <c r="DF72" s="39"/>
      <c r="DG72" s="2">
        <v>300.07990000000001</v>
      </c>
      <c r="DH72" s="2" t="str">
        <f>IF(AND(Table1[[#This Row],[Gurobi MZ1 Cost]]=Table1[[#This Row],[ORTools FZN2 Cost]],Table1[[#This Row],[ORTools FZN2 State]]="Optimal",Table1[[#This Row],[Gurobi MZ1 State]]="Suboptimal"),1,"")</f>
        <v/>
      </c>
      <c r="DI72" s="5" t="s">
        <v>42</v>
      </c>
      <c r="DJ72" s="2"/>
      <c r="DK72" s="2">
        <v>300.06619999999998</v>
      </c>
      <c r="DL72" s="4" t="str">
        <f>IF(AND(Table1[[#This Row],[Gurobi MZ2 Cost]]=Table1[[#This Row],[ORTools FZN2 Cost]],Table1[[#This Row],[ORTools FZN2 State]]="Optimal",Table1[[#This Row],[Gurobi MZ2 State]]="Suboptimal"),1,"")</f>
        <v/>
      </c>
      <c r="DM72" s="39" t="s">
        <v>26</v>
      </c>
      <c r="DN72" s="39">
        <v>564420348</v>
      </c>
      <c r="DO72" s="65">
        <v>301.48100000000102</v>
      </c>
      <c r="DP72" s="4" t="str">
        <f>IF(AND(Table1[[#This Row],[Cplex MC nonDual Cost]]=Table1[[#This Row],[ORTools FZN2 Cost]],Table1[[#This Row],[ORTools FZN2 State]]="Optimal",Table1[[#This Row],[Cplex MC nonDual State]]="Suboptimal"),1,"")</f>
        <v/>
      </c>
      <c r="DQ72" s="5" t="s">
        <v>42</v>
      </c>
      <c r="DR72" s="2"/>
      <c r="DS72" s="2">
        <v>301.06470000000002</v>
      </c>
      <c r="DT72" s="2" t="str">
        <f>IF(AND(Table1[[#This Row],[Cplex MIP DM''z Cost]]=Table1[[#This Row],[ORTools FZN2 Cost]],Table1[[#This Row],[ORTools FZN2 State]]="Optimal",Table1[[#This Row],[Cplex MIP DM''z  State]]="Suboptimal"),1,"")</f>
        <v/>
      </c>
      <c r="DU7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2" s="5" t="s">
        <v>42</v>
      </c>
      <c r="DW72" s="2"/>
      <c r="DX72" s="2">
        <v>300.39679999999998</v>
      </c>
      <c r="DY72" s="4" t="str">
        <f>IF(AND(Table1[[#This Row],[Gurobi DM''z  Cost]]=Table1[[#This Row],[ORTools FZN2 Cost]],Table1[[#This Row],[ORTools FZN2 State]]="Optimal",Table1[[#This Row],[Gurobi DM''z  State]]="Suboptimal"),1,"")</f>
        <v/>
      </c>
      <c r="DZ7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3" spans="1:130" ht="15.75" x14ac:dyDescent="0.25">
      <c r="A73" s="46" t="s">
        <v>99</v>
      </c>
      <c r="B73" s="5">
        <v>192</v>
      </c>
      <c r="C73" s="2">
        <v>96</v>
      </c>
      <c r="D73" s="5">
        <v>9850</v>
      </c>
      <c r="E73" s="2">
        <v>178</v>
      </c>
      <c r="F73" s="5">
        <v>1047</v>
      </c>
      <c r="G73" s="2">
        <v>0</v>
      </c>
      <c r="H73" s="4">
        <f t="shared" si="1"/>
        <v>0</v>
      </c>
      <c r="I73" s="4">
        <f>Table1[[#This Row],[B]]+Table1[[#This Row],[Atomic Constraints]]+Table1[[#This Row],[Soft Atomic Constraints]]+Table1[[#This Row],[Disjunctive Constraints]]+Table1[[#This Row],[Direct Successors]]</f>
        <v>11171</v>
      </c>
      <c r="J73" s="5" t="s">
        <v>42</v>
      </c>
      <c r="K73" s="2">
        <v>-7114945</v>
      </c>
      <c r="L73" s="2">
        <v>320.00203119999998</v>
      </c>
      <c r="M73" s="2" t="str">
        <f>IF(AND(Table1[[#This Row],[Chuffed MZ1 Cost]]=Table1[[#This Row],[ORTools FZN2 Cost]],Table1[[#This Row],[ORTools FZN2 State]]="Optimal",Table1[[#This Row],[Chuffed MZ1 State]]="Suboptimal"),1,"")</f>
        <v/>
      </c>
      <c r="N73" s="5" t="s">
        <v>42</v>
      </c>
      <c r="O73" s="2">
        <v>-7114945</v>
      </c>
      <c r="P73" s="2">
        <v>319.40907809999999</v>
      </c>
      <c r="Q73" s="2" t="str">
        <f>IF(AND(Table1[[#This Row],[Chuffed MZ2 Cost]]=Table1[[#This Row],[ORTools FZN2 Cost]],Table1[[#This Row],[ORTools FZN2 State]]="Optimal",Table1[[#This Row],[Chuffed MZ2 State]]="Suboptimal"),1,"")</f>
        <v/>
      </c>
      <c r="R73" s="6" t="s">
        <v>26</v>
      </c>
      <c r="S73" s="4">
        <v>568106362</v>
      </c>
      <c r="T73" s="4">
        <v>301.45400000000001</v>
      </c>
      <c r="U73" s="4"/>
      <c r="V73" s="5" t="s">
        <v>42</v>
      </c>
      <c r="W73" s="2">
        <v>-7114945</v>
      </c>
      <c r="X73" s="2">
        <v>305.93873530000002</v>
      </c>
      <c r="Y73" s="2" t="str">
        <f>IF(AND(Table1[[#This Row],[ORTools FZN1 Cost]]=Table1[[#This Row],[ORTools FZN2 Cost]],Table1[[#This Row],[ORTools FZN2 State]]="Optimal",Table1[[#This Row],[ORTools FZN1 State]]="Suboptimal"),1,"")</f>
        <v/>
      </c>
      <c r="Z73" s="5" t="s">
        <v>42</v>
      </c>
      <c r="AA73" s="2">
        <v>-7114945</v>
      </c>
      <c r="AB73" s="2">
        <v>305.92568849999998</v>
      </c>
      <c r="AC73" s="39" t="s">
        <v>42</v>
      </c>
      <c r="AD73" s="39">
        <v>-7114945</v>
      </c>
      <c r="AE73" s="2">
        <v>300.35411169999998</v>
      </c>
      <c r="AF73" s="2" t="str">
        <f>IF(AND(Table1[[#This Row],[Cplex MB Cost]]=Table1[[#This Row],[ORTools FZN2 Cost]],Table1[[#This Row],[ORTools FZN2 State]]="Optimal",Table1[[#This Row],[Cplex MB State]]="Suboptimal"),1,"")</f>
        <v/>
      </c>
      <c r="AG73" s="4">
        <f>IF(AND(AC73="Optimal",AD73&lt;&gt;AA73,Table1[[#This Row],[Example]]&lt;&gt;"R001",Table1[[#This Row],[Example]]&lt;&gt;"R002"),AD73-AA73,)</f>
        <v>0</v>
      </c>
      <c r="AH73" s="5" t="s">
        <v>42</v>
      </c>
      <c r="AI73" s="2">
        <v>-7114945</v>
      </c>
      <c r="AJ73" s="2">
        <v>311.63008869999999</v>
      </c>
      <c r="AK73" s="2" t="str">
        <f>IF(AND(Table1[[#This Row],[Cplex MD Cost]]=Table1[[#This Row],[ORTools FZN2 Cost]],Table1[[#This Row],[ORTools FZN2 State]]="Optimal",Table1[[#This Row],[Cplex MD State]]="Suboptimal"),1,"")</f>
        <v/>
      </c>
      <c r="AL73" s="4">
        <f>IF(AND(AH73="Optimal",AI73&lt;&gt;AA73,Table1[[#This Row],[Example]]&lt;&gt;"R001",Table1[[#This Row],[Example]]&lt;&gt;"R002"),AI73-AA73,)</f>
        <v>0</v>
      </c>
      <c r="AM73" s="39" t="s">
        <v>42</v>
      </c>
      <c r="AN73" s="39">
        <v>-7114945</v>
      </c>
      <c r="AO73" s="2">
        <v>302.10530210000002</v>
      </c>
      <c r="AP7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3" s="4" t="str">
        <f>IF(AND(Table1[[#This Row],[Cplex MI Cost]]=Table1[[#This Row],[ORTools FZN2 Cost]],Table1[[#This Row],[ORTools FZN2 State]]="Optimal",Table1[[#This Row],[Cplex MI State]]="Suboptimal"),1,"")</f>
        <v/>
      </c>
      <c r="AR73" s="5" t="s">
        <v>42</v>
      </c>
      <c r="AS73" s="2">
        <v>-7114945</v>
      </c>
      <c r="AT73" s="2">
        <v>300.22981520000002</v>
      </c>
      <c r="AU73" s="2" t="str">
        <f>IF(AND(Table1[[#This Row],[Z3 SMT2-1 Maxres Cost]]=Table1[[#This Row],[ORTools FZN2 Cost]],Table1[[#This Row],[ORTools FZN2 State]]="Optimal"),1,"")</f>
        <v/>
      </c>
      <c r="AV73" s="39" t="s">
        <v>42</v>
      </c>
      <c r="AW73" s="39">
        <v>-7114945</v>
      </c>
      <c r="AX73" s="2">
        <v>300.22626000000002</v>
      </c>
      <c r="AY73" s="2" t="str">
        <f>IF(AND(Table1[[#This Row],[Z3 SMT2-1 PdMaxres Cost]]=Table1[[#This Row],[ORTools FZN2 Cost]],Table1[[#This Row],[ORTools FZN2 State]]="Optimal"),1,"")</f>
        <v/>
      </c>
      <c r="AZ73" s="5" t="s">
        <v>42</v>
      </c>
      <c r="BA73" s="2">
        <v>-7114945</v>
      </c>
      <c r="BB73" s="39">
        <v>300.3176244</v>
      </c>
      <c r="BC73" s="39" t="str">
        <f>IF(AND(Table1[[#This Row],[Z3 SMT2-1 WMax Cost]]=Table1[[#This Row],[ORTools FZN2 Cost]],Table1[[#This Row],[ORTools FZN2 State]]="Optimal"),1,"")</f>
        <v/>
      </c>
      <c r="BD73" s="39" t="s">
        <v>42</v>
      </c>
      <c r="BE73" s="39">
        <v>-7114945</v>
      </c>
      <c r="BF73" s="2">
        <v>300.23259100000001</v>
      </c>
      <c r="BG73" s="2" t="str">
        <f>IF(AND(Table1[[#This Row],[Z3 SMT2-2 Maxres Cost]]=Table1[[#This Row],[ORTools FZN2 Cost]],Table1[[#This Row],[ORTools FZN2 State]]="Optimal"),1,"")</f>
        <v/>
      </c>
      <c r="BH73" s="5" t="s">
        <v>42</v>
      </c>
      <c r="BI73" s="2">
        <v>-7114945</v>
      </c>
      <c r="BJ73" s="39">
        <v>300.2517603</v>
      </c>
      <c r="BK73" s="39" t="str">
        <f>IF(AND(Table1[[#This Row],[Z3 SMT2-2 PdMaxres Cost]]=Table1[[#This Row],[ORTools FZN2 Cost]],Table1[[#This Row],[ORTools FZN2 State]]="Optimal"),1,"")</f>
        <v/>
      </c>
      <c r="BL73" s="39" t="s">
        <v>42</v>
      </c>
      <c r="BM73" s="39">
        <v>-7114945</v>
      </c>
      <c r="BN73" s="2">
        <v>300.24001070000003</v>
      </c>
      <c r="BO73" s="4" t="str">
        <f>IF(AND(Table1[[#This Row],[Z3 SMT2-2 PdMaxres Cost]]=Table1[[#This Row],[ORTools FZN2 Cost]],Table1[[#This Row],[ORTools FZN2 State]]="Optimal"),1,"")</f>
        <v/>
      </c>
      <c r="BP73" s="5" t="s">
        <v>42</v>
      </c>
      <c r="BQ73" s="2">
        <v>-7114945</v>
      </c>
      <c r="BR73" s="2">
        <v>300.78370219999999</v>
      </c>
      <c r="BS73" s="2" t="str">
        <f>IF(AND(Table1[[#This Row],[Gurobi MB Cost]]=Table1[[#This Row],[ORTools FZN2 Cost]],Table1[[#This Row],[ORTools FZN2 State]]="Optimal",Table1[[#This Row],[Gurobi MB State]]="Suboptimal"),1,"")</f>
        <v/>
      </c>
      <c r="BT7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3" s="5" t="s">
        <v>42</v>
      </c>
      <c r="BV73" s="2">
        <v>-7114945</v>
      </c>
      <c r="BW73" s="2">
        <v>301.27476860000002</v>
      </c>
      <c r="BX73" s="2" t="str">
        <f>IF(AND(Table1[[#This Row],[Gurobi MD Cost]]=Table1[[#This Row],[ORTools FZN2 Cost]],Table1[[#This Row],[ORTools FZN2 State]]="Optimal",Table1[[#This Row],[Gurobi MD State]]="Suboptimal"),1,"")</f>
        <v/>
      </c>
      <c r="BY7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3" s="5" t="s">
        <v>42</v>
      </c>
      <c r="CA73" s="2">
        <v>-7114945</v>
      </c>
      <c r="CB73" s="2">
        <v>300.14305000000002</v>
      </c>
      <c r="CC73" s="2" t="str">
        <f>IF(AND(Table1[[#This Row],[Gurobi MI Cost]]=Table1[[#This Row],[ORTools FZN2 Cost]],Table1[[#This Row],[ORTools FZN2 State]]="Optimal",Table1[[#This Row],[Gurobi MI State]]="Suboptimal"),1,"")</f>
        <v/>
      </c>
      <c r="CD7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3" s="39" t="s">
        <v>42</v>
      </c>
      <c r="CF73" s="2">
        <v>-7114945</v>
      </c>
      <c r="CG73" s="39">
        <v>318.20012559999998</v>
      </c>
      <c r="CH73" s="39" t="s">
        <v>42</v>
      </c>
      <c r="CI73" s="39">
        <v>-7114945</v>
      </c>
      <c r="CJ73" s="2">
        <v>317.18879609999999</v>
      </c>
      <c r="CK73" s="5" t="s">
        <v>26</v>
      </c>
      <c r="CL73" s="2">
        <v>568070085</v>
      </c>
      <c r="CM73" s="2">
        <v>301.76299999999901</v>
      </c>
      <c r="CN73" s="5" t="s">
        <v>42</v>
      </c>
      <c r="CO73" s="2">
        <v>-7114945</v>
      </c>
      <c r="CP73" s="2">
        <v>318.98077899999998</v>
      </c>
      <c r="CQ73" s="5" t="s">
        <v>42</v>
      </c>
      <c r="CR73" s="2">
        <v>-7114945</v>
      </c>
      <c r="CS73" s="2">
        <v>166.70571770000001</v>
      </c>
      <c r="CT73" s="6" t="s">
        <v>26</v>
      </c>
      <c r="CU73" s="4">
        <v>674754088</v>
      </c>
      <c r="CV73" s="4">
        <v>312.556895</v>
      </c>
      <c r="CW73" s="39" t="s">
        <v>42</v>
      </c>
      <c r="CX73" s="39"/>
      <c r="CY73" s="2">
        <v>300.06319999999999</v>
      </c>
      <c r="CZ73" s="2" t="str">
        <f>IF(AND(Table1[[#This Row],[Cplex MZ1 Cost]]=Table1[[#This Row],[ORTools FZN2 Cost]],Table1[[#This Row],[ORTools FZN2 State]]="Optimal",Table1[[#This Row],[Cplex MZ1 State]]="Suboptimal"),1,"")</f>
        <v/>
      </c>
      <c r="DA73" s="5" t="s">
        <v>42</v>
      </c>
      <c r="DB73" s="2"/>
      <c r="DC73" s="2">
        <v>300.05810000000002</v>
      </c>
      <c r="DD73" s="2" t="str">
        <f>IF(AND(Table1[[#This Row],[Cplex MZ2 Cost]]=Table1[[#This Row],[ORTools FZN2 Cost]],Table1[[#This Row],[ORTools FZN2 State]]="Optimal",Table1[[#This Row],[Cplex MZ2 State]]="Suboptimal"),1,"")</f>
        <v/>
      </c>
      <c r="DE73" s="39" t="s">
        <v>42</v>
      </c>
      <c r="DF73" s="39"/>
      <c r="DG73" s="2">
        <v>300.07810000000001</v>
      </c>
      <c r="DH73" s="2" t="str">
        <f>IF(AND(Table1[[#This Row],[Gurobi MZ1 Cost]]=Table1[[#This Row],[ORTools FZN2 Cost]],Table1[[#This Row],[ORTools FZN2 State]]="Optimal",Table1[[#This Row],[Gurobi MZ1 State]]="Suboptimal"),1,"")</f>
        <v/>
      </c>
      <c r="DI73" s="5" t="s">
        <v>42</v>
      </c>
      <c r="DJ73" s="2"/>
      <c r="DK73" s="2">
        <v>300.01990000000001</v>
      </c>
      <c r="DL73" s="4" t="str">
        <f>IF(AND(Table1[[#This Row],[Gurobi MZ2 Cost]]=Table1[[#This Row],[ORTools FZN2 Cost]],Table1[[#This Row],[ORTools FZN2 State]]="Optimal",Table1[[#This Row],[Gurobi MZ2 State]]="Suboptimal"),1,"")</f>
        <v/>
      </c>
      <c r="DM73" s="39" t="s">
        <v>26</v>
      </c>
      <c r="DN73" s="39">
        <v>582413233</v>
      </c>
      <c r="DO73" s="65">
        <v>300.10899999999998</v>
      </c>
      <c r="DP73" s="4" t="str">
        <f>IF(AND(Table1[[#This Row],[Cplex MC nonDual Cost]]=Table1[[#This Row],[ORTools FZN2 Cost]],Table1[[#This Row],[ORTools FZN2 State]]="Optimal",Table1[[#This Row],[Cplex MC nonDual State]]="Suboptimal"),1,"")</f>
        <v/>
      </c>
      <c r="DQ73" s="5" t="s">
        <v>42</v>
      </c>
      <c r="DR73" s="2"/>
      <c r="DS73" s="2">
        <v>300.2645</v>
      </c>
      <c r="DT73" s="2" t="str">
        <f>IF(AND(Table1[[#This Row],[Cplex MIP DM''z Cost]]=Table1[[#This Row],[ORTools FZN2 Cost]],Table1[[#This Row],[ORTools FZN2 State]]="Optimal",Table1[[#This Row],[Cplex MIP DM''z  State]]="Suboptimal"),1,"")</f>
        <v/>
      </c>
      <c r="DU7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3" s="5" t="s">
        <v>42</v>
      </c>
      <c r="DW73" s="2"/>
      <c r="DX73" s="2">
        <v>300.04149999999998</v>
      </c>
      <c r="DY73" s="4" t="str">
        <f>IF(AND(Table1[[#This Row],[Gurobi DM''z  Cost]]=Table1[[#This Row],[ORTools FZN2 Cost]],Table1[[#This Row],[ORTools FZN2 State]]="Optimal",Table1[[#This Row],[Gurobi DM''z  State]]="Suboptimal"),1,"")</f>
        <v/>
      </c>
      <c r="DZ7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4" spans="1:130" ht="15.75" x14ac:dyDescent="0.25">
      <c r="A74" s="46" t="s">
        <v>100</v>
      </c>
      <c r="B74" s="5">
        <v>198</v>
      </c>
      <c r="C74" s="2">
        <v>99</v>
      </c>
      <c r="D74" s="5">
        <v>10388</v>
      </c>
      <c r="E74" s="2">
        <v>184</v>
      </c>
      <c r="F74" s="5">
        <v>1095</v>
      </c>
      <c r="G74" s="2">
        <v>0</v>
      </c>
      <c r="H74" s="4">
        <f t="shared" si="1"/>
        <v>0</v>
      </c>
      <c r="I74" s="4">
        <f>Table1[[#This Row],[B]]+Table1[[#This Row],[Atomic Constraints]]+Table1[[#This Row],[Soft Atomic Constraints]]+Table1[[#This Row],[Disjunctive Constraints]]+Table1[[#This Row],[Direct Successors]]</f>
        <v>11766</v>
      </c>
      <c r="J74" s="5" t="s">
        <v>42</v>
      </c>
      <c r="K74" s="2">
        <v>-7801795</v>
      </c>
      <c r="L74" s="2">
        <v>320.91159119999998</v>
      </c>
      <c r="M74" s="2" t="str">
        <f>IF(AND(Table1[[#This Row],[Chuffed MZ1 Cost]]=Table1[[#This Row],[ORTools FZN2 Cost]],Table1[[#This Row],[ORTools FZN2 State]]="Optimal",Table1[[#This Row],[Chuffed MZ1 State]]="Suboptimal"),1,"")</f>
        <v/>
      </c>
      <c r="N74" s="5" t="s">
        <v>42</v>
      </c>
      <c r="O74" s="2">
        <v>-7801795</v>
      </c>
      <c r="P74" s="2">
        <v>321.26344039999998</v>
      </c>
      <c r="Q74" s="2" t="str">
        <f>IF(AND(Table1[[#This Row],[Chuffed MZ2 Cost]]=Table1[[#This Row],[ORTools FZN2 Cost]],Table1[[#This Row],[ORTools FZN2 State]]="Optimal",Table1[[#This Row],[Chuffed MZ2 State]]="Suboptimal"),1,"")</f>
        <v/>
      </c>
      <c r="R74" s="5" t="s">
        <v>26</v>
      </c>
      <c r="S74" s="2">
        <v>662114061</v>
      </c>
      <c r="T74" s="2">
        <v>300.17600000000101</v>
      </c>
      <c r="U74" s="2"/>
      <c r="V74" s="5" t="s">
        <v>42</v>
      </c>
      <c r="W74" s="2">
        <v>-7801795</v>
      </c>
      <c r="X74" s="2">
        <v>306.29968969999999</v>
      </c>
      <c r="Y74" s="2" t="str">
        <f>IF(AND(Table1[[#This Row],[ORTools FZN1 Cost]]=Table1[[#This Row],[ORTools FZN2 Cost]],Table1[[#This Row],[ORTools FZN2 State]]="Optimal",Table1[[#This Row],[ORTools FZN1 State]]="Suboptimal"),1,"")</f>
        <v/>
      </c>
      <c r="Z74" s="5" t="s">
        <v>42</v>
      </c>
      <c r="AA74" s="2">
        <v>-7801795</v>
      </c>
      <c r="AB74" s="2">
        <v>306.3200028</v>
      </c>
      <c r="AC74" s="39" t="s">
        <v>42</v>
      </c>
      <c r="AD74" s="39">
        <v>-7801795</v>
      </c>
      <c r="AE74" s="2">
        <v>300.33483760000001</v>
      </c>
      <c r="AF74" s="2" t="str">
        <f>IF(AND(Table1[[#This Row],[Cplex MB Cost]]=Table1[[#This Row],[ORTools FZN2 Cost]],Table1[[#This Row],[ORTools FZN2 State]]="Optimal",Table1[[#This Row],[Cplex MB State]]="Suboptimal"),1,"")</f>
        <v/>
      </c>
      <c r="AG74" s="4">
        <f>IF(AND(AC74="Optimal",AD74&lt;&gt;AA74,Table1[[#This Row],[Example]]&lt;&gt;"R001",Table1[[#This Row],[Example]]&lt;&gt;"R002"),AD74-AA74,)</f>
        <v>0</v>
      </c>
      <c r="AH74" s="5" t="s">
        <v>42</v>
      </c>
      <c r="AI74" s="2">
        <v>-7801795</v>
      </c>
      <c r="AJ74" s="2">
        <v>313.44219779999997</v>
      </c>
      <c r="AK74" s="2" t="str">
        <f>IF(AND(Table1[[#This Row],[Cplex MD Cost]]=Table1[[#This Row],[ORTools FZN2 Cost]],Table1[[#This Row],[ORTools FZN2 State]]="Optimal",Table1[[#This Row],[Cplex MD State]]="Suboptimal"),1,"")</f>
        <v/>
      </c>
      <c r="AL74" s="2">
        <f>IF(AND(AH74="Optimal",AI74&lt;&gt;AA74,Table1[[#This Row],[Example]]&lt;&gt;"R001",Table1[[#This Row],[Example]]&lt;&gt;"R002"),AI74-AA74,)</f>
        <v>0</v>
      </c>
      <c r="AM74" s="39" t="s">
        <v>42</v>
      </c>
      <c r="AN74" s="39">
        <v>-7801795</v>
      </c>
      <c r="AO74" s="2">
        <v>302.09090939999999</v>
      </c>
      <c r="AP7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4" s="4" t="str">
        <f>IF(AND(Table1[[#This Row],[Cplex MI Cost]]=Table1[[#This Row],[ORTools FZN2 Cost]],Table1[[#This Row],[ORTools FZN2 State]]="Optimal",Table1[[#This Row],[Cplex MI State]]="Suboptimal"),1,"")</f>
        <v/>
      </c>
      <c r="AR74" s="5" t="s">
        <v>42</v>
      </c>
      <c r="AS74" s="2">
        <v>-7801795</v>
      </c>
      <c r="AT74" s="2">
        <v>300.29625750000002</v>
      </c>
      <c r="AU74" s="2" t="str">
        <f>IF(AND(Table1[[#This Row],[Z3 SMT2-1 Maxres Cost]]=Table1[[#This Row],[ORTools FZN2 Cost]],Table1[[#This Row],[ORTools FZN2 State]]="Optimal"),1,"")</f>
        <v/>
      </c>
      <c r="AV74" s="39" t="s">
        <v>42</v>
      </c>
      <c r="AW74" s="39">
        <v>-7801795</v>
      </c>
      <c r="AX74" s="2">
        <v>300.30922700000002</v>
      </c>
      <c r="AY74" s="2" t="str">
        <f>IF(AND(Table1[[#This Row],[Z3 SMT2-1 PdMaxres Cost]]=Table1[[#This Row],[ORTools FZN2 Cost]],Table1[[#This Row],[ORTools FZN2 State]]="Optimal"),1,"")</f>
        <v/>
      </c>
      <c r="AZ74" s="5" t="s">
        <v>42</v>
      </c>
      <c r="BA74" s="2">
        <v>-7801795</v>
      </c>
      <c r="BB74" s="39">
        <v>300.38787639999998</v>
      </c>
      <c r="BC74" s="39" t="str">
        <f>IF(AND(Table1[[#This Row],[Z3 SMT2-1 WMax Cost]]=Table1[[#This Row],[ORTools FZN2 Cost]],Table1[[#This Row],[ORTools FZN2 State]]="Optimal"),1,"")</f>
        <v/>
      </c>
      <c r="BD74" s="39" t="s">
        <v>42</v>
      </c>
      <c r="BE74" s="39">
        <v>-7801795</v>
      </c>
      <c r="BF74" s="2">
        <v>300.25270110000002</v>
      </c>
      <c r="BG74" s="2" t="str">
        <f>IF(AND(Table1[[#This Row],[Z3 SMT2-2 Maxres Cost]]=Table1[[#This Row],[ORTools FZN2 Cost]],Table1[[#This Row],[ORTools FZN2 State]]="Optimal"),1,"")</f>
        <v/>
      </c>
      <c r="BH74" s="5" t="s">
        <v>42</v>
      </c>
      <c r="BI74" s="2">
        <v>-7801795</v>
      </c>
      <c r="BJ74" s="39">
        <v>300.2544651</v>
      </c>
      <c r="BK74" s="39" t="str">
        <f>IF(AND(Table1[[#This Row],[Z3 SMT2-2 PdMaxres Cost]]=Table1[[#This Row],[ORTools FZN2 Cost]],Table1[[#This Row],[ORTools FZN2 State]]="Optimal"),1,"")</f>
        <v/>
      </c>
      <c r="BL74" s="39" t="s">
        <v>42</v>
      </c>
      <c r="BM74" s="39">
        <v>-7801795</v>
      </c>
      <c r="BN74" s="2">
        <v>300.26010300000002</v>
      </c>
      <c r="BO74" s="4" t="str">
        <f>IF(AND(Table1[[#This Row],[Z3 SMT2-2 PdMaxres Cost]]=Table1[[#This Row],[ORTools FZN2 Cost]],Table1[[#This Row],[ORTools FZN2 State]]="Optimal"),1,"")</f>
        <v/>
      </c>
      <c r="BP74" s="5" t="s">
        <v>42</v>
      </c>
      <c r="BQ74" s="2">
        <v>-7801795</v>
      </c>
      <c r="BR74" s="2">
        <v>300.5339702</v>
      </c>
      <c r="BS74" s="2" t="str">
        <f>IF(AND(Table1[[#This Row],[Gurobi MB Cost]]=Table1[[#This Row],[ORTools FZN2 Cost]],Table1[[#This Row],[ORTools FZN2 State]]="Optimal",Table1[[#This Row],[Gurobi MB State]]="Suboptimal"),1,"")</f>
        <v/>
      </c>
      <c r="BT7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4" s="5" t="s">
        <v>42</v>
      </c>
      <c r="BV74" s="2">
        <v>-7801795</v>
      </c>
      <c r="BW74" s="2">
        <v>300.32675549999999</v>
      </c>
      <c r="BX74" s="2" t="str">
        <f>IF(AND(Table1[[#This Row],[Gurobi MD Cost]]=Table1[[#This Row],[ORTools FZN2 Cost]],Table1[[#This Row],[ORTools FZN2 State]]="Optimal",Table1[[#This Row],[Gurobi MD State]]="Suboptimal"),1,"")</f>
        <v/>
      </c>
      <c r="BY7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4" s="5" t="s">
        <v>42</v>
      </c>
      <c r="CA74" s="2">
        <v>-7801795</v>
      </c>
      <c r="CB74" s="2">
        <v>300.11214669999998</v>
      </c>
      <c r="CC74" s="2" t="str">
        <f>IF(AND(Table1[[#This Row],[Gurobi MI Cost]]=Table1[[#This Row],[ORTools FZN2 Cost]],Table1[[#This Row],[ORTools FZN2 State]]="Optimal",Table1[[#This Row],[Gurobi MI State]]="Suboptimal"),1,"")</f>
        <v/>
      </c>
      <c r="CD7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4" s="39" t="s">
        <v>42</v>
      </c>
      <c r="CF74" s="2">
        <v>-7801795</v>
      </c>
      <c r="CG74" s="39">
        <v>317.61197479999998</v>
      </c>
      <c r="CH74" s="39" t="s">
        <v>42</v>
      </c>
      <c r="CI74" s="39">
        <v>-7801795</v>
      </c>
      <c r="CJ74" s="2">
        <v>317.25317619999998</v>
      </c>
      <c r="CK74" s="5" t="s">
        <v>26</v>
      </c>
      <c r="CL74" s="2">
        <v>661918214</v>
      </c>
      <c r="CM74" s="2">
        <v>300.47599999999898</v>
      </c>
      <c r="CN74" s="5" t="s">
        <v>42</v>
      </c>
      <c r="CO74" s="2">
        <v>-7801795</v>
      </c>
      <c r="CP74" s="2">
        <v>319.58424669999999</v>
      </c>
      <c r="CQ74" s="5" t="s">
        <v>42</v>
      </c>
      <c r="CR74" s="2">
        <v>-7801795</v>
      </c>
      <c r="CS74" s="2">
        <v>170.21556390000001</v>
      </c>
      <c r="CT74" s="6" t="s">
        <v>42</v>
      </c>
      <c r="CU74" s="4">
        <v>-7801795</v>
      </c>
      <c r="CV74" s="4">
        <v>422.86879520000002</v>
      </c>
      <c r="CW74" s="39" t="s">
        <v>42</v>
      </c>
      <c r="CX74" s="39"/>
      <c r="CY74" s="2">
        <v>300.11540000000002</v>
      </c>
      <c r="CZ74" s="2" t="str">
        <f>IF(AND(Table1[[#This Row],[Cplex MZ1 Cost]]=Table1[[#This Row],[ORTools FZN2 Cost]],Table1[[#This Row],[ORTools FZN2 State]]="Optimal",Table1[[#This Row],[Cplex MZ1 State]]="Suboptimal"),1,"")</f>
        <v/>
      </c>
      <c r="DA74" s="5" t="s">
        <v>42</v>
      </c>
      <c r="DB74" s="2"/>
      <c r="DC74" s="2">
        <v>300.32889999999998</v>
      </c>
      <c r="DD74" s="2" t="str">
        <f>IF(AND(Table1[[#This Row],[Cplex MZ2 Cost]]=Table1[[#This Row],[ORTools FZN2 Cost]],Table1[[#This Row],[ORTools FZN2 State]]="Optimal",Table1[[#This Row],[Cplex MZ2 State]]="Suboptimal"),1,"")</f>
        <v/>
      </c>
      <c r="DE74" s="39" t="s">
        <v>42</v>
      </c>
      <c r="DF74" s="39"/>
      <c r="DG74" s="2">
        <v>300.1386</v>
      </c>
      <c r="DH74" s="2" t="str">
        <f>IF(AND(Table1[[#This Row],[Gurobi MZ1 Cost]]=Table1[[#This Row],[ORTools FZN2 Cost]],Table1[[#This Row],[ORTools FZN2 State]]="Optimal",Table1[[#This Row],[Gurobi MZ1 State]]="Suboptimal"),1,"")</f>
        <v/>
      </c>
      <c r="DI74" s="5" t="s">
        <v>42</v>
      </c>
      <c r="DJ74" s="2"/>
      <c r="DK74" s="2">
        <v>300.05489999999998</v>
      </c>
      <c r="DL74" s="4" t="str">
        <f>IF(AND(Table1[[#This Row],[Gurobi MZ2 Cost]]=Table1[[#This Row],[ORTools FZN2 Cost]],Table1[[#This Row],[ORTools FZN2 State]]="Optimal",Table1[[#This Row],[Gurobi MZ2 State]]="Suboptimal"),1,"")</f>
        <v/>
      </c>
      <c r="DM74" s="39" t="s">
        <v>26</v>
      </c>
      <c r="DN74" s="39">
        <v>662190102</v>
      </c>
      <c r="DO74" s="65">
        <v>300.88799999999901</v>
      </c>
      <c r="DP74" s="4" t="str">
        <f>IF(AND(Table1[[#This Row],[Cplex MC nonDual Cost]]=Table1[[#This Row],[ORTools FZN2 Cost]],Table1[[#This Row],[ORTools FZN2 State]]="Optimal",Table1[[#This Row],[Cplex MC nonDual State]]="Suboptimal"),1,"")</f>
        <v/>
      </c>
      <c r="DQ74" s="5" t="s">
        <v>42</v>
      </c>
      <c r="DR74" s="2"/>
      <c r="DS74" s="2">
        <v>300.31049999999999</v>
      </c>
      <c r="DT74" s="2" t="str">
        <f>IF(AND(Table1[[#This Row],[Cplex MIP DM''z Cost]]=Table1[[#This Row],[ORTools FZN2 Cost]],Table1[[#This Row],[ORTools FZN2 State]]="Optimal",Table1[[#This Row],[Cplex MIP DM''z  State]]="Suboptimal"),1,"")</f>
        <v/>
      </c>
      <c r="DU7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4" s="5" t="s">
        <v>42</v>
      </c>
      <c r="DW74" s="2"/>
      <c r="DX74" s="2">
        <v>300.03280000000001</v>
      </c>
      <c r="DY74" s="4" t="str">
        <f>IF(AND(Table1[[#This Row],[Gurobi DM''z  Cost]]=Table1[[#This Row],[ORTools FZN2 Cost]],Table1[[#This Row],[ORTools FZN2 State]]="Optimal",Table1[[#This Row],[Gurobi DM''z  State]]="Suboptimal"),1,"")</f>
        <v/>
      </c>
      <c r="DZ7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5" spans="1:130" ht="15.75" x14ac:dyDescent="0.25">
      <c r="A75" s="46" t="s">
        <v>101</v>
      </c>
      <c r="B75" s="5">
        <v>198</v>
      </c>
      <c r="C75" s="2">
        <v>99</v>
      </c>
      <c r="D75" s="5">
        <v>9870</v>
      </c>
      <c r="E75" s="2">
        <v>184</v>
      </c>
      <c r="F75" s="5">
        <v>1211</v>
      </c>
      <c r="G75" s="2">
        <v>0</v>
      </c>
      <c r="H75" s="4">
        <f t="shared" si="1"/>
        <v>0</v>
      </c>
      <c r="I75" s="4">
        <f>Table1[[#This Row],[B]]+Table1[[#This Row],[Atomic Constraints]]+Table1[[#This Row],[Soft Atomic Constraints]]+Table1[[#This Row],[Disjunctive Constraints]]+Table1[[#This Row],[Direct Successors]]</f>
        <v>11364</v>
      </c>
      <c r="J75" s="5" t="s">
        <v>42</v>
      </c>
      <c r="K75" s="2">
        <v>-7801795</v>
      </c>
      <c r="L75" s="2">
        <v>320.98178239999999</v>
      </c>
      <c r="M75" s="2" t="str">
        <f>IF(AND(Table1[[#This Row],[Chuffed MZ1 Cost]]=Table1[[#This Row],[ORTools FZN2 Cost]],Table1[[#This Row],[ORTools FZN2 State]]="Optimal",Table1[[#This Row],[Chuffed MZ1 State]]="Suboptimal"),1,"")</f>
        <v/>
      </c>
      <c r="N75" s="5" t="s">
        <v>42</v>
      </c>
      <c r="O75" s="2">
        <v>-7801795</v>
      </c>
      <c r="P75" s="2">
        <v>320.73492929999998</v>
      </c>
      <c r="Q75" s="2" t="str">
        <f>IF(AND(Table1[[#This Row],[Chuffed MZ2 Cost]]=Table1[[#This Row],[ORTools FZN2 Cost]],Table1[[#This Row],[ORTools FZN2 State]]="Optimal",Table1[[#This Row],[Chuffed MZ2 State]]="Suboptimal"),1,"")</f>
        <v/>
      </c>
      <c r="R75" s="6" t="s">
        <v>26</v>
      </c>
      <c r="S75" s="4">
        <v>536520241</v>
      </c>
      <c r="T75" s="4">
        <v>300.55099999999902</v>
      </c>
      <c r="U75" s="4"/>
      <c r="V75" s="5" t="s">
        <v>42</v>
      </c>
      <c r="W75" s="2">
        <v>-7801795</v>
      </c>
      <c r="X75" s="2">
        <v>306.36622249999999</v>
      </c>
      <c r="Y75" s="2" t="str">
        <f>IF(AND(Table1[[#This Row],[ORTools FZN1 Cost]]=Table1[[#This Row],[ORTools FZN2 Cost]],Table1[[#This Row],[ORTools FZN2 State]]="Optimal",Table1[[#This Row],[ORTools FZN1 State]]="Suboptimal"),1,"")</f>
        <v/>
      </c>
      <c r="Z75" s="5" t="s">
        <v>42</v>
      </c>
      <c r="AA75" s="2">
        <v>-7801795</v>
      </c>
      <c r="AB75" s="2">
        <v>306.37942529999998</v>
      </c>
      <c r="AC75" s="39" t="s">
        <v>42</v>
      </c>
      <c r="AD75" s="39">
        <v>-7801795</v>
      </c>
      <c r="AE75" s="2">
        <v>300.42082110000001</v>
      </c>
      <c r="AF75" s="2" t="str">
        <f>IF(AND(Table1[[#This Row],[Cplex MB Cost]]=Table1[[#This Row],[ORTools FZN2 Cost]],Table1[[#This Row],[ORTools FZN2 State]]="Optimal",Table1[[#This Row],[Cplex MB State]]="Suboptimal"),1,"")</f>
        <v/>
      </c>
      <c r="AG75" s="4">
        <f>IF(AND(AC75="Optimal",AD75&lt;&gt;AA75,Table1[[#This Row],[Example]]&lt;&gt;"R001",Table1[[#This Row],[Example]]&lt;&gt;"R002"),AD75-AA75,)</f>
        <v>0</v>
      </c>
      <c r="AH75" s="5" t="s">
        <v>42</v>
      </c>
      <c r="AI75" s="2">
        <v>-7801795</v>
      </c>
      <c r="AJ75" s="2">
        <v>318.76947699999999</v>
      </c>
      <c r="AK75" s="2" t="str">
        <f>IF(AND(Table1[[#This Row],[Cplex MD Cost]]=Table1[[#This Row],[ORTools FZN2 Cost]],Table1[[#This Row],[ORTools FZN2 State]]="Optimal",Table1[[#This Row],[Cplex MD State]]="Suboptimal"),1,"")</f>
        <v/>
      </c>
      <c r="AL75" s="4">
        <f>IF(AND(AH75="Optimal",AI75&lt;&gt;AA75,Table1[[#This Row],[Example]]&lt;&gt;"R001",Table1[[#This Row],[Example]]&lt;&gt;"R002"),AI75-AA75,)</f>
        <v>0</v>
      </c>
      <c r="AM75" s="39" t="s">
        <v>42</v>
      </c>
      <c r="AN75" s="39">
        <v>-7801795</v>
      </c>
      <c r="AO75" s="2">
        <v>302.73735119999998</v>
      </c>
      <c r="AP7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5" s="4" t="str">
        <f>IF(AND(Table1[[#This Row],[Cplex MI Cost]]=Table1[[#This Row],[ORTools FZN2 Cost]],Table1[[#This Row],[ORTools FZN2 State]]="Optimal",Table1[[#This Row],[Cplex MI State]]="Suboptimal"),1,"")</f>
        <v/>
      </c>
      <c r="AR75" s="5" t="s">
        <v>42</v>
      </c>
      <c r="AS75" s="2">
        <v>-7801795</v>
      </c>
      <c r="AT75" s="2">
        <v>300.25690550000002</v>
      </c>
      <c r="AU75" s="2" t="str">
        <f>IF(AND(Table1[[#This Row],[Z3 SMT2-1 Maxres Cost]]=Table1[[#This Row],[ORTools FZN2 Cost]],Table1[[#This Row],[ORTools FZN2 State]]="Optimal"),1,"")</f>
        <v/>
      </c>
      <c r="AV75" s="39" t="s">
        <v>42</v>
      </c>
      <c r="AW75" s="39">
        <v>-7801795</v>
      </c>
      <c r="AX75" s="2">
        <v>300.26849600000003</v>
      </c>
      <c r="AY75" s="2" t="str">
        <f>IF(AND(Table1[[#This Row],[Z3 SMT2-1 PdMaxres Cost]]=Table1[[#This Row],[ORTools FZN2 Cost]],Table1[[#This Row],[ORTools FZN2 State]]="Optimal"),1,"")</f>
        <v/>
      </c>
      <c r="AZ75" s="5" t="s">
        <v>42</v>
      </c>
      <c r="BA75" s="2">
        <v>-7801795</v>
      </c>
      <c r="BB75" s="39">
        <v>300.25349510000001</v>
      </c>
      <c r="BC75" s="39" t="str">
        <f>IF(AND(Table1[[#This Row],[Z3 SMT2-1 WMax Cost]]=Table1[[#This Row],[ORTools FZN2 Cost]],Table1[[#This Row],[ORTools FZN2 State]]="Optimal"),1,"")</f>
        <v/>
      </c>
      <c r="BD75" s="39" t="s">
        <v>42</v>
      </c>
      <c r="BE75" s="39">
        <v>-7801795</v>
      </c>
      <c r="BF75" s="2">
        <v>300.2393735</v>
      </c>
      <c r="BG75" s="2" t="str">
        <f>IF(AND(Table1[[#This Row],[Z3 SMT2-2 Maxres Cost]]=Table1[[#This Row],[ORTools FZN2 Cost]],Table1[[#This Row],[ORTools FZN2 State]]="Optimal"),1,"")</f>
        <v/>
      </c>
      <c r="BH75" s="5" t="s">
        <v>42</v>
      </c>
      <c r="BI75" s="2">
        <v>-7801795</v>
      </c>
      <c r="BJ75" s="39">
        <v>300.23464330000002</v>
      </c>
      <c r="BK75" s="39" t="str">
        <f>IF(AND(Table1[[#This Row],[Z3 SMT2-2 PdMaxres Cost]]=Table1[[#This Row],[ORTools FZN2 Cost]],Table1[[#This Row],[ORTools FZN2 State]]="Optimal"),1,"")</f>
        <v/>
      </c>
      <c r="BL75" s="39" t="s">
        <v>42</v>
      </c>
      <c r="BM75" s="39">
        <v>-7801795</v>
      </c>
      <c r="BN75" s="2">
        <v>300.23749750000002</v>
      </c>
      <c r="BO75" s="4" t="str">
        <f>IF(AND(Table1[[#This Row],[Z3 SMT2-2 PdMaxres Cost]]=Table1[[#This Row],[ORTools FZN2 Cost]],Table1[[#This Row],[ORTools FZN2 State]]="Optimal"),1,"")</f>
        <v/>
      </c>
      <c r="BP75" s="5" t="s">
        <v>42</v>
      </c>
      <c r="BQ75" s="2">
        <v>-7801795</v>
      </c>
      <c r="BR75" s="2">
        <v>300.45549069999998</v>
      </c>
      <c r="BS75" s="2" t="str">
        <f>IF(AND(Table1[[#This Row],[Gurobi MB Cost]]=Table1[[#This Row],[ORTools FZN2 Cost]],Table1[[#This Row],[ORTools FZN2 State]]="Optimal",Table1[[#This Row],[Gurobi MB State]]="Suboptimal"),1,"")</f>
        <v/>
      </c>
      <c r="BT7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5" s="5" t="s">
        <v>42</v>
      </c>
      <c r="BV75" s="2">
        <v>-7801795</v>
      </c>
      <c r="BW75" s="2">
        <v>300.45104070000002</v>
      </c>
      <c r="BX75" s="2" t="str">
        <f>IF(AND(Table1[[#This Row],[Gurobi MD Cost]]=Table1[[#This Row],[ORTools FZN2 Cost]],Table1[[#This Row],[ORTools FZN2 State]]="Optimal",Table1[[#This Row],[Gurobi MD State]]="Suboptimal"),1,"")</f>
        <v/>
      </c>
      <c r="BY7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5" s="5" t="s">
        <v>42</v>
      </c>
      <c r="CA75" s="2">
        <v>-7801795</v>
      </c>
      <c r="CB75" s="2">
        <v>300.32044150000002</v>
      </c>
      <c r="CC75" s="2" t="str">
        <f>IF(AND(Table1[[#This Row],[Gurobi MI Cost]]=Table1[[#This Row],[ORTools FZN2 Cost]],Table1[[#This Row],[ORTools FZN2 State]]="Optimal",Table1[[#This Row],[Gurobi MI State]]="Suboptimal"),1,"")</f>
        <v/>
      </c>
      <c r="CD7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5" s="39" t="s">
        <v>42</v>
      </c>
      <c r="CF75" s="2">
        <v>-7801795</v>
      </c>
      <c r="CG75" s="39">
        <v>322.89437779999997</v>
      </c>
      <c r="CH75" s="39" t="s">
        <v>42</v>
      </c>
      <c r="CI75" s="39">
        <v>-7801795</v>
      </c>
      <c r="CJ75" s="2">
        <v>317.3007571</v>
      </c>
      <c r="CK75" s="5" t="s">
        <v>26</v>
      </c>
      <c r="CL75" s="2">
        <v>513789236</v>
      </c>
      <c r="CM75" s="2">
        <v>301.42</v>
      </c>
      <c r="CN75" s="5" t="s">
        <v>26</v>
      </c>
      <c r="CO75" s="2">
        <v>738976283</v>
      </c>
      <c r="CP75" s="2">
        <v>319.57775220000002</v>
      </c>
      <c r="CQ75" s="5" t="s">
        <v>42</v>
      </c>
      <c r="CR75" s="2">
        <v>-7801795</v>
      </c>
      <c r="CS75" s="2">
        <v>313.50983989999997</v>
      </c>
      <c r="CT75" s="6" t="s">
        <v>26</v>
      </c>
      <c r="CU75" s="4">
        <v>226226306</v>
      </c>
      <c r="CV75" s="4">
        <v>328.67398809999997</v>
      </c>
      <c r="CW75" s="39" t="s">
        <v>42</v>
      </c>
      <c r="CX75" s="39"/>
      <c r="CY75" s="2">
        <v>300.36349999999999</v>
      </c>
      <c r="CZ75" s="2" t="str">
        <f>IF(AND(Table1[[#This Row],[Cplex MZ1 Cost]]=Table1[[#This Row],[ORTools FZN2 Cost]],Table1[[#This Row],[ORTools FZN2 State]]="Optimal",Table1[[#This Row],[Cplex MZ1 State]]="Suboptimal"),1,"")</f>
        <v/>
      </c>
      <c r="DA75" s="5" t="s">
        <v>42</v>
      </c>
      <c r="DB75" s="2"/>
      <c r="DC75" s="2">
        <v>300.35250000000002</v>
      </c>
      <c r="DD75" s="2" t="str">
        <f>IF(AND(Table1[[#This Row],[Cplex MZ2 Cost]]=Table1[[#This Row],[ORTools FZN2 Cost]],Table1[[#This Row],[ORTools FZN2 State]]="Optimal",Table1[[#This Row],[Cplex MZ2 State]]="Suboptimal"),1,"")</f>
        <v/>
      </c>
      <c r="DE75" s="39" t="s">
        <v>42</v>
      </c>
      <c r="DF75" s="39"/>
      <c r="DG75" s="2">
        <v>300.02769999999998</v>
      </c>
      <c r="DH75" s="2" t="str">
        <f>IF(AND(Table1[[#This Row],[Gurobi MZ1 Cost]]=Table1[[#This Row],[ORTools FZN2 Cost]],Table1[[#This Row],[ORTools FZN2 State]]="Optimal",Table1[[#This Row],[Gurobi MZ1 State]]="Suboptimal"),1,"")</f>
        <v/>
      </c>
      <c r="DI75" s="5" t="s">
        <v>42</v>
      </c>
      <c r="DJ75" s="2"/>
      <c r="DK75" s="2">
        <v>300.01920000000001</v>
      </c>
      <c r="DL75" s="4" t="str">
        <f>IF(AND(Table1[[#This Row],[Gurobi MZ2 Cost]]=Table1[[#This Row],[ORTools FZN2 Cost]],Table1[[#This Row],[ORTools FZN2 State]]="Optimal",Table1[[#This Row],[Gurobi MZ2 State]]="Suboptimal"),1,"")</f>
        <v/>
      </c>
      <c r="DM75" s="39" t="s">
        <v>26</v>
      </c>
      <c r="DN75" s="39">
        <v>513198623</v>
      </c>
      <c r="DO75" s="65">
        <v>302.25200000000001</v>
      </c>
      <c r="DP75" s="4" t="str">
        <f>IF(AND(Table1[[#This Row],[Cplex MC nonDual Cost]]=Table1[[#This Row],[ORTools FZN2 Cost]],Table1[[#This Row],[ORTools FZN2 State]]="Optimal",Table1[[#This Row],[Cplex MC nonDual State]]="Suboptimal"),1,"")</f>
        <v/>
      </c>
      <c r="DQ75" s="5" t="s">
        <v>42</v>
      </c>
      <c r="DR75" s="2"/>
      <c r="DS75" s="2">
        <v>300.18110000000001</v>
      </c>
      <c r="DT75" s="2" t="str">
        <f>IF(AND(Table1[[#This Row],[Cplex MIP DM''z Cost]]=Table1[[#This Row],[ORTools FZN2 Cost]],Table1[[#This Row],[ORTools FZN2 State]]="Optimal",Table1[[#This Row],[Cplex MIP DM''z  State]]="Suboptimal"),1,"")</f>
        <v/>
      </c>
      <c r="DU7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5" s="5" t="s">
        <v>42</v>
      </c>
      <c r="DW75" s="2"/>
      <c r="DX75" s="2">
        <v>300.0111</v>
      </c>
      <c r="DY75" s="4" t="str">
        <f>IF(AND(Table1[[#This Row],[Gurobi DM''z  Cost]]=Table1[[#This Row],[ORTools FZN2 Cost]],Table1[[#This Row],[ORTools FZN2 State]]="Optimal",Table1[[#This Row],[Gurobi DM''z  State]]="Suboptimal"),1,"")</f>
        <v/>
      </c>
      <c r="DZ7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6" spans="1:130" ht="15.75" x14ac:dyDescent="0.25">
      <c r="A76" s="46" t="s">
        <v>102</v>
      </c>
      <c r="B76" s="5">
        <v>0</v>
      </c>
      <c r="C76" s="2">
        <v>0</v>
      </c>
      <c r="D76" s="5">
        <v>0</v>
      </c>
      <c r="E76" s="2">
        <v>0</v>
      </c>
      <c r="F76" s="5">
        <v>0</v>
      </c>
      <c r="G76" s="2">
        <v>0</v>
      </c>
      <c r="H76" s="4">
        <f t="shared" si="1"/>
        <v>0</v>
      </c>
      <c r="I76" s="4">
        <f>Table1[[#This Row],[B]]+Table1[[#This Row],[Atomic Constraints]]+Table1[[#This Row],[Soft Atomic Constraints]]+Table1[[#This Row],[Disjunctive Constraints]]+Table1[[#This Row],[Direct Successors]]</f>
        <v>0</v>
      </c>
      <c r="J76" s="5" t="s">
        <v>51</v>
      </c>
      <c r="K76" s="2">
        <v>-1</v>
      </c>
      <c r="L76" s="2">
        <v>2.0603101000000001</v>
      </c>
      <c r="M76" s="2" t="str">
        <f>IF(AND(Table1[[#This Row],[Chuffed MZ1 Cost]]=Table1[[#This Row],[ORTools FZN2 Cost]],Table1[[#This Row],[ORTools FZN2 State]]="Optimal",Table1[[#This Row],[Chuffed MZ1 State]]="Suboptimal"),1,"")</f>
        <v/>
      </c>
      <c r="N76" s="5" t="s">
        <v>51</v>
      </c>
      <c r="O76" s="2">
        <v>-1</v>
      </c>
      <c r="P76" s="2">
        <v>2.5363188000000001</v>
      </c>
      <c r="Q76" s="2" t="str">
        <f>IF(AND(Table1[[#This Row],[Chuffed MZ2 Cost]]=Table1[[#This Row],[ORTools FZN2 Cost]],Table1[[#This Row],[ORTools FZN2 State]]="Optimal",Table1[[#This Row],[Chuffed MZ2 State]]="Suboptimal"),1,"")</f>
        <v/>
      </c>
      <c r="R76" s="6" t="s">
        <v>25</v>
      </c>
      <c r="S76" s="4">
        <v>0</v>
      </c>
      <c r="T76" s="4">
        <v>1.80000000000291E-2</v>
      </c>
      <c r="U76" s="4"/>
      <c r="V76" s="5" t="s">
        <v>51</v>
      </c>
      <c r="W76" s="2">
        <v>-1</v>
      </c>
      <c r="X76" s="2">
        <v>1.9628161</v>
      </c>
      <c r="Y76" s="2" t="str">
        <f>IF(AND(Table1[[#This Row],[ORTools FZN1 Cost]]=Table1[[#This Row],[ORTools FZN2 Cost]],Table1[[#This Row],[ORTools FZN2 State]]="Optimal",Table1[[#This Row],[ORTools FZN1 State]]="Suboptimal"),1,"")</f>
        <v/>
      </c>
      <c r="Z76" s="5" t="s">
        <v>51</v>
      </c>
      <c r="AA76" s="2">
        <v>-1</v>
      </c>
      <c r="AB76" s="2">
        <v>1.751841</v>
      </c>
      <c r="AC76" s="39" t="s">
        <v>25</v>
      </c>
      <c r="AD76" s="39">
        <v>0</v>
      </c>
      <c r="AE76" s="2">
        <v>5.5884999999999997E-3</v>
      </c>
      <c r="AF76" s="2" t="str">
        <f>IF(AND(Table1[[#This Row],[Cplex MB Cost]]=Table1[[#This Row],[ORTools FZN2 Cost]],Table1[[#This Row],[ORTools FZN2 State]]="Optimal",Table1[[#This Row],[Cplex MB State]]="Suboptimal"),1,"")</f>
        <v/>
      </c>
      <c r="AG76" s="4">
        <f>IF(AND(AC76="Optimal",AD76&lt;&gt;AA76,Table1[[#This Row],[Example]]&lt;&gt;"R001",Table1[[#This Row],[Example]]&lt;&gt;"R002"),AD76-AA76,)</f>
        <v>0</v>
      </c>
      <c r="AH76" s="5" t="s">
        <v>25</v>
      </c>
      <c r="AI76" s="2">
        <v>0</v>
      </c>
      <c r="AJ76" s="2">
        <v>8.7925000000000003E-2</v>
      </c>
      <c r="AK76" s="2" t="str">
        <f>IF(AND(Table1[[#This Row],[Cplex MD Cost]]=Table1[[#This Row],[ORTools FZN2 Cost]],Table1[[#This Row],[ORTools FZN2 State]]="Optimal",Table1[[#This Row],[Cplex MD State]]="Suboptimal"),1,"")</f>
        <v/>
      </c>
      <c r="AL76" s="4">
        <f>IF(AND(AH76="Optimal",AI76&lt;&gt;AA76,Table1[[#This Row],[Example]]&lt;&gt;"R001",Table1[[#This Row],[Example]]&lt;&gt;"R002"),AI76-AA76,)</f>
        <v>0</v>
      </c>
      <c r="AM76" s="39" t="s">
        <v>25</v>
      </c>
      <c r="AN76" s="39">
        <v>0</v>
      </c>
      <c r="AO76" s="2">
        <v>1.0499000000000001E-3</v>
      </c>
      <c r="AP7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6" s="4" t="str">
        <f>IF(AND(Table1[[#This Row],[Cplex MI Cost]]=Table1[[#This Row],[ORTools FZN2 Cost]],Table1[[#This Row],[ORTools FZN2 State]]="Optimal",Table1[[#This Row],[Cplex MI State]]="Suboptimal"),1,"")</f>
        <v/>
      </c>
      <c r="AR76" s="5" t="s">
        <v>51</v>
      </c>
      <c r="AS76" s="2">
        <v>-1</v>
      </c>
      <c r="AT76" s="2">
        <v>4.3711100000000003E-2</v>
      </c>
      <c r="AU76" s="2" t="str">
        <f>IF(AND(Table1[[#This Row],[Z3 SMT2-1 Maxres Cost]]=Table1[[#This Row],[ORTools FZN2 Cost]],Table1[[#This Row],[ORTools FZN2 State]]="Optimal"),1,"")</f>
        <v/>
      </c>
      <c r="AV76" s="39" t="s">
        <v>51</v>
      </c>
      <c r="AW76" s="39">
        <v>-1</v>
      </c>
      <c r="AX76" s="2">
        <v>5.1690300000000002E-2</v>
      </c>
      <c r="AY76" s="2" t="str">
        <f>IF(AND(Table1[[#This Row],[Z3 SMT2-1 PdMaxres Cost]]=Table1[[#This Row],[ORTools FZN2 Cost]],Table1[[#This Row],[ORTools FZN2 State]]="Optimal"),1,"")</f>
        <v/>
      </c>
      <c r="AZ76" s="5" t="s">
        <v>51</v>
      </c>
      <c r="BA76" s="2">
        <v>-1</v>
      </c>
      <c r="BB76" s="39">
        <v>5.6141099999999999E-2</v>
      </c>
      <c r="BC76" s="39" t="str">
        <f>IF(AND(Table1[[#This Row],[Z3 SMT2-1 WMax Cost]]=Table1[[#This Row],[ORTools FZN2 Cost]],Table1[[#This Row],[ORTools FZN2 State]]="Optimal"),1,"")</f>
        <v/>
      </c>
      <c r="BD76" s="39" t="s">
        <v>51</v>
      </c>
      <c r="BE76" s="39">
        <v>-1</v>
      </c>
      <c r="BF76" s="2">
        <v>5.8569999999999997E-2</v>
      </c>
      <c r="BG76" s="2" t="str">
        <f>IF(AND(Table1[[#This Row],[Z3 SMT2-2 Maxres Cost]]=Table1[[#This Row],[ORTools FZN2 Cost]],Table1[[#This Row],[ORTools FZN2 State]]="Optimal"),1,"")</f>
        <v/>
      </c>
      <c r="BH76" s="5" t="s">
        <v>51</v>
      </c>
      <c r="BI76" s="2">
        <v>-1</v>
      </c>
      <c r="BJ76" s="39">
        <v>5.0430799999999998E-2</v>
      </c>
      <c r="BK76" s="39" t="str">
        <f>IF(AND(Table1[[#This Row],[Z3 SMT2-2 PdMaxres Cost]]=Table1[[#This Row],[ORTools FZN2 Cost]],Table1[[#This Row],[ORTools FZN2 State]]="Optimal"),1,"")</f>
        <v/>
      </c>
      <c r="BL76" s="39" t="s">
        <v>51</v>
      </c>
      <c r="BM76" s="39">
        <v>-1</v>
      </c>
      <c r="BN76" s="2">
        <v>4.7398799999999998E-2</v>
      </c>
      <c r="BO76" s="4" t="str">
        <f>IF(AND(Table1[[#This Row],[Z3 SMT2-2 PdMaxres Cost]]=Table1[[#This Row],[ORTools FZN2 Cost]],Table1[[#This Row],[ORTools FZN2 State]]="Optimal"),1,"")</f>
        <v/>
      </c>
      <c r="BP76" s="5" t="s">
        <v>77</v>
      </c>
      <c r="BQ76" s="2">
        <v>-1</v>
      </c>
      <c r="BR76" s="2">
        <v>1.38663E-2</v>
      </c>
      <c r="BS76" s="2" t="str">
        <f>IF(AND(Table1[[#This Row],[Gurobi MB Cost]]=Table1[[#This Row],[ORTools FZN2 Cost]],Table1[[#This Row],[ORTools FZN2 State]]="Optimal",Table1[[#This Row],[Gurobi MB State]]="Suboptimal"),1,"")</f>
        <v/>
      </c>
      <c r="BT7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6" s="5" t="s">
        <v>77</v>
      </c>
      <c r="BV76" s="2">
        <v>-1</v>
      </c>
      <c r="BW76" s="2">
        <v>2.9751900000000001E-2</v>
      </c>
      <c r="BX76" s="2" t="str">
        <f>IF(AND(Table1[[#This Row],[Gurobi MD Cost]]=Table1[[#This Row],[ORTools FZN2 Cost]],Table1[[#This Row],[ORTools FZN2 State]]="Optimal",Table1[[#This Row],[Gurobi MD State]]="Suboptimal"),1,"")</f>
        <v/>
      </c>
      <c r="BY7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6" s="5" t="s">
        <v>77</v>
      </c>
      <c r="CA76" s="2">
        <v>-1</v>
      </c>
      <c r="CB76" s="2">
        <v>2.2720000000000001E-3</v>
      </c>
      <c r="CC76" s="2" t="str">
        <f>IF(AND(Table1[[#This Row],[Gurobi MI Cost]]=Table1[[#This Row],[ORTools FZN2 Cost]],Table1[[#This Row],[ORTools FZN2 State]]="Optimal",Table1[[#This Row],[Gurobi MI State]]="Suboptimal"),1,"")</f>
        <v/>
      </c>
      <c r="CD7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6" s="54" t="s">
        <v>308</v>
      </c>
      <c r="CF76" s="54" t="s">
        <v>308</v>
      </c>
      <c r="CG76" s="54" t="s">
        <v>308</v>
      </c>
      <c r="CH76" s="54" t="s">
        <v>308</v>
      </c>
      <c r="CI76" s="54" t="s">
        <v>308</v>
      </c>
      <c r="CJ76" s="54" t="s">
        <v>308</v>
      </c>
      <c r="CK76" s="5" t="s">
        <v>25</v>
      </c>
      <c r="CL76" s="2">
        <v>0</v>
      </c>
      <c r="CM76" s="2">
        <v>1.9000000000232799E-2</v>
      </c>
      <c r="CN76" s="5" t="s">
        <v>51</v>
      </c>
      <c r="CO76" s="2">
        <v>-1</v>
      </c>
      <c r="CP76" s="2">
        <v>1.995325</v>
      </c>
      <c r="CQ76" s="5" t="s">
        <v>51</v>
      </c>
      <c r="CR76" s="2">
        <v>-1</v>
      </c>
      <c r="CS76" s="2">
        <v>1.9459333999999999</v>
      </c>
      <c r="CT76" s="6" t="s">
        <v>51</v>
      </c>
      <c r="CU76" s="4">
        <v>-1</v>
      </c>
      <c r="CV76" s="4">
        <v>2.6245161000000001</v>
      </c>
      <c r="CW76" s="39" t="s">
        <v>25</v>
      </c>
      <c r="CX76" s="39">
        <v>0</v>
      </c>
      <c r="CY76" s="2">
        <v>0</v>
      </c>
      <c r="CZ76" s="2" t="str">
        <f>IF(AND(Table1[[#This Row],[Cplex MZ1 Cost]]=Table1[[#This Row],[ORTools FZN2 Cost]],Table1[[#This Row],[ORTools FZN2 State]]="Optimal",Table1[[#This Row],[Cplex MZ1 State]]="Suboptimal"),1,"")</f>
        <v/>
      </c>
      <c r="DA76" s="5" t="s">
        <v>25</v>
      </c>
      <c r="DB76" s="2">
        <v>0</v>
      </c>
      <c r="DC76" s="2">
        <v>0</v>
      </c>
      <c r="DD76" s="2" t="str">
        <f>IF(AND(Table1[[#This Row],[Cplex MZ2 Cost]]=Table1[[#This Row],[ORTools FZN2 Cost]],Table1[[#This Row],[ORTools FZN2 State]]="Optimal",Table1[[#This Row],[Cplex MZ2 State]]="Suboptimal"),1,"")</f>
        <v/>
      </c>
      <c r="DE76" s="39" t="s">
        <v>25</v>
      </c>
      <c r="DF76" s="39">
        <v>0</v>
      </c>
      <c r="DG76" s="2">
        <v>0</v>
      </c>
      <c r="DH76" s="2" t="str">
        <f>IF(AND(Table1[[#This Row],[Gurobi MZ1 Cost]]=Table1[[#This Row],[ORTools FZN2 Cost]],Table1[[#This Row],[ORTools FZN2 State]]="Optimal",Table1[[#This Row],[Gurobi MZ1 State]]="Suboptimal"),1,"")</f>
        <v/>
      </c>
      <c r="DI76" s="5" t="s">
        <v>25</v>
      </c>
      <c r="DJ76" s="2">
        <v>0</v>
      </c>
      <c r="DK76" s="2">
        <v>0</v>
      </c>
      <c r="DL76" s="4" t="str">
        <f>IF(AND(Table1[[#This Row],[Gurobi MZ2 Cost]]=Table1[[#This Row],[ORTools FZN2 Cost]],Table1[[#This Row],[ORTools FZN2 State]]="Optimal",Table1[[#This Row],[Gurobi MZ2 State]]="Suboptimal"),1,"")</f>
        <v/>
      </c>
      <c r="DM76" s="39" t="s">
        <v>25</v>
      </c>
      <c r="DN76" s="39">
        <v>0</v>
      </c>
      <c r="DO76" s="65">
        <v>1.9000000000232799E-2</v>
      </c>
      <c r="DP76" s="4" t="str">
        <f>IF(AND(Table1[[#This Row],[Cplex MC nonDual Cost]]=Table1[[#This Row],[ORTools FZN2 Cost]],Table1[[#This Row],[ORTools FZN2 State]]="Optimal",Table1[[#This Row],[Cplex MC nonDual State]]="Suboptimal"),1,"")</f>
        <v/>
      </c>
      <c r="DQ76" s="5" t="s">
        <v>25</v>
      </c>
      <c r="DR76" s="2">
        <v>0</v>
      </c>
      <c r="DS76" s="2">
        <v>0</v>
      </c>
      <c r="DT76" s="2" t="str">
        <f>IF(AND(Table1[[#This Row],[Cplex MIP DM''z Cost]]=Table1[[#This Row],[ORTools FZN2 Cost]],Table1[[#This Row],[ORTools FZN2 State]]="Optimal",Table1[[#This Row],[Cplex MIP DM''z  State]]="Suboptimal"),1,"")</f>
        <v/>
      </c>
      <c r="DU7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6" s="5" t="s">
        <v>25</v>
      </c>
      <c r="DW76" s="2">
        <v>0</v>
      </c>
      <c r="DX76" s="2">
        <v>0</v>
      </c>
      <c r="DY76" s="4" t="str">
        <f>IF(AND(Table1[[#This Row],[Gurobi DM''z  Cost]]=Table1[[#This Row],[ORTools FZN2 Cost]],Table1[[#This Row],[ORTools FZN2 State]]="Optimal",Table1[[#This Row],[Gurobi DM''z  State]]="Suboptimal"),1,"")</f>
        <v/>
      </c>
      <c r="DZ7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7" spans="1:130" ht="15.75" x14ac:dyDescent="0.25">
      <c r="A77" s="47" t="s">
        <v>103</v>
      </c>
      <c r="B77" s="5">
        <v>1</v>
      </c>
      <c r="C77" s="2">
        <v>0</v>
      </c>
      <c r="D77" s="5">
        <v>0</v>
      </c>
      <c r="E77" s="2">
        <v>0</v>
      </c>
      <c r="F77" s="5">
        <v>0</v>
      </c>
      <c r="G77" s="2">
        <v>0</v>
      </c>
      <c r="H77" s="4">
        <f t="shared" si="1"/>
        <v>1</v>
      </c>
      <c r="I77" s="4">
        <f>Table1[[#This Row],[B]]+Table1[[#This Row],[Atomic Constraints]]+Table1[[#This Row],[Soft Atomic Constraints]]+Table1[[#This Row],[Disjunctive Constraints]]+Table1[[#This Row],[Direct Successors]]</f>
        <v>0</v>
      </c>
      <c r="J77" s="5" t="s">
        <v>25</v>
      </c>
      <c r="K77" s="2">
        <v>0</v>
      </c>
      <c r="L77" s="2">
        <v>0.53707269999999996</v>
      </c>
      <c r="M77" s="2" t="str">
        <f>IF(AND(Table1[[#This Row],[Chuffed MZ1 Cost]]=Table1[[#This Row],[ORTools FZN2 Cost]],Table1[[#This Row],[ORTools FZN2 State]]="Optimal",Table1[[#This Row],[Chuffed MZ1 State]]="Suboptimal"),1,"")</f>
        <v/>
      </c>
      <c r="N77" s="5" t="s">
        <v>25</v>
      </c>
      <c r="O77" s="2">
        <v>0</v>
      </c>
      <c r="P77" s="2">
        <v>0.53812689999999996</v>
      </c>
      <c r="Q77" s="2" t="str">
        <f>IF(AND(Table1[[#This Row],[Chuffed MZ2 Cost]]=Table1[[#This Row],[ORTools FZN2 Cost]],Table1[[#This Row],[ORTools FZN2 State]]="Optimal",Table1[[#This Row],[Chuffed MZ2 State]]="Suboptimal"),1,"")</f>
        <v/>
      </c>
      <c r="R77" s="5" t="s">
        <v>25</v>
      </c>
      <c r="S77" s="2">
        <v>0</v>
      </c>
      <c r="T77" s="2">
        <v>1.6999999999825401E-2</v>
      </c>
      <c r="U77" s="2"/>
      <c r="V77" s="5" t="s">
        <v>51</v>
      </c>
      <c r="W77" s="2">
        <v>-4</v>
      </c>
      <c r="X77" s="2">
        <v>1.6171488999999999</v>
      </c>
      <c r="Y77" s="2" t="str">
        <f>IF(AND(Table1[[#This Row],[ORTools FZN1 Cost]]=Table1[[#This Row],[ORTools FZN2 Cost]],Table1[[#This Row],[ORTools FZN2 State]]="Optimal",Table1[[#This Row],[ORTools FZN1 State]]="Suboptimal"),1,"")</f>
        <v/>
      </c>
      <c r="Z77" s="5" t="s">
        <v>51</v>
      </c>
      <c r="AA77" s="2">
        <v>-4</v>
      </c>
      <c r="AB77" s="2">
        <v>1.7254522999999999</v>
      </c>
      <c r="AC77" s="39" t="s">
        <v>25</v>
      </c>
      <c r="AD77" s="39">
        <v>0</v>
      </c>
      <c r="AE77" s="2">
        <v>4.8991E-3</v>
      </c>
      <c r="AF77" s="2" t="str">
        <f>IF(AND(Table1[[#This Row],[Cplex MB Cost]]=Table1[[#This Row],[ORTools FZN2 Cost]],Table1[[#This Row],[ORTools FZN2 State]]="Optimal",Table1[[#This Row],[Cplex MB State]]="Suboptimal"),1,"")</f>
        <v/>
      </c>
      <c r="AG77" s="4">
        <f>IF(AND(AC77="Optimal",AD77&lt;&gt;AA77,Table1[[#This Row],[Example]]&lt;&gt;"R001",Table1[[#This Row],[Example]]&lt;&gt;"R002"),AD77-AA77,)</f>
        <v>0</v>
      </c>
      <c r="AH77" s="5" t="s">
        <v>25</v>
      </c>
      <c r="AI77" s="2">
        <v>0</v>
      </c>
      <c r="AJ77" s="2">
        <v>5.1795099999999997E-2</v>
      </c>
      <c r="AK77" s="2" t="str">
        <f>IF(AND(Table1[[#This Row],[Cplex MD Cost]]=Table1[[#This Row],[ORTools FZN2 Cost]],Table1[[#This Row],[ORTools FZN2 State]]="Optimal",Table1[[#This Row],[Cplex MD State]]="Suboptimal"),1,"")</f>
        <v/>
      </c>
      <c r="AL77" s="4">
        <f>IF(AND(AH77="Optimal",AI77&lt;&gt;AA77,Table1[[#This Row],[Example]]&lt;&gt;"R001",Table1[[#This Row],[Example]]&lt;&gt;"R002"),AI77-AA77,)</f>
        <v>0</v>
      </c>
      <c r="AM77" s="39" t="s">
        <v>25</v>
      </c>
      <c r="AN77" s="39">
        <v>0</v>
      </c>
      <c r="AO77" s="2">
        <v>8.8639999999999997E-4</v>
      </c>
      <c r="AP7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7" s="2" t="str">
        <f>IF(AND(Table1[[#This Row],[Cplex MI Cost]]=Table1[[#This Row],[ORTools FZN2 Cost]],Table1[[#This Row],[ORTools FZN2 State]]="Optimal",Table1[[#This Row],[Cplex MI State]]="Suboptimal"),1,"")</f>
        <v/>
      </c>
      <c r="AR77" s="5" t="s">
        <v>51</v>
      </c>
      <c r="AS77" s="2">
        <v>-4</v>
      </c>
      <c r="AT77" s="2">
        <v>4.2072699999999998E-2</v>
      </c>
      <c r="AU77" s="2" t="str">
        <f>IF(AND(Table1[[#This Row],[Z3 SMT2-1 Maxres Cost]]=Table1[[#This Row],[ORTools FZN2 Cost]],Table1[[#This Row],[ORTools FZN2 State]]="Optimal"),1,"")</f>
        <v/>
      </c>
      <c r="AV77" s="39" t="s">
        <v>51</v>
      </c>
      <c r="AW77" s="39">
        <v>-4</v>
      </c>
      <c r="AX77" s="2">
        <v>4.1921100000000003E-2</v>
      </c>
      <c r="AY77" s="2" t="str">
        <f>IF(AND(Table1[[#This Row],[Z3 SMT2-1 PdMaxres Cost]]=Table1[[#This Row],[ORTools FZN2 Cost]],Table1[[#This Row],[ORTools FZN2 State]]="Optimal"),1,"")</f>
        <v/>
      </c>
      <c r="AZ77" s="5" t="s">
        <v>51</v>
      </c>
      <c r="BA77" s="2">
        <v>-4</v>
      </c>
      <c r="BB77" s="39">
        <v>4.6376599999999997E-2</v>
      </c>
      <c r="BC77" s="39" t="str">
        <f>IF(AND(Table1[[#This Row],[Z3 SMT2-1 WMax Cost]]=Table1[[#This Row],[ORTools FZN2 Cost]],Table1[[#This Row],[ORTools FZN2 State]]="Optimal"),1,"")</f>
        <v/>
      </c>
      <c r="BD77" s="39" t="s">
        <v>51</v>
      </c>
      <c r="BE77" s="39">
        <v>-4</v>
      </c>
      <c r="BF77" s="2">
        <v>4.54641E-2</v>
      </c>
      <c r="BG77" s="2" t="str">
        <f>IF(AND(Table1[[#This Row],[Z3 SMT2-2 Maxres Cost]]=Table1[[#This Row],[ORTools FZN2 Cost]],Table1[[#This Row],[ORTools FZN2 State]]="Optimal"),1,"")</f>
        <v/>
      </c>
      <c r="BH77" s="5" t="s">
        <v>51</v>
      </c>
      <c r="BI77" s="2">
        <v>-4</v>
      </c>
      <c r="BJ77" s="39">
        <v>4.1160200000000001E-2</v>
      </c>
      <c r="BK77" s="39" t="str">
        <f>IF(AND(Table1[[#This Row],[Z3 SMT2-2 PdMaxres Cost]]=Table1[[#This Row],[ORTools FZN2 Cost]],Table1[[#This Row],[ORTools FZN2 State]]="Optimal"),1,"")</f>
        <v/>
      </c>
      <c r="BL77" s="39" t="s">
        <v>51</v>
      </c>
      <c r="BM77" s="39">
        <v>-4</v>
      </c>
      <c r="BN77" s="2">
        <v>4.1652599999999998E-2</v>
      </c>
      <c r="BO77" s="4" t="str">
        <f>IF(AND(Table1[[#This Row],[Z3 SMT2-2 PdMaxres Cost]]=Table1[[#This Row],[ORTools FZN2 Cost]],Table1[[#This Row],[ORTools FZN2 State]]="Optimal"),1,"")</f>
        <v/>
      </c>
      <c r="BP77" s="5" t="s">
        <v>25</v>
      </c>
      <c r="BQ77" s="2">
        <v>0</v>
      </c>
      <c r="BR77" s="2">
        <v>2.1932000000000002E-3</v>
      </c>
      <c r="BS77" s="2" t="str">
        <f>IF(AND(Table1[[#This Row],[Gurobi MB Cost]]=Table1[[#This Row],[ORTools FZN2 Cost]],Table1[[#This Row],[ORTools FZN2 State]]="Optimal",Table1[[#This Row],[Gurobi MB State]]="Suboptimal"),1,"")</f>
        <v/>
      </c>
      <c r="BT7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7" s="5" t="s">
        <v>25</v>
      </c>
      <c r="BV77" s="2">
        <v>0</v>
      </c>
      <c r="BW77" s="2">
        <v>3.9699000000000002E-3</v>
      </c>
      <c r="BX77" s="2" t="str">
        <f>IF(AND(Table1[[#This Row],[Gurobi MD Cost]]=Table1[[#This Row],[ORTools FZN2 Cost]],Table1[[#This Row],[ORTools FZN2 State]]="Optimal",Table1[[#This Row],[Gurobi MD State]]="Suboptimal"),1,"")</f>
        <v/>
      </c>
      <c r="BY7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7" s="5" t="s">
        <v>25</v>
      </c>
      <c r="CA77" s="2">
        <v>0</v>
      </c>
      <c r="CB77" s="2">
        <v>1.7472E-3</v>
      </c>
      <c r="CC77" s="2" t="str">
        <f>IF(AND(Table1[[#This Row],[Gurobi MI Cost]]=Table1[[#This Row],[ORTools FZN2 Cost]],Table1[[#This Row],[ORTools FZN2 State]]="Optimal",Table1[[#This Row],[Gurobi MI State]]="Suboptimal"),1,"")</f>
        <v/>
      </c>
      <c r="CD7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7" s="54" t="s">
        <v>308</v>
      </c>
      <c r="CF77" s="54" t="s">
        <v>308</v>
      </c>
      <c r="CG77" s="54" t="s">
        <v>308</v>
      </c>
      <c r="CH77" s="54" t="s">
        <v>308</v>
      </c>
      <c r="CI77" s="54" t="s">
        <v>308</v>
      </c>
      <c r="CJ77" s="54" t="s">
        <v>308</v>
      </c>
      <c r="CK77" s="5" t="s">
        <v>25</v>
      </c>
      <c r="CL77" s="2">
        <v>0</v>
      </c>
      <c r="CM77" s="2">
        <v>1.80000000000291E-2</v>
      </c>
      <c r="CN77" s="5" t="s">
        <v>25</v>
      </c>
      <c r="CO77" s="2">
        <v>0</v>
      </c>
      <c r="CP77" s="2">
        <v>0.52095460000000005</v>
      </c>
      <c r="CQ77" s="5" t="s">
        <v>51</v>
      </c>
      <c r="CR77" s="2">
        <v>-4</v>
      </c>
      <c r="CS77" s="2">
        <v>1.5886528</v>
      </c>
      <c r="CT77" s="6" t="s">
        <v>51</v>
      </c>
      <c r="CU77" s="4">
        <v>-4</v>
      </c>
      <c r="CV77" s="4">
        <v>2.0078109999999998</v>
      </c>
      <c r="CW77" s="39" t="s">
        <v>25</v>
      </c>
      <c r="CX77" s="39">
        <v>0</v>
      </c>
      <c r="CY77" s="2">
        <v>0</v>
      </c>
      <c r="CZ77" s="2" t="str">
        <f>IF(AND(Table1[[#This Row],[Cplex MZ1 Cost]]=Table1[[#This Row],[ORTools FZN2 Cost]],Table1[[#This Row],[ORTools FZN2 State]]="Optimal",Table1[[#This Row],[Cplex MZ1 State]]="Suboptimal"),1,"")</f>
        <v/>
      </c>
      <c r="DA77" s="5" t="s">
        <v>25</v>
      </c>
      <c r="DB77" s="2">
        <v>0</v>
      </c>
      <c r="DC77" s="2">
        <v>0</v>
      </c>
      <c r="DD77" s="2" t="str">
        <f>IF(AND(Table1[[#This Row],[Cplex MZ2 Cost]]=Table1[[#This Row],[ORTools FZN2 Cost]],Table1[[#This Row],[ORTools FZN2 State]]="Optimal",Table1[[#This Row],[Cplex MZ2 State]]="Suboptimal"),1,"")</f>
        <v/>
      </c>
      <c r="DE77" s="39" t="s">
        <v>25</v>
      </c>
      <c r="DF77" s="39">
        <v>0</v>
      </c>
      <c r="DG77" s="2">
        <v>0</v>
      </c>
      <c r="DH77" s="2" t="str">
        <f>IF(AND(Table1[[#This Row],[Gurobi MZ1 Cost]]=Table1[[#This Row],[ORTools FZN2 Cost]],Table1[[#This Row],[ORTools FZN2 State]]="Optimal",Table1[[#This Row],[Gurobi MZ1 State]]="Suboptimal"),1,"")</f>
        <v/>
      </c>
      <c r="DI77" s="5" t="s">
        <v>25</v>
      </c>
      <c r="DJ77" s="2">
        <v>0</v>
      </c>
      <c r="DK77" s="2">
        <v>0</v>
      </c>
      <c r="DL77" s="4" t="str">
        <f>IF(AND(Table1[[#This Row],[Gurobi MZ2 Cost]]=Table1[[#This Row],[ORTools FZN2 Cost]],Table1[[#This Row],[ORTools FZN2 State]]="Optimal",Table1[[#This Row],[Gurobi MZ2 State]]="Suboptimal"),1,"")</f>
        <v/>
      </c>
      <c r="DM77" s="39" t="s">
        <v>25</v>
      </c>
      <c r="DN77" s="39">
        <v>0</v>
      </c>
      <c r="DO77" s="65">
        <v>2.4999999999636199E-2</v>
      </c>
      <c r="DP77" s="4" t="str">
        <f>IF(AND(Table1[[#This Row],[Cplex MC nonDual Cost]]=Table1[[#This Row],[ORTools FZN2 Cost]],Table1[[#This Row],[ORTools FZN2 State]]="Optimal",Table1[[#This Row],[Cplex MC nonDual State]]="Suboptimal"),1,"")</f>
        <v/>
      </c>
      <c r="DQ77" s="5" t="s">
        <v>25</v>
      </c>
      <c r="DR77" s="2">
        <v>0</v>
      </c>
      <c r="DS77" s="2">
        <v>0</v>
      </c>
      <c r="DT77" s="2" t="str">
        <f>IF(AND(Table1[[#This Row],[Cplex MIP DM''z Cost]]=Table1[[#This Row],[ORTools FZN2 Cost]],Table1[[#This Row],[ORTools FZN2 State]]="Optimal",Table1[[#This Row],[Cplex MIP DM''z  State]]="Suboptimal"),1,"")</f>
        <v/>
      </c>
      <c r="DU7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7" s="5" t="s">
        <v>25</v>
      </c>
      <c r="DW77" s="2">
        <v>0</v>
      </c>
      <c r="DX77" s="2">
        <v>0</v>
      </c>
      <c r="DY77" s="4" t="str">
        <f>IF(AND(Table1[[#This Row],[Gurobi DM''z  Cost]]=Table1[[#This Row],[ORTools FZN2 Cost]],Table1[[#This Row],[ORTools FZN2 State]]="Optimal",Table1[[#This Row],[Gurobi DM''z  State]]="Suboptimal"),1,"")</f>
        <v/>
      </c>
      <c r="DZ7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8" spans="1:130" ht="15.75" x14ac:dyDescent="0.25">
      <c r="A78" s="46" t="s">
        <v>104</v>
      </c>
      <c r="B78" s="5">
        <v>36</v>
      </c>
      <c r="C78" s="2">
        <v>18</v>
      </c>
      <c r="D78" s="5">
        <v>131</v>
      </c>
      <c r="E78" s="2">
        <v>18</v>
      </c>
      <c r="F78" s="5">
        <v>16</v>
      </c>
      <c r="G78" s="2">
        <v>24</v>
      </c>
      <c r="H78" s="4">
        <f t="shared" si="1"/>
        <v>0</v>
      </c>
      <c r="I78" s="4">
        <f>Table1[[#This Row],[B]]+Table1[[#This Row],[Atomic Constraints]]+Table1[[#This Row],[Soft Atomic Constraints]]+Table1[[#This Row],[Disjunctive Constraints]]+Table1[[#This Row],[Direct Successors]]</f>
        <v>207</v>
      </c>
      <c r="J78" s="5" t="s">
        <v>25</v>
      </c>
      <c r="K78" s="2">
        <v>48029</v>
      </c>
      <c r="L78" s="2">
        <v>4.3209204999999997</v>
      </c>
      <c r="M78" s="2" t="str">
        <f>IF(AND(Table1[[#This Row],[Chuffed MZ1 Cost]]=Table1[[#This Row],[ORTools FZN2 Cost]],Table1[[#This Row],[ORTools FZN2 State]]="Optimal",Table1[[#This Row],[Chuffed MZ1 State]]="Suboptimal"),1,"")</f>
        <v/>
      </c>
      <c r="N78" s="5" t="s">
        <v>25</v>
      </c>
      <c r="O78" s="2">
        <v>48029</v>
      </c>
      <c r="P78" s="2">
        <v>11.9635566</v>
      </c>
      <c r="Q78" s="2" t="str">
        <f>IF(AND(Table1[[#This Row],[Chuffed MZ2 Cost]]=Table1[[#This Row],[ORTools FZN2 Cost]],Table1[[#This Row],[ORTools FZN2 State]]="Optimal",Table1[[#This Row],[Chuffed MZ2 State]]="Suboptimal"),1,"")</f>
        <v/>
      </c>
      <c r="R78" s="6" t="s">
        <v>25</v>
      </c>
      <c r="S78" s="4">
        <v>48029</v>
      </c>
      <c r="T78" s="4">
        <v>1.4049999999988401</v>
      </c>
      <c r="U78" s="4"/>
      <c r="V78" s="5" t="s">
        <v>25</v>
      </c>
      <c r="W78" s="2">
        <v>48029</v>
      </c>
      <c r="X78" s="2">
        <v>4.0125457000000004</v>
      </c>
      <c r="Y78" s="2" t="str">
        <f>IF(AND(Table1[[#This Row],[ORTools FZN1 Cost]]=Table1[[#This Row],[ORTools FZN2 Cost]],Table1[[#This Row],[ORTools FZN2 State]]="Optimal",Table1[[#This Row],[ORTools FZN1 State]]="Suboptimal"),1,"")</f>
        <v/>
      </c>
      <c r="Z78" s="5" t="s">
        <v>25</v>
      </c>
      <c r="AA78" s="2">
        <v>48029</v>
      </c>
      <c r="AB78" s="2">
        <v>5.2260350999999998</v>
      </c>
      <c r="AC78" s="39" t="s">
        <v>25</v>
      </c>
      <c r="AD78" s="39">
        <v>48029</v>
      </c>
      <c r="AE78" s="2">
        <v>14.7447797</v>
      </c>
      <c r="AF78" s="2" t="str">
        <f>IF(AND(Table1[[#This Row],[Cplex MB Cost]]=Table1[[#This Row],[ORTools FZN2 Cost]],Table1[[#This Row],[ORTools FZN2 State]]="Optimal",Table1[[#This Row],[Cplex MB State]]="Suboptimal"),1,"")</f>
        <v/>
      </c>
      <c r="AG78" s="4">
        <f>IF(AND(AC78="Optimal",AD78&lt;&gt;AA78,Table1[[#This Row],[Example]]&lt;&gt;"R001",Table1[[#This Row],[Example]]&lt;&gt;"R002"),AD78-AA78,)</f>
        <v>0</v>
      </c>
      <c r="AH78" s="5" t="s">
        <v>25</v>
      </c>
      <c r="AI78" s="2">
        <v>48029</v>
      </c>
      <c r="AJ78" s="2">
        <v>236.83447219999999</v>
      </c>
      <c r="AK78" s="2" t="str">
        <f>IF(AND(Table1[[#This Row],[Cplex MD Cost]]=Table1[[#This Row],[ORTools FZN2 Cost]],Table1[[#This Row],[ORTools FZN2 State]]="Optimal",Table1[[#This Row],[Cplex MD State]]="Suboptimal"),1,"")</f>
        <v/>
      </c>
      <c r="AL78" s="4">
        <f>IF(AND(AH78="Optimal",AI78&lt;&gt;AA78,Table1[[#This Row],[Example]]&lt;&gt;"R001",Table1[[#This Row],[Example]]&lt;&gt;"R002"),AI78-AA78,)</f>
        <v>0</v>
      </c>
      <c r="AM78" s="39" t="s">
        <v>25</v>
      </c>
      <c r="AN78" s="39">
        <v>191525</v>
      </c>
      <c r="AO78" s="2">
        <v>2.7795095999999999</v>
      </c>
      <c r="AP7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143496</v>
      </c>
      <c r="AQ78" s="4" t="str">
        <f>IF(AND(Table1[[#This Row],[Cplex MI Cost]]=Table1[[#This Row],[ORTools FZN2 Cost]],Table1[[#This Row],[ORTools FZN2 State]]="Optimal",Table1[[#This Row],[Cplex MI State]]="Suboptimal"),1,"")</f>
        <v/>
      </c>
      <c r="AR78" s="12" t="s">
        <v>26</v>
      </c>
      <c r="AS78" s="12">
        <v>48029</v>
      </c>
      <c r="AT78" s="12">
        <v>190.23497689999999</v>
      </c>
      <c r="AU78" s="12">
        <f>IF(AND(Table1[[#This Row],[Z3 SMT2-1 Maxres Cost]]=Table1[[#This Row],[ORTools FZN2 Cost]],Table1[[#This Row],[ORTools FZN2 State]]="Optimal"),1,"")</f>
        <v>1</v>
      </c>
      <c r="AV78" s="12" t="s">
        <v>26</v>
      </c>
      <c r="AW78" s="12">
        <v>48029</v>
      </c>
      <c r="AX78" s="12">
        <v>207.00283189999999</v>
      </c>
      <c r="AY78" s="12">
        <f>IF(AND(Table1[[#This Row],[Z3 SMT2-1 PdMaxres Cost]]=Table1[[#This Row],[ORTools FZN2 Cost]],Table1[[#This Row],[ORTools FZN2 State]]="Optimal"),1,"")</f>
        <v>1</v>
      </c>
      <c r="AZ78" s="12" t="s">
        <v>26</v>
      </c>
      <c r="BA78" s="12">
        <v>48029</v>
      </c>
      <c r="BB78" s="12">
        <v>233.34420180000001</v>
      </c>
      <c r="BC78" s="12">
        <f>IF(AND(Table1[[#This Row],[Z3 SMT2-1 WMax Cost]]=Table1[[#This Row],[ORTools FZN2 Cost]],Table1[[#This Row],[ORTools FZN2 State]]="Optimal"),1,"")</f>
        <v>1</v>
      </c>
      <c r="BD78" s="12" t="s">
        <v>26</v>
      </c>
      <c r="BE78" s="12">
        <v>48029</v>
      </c>
      <c r="BF78" s="12">
        <v>191.91965160000001</v>
      </c>
      <c r="BG78" s="12">
        <f>IF(AND(Table1[[#This Row],[Z3 SMT2-2 Maxres Cost]]=Table1[[#This Row],[ORTools FZN2 Cost]],Table1[[#This Row],[ORTools FZN2 State]]="Optimal"),1,"")</f>
        <v>1</v>
      </c>
      <c r="BH78" s="12" t="s">
        <v>26</v>
      </c>
      <c r="BI78" s="12">
        <v>48029</v>
      </c>
      <c r="BJ78" s="12">
        <v>191.27626839999999</v>
      </c>
      <c r="BK78" s="12">
        <f>IF(AND(Table1[[#This Row],[Z3 SMT2-2 PdMaxres Cost]]=Table1[[#This Row],[ORTools FZN2 Cost]],Table1[[#This Row],[ORTools FZN2 State]]="Optimal"),1,"")</f>
        <v>1</v>
      </c>
      <c r="BL78" s="12" t="s">
        <v>26</v>
      </c>
      <c r="BM78" s="12">
        <v>48029</v>
      </c>
      <c r="BN78" s="12">
        <v>189.42119769999999</v>
      </c>
      <c r="BO78" s="11">
        <f>IF(AND(Table1[[#This Row],[Z3 SMT2-2 PdMaxres Cost]]=Table1[[#This Row],[ORTools FZN2 Cost]],Table1[[#This Row],[ORTools FZN2 State]]="Optimal"),1,"")</f>
        <v>1</v>
      </c>
      <c r="BP78" s="5" t="s">
        <v>25</v>
      </c>
      <c r="BQ78" s="2">
        <v>48029</v>
      </c>
      <c r="BR78" s="2">
        <v>13.6166444</v>
      </c>
      <c r="BS78" s="2" t="str">
        <f>IF(AND(Table1[[#This Row],[Gurobi MB Cost]]=Table1[[#This Row],[ORTools FZN2 Cost]],Table1[[#This Row],[ORTools FZN2 State]]="Optimal",Table1[[#This Row],[Gurobi MB State]]="Suboptimal"),1,"")</f>
        <v/>
      </c>
      <c r="BT7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8" s="5" t="s">
        <v>25</v>
      </c>
      <c r="BV78" s="2">
        <v>48029</v>
      </c>
      <c r="BW78" s="2">
        <v>185.1001392</v>
      </c>
      <c r="BX78" s="2" t="str">
        <f>IF(AND(Table1[[#This Row],[Gurobi MD Cost]]=Table1[[#This Row],[ORTools FZN2 Cost]],Table1[[#This Row],[ORTools FZN2 State]]="Optimal",Table1[[#This Row],[Gurobi MD State]]="Suboptimal"),1,"")</f>
        <v/>
      </c>
      <c r="BY7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8" s="5" t="s">
        <v>25</v>
      </c>
      <c r="CA78" s="2">
        <v>48029</v>
      </c>
      <c r="CB78" s="2">
        <v>46.515953600000003</v>
      </c>
      <c r="CC78" s="2" t="str">
        <f>IF(AND(Table1[[#This Row],[Gurobi MI Cost]]=Table1[[#This Row],[ORTools FZN2 Cost]],Table1[[#This Row],[ORTools FZN2 State]]="Optimal",Table1[[#This Row],[Gurobi MI State]]="Suboptimal"),1,"")</f>
        <v/>
      </c>
      <c r="CD7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8" s="39" t="s">
        <v>42</v>
      </c>
      <c r="CF78" s="2">
        <v>-47989</v>
      </c>
      <c r="CG78" s="39">
        <v>306.1768581</v>
      </c>
      <c r="CH78" s="39" t="s">
        <v>42</v>
      </c>
      <c r="CI78" s="39">
        <v>-47989</v>
      </c>
      <c r="CJ78" s="2">
        <v>306.05076459999998</v>
      </c>
      <c r="CK78" s="5" t="s">
        <v>25</v>
      </c>
      <c r="CL78" s="2">
        <v>48029</v>
      </c>
      <c r="CM78" s="2">
        <v>0.67799999999988403</v>
      </c>
      <c r="CN78" s="5" t="s">
        <v>25</v>
      </c>
      <c r="CO78" s="2">
        <v>48029</v>
      </c>
      <c r="CP78" s="2">
        <v>3.8427937000000001</v>
      </c>
      <c r="CQ78" s="5" t="s">
        <v>25</v>
      </c>
      <c r="CR78" s="2">
        <v>48029</v>
      </c>
      <c r="CS78" s="2">
        <v>4.2543094999999997</v>
      </c>
      <c r="CT78" s="6" t="s">
        <v>25</v>
      </c>
      <c r="CU78" s="4">
        <v>48029</v>
      </c>
      <c r="CV78" s="4">
        <v>4.6073852000000004</v>
      </c>
      <c r="CW78" s="39" t="s">
        <v>25</v>
      </c>
      <c r="CX78" s="39">
        <v>48029</v>
      </c>
      <c r="CY78" s="2">
        <v>86.696899999999999</v>
      </c>
      <c r="CZ78" s="2" t="str">
        <f>IF(AND(Table1[[#This Row],[Cplex MZ1 Cost]]=Table1[[#This Row],[ORTools FZN2 Cost]],Table1[[#This Row],[ORTools FZN2 State]]="Optimal",Table1[[#This Row],[Cplex MZ1 State]]="Suboptimal"),1,"")</f>
        <v/>
      </c>
      <c r="DA78" s="5" t="s">
        <v>25</v>
      </c>
      <c r="DB78" s="2">
        <v>48029</v>
      </c>
      <c r="DC78" s="2">
        <v>14.451000000000001</v>
      </c>
      <c r="DD78" s="2" t="str">
        <f>IF(AND(Table1[[#This Row],[Cplex MZ2 Cost]]=Table1[[#This Row],[ORTools FZN2 Cost]],Table1[[#This Row],[ORTools FZN2 State]]="Optimal",Table1[[#This Row],[Cplex MZ2 State]]="Suboptimal"),1,"")</f>
        <v/>
      </c>
      <c r="DE78" s="39" t="s">
        <v>25</v>
      </c>
      <c r="DF78" s="39">
        <v>48029</v>
      </c>
      <c r="DG78" s="2">
        <v>53.839399999999998</v>
      </c>
      <c r="DH78" s="2" t="str">
        <f>IF(AND(Table1[[#This Row],[Gurobi MZ1 Cost]]=Table1[[#This Row],[ORTools FZN2 Cost]],Table1[[#This Row],[ORTools FZN2 State]]="Optimal",Table1[[#This Row],[Gurobi MZ1 State]]="Suboptimal"),1,"")</f>
        <v/>
      </c>
      <c r="DI78" s="5" t="s">
        <v>25</v>
      </c>
      <c r="DJ78" s="2">
        <v>48029</v>
      </c>
      <c r="DK78" s="2">
        <v>44.874099999999999</v>
      </c>
      <c r="DL78" s="4" t="str">
        <f>IF(AND(Table1[[#This Row],[Gurobi MZ2 Cost]]=Table1[[#This Row],[ORTools FZN2 Cost]],Table1[[#This Row],[ORTools FZN2 State]]="Optimal",Table1[[#This Row],[Gurobi MZ2 State]]="Suboptimal"),1,"")</f>
        <v/>
      </c>
      <c r="DM78" s="39" t="s">
        <v>25</v>
      </c>
      <c r="DN78" s="39">
        <v>48029</v>
      </c>
      <c r="DO78" s="65">
        <v>1.59400000000096</v>
      </c>
      <c r="DP78" s="4" t="str">
        <f>IF(AND(Table1[[#This Row],[Cplex MC nonDual Cost]]=Table1[[#This Row],[ORTools FZN2 Cost]],Table1[[#This Row],[ORTools FZN2 State]]="Optimal",Table1[[#This Row],[Cplex MC nonDual State]]="Suboptimal"),1,"")</f>
        <v/>
      </c>
      <c r="DQ78" s="5" t="s">
        <v>25</v>
      </c>
      <c r="DR78" s="2">
        <v>48029</v>
      </c>
      <c r="DS78" s="2">
        <v>56.921199999999999</v>
      </c>
      <c r="DT78" s="2" t="str">
        <f>IF(AND(Table1[[#This Row],[Cplex MIP DM''z Cost]]=Table1[[#This Row],[ORTools FZN2 Cost]],Table1[[#This Row],[ORTools FZN2 State]]="Optimal",Table1[[#This Row],[Cplex MIP DM''z  State]]="Suboptimal"),1,"")</f>
        <v/>
      </c>
      <c r="DU7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8" s="5" t="s">
        <v>25</v>
      </c>
      <c r="DW78" s="2">
        <v>48029</v>
      </c>
      <c r="DX78" s="2">
        <v>131.85509999999999</v>
      </c>
      <c r="DY78" s="4" t="str">
        <f>IF(AND(Table1[[#This Row],[Gurobi DM''z  Cost]]=Table1[[#This Row],[ORTools FZN2 Cost]],Table1[[#This Row],[ORTools FZN2 State]]="Optimal",Table1[[#This Row],[Gurobi DM''z  State]]="Suboptimal"),1,"")</f>
        <v/>
      </c>
      <c r="DZ7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79" spans="1:130" ht="15.75" x14ac:dyDescent="0.25">
      <c r="A79" s="47" t="s">
        <v>105</v>
      </c>
      <c r="B79" s="5">
        <v>36</v>
      </c>
      <c r="C79" s="2">
        <v>18</v>
      </c>
      <c r="D79" s="5">
        <v>120</v>
      </c>
      <c r="E79" s="2">
        <v>20</v>
      </c>
      <c r="F79" s="5">
        <v>16</v>
      </c>
      <c r="G79" s="2">
        <v>24</v>
      </c>
      <c r="H79" s="4">
        <f t="shared" si="1"/>
        <v>0</v>
      </c>
      <c r="I79" s="4">
        <f>Table1[[#This Row],[B]]+Table1[[#This Row],[Atomic Constraints]]+Table1[[#This Row],[Soft Atomic Constraints]]+Table1[[#This Row],[Disjunctive Constraints]]+Table1[[#This Row],[Direct Successors]]</f>
        <v>198</v>
      </c>
      <c r="J79" s="5" t="s">
        <v>25</v>
      </c>
      <c r="K79" s="2">
        <v>94793</v>
      </c>
      <c r="L79" s="2">
        <v>30.526783500000001</v>
      </c>
      <c r="M79" s="2" t="str">
        <f>IF(AND(Table1[[#This Row],[Chuffed MZ1 Cost]]=Table1[[#This Row],[ORTools FZN2 Cost]],Table1[[#This Row],[ORTools FZN2 State]]="Optimal",Table1[[#This Row],[Chuffed MZ1 State]]="Suboptimal"),1,"")</f>
        <v/>
      </c>
      <c r="N79" s="5" t="s">
        <v>25</v>
      </c>
      <c r="O79" s="2">
        <v>94793</v>
      </c>
      <c r="P79" s="2">
        <v>11.8970883</v>
      </c>
      <c r="Q79" s="2" t="str">
        <f>IF(AND(Table1[[#This Row],[Chuffed MZ2 Cost]]=Table1[[#This Row],[ORTools FZN2 Cost]],Table1[[#This Row],[ORTools FZN2 State]]="Optimal",Table1[[#This Row],[Chuffed MZ2 State]]="Suboptimal"),1,"")</f>
        <v/>
      </c>
      <c r="R79" s="6" t="s">
        <v>25</v>
      </c>
      <c r="S79" s="4">
        <v>94793</v>
      </c>
      <c r="T79" s="4">
        <v>44.5139999999992</v>
      </c>
      <c r="U79" s="4"/>
      <c r="V79" s="5" t="s">
        <v>25</v>
      </c>
      <c r="W79" s="2">
        <v>94793</v>
      </c>
      <c r="X79" s="2">
        <v>5.4835000999999997</v>
      </c>
      <c r="Y79" s="2" t="str">
        <f>IF(AND(Table1[[#This Row],[ORTools FZN1 Cost]]=Table1[[#This Row],[ORTools FZN2 Cost]],Table1[[#This Row],[ORTools FZN2 State]]="Optimal",Table1[[#This Row],[ORTools FZN1 State]]="Suboptimal"),1,"")</f>
        <v/>
      </c>
      <c r="Z79" s="5" t="s">
        <v>25</v>
      </c>
      <c r="AA79" s="2">
        <v>94793</v>
      </c>
      <c r="AB79" s="2">
        <v>3.9588076999999999</v>
      </c>
      <c r="AC79" s="39" t="s">
        <v>25</v>
      </c>
      <c r="AD79" s="39">
        <v>94793</v>
      </c>
      <c r="AE79" s="2">
        <v>61.094495000000002</v>
      </c>
      <c r="AF79" s="2" t="str">
        <f>IF(AND(Table1[[#This Row],[Cplex MB Cost]]=Table1[[#This Row],[ORTools FZN2 Cost]],Table1[[#This Row],[ORTools FZN2 State]]="Optimal",Table1[[#This Row],[Cplex MB State]]="Suboptimal"),1,"")</f>
        <v/>
      </c>
      <c r="AG79" s="4">
        <f>IF(AND(AC79="Optimal",AD79&lt;&gt;AA79,Table1[[#This Row],[Example]]&lt;&gt;"R001",Table1[[#This Row],[Example]]&lt;&gt;"R002"),AD79-AA79,)</f>
        <v>0</v>
      </c>
      <c r="AH79" s="5" t="s">
        <v>26</v>
      </c>
      <c r="AI79" s="2">
        <v>96091</v>
      </c>
      <c r="AJ79" s="2">
        <v>300.14775049999997</v>
      </c>
      <c r="AK79" s="2" t="str">
        <f>IF(AND(Table1[[#This Row],[Cplex MD Cost]]=Table1[[#This Row],[ORTools FZN2 Cost]],Table1[[#This Row],[ORTools FZN2 State]]="Optimal",Table1[[#This Row],[Cplex MD State]]="Suboptimal"),1,"")</f>
        <v/>
      </c>
      <c r="AL79" s="4">
        <f>IF(AND(AH79="Optimal",AI79&lt;&gt;AA79,Table1[[#This Row],[Example]]&lt;&gt;"R001",Table1[[#This Row],[Example]]&lt;&gt;"R002"),AI79-AA79,)</f>
        <v>0</v>
      </c>
      <c r="AM79" s="39" t="s">
        <v>26</v>
      </c>
      <c r="AN79" s="39">
        <v>94793</v>
      </c>
      <c r="AO79" s="2">
        <v>300.03953109999998</v>
      </c>
      <c r="AP7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79" s="4">
        <f>IF(AND(Table1[[#This Row],[Cplex MI Cost]]=Table1[[#This Row],[ORTools FZN2 Cost]],Table1[[#This Row],[ORTools FZN2 State]]="Optimal",Table1[[#This Row],[Cplex MI State]]="Suboptimal"),1,"")</f>
        <v>1</v>
      </c>
      <c r="AR79" s="12" t="s">
        <v>26</v>
      </c>
      <c r="AS79" s="12">
        <v>94793</v>
      </c>
      <c r="AT79" s="12">
        <v>255.61246310000001</v>
      </c>
      <c r="AU79" s="12">
        <f>IF(AND(Table1[[#This Row],[Z3 SMT2-1 Maxres Cost]]=Table1[[#This Row],[ORTools FZN2 Cost]],Table1[[#This Row],[ORTools FZN2 State]]="Optimal"),1,"")</f>
        <v>1</v>
      </c>
      <c r="AV79" s="12" t="s">
        <v>26</v>
      </c>
      <c r="AW79" s="12">
        <v>94793</v>
      </c>
      <c r="AX79" s="12">
        <v>278.71984989999999</v>
      </c>
      <c r="AY79" s="12">
        <f>IF(AND(Table1[[#This Row],[Z3 SMT2-1 PdMaxres Cost]]=Table1[[#This Row],[ORTools FZN2 Cost]],Table1[[#This Row],[ORTools FZN2 State]]="Optimal"),1,"")</f>
        <v>1</v>
      </c>
      <c r="AZ79" s="5" t="s">
        <v>42</v>
      </c>
      <c r="BA79" s="2">
        <v>-47989</v>
      </c>
      <c r="BB79" s="39">
        <v>300.04814249999998</v>
      </c>
      <c r="BC79" s="39" t="str">
        <f>IF(AND(Table1[[#This Row],[Z3 SMT2-1 WMax Cost]]=Table1[[#This Row],[ORTools FZN2 Cost]],Table1[[#This Row],[ORTools FZN2 State]]="Optimal"),1,"")</f>
        <v/>
      </c>
      <c r="BD79" s="12" t="s">
        <v>26</v>
      </c>
      <c r="BE79" s="12">
        <v>94793</v>
      </c>
      <c r="BF79" s="12">
        <v>237.34814069999999</v>
      </c>
      <c r="BG79" s="12">
        <f>IF(AND(Table1[[#This Row],[Z3 SMT2-2 Maxres Cost]]=Table1[[#This Row],[ORTools FZN2 Cost]],Table1[[#This Row],[ORTools FZN2 State]]="Optimal"),1,"")</f>
        <v>1</v>
      </c>
      <c r="BH79" s="12" t="s">
        <v>26</v>
      </c>
      <c r="BI79" s="12">
        <v>94793</v>
      </c>
      <c r="BJ79" s="12">
        <v>236.8574136</v>
      </c>
      <c r="BK79" s="12">
        <f>IF(AND(Table1[[#This Row],[Z3 SMT2-2 PdMaxres Cost]]=Table1[[#This Row],[ORTools FZN2 Cost]],Table1[[#This Row],[ORTools FZN2 State]]="Optimal"),1,"")</f>
        <v>1</v>
      </c>
      <c r="BL79" s="12" t="s">
        <v>26</v>
      </c>
      <c r="BM79" s="12">
        <v>94793</v>
      </c>
      <c r="BN79" s="12">
        <v>235.4385154</v>
      </c>
      <c r="BO79" s="11">
        <f>IF(AND(Table1[[#This Row],[Z3 SMT2-2 PdMaxres Cost]]=Table1[[#This Row],[ORTools FZN2 Cost]],Table1[[#This Row],[ORTools FZN2 State]]="Optimal"),1,"")</f>
        <v>1</v>
      </c>
      <c r="BP79" s="5" t="s">
        <v>25</v>
      </c>
      <c r="BQ79" s="2">
        <v>94793</v>
      </c>
      <c r="BR79" s="2">
        <v>75.743042099999997</v>
      </c>
      <c r="BS79" s="2" t="str">
        <f>IF(AND(Table1[[#This Row],[Gurobi MB Cost]]=Table1[[#This Row],[ORTools FZN2 Cost]],Table1[[#This Row],[ORTools FZN2 State]]="Optimal",Table1[[#This Row],[Gurobi MB State]]="Suboptimal"),1,"")</f>
        <v/>
      </c>
      <c r="BT7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79" s="5" t="s">
        <v>25</v>
      </c>
      <c r="BV79" s="2">
        <v>94793</v>
      </c>
      <c r="BW79" s="2">
        <v>213.8646875</v>
      </c>
      <c r="BX79" s="2" t="str">
        <f>IF(AND(Table1[[#This Row],[Gurobi MD Cost]]=Table1[[#This Row],[ORTools FZN2 Cost]],Table1[[#This Row],[ORTools FZN2 State]]="Optimal",Table1[[#This Row],[Gurobi MD State]]="Suboptimal"),1,"")</f>
        <v/>
      </c>
      <c r="BY7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79" s="5" t="s">
        <v>25</v>
      </c>
      <c r="CA79" s="2">
        <v>94793</v>
      </c>
      <c r="CB79" s="2">
        <v>70.444676299999998</v>
      </c>
      <c r="CC79" s="2" t="str">
        <f>IF(AND(Table1[[#This Row],[Gurobi MI Cost]]=Table1[[#This Row],[ORTools FZN2 Cost]],Table1[[#This Row],[ORTools FZN2 State]]="Optimal",Table1[[#This Row],[Gurobi MI State]]="Suboptimal"),1,"")</f>
        <v/>
      </c>
      <c r="CD7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79" s="39" t="s">
        <v>42</v>
      </c>
      <c r="CF79" s="2">
        <v>-47989</v>
      </c>
      <c r="CG79" s="39">
        <v>305.94273129999999</v>
      </c>
      <c r="CH79" s="39" t="s">
        <v>42</v>
      </c>
      <c r="CI79" s="39">
        <v>-47989</v>
      </c>
      <c r="CJ79" s="2">
        <v>306.1418984</v>
      </c>
      <c r="CK79" s="5" t="s">
        <v>25</v>
      </c>
      <c r="CL79" s="2">
        <v>94793</v>
      </c>
      <c r="CM79" s="2">
        <v>140.24699999999899</v>
      </c>
      <c r="CN79" s="5" t="s">
        <v>25</v>
      </c>
      <c r="CO79" s="2">
        <v>94793</v>
      </c>
      <c r="CP79" s="2">
        <v>3.9552394999999998</v>
      </c>
      <c r="CQ79" s="5" t="s">
        <v>25</v>
      </c>
      <c r="CR79" s="2">
        <v>94793</v>
      </c>
      <c r="CS79" s="2">
        <v>6.6347639000000003</v>
      </c>
      <c r="CT79" s="6" t="s">
        <v>25</v>
      </c>
      <c r="CU79" s="4">
        <v>94793</v>
      </c>
      <c r="CV79" s="4">
        <v>4.9197905999999998</v>
      </c>
      <c r="CW79" s="39" t="s">
        <v>25</v>
      </c>
      <c r="CX79" s="39">
        <v>94793</v>
      </c>
      <c r="CY79" s="2">
        <v>137.97749999999999</v>
      </c>
      <c r="CZ79" s="2" t="str">
        <f>IF(AND(Table1[[#This Row],[Cplex MZ1 Cost]]=Table1[[#This Row],[ORTools FZN2 Cost]],Table1[[#This Row],[ORTools FZN2 State]]="Optimal",Table1[[#This Row],[Cplex MZ1 State]]="Suboptimal"),1,"")</f>
        <v/>
      </c>
      <c r="DA79" s="5" t="s">
        <v>25</v>
      </c>
      <c r="DB79" s="2">
        <v>94793</v>
      </c>
      <c r="DC79" s="2">
        <v>103.45350000000001</v>
      </c>
      <c r="DD79" s="2" t="str">
        <f>IF(AND(Table1[[#This Row],[Cplex MZ2 Cost]]=Table1[[#This Row],[ORTools FZN2 Cost]],Table1[[#This Row],[ORTools FZN2 State]]="Optimal",Table1[[#This Row],[Cplex MZ2 State]]="Suboptimal"),1,"")</f>
        <v/>
      </c>
      <c r="DE79" s="39" t="s">
        <v>25</v>
      </c>
      <c r="DF79" s="39">
        <v>94793</v>
      </c>
      <c r="DG79" s="2">
        <v>102.3373</v>
      </c>
      <c r="DH79" s="2" t="str">
        <f>IF(AND(Table1[[#This Row],[Gurobi MZ1 Cost]]=Table1[[#This Row],[ORTools FZN2 Cost]],Table1[[#This Row],[ORTools FZN2 State]]="Optimal",Table1[[#This Row],[Gurobi MZ1 State]]="Suboptimal"),1,"")</f>
        <v/>
      </c>
      <c r="DI79" s="12" t="s">
        <v>26</v>
      </c>
      <c r="DJ79" s="12">
        <v>94793</v>
      </c>
      <c r="DK79" s="12">
        <v>300.00380000000001</v>
      </c>
      <c r="DL79" s="11">
        <f>IF(AND(Table1[[#This Row],[Gurobi MZ2 Cost]]=Table1[[#This Row],[ORTools FZN2 Cost]],Table1[[#This Row],[ORTools FZN2 State]]="Optimal",Table1[[#This Row],[Gurobi MZ2 State]]="Suboptimal"),1,"")</f>
        <v>1</v>
      </c>
      <c r="DM79" s="39" t="s">
        <v>25</v>
      </c>
      <c r="DN79" s="39">
        <v>94793</v>
      </c>
      <c r="DO79" s="65">
        <v>26.8659999999999</v>
      </c>
      <c r="DP79" s="4" t="str">
        <f>IF(AND(Table1[[#This Row],[Cplex MC nonDual Cost]]=Table1[[#This Row],[ORTools FZN2 Cost]],Table1[[#This Row],[ORTools FZN2 State]]="Optimal",Table1[[#This Row],[Cplex MC nonDual State]]="Suboptimal"),1,"")</f>
        <v/>
      </c>
      <c r="DQ79" s="5" t="s">
        <v>25</v>
      </c>
      <c r="DR79" s="2">
        <v>94793</v>
      </c>
      <c r="DS79" s="2">
        <v>160.2261</v>
      </c>
      <c r="DT79" s="2" t="str">
        <f>IF(AND(Table1[[#This Row],[Cplex MIP DM''z Cost]]=Table1[[#This Row],[ORTools FZN2 Cost]],Table1[[#This Row],[ORTools FZN2 State]]="Optimal",Table1[[#This Row],[Cplex MIP DM''z  State]]="Suboptimal"),1,"")</f>
        <v/>
      </c>
      <c r="DU7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79" s="5" t="s">
        <v>26</v>
      </c>
      <c r="DW79" s="2">
        <v>94793</v>
      </c>
      <c r="DX79" s="2">
        <v>299.99669999999998</v>
      </c>
      <c r="DY79" s="4">
        <f>IF(AND(Table1[[#This Row],[Gurobi DM''z  Cost]]=Table1[[#This Row],[ORTools FZN2 Cost]],Table1[[#This Row],[ORTools FZN2 State]]="Optimal",Table1[[#This Row],[Gurobi DM''z  State]]="Suboptimal"),1,"")</f>
        <v>1</v>
      </c>
      <c r="DZ7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0" spans="1:130" x14ac:dyDescent="0.25">
      <c r="A80" s="52" t="s">
        <v>106</v>
      </c>
      <c r="B80" s="5">
        <v>36</v>
      </c>
      <c r="C80" s="2">
        <v>18</v>
      </c>
      <c r="D80" s="5">
        <v>137</v>
      </c>
      <c r="E80" s="2">
        <v>18</v>
      </c>
      <c r="F80" s="5">
        <v>15</v>
      </c>
      <c r="G80" s="2">
        <v>24</v>
      </c>
      <c r="H80" s="4">
        <f t="shared" si="1"/>
        <v>0</v>
      </c>
      <c r="I80" s="4">
        <f>Table1[[#This Row],[B]]+Table1[[#This Row],[Atomic Constraints]]+Table1[[#This Row],[Soft Atomic Constraints]]+Table1[[#This Row],[Disjunctive Constraints]]+Table1[[#This Row],[Direct Successors]]</f>
        <v>212</v>
      </c>
      <c r="J80" s="5" t="s">
        <v>77</v>
      </c>
      <c r="K80" s="2">
        <v>-47989</v>
      </c>
      <c r="L80" s="2">
        <v>1.2673246</v>
      </c>
      <c r="M80" s="2" t="str">
        <f>IF(AND(Table1[[#This Row],[Chuffed MZ1 Cost]]=Table1[[#This Row],[ORTools FZN2 Cost]],Table1[[#This Row],[ORTools FZN2 State]]="Optimal",Table1[[#This Row],[Chuffed MZ1 State]]="Suboptimal"),1,"")</f>
        <v/>
      </c>
      <c r="N80" s="5" t="s">
        <v>77</v>
      </c>
      <c r="O80" s="2">
        <v>-47989</v>
      </c>
      <c r="P80" s="2">
        <v>1.2631798999999999</v>
      </c>
      <c r="Q80" s="2" t="str">
        <f>IF(AND(Table1[[#This Row],[Chuffed MZ2 Cost]]=Table1[[#This Row],[ORTools FZN2 Cost]],Table1[[#This Row],[ORTools FZN2 State]]="Optimal",Table1[[#This Row],[Chuffed MZ2 State]]="Suboptimal"),1,"")</f>
        <v/>
      </c>
      <c r="R80" s="6" t="s">
        <v>77</v>
      </c>
      <c r="S80" s="4">
        <v>-47989</v>
      </c>
      <c r="T80" s="4">
        <v>4.9000000000887702E-2</v>
      </c>
      <c r="U80" s="4"/>
      <c r="V80" s="5" t="s">
        <v>77</v>
      </c>
      <c r="W80" s="2">
        <v>-47989</v>
      </c>
      <c r="X80" s="2">
        <v>0.57750559999999995</v>
      </c>
      <c r="Y80" s="2" t="str">
        <f>IF(AND(Table1[[#This Row],[ORTools FZN1 Cost]]=Table1[[#This Row],[ORTools FZN2 Cost]],Table1[[#This Row],[ORTools FZN2 State]]="Optimal",Table1[[#This Row],[ORTools FZN1 State]]="Suboptimal"),1,"")</f>
        <v/>
      </c>
      <c r="Z80" s="5" t="s">
        <v>77</v>
      </c>
      <c r="AA80" s="2">
        <v>-47989</v>
      </c>
      <c r="AB80" s="2">
        <v>0.56888830000000001</v>
      </c>
      <c r="AC80" s="39" t="s">
        <v>77</v>
      </c>
      <c r="AD80" s="39">
        <v>-47989</v>
      </c>
      <c r="AE80" s="2">
        <v>2.0060100000000001E-2</v>
      </c>
      <c r="AF80" s="2" t="str">
        <f>IF(AND(Table1[[#This Row],[Cplex MB Cost]]=Table1[[#This Row],[ORTools FZN2 Cost]],Table1[[#This Row],[ORTools FZN2 State]]="Optimal",Table1[[#This Row],[Cplex MB State]]="Suboptimal"),1,"")</f>
        <v/>
      </c>
      <c r="AG80" s="4">
        <f>IF(AND(AC80="Optimal",AD80&lt;&gt;AA80,Table1[[#This Row],[Example]]&lt;&gt;"R001",Table1[[#This Row],[Example]]&lt;&gt;"R002"),AD80-AA80,)</f>
        <v>0</v>
      </c>
      <c r="AH80" s="5" t="s">
        <v>77</v>
      </c>
      <c r="AI80" s="2">
        <v>-47989</v>
      </c>
      <c r="AJ80" s="2">
        <v>0.39773900000000001</v>
      </c>
      <c r="AK80" s="2" t="str">
        <f>IF(AND(Table1[[#This Row],[Cplex MD Cost]]=Table1[[#This Row],[ORTools FZN2 Cost]],Table1[[#This Row],[ORTools FZN2 State]]="Optimal",Table1[[#This Row],[Cplex MD State]]="Suboptimal"),1,"")</f>
        <v/>
      </c>
      <c r="AL80" s="4">
        <f>IF(AND(AH80="Optimal",AI80&lt;&gt;AA80,Table1[[#This Row],[Example]]&lt;&gt;"R001",Table1[[#This Row],[Example]]&lt;&gt;"R002"),AI80-AA80,)</f>
        <v>0</v>
      </c>
      <c r="AM80" s="39" t="s">
        <v>77</v>
      </c>
      <c r="AN80" s="39">
        <v>-47989</v>
      </c>
      <c r="AO80" s="2">
        <v>0.16793540000000001</v>
      </c>
      <c r="AP8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0" s="4" t="str">
        <f>IF(AND(Table1[[#This Row],[Cplex MI Cost]]=Table1[[#This Row],[ORTools FZN2 Cost]],Table1[[#This Row],[ORTools FZN2 State]]="Optimal",Table1[[#This Row],[Cplex MI State]]="Suboptimal"),1,"")</f>
        <v/>
      </c>
      <c r="AR80" s="5" t="s">
        <v>77</v>
      </c>
      <c r="AS80" s="2">
        <v>-47989</v>
      </c>
      <c r="AT80" s="2">
        <v>1.8957744000000001</v>
      </c>
      <c r="AU80" s="2" t="str">
        <f>IF(AND(Table1[[#This Row],[Z3 SMT2-1 Maxres Cost]]=Table1[[#This Row],[ORTools FZN2 Cost]],Table1[[#This Row],[ORTools FZN2 State]]="Optimal"),1,"")</f>
        <v/>
      </c>
      <c r="AV80" s="39" t="s">
        <v>77</v>
      </c>
      <c r="AW80" s="39">
        <v>-47989</v>
      </c>
      <c r="AX80" s="2">
        <v>2.0512459999999999</v>
      </c>
      <c r="AY80" s="2" t="str">
        <f>IF(AND(Table1[[#This Row],[Z3 SMT2-1 PdMaxres Cost]]=Table1[[#This Row],[ORTools FZN2 Cost]],Table1[[#This Row],[ORTools FZN2 State]]="Optimal"),1,"")</f>
        <v/>
      </c>
      <c r="AZ80" s="5" t="s">
        <v>77</v>
      </c>
      <c r="BA80" s="2">
        <v>-47989</v>
      </c>
      <c r="BB80" s="39">
        <v>2.3696267999999998</v>
      </c>
      <c r="BC80" s="39" t="str">
        <f>IF(AND(Table1[[#This Row],[Z3 SMT2-1 WMax Cost]]=Table1[[#This Row],[ORTools FZN2 Cost]],Table1[[#This Row],[ORTools FZN2 State]]="Optimal"),1,"")</f>
        <v/>
      </c>
      <c r="BD80" s="39" t="s">
        <v>77</v>
      </c>
      <c r="BE80" s="39">
        <v>-47989</v>
      </c>
      <c r="BF80" s="2">
        <v>1.9349151</v>
      </c>
      <c r="BG80" s="2" t="str">
        <f>IF(AND(Table1[[#This Row],[Z3 SMT2-2 Maxres Cost]]=Table1[[#This Row],[ORTools FZN2 Cost]],Table1[[#This Row],[ORTools FZN2 State]]="Optimal"),1,"")</f>
        <v/>
      </c>
      <c r="BH80" s="5" t="s">
        <v>77</v>
      </c>
      <c r="BI80" s="2">
        <v>-47989</v>
      </c>
      <c r="BJ80" s="39">
        <v>1.9446612000000001</v>
      </c>
      <c r="BK80" s="39" t="str">
        <f>IF(AND(Table1[[#This Row],[Z3 SMT2-2 PdMaxres Cost]]=Table1[[#This Row],[ORTools FZN2 Cost]],Table1[[#This Row],[ORTools FZN2 State]]="Optimal"),1,"")</f>
        <v/>
      </c>
      <c r="BL80" s="39" t="s">
        <v>77</v>
      </c>
      <c r="BM80" s="39">
        <v>-47989</v>
      </c>
      <c r="BN80" s="2">
        <v>1.9871551000000001</v>
      </c>
      <c r="BO80" s="4" t="str">
        <f>IF(AND(Table1[[#This Row],[Z3 SMT2-2 PdMaxres Cost]]=Table1[[#This Row],[ORTools FZN2 Cost]],Table1[[#This Row],[ORTools FZN2 State]]="Optimal"),1,"")</f>
        <v/>
      </c>
      <c r="BP80" s="5" t="s">
        <v>77</v>
      </c>
      <c r="BQ80" s="2">
        <v>-47989</v>
      </c>
      <c r="BR80" s="2">
        <v>2.0661700000000002E-2</v>
      </c>
      <c r="BS80" s="2" t="str">
        <f>IF(AND(Table1[[#This Row],[Gurobi MB Cost]]=Table1[[#This Row],[ORTools FZN2 Cost]],Table1[[#This Row],[ORTools FZN2 State]]="Optimal",Table1[[#This Row],[Gurobi MB State]]="Suboptimal"),1,"")</f>
        <v/>
      </c>
      <c r="BT8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0" s="5" t="s">
        <v>77</v>
      </c>
      <c r="BV80" s="2">
        <v>-47989</v>
      </c>
      <c r="BW80" s="2">
        <v>0.17140639999999999</v>
      </c>
      <c r="BX80" s="2" t="str">
        <f>IF(AND(Table1[[#This Row],[Gurobi MD Cost]]=Table1[[#This Row],[ORTools FZN2 Cost]],Table1[[#This Row],[ORTools FZN2 State]]="Optimal",Table1[[#This Row],[Gurobi MD State]]="Suboptimal"),1,"")</f>
        <v/>
      </c>
      <c r="BY8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0" s="5" t="s">
        <v>77</v>
      </c>
      <c r="CA80" s="2">
        <v>-47989</v>
      </c>
      <c r="CB80" s="2">
        <v>8.1466999999999998E-2</v>
      </c>
      <c r="CC80" s="2" t="str">
        <f>IF(AND(Table1[[#This Row],[Gurobi MI Cost]]=Table1[[#This Row],[ORTools FZN2 Cost]],Table1[[#This Row],[ORTools FZN2 State]]="Optimal",Table1[[#This Row],[Gurobi MI State]]="Suboptimal"),1,"")</f>
        <v/>
      </c>
      <c r="CD8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0" s="39" t="s">
        <v>77</v>
      </c>
      <c r="CF80" s="2">
        <v>-47989</v>
      </c>
      <c r="CG80" s="39">
        <v>5.1390060999999996</v>
      </c>
      <c r="CH80" s="39" t="s">
        <v>77</v>
      </c>
      <c r="CI80" s="39">
        <v>-47989</v>
      </c>
      <c r="CJ80" s="2">
        <v>5.0975153000000004</v>
      </c>
      <c r="CK80" s="5" t="s">
        <v>77</v>
      </c>
      <c r="CL80" s="2">
        <v>-47989</v>
      </c>
      <c r="CM80" s="2">
        <v>4.7999999998864999E-2</v>
      </c>
      <c r="CN80" s="5" t="s">
        <v>77</v>
      </c>
      <c r="CO80" s="2">
        <v>-47989</v>
      </c>
      <c r="CP80" s="2">
        <v>1.2513276</v>
      </c>
      <c r="CQ80" s="5" t="s">
        <v>77</v>
      </c>
      <c r="CR80" s="2">
        <v>-47989</v>
      </c>
      <c r="CS80" s="2">
        <v>1.1058874000000001</v>
      </c>
      <c r="CT80" s="6" t="s">
        <v>77</v>
      </c>
      <c r="CU80" s="4">
        <v>-47989</v>
      </c>
      <c r="CV80" s="4">
        <v>1.2179206</v>
      </c>
      <c r="CW80" s="39" t="s">
        <v>77</v>
      </c>
      <c r="CX80" s="39"/>
      <c r="CY80" s="2">
        <v>0.36359999999999998</v>
      </c>
      <c r="CZ80" s="2" t="str">
        <f>IF(AND(Table1[[#This Row],[Cplex MZ1 Cost]]=Table1[[#This Row],[ORTools FZN2 Cost]],Table1[[#This Row],[ORTools FZN2 State]]="Optimal",Table1[[#This Row],[Cplex MZ1 State]]="Suboptimal"),1,"")</f>
        <v/>
      </c>
      <c r="DA80" s="5" t="s">
        <v>77</v>
      </c>
      <c r="DB80" s="2"/>
      <c r="DC80" s="2">
        <v>0.38679999999999998</v>
      </c>
      <c r="DD80" s="2" t="str">
        <f>IF(AND(Table1[[#This Row],[Cplex MZ2 Cost]]=Table1[[#This Row],[ORTools FZN2 Cost]],Table1[[#This Row],[ORTools FZN2 State]]="Optimal",Table1[[#This Row],[Cplex MZ2 State]]="Suboptimal"),1,"")</f>
        <v/>
      </c>
      <c r="DE80" s="39" t="s">
        <v>77</v>
      </c>
      <c r="DF80" s="39"/>
      <c r="DG80" s="2">
        <v>5.8999999999999997E-2</v>
      </c>
      <c r="DH80" s="2" t="str">
        <f>IF(AND(Table1[[#This Row],[Gurobi MZ1 Cost]]=Table1[[#This Row],[ORTools FZN2 Cost]],Table1[[#This Row],[ORTools FZN2 State]]="Optimal",Table1[[#This Row],[Gurobi MZ1 State]]="Suboptimal"),1,"")</f>
        <v/>
      </c>
      <c r="DI80" s="5" t="s">
        <v>77</v>
      </c>
      <c r="DJ80" s="2"/>
      <c r="DK80" s="2">
        <v>5.6500000000000002E-2</v>
      </c>
      <c r="DL80" s="4" t="str">
        <f>IF(AND(Table1[[#This Row],[Gurobi MZ2 Cost]]=Table1[[#This Row],[ORTools FZN2 Cost]],Table1[[#This Row],[ORTools FZN2 State]]="Optimal",Table1[[#This Row],[Gurobi MZ2 State]]="Suboptimal"),1,"")</f>
        <v/>
      </c>
      <c r="DM80" s="39" t="s">
        <v>77</v>
      </c>
      <c r="DN80" s="39">
        <v>-47989</v>
      </c>
      <c r="DO80" s="65">
        <v>5.5000000000290997E-2</v>
      </c>
      <c r="DP80" s="4" t="str">
        <f>IF(AND(Table1[[#This Row],[Cplex MC nonDual Cost]]=Table1[[#This Row],[ORTools FZN2 Cost]],Table1[[#This Row],[ORTools FZN2 State]]="Optimal",Table1[[#This Row],[Cplex MC nonDual State]]="Suboptimal"),1,"")</f>
        <v/>
      </c>
      <c r="DQ80" s="5" t="s">
        <v>77</v>
      </c>
      <c r="DR80" s="2"/>
      <c r="DS80" s="2">
        <v>0.30449999999999999</v>
      </c>
      <c r="DT80" s="2" t="str">
        <f>IF(AND(Table1[[#This Row],[Cplex MIP DM''z Cost]]=Table1[[#This Row],[ORTools FZN2 Cost]],Table1[[#This Row],[ORTools FZN2 State]]="Optimal",Table1[[#This Row],[Cplex MIP DM''z  State]]="Suboptimal"),1,"")</f>
        <v/>
      </c>
      <c r="DU8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0" s="5" t="s">
        <v>77</v>
      </c>
      <c r="DW80" s="2"/>
      <c r="DX80" s="2">
        <v>6.4100000000000004E-2</v>
      </c>
      <c r="DY80" s="4" t="str">
        <f>IF(AND(Table1[[#This Row],[Gurobi DM''z  Cost]]=Table1[[#This Row],[ORTools FZN2 Cost]],Table1[[#This Row],[ORTools FZN2 State]]="Optimal",Table1[[#This Row],[Gurobi DM''z  State]]="Suboptimal"),1,"")</f>
        <v/>
      </c>
      <c r="DZ8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1" spans="1:130" ht="15.75" x14ac:dyDescent="0.25">
      <c r="A81" s="47" t="s">
        <v>107</v>
      </c>
      <c r="B81" s="5">
        <v>30</v>
      </c>
      <c r="C81" s="2">
        <v>15</v>
      </c>
      <c r="D81" s="5">
        <v>67</v>
      </c>
      <c r="E81" s="2">
        <v>19</v>
      </c>
      <c r="F81" s="5">
        <v>20</v>
      </c>
      <c r="G81" s="2">
        <v>0</v>
      </c>
      <c r="H81" s="4">
        <f t="shared" si="1"/>
        <v>0</v>
      </c>
      <c r="I81" s="4">
        <f>Table1[[#This Row],[B]]+Table1[[#This Row],[Atomic Constraints]]+Table1[[#This Row],[Soft Atomic Constraints]]+Table1[[#This Row],[Disjunctive Constraints]]+Table1[[#This Row],[Direct Successors]]</f>
        <v>121</v>
      </c>
      <c r="J81" s="5" t="s">
        <v>25</v>
      </c>
      <c r="K81" s="2">
        <v>56315</v>
      </c>
      <c r="L81" s="2">
        <v>46.795584699999999</v>
      </c>
      <c r="M81" s="2" t="str">
        <f>IF(AND(Table1[[#This Row],[Chuffed MZ1 Cost]]=Table1[[#This Row],[ORTools FZN2 Cost]],Table1[[#This Row],[ORTools FZN2 State]]="Optimal",Table1[[#This Row],[Chuffed MZ1 State]]="Suboptimal"),1,"")</f>
        <v/>
      </c>
      <c r="N81" s="5" t="s">
        <v>25</v>
      </c>
      <c r="O81" s="2">
        <v>56315</v>
      </c>
      <c r="P81" s="2">
        <v>22.380042199999998</v>
      </c>
      <c r="Q81" s="2" t="str">
        <f>IF(AND(Table1[[#This Row],[Chuffed MZ2 Cost]]=Table1[[#This Row],[ORTools FZN2 Cost]],Table1[[#This Row],[ORTools FZN2 State]]="Optimal",Table1[[#This Row],[Chuffed MZ2 State]]="Suboptimal"),1,"")</f>
        <v/>
      </c>
      <c r="R81" s="6" t="s">
        <v>25</v>
      </c>
      <c r="S81" s="4">
        <v>56315</v>
      </c>
      <c r="T81" s="4">
        <v>13.9419999999991</v>
      </c>
      <c r="U81" s="4"/>
      <c r="V81" s="5" t="s">
        <v>25</v>
      </c>
      <c r="W81" s="2">
        <v>56315</v>
      </c>
      <c r="X81" s="2">
        <v>3.8156238</v>
      </c>
      <c r="Y81" s="2" t="str">
        <f>IF(AND(Table1[[#This Row],[ORTools FZN1 Cost]]=Table1[[#This Row],[ORTools FZN2 Cost]],Table1[[#This Row],[ORTools FZN2 State]]="Optimal",Table1[[#This Row],[ORTools FZN1 State]]="Suboptimal"),1,"")</f>
        <v/>
      </c>
      <c r="Z81" s="5" t="s">
        <v>25</v>
      </c>
      <c r="AA81" s="2">
        <v>56315</v>
      </c>
      <c r="AB81" s="2">
        <v>3.2773181</v>
      </c>
      <c r="AC81" s="12" t="s">
        <v>26</v>
      </c>
      <c r="AD81" s="12">
        <v>56315</v>
      </c>
      <c r="AE81" s="12">
        <v>300.05690379999999</v>
      </c>
      <c r="AF81" s="2">
        <f>IF(AND(Table1[[#This Row],[Cplex MB Cost]]=Table1[[#This Row],[ORTools FZN2 Cost]],Table1[[#This Row],[ORTools FZN2 State]]="Optimal",Table1[[#This Row],[Cplex MB State]]="Suboptimal"),1,"")</f>
        <v>1</v>
      </c>
      <c r="AG81" s="4">
        <f>IF(AND(AC81="Optimal",AD81&lt;&gt;AA81,Table1[[#This Row],[Example]]&lt;&gt;"R001",Table1[[#This Row],[Example]]&lt;&gt;"R002"),AD81-AA81,)</f>
        <v>0</v>
      </c>
      <c r="AH81" s="5" t="s">
        <v>26</v>
      </c>
      <c r="AI81" s="2">
        <v>333760</v>
      </c>
      <c r="AJ81" s="2">
        <v>300.19233850000001</v>
      </c>
      <c r="AK81" s="2" t="str">
        <f>IF(AND(Table1[[#This Row],[Cplex MD Cost]]=Table1[[#This Row],[ORTools FZN2 Cost]],Table1[[#This Row],[ORTools FZN2 State]]="Optimal",Table1[[#This Row],[Cplex MD State]]="Suboptimal"),1,"")</f>
        <v/>
      </c>
      <c r="AL81" s="4">
        <f>IF(AND(AH81="Optimal",AI81&lt;&gt;AA81,Table1[[#This Row],[Example]]&lt;&gt;"R001",Table1[[#This Row],[Example]]&lt;&gt;"R002"),AI81-AA81,)</f>
        <v>0</v>
      </c>
      <c r="AM81" s="39" t="s">
        <v>26</v>
      </c>
      <c r="AN81" s="39">
        <v>56315</v>
      </c>
      <c r="AO81" s="2">
        <v>300.0415117</v>
      </c>
      <c r="AP8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1" s="4">
        <f>IF(AND(Table1[[#This Row],[Cplex MI Cost]]=Table1[[#This Row],[ORTools FZN2 Cost]],Table1[[#This Row],[ORTools FZN2 State]]="Optimal",Table1[[#This Row],[Cplex MI State]]="Suboptimal"),1,"")</f>
        <v>1</v>
      </c>
      <c r="AR81" s="12" t="s">
        <v>26</v>
      </c>
      <c r="AS81" s="12">
        <v>56315</v>
      </c>
      <c r="AT81" s="12">
        <v>243.81067619999999</v>
      </c>
      <c r="AU81" s="12">
        <f>IF(AND(Table1[[#This Row],[Z3 SMT2-1 Maxres Cost]]=Table1[[#This Row],[ORTools FZN2 Cost]],Table1[[#This Row],[ORTools FZN2 State]]="Optimal"),1,"")</f>
        <v>1</v>
      </c>
      <c r="AV81" s="12" t="s">
        <v>26</v>
      </c>
      <c r="AW81" s="12">
        <v>56315</v>
      </c>
      <c r="AX81" s="12">
        <v>263.22614490000001</v>
      </c>
      <c r="AY81" s="12">
        <f>IF(AND(Table1[[#This Row],[Z3 SMT2-1 PdMaxres Cost]]=Table1[[#This Row],[ORTools FZN2 Cost]],Table1[[#This Row],[ORTools FZN2 State]]="Optimal"),1,"")</f>
        <v>1</v>
      </c>
      <c r="AZ81" s="5" t="s">
        <v>42</v>
      </c>
      <c r="BA81" s="2">
        <v>-27931</v>
      </c>
      <c r="BB81" s="39">
        <v>300.04948839999997</v>
      </c>
      <c r="BC81" s="39" t="str">
        <f>IF(AND(Table1[[#This Row],[Z3 SMT2-1 WMax Cost]]=Table1[[#This Row],[ORTools FZN2 Cost]],Table1[[#This Row],[ORTools FZN2 State]]="Optimal"),1,"")</f>
        <v/>
      </c>
      <c r="BD81" s="12" t="s">
        <v>26</v>
      </c>
      <c r="BE81" s="12">
        <v>56315</v>
      </c>
      <c r="BF81" s="12">
        <v>189.9730078</v>
      </c>
      <c r="BG81" s="12">
        <f>IF(AND(Table1[[#This Row],[Z3 SMT2-2 Maxres Cost]]=Table1[[#This Row],[ORTools FZN2 Cost]],Table1[[#This Row],[ORTools FZN2 State]]="Optimal"),1,"")</f>
        <v>1</v>
      </c>
      <c r="BH81" s="12" t="s">
        <v>26</v>
      </c>
      <c r="BI81" s="12">
        <v>56315</v>
      </c>
      <c r="BJ81" s="12">
        <v>188.6434754</v>
      </c>
      <c r="BK81" s="12">
        <f>IF(AND(Table1[[#This Row],[Z3 SMT2-2 PdMaxres Cost]]=Table1[[#This Row],[ORTools FZN2 Cost]],Table1[[#This Row],[ORTools FZN2 State]]="Optimal"),1,"")</f>
        <v>1</v>
      </c>
      <c r="BL81" s="12" t="s">
        <v>26</v>
      </c>
      <c r="BM81" s="12">
        <v>56315</v>
      </c>
      <c r="BN81" s="12">
        <v>187.3015925</v>
      </c>
      <c r="BO81" s="11">
        <f>IF(AND(Table1[[#This Row],[Z3 SMT2-2 PdMaxres Cost]]=Table1[[#This Row],[ORTools FZN2 Cost]],Table1[[#This Row],[ORTools FZN2 State]]="Optimal"),1,"")</f>
        <v>1</v>
      </c>
      <c r="BP81" s="5" t="s">
        <v>25</v>
      </c>
      <c r="BQ81" s="2">
        <v>56315</v>
      </c>
      <c r="BR81" s="2">
        <v>106.2086022</v>
      </c>
      <c r="BS81" s="2" t="str">
        <f>IF(AND(Table1[[#This Row],[Gurobi MB Cost]]=Table1[[#This Row],[ORTools FZN2 Cost]],Table1[[#This Row],[ORTools FZN2 State]]="Optimal",Table1[[#This Row],[Gurobi MB State]]="Suboptimal"),1,"")</f>
        <v/>
      </c>
      <c r="BT8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1" s="5" t="s">
        <v>25</v>
      </c>
      <c r="BV81" s="2">
        <v>56315</v>
      </c>
      <c r="BW81" s="2">
        <v>239.221035</v>
      </c>
      <c r="BX81" s="2" t="str">
        <f>IF(AND(Table1[[#This Row],[Gurobi MD Cost]]=Table1[[#This Row],[ORTools FZN2 Cost]],Table1[[#This Row],[ORTools FZN2 State]]="Optimal",Table1[[#This Row],[Gurobi MD State]]="Suboptimal"),1,"")</f>
        <v/>
      </c>
      <c r="BY8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1" s="5" t="s">
        <v>25</v>
      </c>
      <c r="CA81" s="2">
        <v>56315</v>
      </c>
      <c r="CB81" s="2">
        <v>202.88620639999999</v>
      </c>
      <c r="CC81" s="2" t="str">
        <f>IF(AND(Table1[[#This Row],[Gurobi MI Cost]]=Table1[[#This Row],[ORTools FZN2 Cost]],Table1[[#This Row],[ORTools FZN2 State]]="Optimal",Table1[[#This Row],[Gurobi MI State]]="Suboptimal"),1,"")</f>
        <v/>
      </c>
      <c r="CD8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1" s="39" t="s">
        <v>42</v>
      </c>
      <c r="CF81" s="2">
        <v>-27931</v>
      </c>
      <c r="CG81" s="39">
        <v>306.0837957</v>
      </c>
      <c r="CH81" s="39" t="s">
        <v>42</v>
      </c>
      <c r="CI81" s="39">
        <v>-27931</v>
      </c>
      <c r="CJ81" s="2">
        <v>305.99207510000002</v>
      </c>
      <c r="CK81" s="5" t="s">
        <v>25</v>
      </c>
      <c r="CL81" s="2">
        <v>56315</v>
      </c>
      <c r="CM81" s="2">
        <v>1.7600000000002201</v>
      </c>
      <c r="CN81" s="5" t="s">
        <v>25</v>
      </c>
      <c r="CO81" s="2">
        <v>56315</v>
      </c>
      <c r="CP81" s="2">
        <v>91.163566500000002</v>
      </c>
      <c r="CQ81" s="5" t="s">
        <v>25</v>
      </c>
      <c r="CR81" s="2">
        <v>56315</v>
      </c>
      <c r="CS81" s="2">
        <v>5.9454732999999997</v>
      </c>
      <c r="CT81" s="6" t="s">
        <v>25</v>
      </c>
      <c r="CU81" s="4">
        <v>56315</v>
      </c>
      <c r="CV81" s="4">
        <v>4.0210822999999998</v>
      </c>
      <c r="CW81" s="39" t="s">
        <v>26</v>
      </c>
      <c r="CX81" s="39">
        <v>166867</v>
      </c>
      <c r="CY81" s="2">
        <v>300.01760000000002</v>
      </c>
      <c r="CZ81" s="2" t="str">
        <f>IF(AND(Table1[[#This Row],[Cplex MZ1 Cost]]=Table1[[#This Row],[ORTools FZN2 Cost]],Table1[[#This Row],[ORTools FZN2 State]]="Optimal",Table1[[#This Row],[Cplex MZ1 State]]="Suboptimal"),1,"")</f>
        <v/>
      </c>
      <c r="DA81" s="5" t="s">
        <v>26</v>
      </c>
      <c r="DB81" s="2">
        <v>112359</v>
      </c>
      <c r="DC81" s="2">
        <v>300.01100000000002</v>
      </c>
      <c r="DD81" s="2" t="str">
        <f>IF(AND(Table1[[#This Row],[Cplex MZ2 Cost]]=Table1[[#This Row],[ORTools FZN2 Cost]],Table1[[#This Row],[ORTools FZN2 State]]="Optimal",Table1[[#This Row],[Cplex MZ2 State]]="Suboptimal"),1,"")</f>
        <v/>
      </c>
      <c r="DE81" s="39" t="s">
        <v>26</v>
      </c>
      <c r="DF81" s="39">
        <v>357009</v>
      </c>
      <c r="DG81" s="2">
        <v>300.0061</v>
      </c>
      <c r="DH81" s="2" t="str">
        <f>IF(AND(Table1[[#This Row],[Gurobi MZ1 Cost]]=Table1[[#This Row],[ORTools FZN2 Cost]],Table1[[#This Row],[ORTools FZN2 State]]="Optimal",Table1[[#This Row],[Gurobi MZ1 State]]="Suboptimal"),1,"")</f>
        <v/>
      </c>
      <c r="DI81" s="12" t="s">
        <v>26</v>
      </c>
      <c r="DJ81" s="12">
        <v>56315</v>
      </c>
      <c r="DK81" s="12">
        <v>300.01850000000002</v>
      </c>
      <c r="DL81" s="11">
        <f>IF(AND(Table1[[#This Row],[Gurobi MZ2 Cost]]=Table1[[#This Row],[ORTools FZN2 Cost]],Table1[[#This Row],[ORTools FZN2 State]]="Optimal",Table1[[#This Row],[Gurobi MZ2 State]]="Suboptimal"),1,"")</f>
        <v>1</v>
      </c>
      <c r="DM81" s="39" t="s">
        <v>26</v>
      </c>
      <c r="DN81" s="12">
        <v>56315</v>
      </c>
      <c r="DO81" s="69">
        <v>300.029</v>
      </c>
      <c r="DP81" s="11">
        <f>IF(AND(Table1[[#This Row],[Cplex MC nonDual Cost]]=Table1[[#This Row],[ORTools FZN2 Cost]],Table1[[#This Row],[ORTools FZN2 State]]="Optimal",Table1[[#This Row],[Cplex MC nonDual State]]="Suboptimal"),1,"")</f>
        <v>1</v>
      </c>
      <c r="DQ81" s="5" t="s">
        <v>25</v>
      </c>
      <c r="DR81" s="2">
        <v>56315</v>
      </c>
      <c r="DS81" s="2">
        <v>139.0241</v>
      </c>
      <c r="DT81" s="2" t="str">
        <f>IF(AND(Table1[[#This Row],[Cplex MIP DM''z Cost]]=Table1[[#This Row],[ORTools FZN2 Cost]],Table1[[#This Row],[ORTools FZN2 State]]="Optimal",Table1[[#This Row],[Cplex MIP DM''z  State]]="Suboptimal"),1,"")</f>
        <v/>
      </c>
      <c r="DU8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1" s="5" t="s">
        <v>25</v>
      </c>
      <c r="DW81" s="2">
        <v>56315</v>
      </c>
      <c r="DX81" s="2">
        <v>264.83600000000001</v>
      </c>
      <c r="DY81" s="4" t="str">
        <f>IF(AND(Table1[[#This Row],[Gurobi DM''z  Cost]]=Table1[[#This Row],[ORTools FZN2 Cost]],Table1[[#This Row],[ORTools FZN2 State]]="Optimal",Table1[[#This Row],[Gurobi DM''z  State]]="Suboptimal"),1,"")</f>
        <v/>
      </c>
      <c r="DZ8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2" spans="1:130" x14ac:dyDescent="0.25">
      <c r="A82" s="52" t="s">
        <v>108</v>
      </c>
      <c r="B82" s="5">
        <v>46</v>
      </c>
      <c r="C82" s="2">
        <v>23</v>
      </c>
      <c r="D82" s="5">
        <v>322</v>
      </c>
      <c r="E82" s="2">
        <v>16</v>
      </c>
      <c r="F82" s="5">
        <v>85</v>
      </c>
      <c r="G82" s="2">
        <v>15</v>
      </c>
      <c r="H82" s="4">
        <f t="shared" si="1"/>
        <v>0</v>
      </c>
      <c r="I82" s="4">
        <f>Table1[[#This Row],[B]]+Table1[[#This Row],[Atomic Constraints]]+Table1[[#This Row],[Soft Atomic Constraints]]+Table1[[#This Row],[Disjunctive Constraints]]+Table1[[#This Row],[Direct Successors]]</f>
        <v>461</v>
      </c>
      <c r="J82" s="5" t="s">
        <v>77</v>
      </c>
      <c r="K82" s="2">
        <v>-99499</v>
      </c>
      <c r="L82" s="2">
        <v>1.7824046</v>
      </c>
      <c r="M82" s="2" t="str">
        <f>IF(AND(Table1[[#This Row],[Chuffed MZ1 Cost]]=Table1[[#This Row],[ORTools FZN2 Cost]],Table1[[#This Row],[ORTools FZN2 State]]="Optimal",Table1[[#This Row],[Chuffed MZ1 State]]="Suboptimal"),1,"")</f>
        <v/>
      </c>
      <c r="N82" s="5" t="s">
        <v>77</v>
      </c>
      <c r="O82" s="2">
        <v>-99499</v>
      </c>
      <c r="P82" s="2">
        <v>1.7628657000000001</v>
      </c>
      <c r="Q82" s="2" t="str">
        <f>IF(AND(Table1[[#This Row],[Chuffed MZ2 Cost]]=Table1[[#This Row],[ORTools FZN2 Cost]],Table1[[#This Row],[ORTools FZN2 State]]="Optimal",Table1[[#This Row],[Chuffed MZ2 State]]="Suboptimal"),1,"")</f>
        <v/>
      </c>
      <c r="R82" s="6" t="s">
        <v>77</v>
      </c>
      <c r="S82" s="4">
        <v>-99499</v>
      </c>
      <c r="T82" s="4">
        <v>1.95899999999892</v>
      </c>
      <c r="U82" s="4"/>
      <c r="V82" s="5" t="s">
        <v>77</v>
      </c>
      <c r="W82" s="2">
        <v>-99499</v>
      </c>
      <c r="X82" s="2">
        <v>1.9056717999999999</v>
      </c>
      <c r="Y82" s="2" t="str">
        <f>IF(AND(Table1[[#This Row],[ORTools FZN1 Cost]]=Table1[[#This Row],[ORTools FZN2 Cost]],Table1[[#This Row],[ORTools FZN2 State]]="Optimal",Table1[[#This Row],[ORTools FZN1 State]]="Suboptimal"),1,"")</f>
        <v/>
      </c>
      <c r="Z82" s="5" t="s">
        <v>77</v>
      </c>
      <c r="AA82" s="2">
        <v>-99499</v>
      </c>
      <c r="AB82" s="2">
        <v>2.2674864000000001</v>
      </c>
      <c r="AC82" s="39" t="s">
        <v>51</v>
      </c>
      <c r="AD82" s="39">
        <v>-99499</v>
      </c>
      <c r="AE82" s="2">
        <v>4.4557890000000002</v>
      </c>
      <c r="AF82" s="2" t="str">
        <f>IF(AND(Table1[[#This Row],[Cplex MB Cost]]=Table1[[#This Row],[ORTools FZN2 Cost]],Table1[[#This Row],[ORTools FZN2 State]]="Optimal",Table1[[#This Row],[Cplex MB State]]="Suboptimal"),1,"")</f>
        <v/>
      </c>
      <c r="AG82" s="4">
        <f>IF(AND(AC82="Optimal",AD82&lt;&gt;AA82,Table1[[#This Row],[Example]]&lt;&gt;"R001",Table1[[#This Row],[Example]]&lt;&gt;"R002"),AD82-AA82,)</f>
        <v>0</v>
      </c>
      <c r="AH82" s="5" t="s">
        <v>51</v>
      </c>
      <c r="AI82" s="2">
        <v>-99499</v>
      </c>
      <c r="AJ82" s="2">
        <v>10.7033798</v>
      </c>
      <c r="AK82" s="2" t="str">
        <f>IF(AND(Table1[[#This Row],[Cplex MD Cost]]=Table1[[#This Row],[ORTools FZN2 Cost]],Table1[[#This Row],[ORTools FZN2 State]]="Optimal",Table1[[#This Row],[Cplex MD State]]="Suboptimal"),1,"")</f>
        <v/>
      </c>
      <c r="AL82" s="4">
        <f>IF(AND(AH82="Optimal",AI82&lt;&gt;AA82,Table1[[#This Row],[Example]]&lt;&gt;"R001",Table1[[#This Row],[Example]]&lt;&gt;"R002"),AI82-AA82,)</f>
        <v>0</v>
      </c>
      <c r="AM82" s="39" t="s">
        <v>51</v>
      </c>
      <c r="AN82" s="39">
        <v>-99499</v>
      </c>
      <c r="AO82" s="2">
        <v>3.2777932000000001</v>
      </c>
      <c r="AP8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2" s="4" t="str">
        <f>IF(AND(Table1[[#This Row],[Cplex MI Cost]]=Table1[[#This Row],[ORTools FZN2 Cost]],Table1[[#This Row],[ORTools FZN2 State]]="Optimal",Table1[[#This Row],[Cplex MI State]]="Suboptimal"),1,"")</f>
        <v/>
      </c>
      <c r="AR82" s="5" t="s">
        <v>77</v>
      </c>
      <c r="AS82" s="2">
        <v>-99499</v>
      </c>
      <c r="AT82" s="2">
        <v>34.407516200000003</v>
      </c>
      <c r="AU82" s="2" t="str">
        <f>IF(AND(Table1[[#This Row],[Z3 SMT2-1 Maxres Cost]]=Table1[[#This Row],[ORTools FZN2 Cost]],Table1[[#This Row],[ORTools FZN2 State]]="Optimal"),1,"")</f>
        <v/>
      </c>
      <c r="AV82" s="39" t="s">
        <v>77</v>
      </c>
      <c r="AW82" s="39">
        <v>-99499</v>
      </c>
      <c r="AX82" s="2">
        <v>36.894338599999998</v>
      </c>
      <c r="AY82" s="2" t="str">
        <f>IF(AND(Table1[[#This Row],[Z3 SMT2-1 PdMaxres Cost]]=Table1[[#This Row],[ORTools FZN2 Cost]],Table1[[#This Row],[ORTools FZN2 State]]="Optimal"),1,"")</f>
        <v/>
      </c>
      <c r="AZ82" s="5" t="s">
        <v>77</v>
      </c>
      <c r="BA82" s="2">
        <v>-99499</v>
      </c>
      <c r="BB82" s="39">
        <v>41.410796300000001</v>
      </c>
      <c r="BC82" s="39" t="str">
        <f>IF(AND(Table1[[#This Row],[Z3 SMT2-1 WMax Cost]]=Table1[[#This Row],[ORTools FZN2 Cost]],Table1[[#This Row],[ORTools FZN2 State]]="Optimal"),1,"")</f>
        <v/>
      </c>
      <c r="BD82" s="39" t="s">
        <v>77</v>
      </c>
      <c r="BE82" s="39">
        <v>-99499</v>
      </c>
      <c r="BF82" s="2">
        <v>30.830622900000002</v>
      </c>
      <c r="BG82" s="2" t="str">
        <f>IF(AND(Table1[[#This Row],[Z3 SMT2-2 Maxres Cost]]=Table1[[#This Row],[ORTools FZN2 Cost]],Table1[[#This Row],[ORTools FZN2 State]]="Optimal"),1,"")</f>
        <v/>
      </c>
      <c r="BH82" s="5" t="s">
        <v>77</v>
      </c>
      <c r="BI82" s="2">
        <v>-99499</v>
      </c>
      <c r="BJ82" s="39">
        <v>31.051477800000001</v>
      </c>
      <c r="BK82" s="39" t="str">
        <f>IF(AND(Table1[[#This Row],[Z3 SMT2-2 PdMaxres Cost]]=Table1[[#This Row],[ORTools FZN2 Cost]],Table1[[#This Row],[ORTools FZN2 State]]="Optimal"),1,"")</f>
        <v/>
      </c>
      <c r="BL82" s="39" t="s">
        <v>77</v>
      </c>
      <c r="BM82" s="39">
        <v>-99499</v>
      </c>
      <c r="BN82" s="2">
        <v>30.4584191</v>
      </c>
      <c r="BO82" s="4" t="str">
        <f>IF(AND(Table1[[#This Row],[Z3 SMT2-2 PdMaxres Cost]]=Table1[[#This Row],[ORTools FZN2 Cost]],Table1[[#This Row],[ORTools FZN2 State]]="Optimal"),1,"")</f>
        <v/>
      </c>
      <c r="BP82" s="5" t="s">
        <v>77</v>
      </c>
      <c r="BQ82" s="2">
        <v>-99499</v>
      </c>
      <c r="BR82" s="2">
        <v>3.9443415000000002</v>
      </c>
      <c r="BS82" s="2" t="str">
        <f>IF(AND(Table1[[#This Row],[Gurobi MB Cost]]=Table1[[#This Row],[ORTools FZN2 Cost]],Table1[[#This Row],[ORTools FZN2 State]]="Optimal",Table1[[#This Row],[Gurobi MB State]]="Suboptimal"),1,"")</f>
        <v/>
      </c>
      <c r="BT8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2" s="5" t="s">
        <v>77</v>
      </c>
      <c r="BV82" s="2">
        <v>-99499</v>
      </c>
      <c r="BW82" s="2">
        <v>10.5529604</v>
      </c>
      <c r="BX82" s="2" t="str">
        <f>IF(AND(Table1[[#This Row],[Gurobi MD Cost]]=Table1[[#This Row],[ORTools FZN2 Cost]],Table1[[#This Row],[ORTools FZN2 State]]="Optimal",Table1[[#This Row],[Gurobi MD State]]="Suboptimal"),1,"")</f>
        <v/>
      </c>
      <c r="BY8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2" s="5" t="s">
        <v>77</v>
      </c>
      <c r="CA82" s="2">
        <v>-99499</v>
      </c>
      <c r="CB82" s="2">
        <v>101.85057190000001</v>
      </c>
      <c r="CC82" s="2" t="str">
        <f>IF(AND(Table1[[#This Row],[Gurobi MI Cost]]=Table1[[#This Row],[ORTools FZN2 Cost]],Table1[[#This Row],[ORTools FZN2 State]]="Optimal",Table1[[#This Row],[Gurobi MI State]]="Suboptimal"),1,"")</f>
        <v/>
      </c>
      <c r="CD8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2" s="39" t="s">
        <v>77</v>
      </c>
      <c r="CF82" s="2">
        <v>-99499</v>
      </c>
      <c r="CG82" s="39">
        <v>5.1791765999999999</v>
      </c>
      <c r="CH82" s="39" t="s">
        <v>77</v>
      </c>
      <c r="CI82" s="39">
        <v>-99499</v>
      </c>
      <c r="CJ82" s="2">
        <v>5.1444640000000001</v>
      </c>
      <c r="CK82" s="5" t="s">
        <v>77</v>
      </c>
      <c r="CL82" s="2">
        <v>-99499</v>
      </c>
      <c r="CM82" s="2">
        <v>3.6809999999986802</v>
      </c>
      <c r="CN82" s="5" t="s">
        <v>77</v>
      </c>
      <c r="CO82" s="2">
        <v>-99499</v>
      </c>
      <c r="CP82" s="2">
        <v>1.7166185</v>
      </c>
      <c r="CQ82" s="5" t="s">
        <v>77</v>
      </c>
      <c r="CR82" s="2">
        <v>-99499</v>
      </c>
      <c r="CS82" s="2">
        <v>3.4078645999999999</v>
      </c>
      <c r="CT82" s="6" t="s">
        <v>77</v>
      </c>
      <c r="CU82" s="4">
        <v>-99499</v>
      </c>
      <c r="CV82" s="4">
        <v>3.6450423999999999</v>
      </c>
      <c r="CW82" s="39" t="s">
        <v>77</v>
      </c>
      <c r="CX82" s="39"/>
      <c r="CY82" s="2">
        <v>6.2016</v>
      </c>
      <c r="CZ82" s="2" t="str">
        <f>IF(AND(Table1[[#This Row],[Cplex MZ1 Cost]]=Table1[[#This Row],[ORTools FZN2 Cost]],Table1[[#This Row],[ORTools FZN2 State]]="Optimal",Table1[[#This Row],[Cplex MZ1 State]]="Suboptimal"),1,"")</f>
        <v/>
      </c>
      <c r="DA82" s="5" t="s">
        <v>77</v>
      </c>
      <c r="DB82" s="2"/>
      <c r="DC82" s="2">
        <v>4.0305999999999997</v>
      </c>
      <c r="DD82" s="2" t="str">
        <f>IF(AND(Table1[[#This Row],[Cplex MZ2 Cost]]=Table1[[#This Row],[ORTools FZN2 Cost]],Table1[[#This Row],[ORTools FZN2 State]]="Optimal",Table1[[#This Row],[Cplex MZ2 State]]="Suboptimal"),1,"")</f>
        <v/>
      </c>
      <c r="DE82" s="39" t="s">
        <v>77</v>
      </c>
      <c r="DF82" s="39"/>
      <c r="DG82" s="2">
        <v>0.72840000000000005</v>
      </c>
      <c r="DH82" s="2" t="str">
        <f>IF(AND(Table1[[#This Row],[Gurobi MZ1 Cost]]=Table1[[#This Row],[ORTools FZN2 Cost]],Table1[[#This Row],[ORTools FZN2 State]]="Optimal",Table1[[#This Row],[Gurobi MZ1 State]]="Suboptimal"),1,"")</f>
        <v/>
      </c>
      <c r="DI82" s="5" t="s">
        <v>77</v>
      </c>
      <c r="DJ82" s="2"/>
      <c r="DK82" s="2">
        <v>0.73770000000000002</v>
      </c>
      <c r="DL82" s="4" t="str">
        <f>IF(AND(Table1[[#This Row],[Gurobi MZ2 Cost]]=Table1[[#This Row],[ORTools FZN2 Cost]],Table1[[#This Row],[ORTools FZN2 State]]="Optimal",Table1[[#This Row],[Gurobi MZ2 State]]="Suboptimal"),1,"")</f>
        <v/>
      </c>
      <c r="DM82" s="39" t="s">
        <v>77</v>
      </c>
      <c r="DN82" s="39">
        <v>-99499</v>
      </c>
      <c r="DO82" s="65">
        <v>1.5740000000005201</v>
      </c>
      <c r="DP82" s="4" t="str">
        <f>IF(AND(Table1[[#This Row],[Cplex MC nonDual Cost]]=Table1[[#This Row],[ORTools FZN2 Cost]],Table1[[#This Row],[ORTools FZN2 State]]="Optimal",Table1[[#This Row],[Cplex MC nonDual State]]="Suboptimal"),1,"")</f>
        <v/>
      </c>
      <c r="DQ82" s="5" t="s">
        <v>77</v>
      </c>
      <c r="DR82" s="2"/>
      <c r="DS82" s="2">
        <v>6.6257999999999999</v>
      </c>
      <c r="DT82" s="2" t="str">
        <f>IF(AND(Table1[[#This Row],[Cplex MIP DM''z Cost]]=Table1[[#This Row],[ORTools FZN2 Cost]],Table1[[#This Row],[ORTools FZN2 State]]="Optimal",Table1[[#This Row],[Cplex MIP DM''z  State]]="Suboptimal"),1,"")</f>
        <v/>
      </c>
      <c r="DU8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2" s="5" t="s">
        <v>77</v>
      </c>
      <c r="DW82" s="2"/>
      <c r="DX82" s="2">
        <v>17.711099999999998</v>
      </c>
      <c r="DY82" s="4" t="str">
        <f>IF(AND(Table1[[#This Row],[Gurobi DM''z  Cost]]=Table1[[#This Row],[ORTools FZN2 Cost]],Table1[[#This Row],[ORTools FZN2 State]]="Optimal",Table1[[#This Row],[Gurobi DM''z  State]]="Suboptimal"),1,"")</f>
        <v/>
      </c>
      <c r="DZ8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3" spans="1:130" ht="15.75" x14ac:dyDescent="0.25">
      <c r="A83" s="47" t="s">
        <v>109</v>
      </c>
      <c r="B83" s="5">
        <v>18</v>
      </c>
      <c r="C83" s="2">
        <v>9</v>
      </c>
      <c r="D83" s="5">
        <v>36</v>
      </c>
      <c r="E83" s="2">
        <v>7</v>
      </c>
      <c r="F83" s="5">
        <v>4</v>
      </c>
      <c r="G83" s="2">
        <v>6</v>
      </c>
      <c r="H83" s="4">
        <f t="shared" si="1"/>
        <v>0</v>
      </c>
      <c r="I83" s="4">
        <f>Table1[[#This Row],[B]]+Table1[[#This Row],[Atomic Constraints]]+Table1[[#This Row],[Soft Atomic Constraints]]+Table1[[#This Row],[Disjunctive Constraints]]+Table1[[#This Row],[Direct Successors]]</f>
        <v>62</v>
      </c>
      <c r="J83" s="5" t="s">
        <v>25</v>
      </c>
      <c r="K83" s="2">
        <v>1</v>
      </c>
      <c r="L83" s="2">
        <v>0.7978362</v>
      </c>
      <c r="M83" s="2" t="str">
        <f>IF(AND(Table1[[#This Row],[Chuffed MZ1 Cost]]=Table1[[#This Row],[ORTools FZN2 Cost]],Table1[[#This Row],[ORTools FZN2 State]]="Optimal",Table1[[#This Row],[Chuffed MZ1 State]]="Suboptimal"),1,"")</f>
        <v/>
      </c>
      <c r="N83" s="5" t="s">
        <v>25</v>
      </c>
      <c r="O83" s="2">
        <v>1</v>
      </c>
      <c r="P83" s="2">
        <v>0.77087620000000001</v>
      </c>
      <c r="Q83" s="2" t="str">
        <f>IF(AND(Table1[[#This Row],[Chuffed MZ2 Cost]]=Table1[[#This Row],[ORTools FZN2 Cost]],Table1[[#This Row],[ORTools FZN2 State]]="Optimal",Table1[[#This Row],[Chuffed MZ2 State]]="Suboptimal"),1,"")</f>
        <v/>
      </c>
      <c r="R83" s="5" t="s">
        <v>25</v>
      </c>
      <c r="S83" s="2">
        <v>1</v>
      </c>
      <c r="T83" s="2">
        <v>9.6999999999752604E-2</v>
      </c>
      <c r="U83" s="2"/>
      <c r="V83" s="5" t="s">
        <v>25</v>
      </c>
      <c r="W83" s="2">
        <v>1</v>
      </c>
      <c r="X83" s="2">
        <v>0.37956380000000001</v>
      </c>
      <c r="Y83" s="2" t="str">
        <f>IF(AND(Table1[[#This Row],[ORTools FZN1 Cost]]=Table1[[#This Row],[ORTools FZN2 Cost]],Table1[[#This Row],[ORTools FZN2 State]]="Optimal",Table1[[#This Row],[ORTools FZN1 State]]="Suboptimal"),1,"")</f>
        <v/>
      </c>
      <c r="Z83" s="5" t="s">
        <v>25</v>
      </c>
      <c r="AA83" s="2">
        <v>1</v>
      </c>
      <c r="AB83" s="2">
        <v>0.34866639999999999</v>
      </c>
      <c r="AC83" s="39" t="s">
        <v>25</v>
      </c>
      <c r="AD83" s="39">
        <v>1</v>
      </c>
      <c r="AE83" s="2">
        <v>0.77531320000000004</v>
      </c>
      <c r="AF83" s="2" t="str">
        <f>IF(AND(Table1[[#This Row],[Cplex MB Cost]]=Table1[[#This Row],[ORTools FZN2 Cost]],Table1[[#This Row],[ORTools FZN2 State]]="Optimal",Table1[[#This Row],[Cplex MB State]]="Suboptimal"),1,"")</f>
        <v/>
      </c>
      <c r="AG83" s="4">
        <f>IF(AND(AC83="Optimal",AD83&lt;&gt;AA83,Table1[[#This Row],[Example]]&lt;&gt;"R001",Table1[[#This Row],[Example]]&lt;&gt;"R002"),AD83-AA83,)</f>
        <v>0</v>
      </c>
      <c r="AH83" s="5" t="s">
        <v>25</v>
      </c>
      <c r="AI83" s="2">
        <v>1</v>
      </c>
      <c r="AJ83" s="2">
        <v>1.6166742000000001</v>
      </c>
      <c r="AK83" s="2" t="str">
        <f>IF(AND(Table1[[#This Row],[Cplex MD Cost]]=Table1[[#This Row],[ORTools FZN2 Cost]],Table1[[#This Row],[ORTools FZN2 State]]="Optimal",Table1[[#This Row],[Cplex MD State]]="Suboptimal"),1,"")</f>
        <v/>
      </c>
      <c r="AL83" s="4">
        <f>IF(AND(AH83="Optimal",AI83&lt;&gt;AA83,Table1[[#This Row],[Example]]&lt;&gt;"R001",Table1[[#This Row],[Example]]&lt;&gt;"R002"),AI83-AA83,)</f>
        <v>0</v>
      </c>
      <c r="AM83" s="39" t="s">
        <v>25</v>
      </c>
      <c r="AN83" s="39">
        <v>1</v>
      </c>
      <c r="AO83" s="2">
        <v>0.38410919999999998</v>
      </c>
      <c r="AP8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3" s="2" t="str">
        <f>IF(AND(Table1[[#This Row],[Cplex MI Cost]]=Table1[[#This Row],[ORTools FZN2 Cost]],Table1[[#This Row],[ORTools FZN2 State]]="Optimal",Table1[[#This Row],[Cplex MI State]]="Suboptimal"),1,"")</f>
        <v/>
      </c>
      <c r="AR83" s="12" t="s">
        <v>26</v>
      </c>
      <c r="AS83" s="12">
        <v>1</v>
      </c>
      <c r="AT83" s="12">
        <v>4.5731674</v>
      </c>
      <c r="AU83" s="12">
        <f>IF(AND(Table1[[#This Row],[Z3 SMT2-1 Maxres Cost]]=Table1[[#This Row],[ORTools FZN2 Cost]],Table1[[#This Row],[ORTools FZN2 State]]="Optimal"),1,"")</f>
        <v>1</v>
      </c>
      <c r="AV83" s="12" t="s">
        <v>26</v>
      </c>
      <c r="AW83" s="12">
        <v>1</v>
      </c>
      <c r="AX83" s="12">
        <v>4.6575195000000003</v>
      </c>
      <c r="AY83" s="12">
        <f>IF(AND(Table1[[#This Row],[Z3 SMT2-1 PdMaxres Cost]]=Table1[[#This Row],[ORTools FZN2 Cost]],Table1[[#This Row],[ORTools FZN2 State]]="Optimal"),1,"")</f>
        <v>1</v>
      </c>
      <c r="AZ83" s="12" t="s">
        <v>26</v>
      </c>
      <c r="BA83" s="12">
        <v>1</v>
      </c>
      <c r="BB83" s="12">
        <v>5.3088084000000002</v>
      </c>
      <c r="BC83" s="12">
        <f>IF(AND(Table1[[#This Row],[Z3 SMT2-1 WMax Cost]]=Table1[[#This Row],[ORTools FZN2 Cost]],Table1[[#This Row],[ORTools FZN2 State]]="Optimal"),1,"")</f>
        <v>1</v>
      </c>
      <c r="BD83" s="12" t="s">
        <v>26</v>
      </c>
      <c r="BE83" s="12">
        <v>1</v>
      </c>
      <c r="BF83" s="12">
        <v>5.4809073000000001</v>
      </c>
      <c r="BG83" s="12">
        <f>IF(AND(Table1[[#This Row],[Z3 SMT2-2 Maxres Cost]]=Table1[[#This Row],[ORTools FZN2 Cost]],Table1[[#This Row],[ORTools FZN2 State]]="Optimal"),1,"")</f>
        <v>1</v>
      </c>
      <c r="BH83" s="12" t="s">
        <v>26</v>
      </c>
      <c r="BI83" s="12">
        <v>1</v>
      </c>
      <c r="BJ83" s="12">
        <v>5.4115943</v>
      </c>
      <c r="BK83" s="12">
        <f>IF(AND(Table1[[#This Row],[Z3 SMT2-2 PdMaxres Cost]]=Table1[[#This Row],[ORTools FZN2 Cost]],Table1[[#This Row],[ORTools FZN2 State]]="Optimal"),1,"")</f>
        <v>1</v>
      </c>
      <c r="BL83" s="12" t="s">
        <v>26</v>
      </c>
      <c r="BM83" s="12">
        <v>1</v>
      </c>
      <c r="BN83" s="12">
        <v>5.4255725999999997</v>
      </c>
      <c r="BO83" s="11">
        <f>IF(AND(Table1[[#This Row],[Z3 SMT2-2 PdMaxres Cost]]=Table1[[#This Row],[ORTools FZN2 Cost]],Table1[[#This Row],[ORTools FZN2 State]]="Optimal"),1,"")</f>
        <v>1</v>
      </c>
      <c r="BP83" s="5" t="s">
        <v>25</v>
      </c>
      <c r="BQ83" s="2">
        <v>1</v>
      </c>
      <c r="BR83" s="2">
        <v>0.33640029999999999</v>
      </c>
      <c r="BS83" s="2" t="str">
        <f>IF(AND(Table1[[#This Row],[Gurobi MB Cost]]=Table1[[#This Row],[ORTools FZN2 Cost]],Table1[[#This Row],[ORTools FZN2 State]]="Optimal",Table1[[#This Row],[Gurobi MB State]]="Suboptimal"),1,"")</f>
        <v/>
      </c>
      <c r="BT8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3" s="5" t="s">
        <v>25</v>
      </c>
      <c r="BV83" s="2">
        <v>1</v>
      </c>
      <c r="BW83" s="2">
        <v>4.5151757999999997</v>
      </c>
      <c r="BX83" s="2" t="str">
        <f>IF(AND(Table1[[#This Row],[Gurobi MD Cost]]=Table1[[#This Row],[ORTools FZN2 Cost]],Table1[[#This Row],[ORTools FZN2 State]]="Optimal",Table1[[#This Row],[Gurobi MD State]]="Suboptimal"),1,"")</f>
        <v/>
      </c>
      <c r="BY8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3" s="5" t="s">
        <v>25</v>
      </c>
      <c r="CA83" s="2">
        <v>1</v>
      </c>
      <c r="CB83" s="2">
        <v>0.47380519999999998</v>
      </c>
      <c r="CC83" s="2" t="str">
        <f>IF(AND(Table1[[#This Row],[Gurobi MI Cost]]=Table1[[#This Row],[ORTools FZN2 Cost]],Table1[[#This Row],[ORTools FZN2 State]]="Optimal",Table1[[#This Row],[Gurobi MI State]]="Suboptimal"),1,"")</f>
        <v/>
      </c>
      <c r="CD8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3" s="39" t="s">
        <v>42</v>
      </c>
      <c r="CF83" s="2">
        <v>-6175</v>
      </c>
      <c r="CG83" s="39">
        <v>306.07991829999997</v>
      </c>
      <c r="CH83" s="39" t="s">
        <v>42</v>
      </c>
      <c r="CI83" s="39">
        <v>-6175</v>
      </c>
      <c r="CJ83" s="2">
        <v>306.04454140000001</v>
      </c>
      <c r="CK83" s="5" t="s">
        <v>25</v>
      </c>
      <c r="CL83" s="2">
        <v>1</v>
      </c>
      <c r="CM83" s="2">
        <v>9.7999999999956303E-2</v>
      </c>
      <c r="CN83" s="5" t="s">
        <v>25</v>
      </c>
      <c r="CO83" s="2">
        <v>1</v>
      </c>
      <c r="CP83" s="2">
        <v>0.95993399999999995</v>
      </c>
      <c r="CQ83" s="5" t="s">
        <v>25</v>
      </c>
      <c r="CR83" s="2">
        <v>1</v>
      </c>
      <c r="CS83" s="2">
        <v>0.85673299999999997</v>
      </c>
      <c r="CT83" s="6" t="s">
        <v>25</v>
      </c>
      <c r="CU83" s="4">
        <v>1</v>
      </c>
      <c r="CV83" s="4">
        <v>0.82277739999999999</v>
      </c>
      <c r="CW83" s="39" t="s">
        <v>25</v>
      </c>
      <c r="CX83" s="39">
        <v>1</v>
      </c>
      <c r="CY83" s="2">
        <v>1.6359999999999999</v>
      </c>
      <c r="CZ83" s="2" t="str">
        <f>IF(AND(Table1[[#This Row],[Cplex MZ1 Cost]]=Table1[[#This Row],[ORTools FZN2 Cost]],Table1[[#This Row],[ORTools FZN2 State]]="Optimal",Table1[[#This Row],[Cplex MZ1 State]]="Suboptimal"),1,"")</f>
        <v/>
      </c>
      <c r="DA83" s="5" t="s">
        <v>25</v>
      </c>
      <c r="DB83" s="2">
        <v>1</v>
      </c>
      <c r="DC83" s="2">
        <v>1.0728</v>
      </c>
      <c r="DD83" s="2" t="str">
        <f>IF(AND(Table1[[#This Row],[Cplex MZ2 Cost]]=Table1[[#This Row],[ORTools FZN2 Cost]],Table1[[#This Row],[ORTools FZN2 State]]="Optimal",Table1[[#This Row],[Cplex MZ2 State]]="Suboptimal"),1,"")</f>
        <v/>
      </c>
      <c r="DE83" s="39" t="s">
        <v>25</v>
      </c>
      <c r="DF83" s="39">
        <v>1</v>
      </c>
      <c r="DG83" s="2">
        <v>0.93330000000000002</v>
      </c>
      <c r="DH83" s="2" t="str">
        <f>IF(AND(Table1[[#This Row],[Gurobi MZ1 Cost]]=Table1[[#This Row],[ORTools FZN2 Cost]],Table1[[#This Row],[ORTools FZN2 State]]="Optimal",Table1[[#This Row],[Gurobi MZ1 State]]="Suboptimal"),1,"")</f>
        <v/>
      </c>
      <c r="DI83" s="5" t="s">
        <v>25</v>
      </c>
      <c r="DJ83" s="2">
        <v>1</v>
      </c>
      <c r="DK83" s="2">
        <v>0.65349999999999997</v>
      </c>
      <c r="DL83" s="4" t="str">
        <f>IF(AND(Table1[[#This Row],[Gurobi MZ2 Cost]]=Table1[[#This Row],[ORTools FZN2 Cost]],Table1[[#This Row],[ORTools FZN2 State]]="Optimal",Table1[[#This Row],[Gurobi MZ2 State]]="Suboptimal"),1,"")</f>
        <v/>
      </c>
      <c r="DM83" s="39" t="s">
        <v>25</v>
      </c>
      <c r="DN83" s="39">
        <v>1</v>
      </c>
      <c r="DO83" s="65">
        <v>0.127999999998792</v>
      </c>
      <c r="DP83" s="4" t="str">
        <f>IF(AND(Table1[[#This Row],[Cplex MC nonDual Cost]]=Table1[[#This Row],[ORTools FZN2 Cost]],Table1[[#This Row],[ORTools FZN2 State]]="Optimal",Table1[[#This Row],[Cplex MC nonDual State]]="Suboptimal"),1,"")</f>
        <v/>
      </c>
      <c r="DQ83" s="5" t="s">
        <v>25</v>
      </c>
      <c r="DR83" s="2">
        <v>1</v>
      </c>
      <c r="DS83" s="2">
        <v>0.94240000000000002</v>
      </c>
      <c r="DT83" s="2" t="str">
        <f>IF(AND(Table1[[#This Row],[Cplex MIP DM''z Cost]]=Table1[[#This Row],[ORTools FZN2 Cost]],Table1[[#This Row],[ORTools FZN2 State]]="Optimal",Table1[[#This Row],[Cplex MIP DM''z  State]]="Suboptimal"),1,"")</f>
        <v/>
      </c>
      <c r="DU8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3" s="5" t="s">
        <v>25</v>
      </c>
      <c r="DW83" s="2">
        <v>1</v>
      </c>
      <c r="DX83" s="2">
        <v>0.95930000000000004</v>
      </c>
      <c r="DY83" s="4" t="str">
        <f>IF(AND(Table1[[#This Row],[Gurobi DM''z  Cost]]=Table1[[#This Row],[ORTools FZN2 Cost]],Table1[[#This Row],[ORTools FZN2 State]]="Optimal",Table1[[#This Row],[Gurobi DM''z  State]]="Suboptimal"),1,"")</f>
        <v/>
      </c>
      <c r="DZ8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4" spans="1:130" ht="15.75" x14ac:dyDescent="0.25">
      <c r="A84" s="46" t="s">
        <v>110</v>
      </c>
      <c r="B84" s="5">
        <v>38</v>
      </c>
      <c r="C84" s="2">
        <v>19</v>
      </c>
      <c r="D84" s="5">
        <v>150</v>
      </c>
      <c r="E84" s="2">
        <v>24</v>
      </c>
      <c r="F84" s="5">
        <v>15</v>
      </c>
      <c r="G84" s="2">
        <v>0</v>
      </c>
      <c r="H84" s="4">
        <f t="shared" si="1"/>
        <v>0</v>
      </c>
      <c r="I84" s="4">
        <f>Table1[[#This Row],[B]]+Table1[[#This Row],[Atomic Constraints]]+Table1[[#This Row],[Soft Atomic Constraints]]+Table1[[#This Row],[Disjunctive Constraints]]+Table1[[#This Row],[Direct Successors]]</f>
        <v>208</v>
      </c>
      <c r="J84" s="5" t="s">
        <v>25</v>
      </c>
      <c r="K84" s="2">
        <v>113438</v>
      </c>
      <c r="L84" s="2">
        <v>169.602002</v>
      </c>
      <c r="M84" s="2" t="str">
        <f>IF(AND(Table1[[#This Row],[Chuffed MZ1 Cost]]=Table1[[#This Row],[ORTools FZN2 Cost]],Table1[[#This Row],[ORTools FZN2 State]]="Optimal",Table1[[#This Row],[Chuffed MZ1 State]]="Suboptimal"),1,"")</f>
        <v/>
      </c>
      <c r="N84" s="5" t="s">
        <v>25</v>
      </c>
      <c r="O84" s="2">
        <v>113438</v>
      </c>
      <c r="P84" s="2">
        <v>142.36565289999999</v>
      </c>
      <c r="Q84" s="2" t="str">
        <f>IF(AND(Table1[[#This Row],[Chuffed MZ2 Cost]]=Table1[[#This Row],[ORTools FZN2 Cost]],Table1[[#This Row],[ORTools FZN2 State]]="Optimal",Table1[[#This Row],[Chuffed MZ2 State]]="Suboptimal"),1,"")</f>
        <v/>
      </c>
      <c r="R84" s="5" t="s">
        <v>25</v>
      </c>
      <c r="S84" s="2">
        <v>113438</v>
      </c>
      <c r="T84" s="2">
        <v>267.36299999999898</v>
      </c>
      <c r="U84" s="2"/>
      <c r="V84" s="5" t="s">
        <v>25</v>
      </c>
      <c r="W84" s="2">
        <v>113438</v>
      </c>
      <c r="X84" s="2">
        <v>9.1875520999999996</v>
      </c>
      <c r="Y84" s="2" t="str">
        <f>IF(AND(Table1[[#This Row],[ORTools FZN1 Cost]]=Table1[[#This Row],[ORTools FZN2 Cost]],Table1[[#This Row],[ORTools FZN2 State]]="Optimal",Table1[[#This Row],[ORTools FZN1 State]]="Suboptimal"),1,"")</f>
        <v/>
      </c>
      <c r="Z84" s="5" t="s">
        <v>25</v>
      </c>
      <c r="AA84" s="2">
        <v>113438</v>
      </c>
      <c r="AB84" s="2">
        <v>6.6410495000000003</v>
      </c>
      <c r="AC84" s="39" t="s">
        <v>26</v>
      </c>
      <c r="AD84" s="39">
        <v>113513</v>
      </c>
      <c r="AE84" s="2">
        <v>300.09896800000001</v>
      </c>
      <c r="AF84" s="2" t="str">
        <f>IF(AND(Table1[[#This Row],[Cplex MB Cost]]=Table1[[#This Row],[ORTools FZN2 Cost]],Table1[[#This Row],[ORTools FZN2 State]]="Optimal",Table1[[#This Row],[Cplex MB State]]="Suboptimal"),1,"")</f>
        <v/>
      </c>
      <c r="AG84" s="4">
        <f>IF(AND(AC84="Optimal",AD84&lt;&gt;AA84,Table1[[#This Row],[Example]]&lt;&gt;"R001",Table1[[#This Row],[Example]]&lt;&gt;"R002"),AD84-AA84,)</f>
        <v>0</v>
      </c>
      <c r="AH84" s="5" t="s">
        <v>26</v>
      </c>
      <c r="AI84" s="2">
        <v>562825</v>
      </c>
      <c r="AJ84" s="2">
        <v>302.3390776</v>
      </c>
      <c r="AK84" s="2" t="str">
        <f>IF(AND(Table1[[#This Row],[Cplex MD Cost]]=Table1[[#This Row],[ORTools FZN2 Cost]],Table1[[#This Row],[ORTools FZN2 State]]="Optimal",Table1[[#This Row],[Cplex MD State]]="Suboptimal"),1,"")</f>
        <v/>
      </c>
      <c r="AL84" s="4">
        <f>IF(AND(AH84="Optimal",AI84&lt;&gt;AA84,Table1[[#This Row],[Example]]&lt;&gt;"R001",Table1[[#This Row],[Example]]&lt;&gt;"R002"),AI84-AA84,)</f>
        <v>0</v>
      </c>
      <c r="AM84" s="39" t="s">
        <v>26</v>
      </c>
      <c r="AN84" s="39">
        <v>561114</v>
      </c>
      <c r="AO84" s="2">
        <v>300.07048309999999</v>
      </c>
      <c r="AP8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4" s="4" t="str">
        <f>IF(AND(Table1[[#This Row],[Cplex MI Cost]]=Table1[[#This Row],[ORTools FZN2 Cost]],Table1[[#This Row],[ORTools FZN2 State]]="Optimal",Table1[[#This Row],[Cplex MI State]]="Suboptimal"),1,"")</f>
        <v/>
      </c>
      <c r="AR84" s="5" t="s">
        <v>42</v>
      </c>
      <c r="AS84" s="2">
        <v>-56355</v>
      </c>
      <c r="AT84" s="2">
        <v>300.04162079999998</v>
      </c>
      <c r="AU84" s="2" t="str">
        <f>IF(AND(Table1[[#This Row],[Z3 SMT2-1 Maxres Cost]]=Table1[[#This Row],[ORTools FZN2 Cost]],Table1[[#This Row],[ORTools FZN2 State]]="Optimal"),1,"")</f>
        <v/>
      </c>
      <c r="AV84" s="39" t="s">
        <v>42</v>
      </c>
      <c r="AW84" s="39">
        <v>-56355</v>
      </c>
      <c r="AX84" s="2">
        <v>300.04608289999999</v>
      </c>
      <c r="AY84" s="2" t="str">
        <f>IF(AND(Table1[[#This Row],[Z3 SMT2-1 PdMaxres Cost]]=Table1[[#This Row],[ORTools FZN2 Cost]],Table1[[#This Row],[ORTools FZN2 State]]="Optimal"),1,"")</f>
        <v/>
      </c>
      <c r="AZ84" s="5" t="s">
        <v>42</v>
      </c>
      <c r="BA84" s="2">
        <v>-56355</v>
      </c>
      <c r="BB84" s="39">
        <v>300.2228945</v>
      </c>
      <c r="BC84" s="39" t="str">
        <f>IF(AND(Table1[[#This Row],[Z3 SMT2-1 WMax Cost]]=Table1[[#This Row],[ORTools FZN2 Cost]],Table1[[#This Row],[ORTools FZN2 State]]="Optimal"),1,"")</f>
        <v/>
      </c>
      <c r="BD84" s="39" t="s">
        <v>42</v>
      </c>
      <c r="BE84" s="39">
        <v>-56355</v>
      </c>
      <c r="BF84" s="2">
        <v>300.03658940000003</v>
      </c>
      <c r="BG84" s="2" t="str">
        <f>IF(AND(Table1[[#This Row],[Z3 SMT2-2 Maxres Cost]]=Table1[[#This Row],[ORTools FZN2 Cost]],Table1[[#This Row],[ORTools FZN2 State]]="Optimal"),1,"")</f>
        <v/>
      </c>
      <c r="BH84" s="5" t="s">
        <v>42</v>
      </c>
      <c r="BI84" s="2">
        <v>-56355</v>
      </c>
      <c r="BJ84" s="39">
        <v>300.04702570000001</v>
      </c>
      <c r="BK84" s="39" t="str">
        <f>IF(AND(Table1[[#This Row],[Z3 SMT2-2 PdMaxres Cost]]=Table1[[#This Row],[ORTools FZN2 Cost]],Table1[[#This Row],[ORTools FZN2 State]]="Optimal"),1,"")</f>
        <v/>
      </c>
      <c r="BL84" s="39" t="s">
        <v>42</v>
      </c>
      <c r="BM84" s="39">
        <v>-56355</v>
      </c>
      <c r="BN84" s="2">
        <v>300.05157509999998</v>
      </c>
      <c r="BO84" s="4" t="str">
        <f>IF(AND(Table1[[#This Row],[Z3 SMT2-2 PdMaxres Cost]]=Table1[[#This Row],[ORTools FZN2 Cost]],Table1[[#This Row],[ORTools FZN2 State]]="Optimal"),1,"")</f>
        <v/>
      </c>
      <c r="BP84" s="5" t="s">
        <v>25</v>
      </c>
      <c r="BQ84" s="2">
        <v>113438</v>
      </c>
      <c r="BR84" s="2">
        <v>261.05032490000002</v>
      </c>
      <c r="BS84" s="2" t="str">
        <f>IF(AND(Table1[[#This Row],[Gurobi MB Cost]]=Table1[[#This Row],[ORTools FZN2 Cost]],Table1[[#This Row],[ORTools FZN2 State]]="Optimal",Table1[[#This Row],[Gurobi MB State]]="Suboptimal"),1,"")</f>
        <v/>
      </c>
      <c r="BT8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4" s="5" t="s">
        <v>26</v>
      </c>
      <c r="BV84" s="2">
        <v>168462</v>
      </c>
      <c r="BW84" s="2">
        <v>300.07611800000001</v>
      </c>
      <c r="BX84" s="2" t="str">
        <f>IF(AND(Table1[[#This Row],[Gurobi MD Cost]]=Table1[[#This Row],[ORTools FZN2 Cost]],Table1[[#This Row],[ORTools FZN2 State]]="Optimal",Table1[[#This Row],[Gurobi MD State]]="Suboptimal"),1,"")</f>
        <v/>
      </c>
      <c r="BY8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4" s="5" t="s">
        <v>26</v>
      </c>
      <c r="CA84" s="2">
        <v>113439</v>
      </c>
      <c r="CB84" s="2">
        <v>300.03853320000002</v>
      </c>
      <c r="CC84" s="2" t="str">
        <f>IF(AND(Table1[[#This Row],[Gurobi MI Cost]]=Table1[[#This Row],[ORTools FZN2 Cost]],Table1[[#This Row],[ORTools FZN2 State]]="Optimal",Table1[[#This Row],[Gurobi MI State]]="Suboptimal"),1,"")</f>
        <v/>
      </c>
      <c r="CD8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4" s="39" t="s">
        <v>42</v>
      </c>
      <c r="CF84" s="2">
        <v>-56355</v>
      </c>
      <c r="CG84" s="39">
        <v>306.09487719999998</v>
      </c>
      <c r="CH84" s="39" t="s">
        <v>42</v>
      </c>
      <c r="CI84" s="39">
        <v>-56355</v>
      </c>
      <c r="CJ84" s="2">
        <v>306.02960519999999</v>
      </c>
      <c r="CK84" s="5" t="s">
        <v>26</v>
      </c>
      <c r="CL84" s="2">
        <v>113438</v>
      </c>
      <c r="CM84" s="2">
        <v>300.02</v>
      </c>
      <c r="CN84" s="5" t="s">
        <v>25</v>
      </c>
      <c r="CO84" s="2">
        <v>113438</v>
      </c>
      <c r="CP84" s="2">
        <v>54.528753100000003</v>
      </c>
      <c r="CQ84" s="5" t="s">
        <v>25</v>
      </c>
      <c r="CR84" s="2">
        <v>113438</v>
      </c>
      <c r="CS84" s="2">
        <v>12.298411700000001</v>
      </c>
      <c r="CT84" s="6" t="s">
        <v>25</v>
      </c>
      <c r="CU84" s="4">
        <v>113438</v>
      </c>
      <c r="CV84" s="4">
        <v>8.9933101999999998</v>
      </c>
      <c r="CW84" s="39" t="s">
        <v>26</v>
      </c>
      <c r="CX84" s="39">
        <v>169832</v>
      </c>
      <c r="CY84" s="2">
        <v>300.02050000000003</v>
      </c>
      <c r="CZ84" s="2" t="str">
        <f>IF(AND(Table1[[#This Row],[Cplex MZ1 Cost]]=Table1[[#This Row],[ORTools FZN2 Cost]],Table1[[#This Row],[ORTools FZN2 State]]="Optimal",Table1[[#This Row],[Cplex MZ1 State]]="Suboptimal"),1,"")</f>
        <v/>
      </c>
      <c r="DA84" s="5" t="s">
        <v>26</v>
      </c>
      <c r="DB84" s="2">
        <v>280868</v>
      </c>
      <c r="DC84" s="2">
        <v>300.0093</v>
      </c>
      <c r="DD84" s="2" t="str">
        <f>IF(AND(Table1[[#This Row],[Cplex MZ2 Cost]]=Table1[[#This Row],[ORTools FZN2 Cost]],Table1[[#This Row],[ORTools FZN2 State]]="Optimal",Table1[[#This Row],[Cplex MZ2 State]]="Suboptimal"),1,"")</f>
        <v/>
      </c>
      <c r="DE84" s="39" t="s">
        <v>26</v>
      </c>
      <c r="DF84" s="39">
        <v>337334</v>
      </c>
      <c r="DG84" s="2">
        <v>300.00529999999998</v>
      </c>
      <c r="DH84" s="2" t="str">
        <f>IF(AND(Table1[[#This Row],[Gurobi MZ1 Cost]]=Table1[[#This Row],[ORTools FZN2 Cost]],Table1[[#This Row],[ORTools FZN2 State]]="Optimal",Table1[[#This Row],[Gurobi MZ1 State]]="Suboptimal"),1,"")</f>
        <v/>
      </c>
      <c r="DI84" s="5" t="s">
        <v>26</v>
      </c>
      <c r="DJ84" s="2">
        <v>113512</v>
      </c>
      <c r="DK84" s="2">
        <v>300.00549999999998</v>
      </c>
      <c r="DL84" s="4" t="str">
        <f>IF(AND(Table1[[#This Row],[Gurobi MZ2 Cost]]=Table1[[#This Row],[ORTools FZN2 Cost]],Table1[[#This Row],[ORTools FZN2 State]]="Optimal",Table1[[#This Row],[Gurobi MZ2 State]]="Suboptimal"),1,"")</f>
        <v/>
      </c>
      <c r="DM84" s="39" t="s">
        <v>26</v>
      </c>
      <c r="DN84" s="12">
        <v>113438</v>
      </c>
      <c r="DO84" s="69">
        <v>300.05099999999902</v>
      </c>
      <c r="DP84" s="11">
        <f>IF(AND(Table1[[#This Row],[Cplex MC nonDual Cost]]=Table1[[#This Row],[ORTools FZN2 Cost]],Table1[[#This Row],[ORTools FZN2 State]]="Optimal",Table1[[#This Row],[Cplex MC nonDual State]]="Suboptimal"),1,"")</f>
        <v>1</v>
      </c>
      <c r="DQ84" s="5" t="s">
        <v>26</v>
      </c>
      <c r="DR84" s="2">
        <v>335740</v>
      </c>
      <c r="DS84" s="2">
        <v>300.01620000000003</v>
      </c>
      <c r="DT84" s="2" t="str">
        <f>IF(AND(Table1[[#This Row],[Cplex MIP DM''z Cost]]=Table1[[#This Row],[ORTools FZN2 Cost]],Table1[[#This Row],[ORTools FZN2 State]]="Optimal",Table1[[#This Row],[Cplex MIP DM''z  State]]="Suboptimal"),1,"")</f>
        <v/>
      </c>
      <c r="DU8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4" s="5" t="s">
        <v>26</v>
      </c>
      <c r="DW84" s="2">
        <v>562373</v>
      </c>
      <c r="DX84" s="2">
        <v>300.00900000000001</v>
      </c>
      <c r="DY84" s="4" t="str">
        <f>IF(AND(Table1[[#This Row],[Gurobi DM''z  Cost]]=Table1[[#This Row],[ORTools FZN2 Cost]],Table1[[#This Row],[ORTools FZN2 State]]="Optimal",Table1[[#This Row],[Gurobi DM''z  State]]="Suboptimal"),1,"")</f>
        <v/>
      </c>
      <c r="DZ8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5" spans="1:130" ht="15.75" x14ac:dyDescent="0.25">
      <c r="A85" s="47" t="s">
        <v>111</v>
      </c>
      <c r="B85" s="5">
        <v>70</v>
      </c>
      <c r="C85" s="2">
        <v>35</v>
      </c>
      <c r="D85" s="5">
        <v>540</v>
      </c>
      <c r="E85" s="2">
        <v>46</v>
      </c>
      <c r="F85" s="5">
        <v>80</v>
      </c>
      <c r="G85" s="2">
        <v>2</v>
      </c>
      <c r="H85" s="4">
        <f t="shared" si="1"/>
        <v>0</v>
      </c>
      <c r="I85" s="4">
        <f>Table1[[#This Row],[B]]+Table1[[#This Row],[Atomic Constraints]]+Table1[[#This Row],[Soft Atomic Constraints]]+Table1[[#This Row],[Disjunctive Constraints]]+Table1[[#This Row],[Direct Successors]]</f>
        <v>703</v>
      </c>
      <c r="J85" s="5" t="s">
        <v>26</v>
      </c>
      <c r="K85" s="2">
        <v>8637036</v>
      </c>
      <c r="L85" s="2">
        <v>303.4659522</v>
      </c>
      <c r="M85" s="2" t="str">
        <f>IF(AND(Table1[[#This Row],[Chuffed MZ1 Cost]]=Table1[[#This Row],[ORTools FZN2 Cost]],Table1[[#This Row],[ORTools FZN2 State]]="Optimal",Table1[[#This Row],[Chuffed MZ1 State]]="Suboptimal"),1,"")</f>
        <v/>
      </c>
      <c r="N85" s="5" t="s">
        <v>26</v>
      </c>
      <c r="O85" s="2">
        <v>8293836</v>
      </c>
      <c r="P85" s="2">
        <v>303.50253800000002</v>
      </c>
      <c r="Q85" s="2" t="str">
        <f>IF(AND(Table1[[#This Row],[Chuffed MZ2 Cost]]=Table1[[#This Row],[ORTools FZN2 Cost]],Table1[[#This Row],[ORTools FZN2 State]]="Optimal",Table1[[#This Row],[Chuffed MZ2 State]]="Suboptimal"),1,"")</f>
        <v/>
      </c>
      <c r="R85" s="6" t="s">
        <v>25</v>
      </c>
      <c r="S85" s="4">
        <v>0</v>
      </c>
      <c r="T85" s="4">
        <v>1.88000000000102</v>
      </c>
      <c r="U85" s="4"/>
      <c r="V85" s="5" t="s">
        <v>25</v>
      </c>
      <c r="W85" s="2">
        <v>0</v>
      </c>
      <c r="X85" s="2">
        <v>80.029779300000001</v>
      </c>
      <c r="Y85" s="2" t="str">
        <f>IF(AND(Table1[[#This Row],[ORTools FZN1 Cost]]=Table1[[#This Row],[ORTools FZN2 Cost]],Table1[[#This Row],[ORTools FZN2 State]]="Optimal",Table1[[#This Row],[ORTools FZN1 State]]="Suboptimal"),1,"")</f>
        <v/>
      </c>
      <c r="Z85" s="5" t="s">
        <v>25</v>
      </c>
      <c r="AA85" s="2">
        <v>0</v>
      </c>
      <c r="AB85" s="2">
        <v>59.1722915</v>
      </c>
      <c r="AC85" s="39" t="s">
        <v>42</v>
      </c>
      <c r="AD85" s="39">
        <v>-347971</v>
      </c>
      <c r="AE85" s="2">
        <v>300.17230060000003</v>
      </c>
      <c r="AF85" s="2" t="str">
        <f>IF(AND(Table1[[#This Row],[Cplex MB Cost]]=Table1[[#This Row],[ORTools FZN2 Cost]],Table1[[#This Row],[ORTools FZN2 State]]="Optimal",Table1[[#This Row],[Cplex MB State]]="Suboptimal"),1,"")</f>
        <v/>
      </c>
      <c r="AG85" s="4">
        <f>IF(AND(AC85="Optimal",AD85&lt;&gt;AA85,Table1[[#This Row],[Example]]&lt;&gt;"R001",Table1[[#This Row],[Example]]&lt;&gt;"R002"),AD85-AA85,)</f>
        <v>0</v>
      </c>
      <c r="AH85" s="5" t="s">
        <v>42</v>
      </c>
      <c r="AI85" s="2">
        <v>-347971</v>
      </c>
      <c r="AJ85" s="2">
        <v>300.5126712</v>
      </c>
      <c r="AK85" s="2" t="str">
        <f>IF(AND(Table1[[#This Row],[Cplex MD Cost]]=Table1[[#This Row],[ORTools FZN2 Cost]],Table1[[#This Row],[ORTools FZN2 State]]="Optimal",Table1[[#This Row],[Cplex MD State]]="Suboptimal"),1,"")</f>
        <v/>
      </c>
      <c r="AL85" s="2">
        <f>IF(AND(AH85="Optimal",AI85&lt;&gt;AA85,Table1[[#This Row],[Example]]&lt;&gt;"R001",Table1[[#This Row],[Example]]&lt;&gt;"R002"),AI85-AA85,)</f>
        <v>0</v>
      </c>
      <c r="AM85" s="39" t="s">
        <v>42</v>
      </c>
      <c r="AN85" s="39">
        <v>-347971</v>
      </c>
      <c r="AO85" s="2">
        <v>300.1228524</v>
      </c>
      <c r="AP8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5" s="4" t="str">
        <f>IF(AND(Table1[[#This Row],[Cplex MI Cost]]=Table1[[#This Row],[ORTools FZN2 Cost]],Table1[[#This Row],[ORTools FZN2 State]]="Optimal",Table1[[#This Row],[Cplex MI State]]="Suboptimal"),1,"")</f>
        <v/>
      </c>
      <c r="AR85" s="5" t="s">
        <v>42</v>
      </c>
      <c r="AS85" s="2">
        <v>-347971</v>
      </c>
      <c r="AT85" s="2">
        <v>300.1378522</v>
      </c>
      <c r="AU85" s="2" t="str">
        <f>IF(AND(Table1[[#This Row],[Z3 SMT2-1 Maxres Cost]]=Table1[[#This Row],[ORTools FZN2 Cost]],Table1[[#This Row],[ORTools FZN2 State]]="Optimal"),1,"")</f>
        <v/>
      </c>
      <c r="AV85" s="39" t="s">
        <v>42</v>
      </c>
      <c r="AW85" s="39">
        <v>-347971</v>
      </c>
      <c r="AX85" s="2">
        <v>300.07839610000002</v>
      </c>
      <c r="AY85" s="2" t="str">
        <f>IF(AND(Table1[[#This Row],[Z3 SMT2-1 PdMaxres Cost]]=Table1[[#This Row],[ORTools FZN2 Cost]],Table1[[#This Row],[ORTools FZN2 State]]="Optimal"),1,"")</f>
        <v/>
      </c>
      <c r="AZ85" s="5" t="s">
        <v>42</v>
      </c>
      <c r="BA85" s="2">
        <v>-347971</v>
      </c>
      <c r="BB85" s="39">
        <v>300.0804023</v>
      </c>
      <c r="BC85" s="39" t="str">
        <f>IF(AND(Table1[[#This Row],[Z3 SMT2-1 WMax Cost]]=Table1[[#This Row],[ORTools FZN2 Cost]],Table1[[#This Row],[ORTools FZN2 State]]="Optimal"),1,"")</f>
        <v/>
      </c>
      <c r="BD85" s="39" t="s">
        <v>42</v>
      </c>
      <c r="BE85" s="39">
        <v>-347971</v>
      </c>
      <c r="BF85" s="2">
        <v>300.06590160000002</v>
      </c>
      <c r="BG85" s="2" t="str">
        <f>IF(AND(Table1[[#This Row],[Z3 SMT2-2 Maxres Cost]]=Table1[[#This Row],[ORTools FZN2 Cost]],Table1[[#This Row],[ORTools FZN2 State]]="Optimal"),1,"")</f>
        <v/>
      </c>
      <c r="BH85" s="5" t="s">
        <v>42</v>
      </c>
      <c r="BI85" s="2">
        <v>-347971</v>
      </c>
      <c r="BJ85" s="39">
        <v>300.08322700000002</v>
      </c>
      <c r="BK85" s="39" t="str">
        <f>IF(AND(Table1[[#This Row],[Z3 SMT2-2 PdMaxres Cost]]=Table1[[#This Row],[ORTools FZN2 Cost]],Table1[[#This Row],[ORTools FZN2 State]]="Optimal"),1,"")</f>
        <v/>
      </c>
      <c r="BL85" s="39" t="s">
        <v>42</v>
      </c>
      <c r="BM85" s="39">
        <v>-347971</v>
      </c>
      <c r="BN85" s="2">
        <v>300.088033</v>
      </c>
      <c r="BO85" s="4" t="str">
        <f>IF(AND(Table1[[#This Row],[Z3 SMT2-2 PdMaxres Cost]]=Table1[[#This Row],[ORTools FZN2 Cost]],Table1[[#This Row],[ORTools FZN2 State]]="Optimal"),1,"")</f>
        <v/>
      </c>
      <c r="BP85" s="5" t="s">
        <v>42</v>
      </c>
      <c r="BQ85" s="2">
        <v>-347971</v>
      </c>
      <c r="BR85" s="2">
        <v>300.60943300000002</v>
      </c>
      <c r="BS85" s="2" t="str">
        <f>IF(AND(Table1[[#This Row],[Gurobi MB Cost]]=Table1[[#This Row],[ORTools FZN2 Cost]],Table1[[#This Row],[ORTools FZN2 State]]="Optimal",Table1[[#This Row],[Gurobi MB State]]="Suboptimal"),1,"")</f>
        <v/>
      </c>
      <c r="BT8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5" s="5" t="s">
        <v>42</v>
      </c>
      <c r="BV85" s="2">
        <v>-347971</v>
      </c>
      <c r="BW85" s="2">
        <v>300.0623372</v>
      </c>
      <c r="BX85" s="2" t="str">
        <f>IF(AND(Table1[[#This Row],[Gurobi MD Cost]]=Table1[[#This Row],[ORTools FZN2 Cost]],Table1[[#This Row],[ORTools FZN2 State]]="Optimal",Table1[[#This Row],[Gurobi MD State]]="Suboptimal"),1,"")</f>
        <v/>
      </c>
      <c r="BY8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5" s="5" t="s">
        <v>42</v>
      </c>
      <c r="CA85" s="2">
        <v>-347971</v>
      </c>
      <c r="CB85" s="2">
        <v>306.78762860000001</v>
      </c>
      <c r="CC85" s="2" t="str">
        <f>IF(AND(Table1[[#This Row],[Gurobi MI Cost]]=Table1[[#This Row],[ORTools FZN2 Cost]],Table1[[#This Row],[ORTools FZN2 State]]="Optimal",Table1[[#This Row],[Gurobi MI State]]="Suboptimal"),1,"")</f>
        <v/>
      </c>
      <c r="CD8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5" s="39" t="s">
        <v>42</v>
      </c>
      <c r="CF85" s="2">
        <v>-347971</v>
      </c>
      <c r="CG85" s="39">
        <v>306.20118869999999</v>
      </c>
      <c r="CH85" s="39" t="s">
        <v>42</v>
      </c>
      <c r="CI85" s="39">
        <v>-347971</v>
      </c>
      <c r="CJ85" s="2">
        <v>306.12466169999999</v>
      </c>
      <c r="CK85" s="5" t="s">
        <v>25</v>
      </c>
      <c r="CL85" s="2">
        <v>0</v>
      </c>
      <c r="CM85" s="2">
        <v>1.1760000000013</v>
      </c>
      <c r="CN85" s="5" t="s">
        <v>26</v>
      </c>
      <c r="CO85" s="2">
        <v>8318200</v>
      </c>
      <c r="CP85" s="2">
        <v>303.25010859999998</v>
      </c>
      <c r="CQ85" s="5" t="s">
        <v>25</v>
      </c>
      <c r="CR85" s="2">
        <v>0</v>
      </c>
      <c r="CS85" s="2">
        <v>153.8479585</v>
      </c>
      <c r="CT85" s="6" t="s">
        <v>25</v>
      </c>
      <c r="CU85" s="4">
        <v>0</v>
      </c>
      <c r="CV85" s="4">
        <v>41.467155499999997</v>
      </c>
      <c r="CW85" s="39" t="s">
        <v>42</v>
      </c>
      <c r="CX85" s="39"/>
      <c r="CY85" s="2">
        <v>300.04379999999998</v>
      </c>
      <c r="CZ85" s="2" t="str">
        <f>IF(AND(Table1[[#This Row],[Cplex MZ1 Cost]]=Table1[[#This Row],[ORTools FZN2 Cost]],Table1[[#This Row],[ORTools FZN2 State]]="Optimal",Table1[[#This Row],[Cplex MZ1 State]]="Suboptimal"),1,"")</f>
        <v/>
      </c>
      <c r="DA85" s="5" t="s">
        <v>42</v>
      </c>
      <c r="DB85" s="2"/>
      <c r="DC85" s="2">
        <v>300.00839999999999</v>
      </c>
      <c r="DD85" s="2" t="str">
        <f>IF(AND(Table1[[#This Row],[Cplex MZ2 Cost]]=Table1[[#This Row],[ORTools FZN2 Cost]],Table1[[#This Row],[ORTools FZN2 State]]="Optimal",Table1[[#This Row],[Cplex MZ2 State]]="Suboptimal"),1,"")</f>
        <v/>
      </c>
      <c r="DE85" s="39" t="s">
        <v>42</v>
      </c>
      <c r="DF85" s="39"/>
      <c r="DG85" s="2">
        <v>300.01260000000002</v>
      </c>
      <c r="DH85" s="2" t="str">
        <f>IF(AND(Table1[[#This Row],[Gurobi MZ1 Cost]]=Table1[[#This Row],[ORTools FZN2 Cost]],Table1[[#This Row],[ORTools FZN2 State]]="Optimal",Table1[[#This Row],[Gurobi MZ1 State]]="Suboptimal"),1,"")</f>
        <v/>
      </c>
      <c r="DI85" s="5" t="s">
        <v>42</v>
      </c>
      <c r="DJ85" s="2"/>
      <c r="DK85" s="2">
        <v>300.01440000000002</v>
      </c>
      <c r="DL85" s="4" t="str">
        <f>IF(AND(Table1[[#This Row],[Gurobi MZ2 Cost]]=Table1[[#This Row],[ORTools FZN2 Cost]],Table1[[#This Row],[ORTools FZN2 State]]="Optimal",Table1[[#This Row],[Gurobi MZ2 State]]="Suboptimal"),1,"")</f>
        <v/>
      </c>
      <c r="DM85" s="39" t="s">
        <v>25</v>
      </c>
      <c r="DN85" s="39">
        <v>0</v>
      </c>
      <c r="DO85" s="65">
        <v>10.1959999999999</v>
      </c>
      <c r="DP85" s="4" t="str">
        <f>IF(AND(Table1[[#This Row],[Cplex MC nonDual Cost]]=Table1[[#This Row],[ORTools FZN2 Cost]],Table1[[#This Row],[ORTools FZN2 State]]="Optimal",Table1[[#This Row],[Cplex MC nonDual State]]="Suboptimal"),1,"")</f>
        <v/>
      </c>
      <c r="DQ85" s="5" t="s">
        <v>26</v>
      </c>
      <c r="DR85" s="2">
        <v>7244024</v>
      </c>
      <c r="DS85" s="2">
        <v>300.03519999999997</v>
      </c>
      <c r="DT85" s="2" t="str">
        <f>IF(AND(Table1[[#This Row],[Cplex MIP DM''z Cost]]=Table1[[#This Row],[ORTools FZN2 Cost]],Table1[[#This Row],[ORTools FZN2 State]]="Optimal",Table1[[#This Row],[Cplex MIP DM''z  State]]="Suboptimal"),1,"")</f>
        <v/>
      </c>
      <c r="DU8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5" s="5" t="s">
        <v>42</v>
      </c>
      <c r="DW85" s="2"/>
      <c r="DX85" s="2">
        <v>300.17219999999998</v>
      </c>
      <c r="DY85" s="4" t="str">
        <f>IF(AND(Table1[[#This Row],[Gurobi DM''z  Cost]]=Table1[[#This Row],[ORTools FZN2 Cost]],Table1[[#This Row],[ORTools FZN2 State]]="Optimal",Table1[[#This Row],[Gurobi DM''z  State]]="Suboptimal"),1,"")</f>
        <v/>
      </c>
      <c r="DZ8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6" spans="1:130" ht="15.75" x14ac:dyDescent="0.25">
      <c r="A86" s="46" t="s">
        <v>112</v>
      </c>
      <c r="B86" s="5">
        <v>44</v>
      </c>
      <c r="C86" s="2">
        <v>22</v>
      </c>
      <c r="D86" s="5">
        <v>195</v>
      </c>
      <c r="E86" s="2">
        <v>30</v>
      </c>
      <c r="F86" s="5">
        <v>25</v>
      </c>
      <c r="G86" s="2">
        <v>3</v>
      </c>
      <c r="H86" s="4">
        <f t="shared" si="1"/>
        <v>0</v>
      </c>
      <c r="I86" s="4">
        <f>Table1[[#This Row],[B]]+Table1[[#This Row],[Atomic Constraints]]+Table1[[#This Row],[Soft Atomic Constraints]]+Table1[[#This Row],[Disjunctive Constraints]]+Table1[[#This Row],[Direct Successors]]</f>
        <v>275</v>
      </c>
      <c r="J86" s="5" t="s">
        <v>26</v>
      </c>
      <c r="K86" s="2">
        <v>257581</v>
      </c>
      <c r="L86" s="2">
        <v>301.70339840000003</v>
      </c>
      <c r="M86" s="2" t="str">
        <f>IF(AND(Table1[[#This Row],[Chuffed MZ1 Cost]]=Table1[[#This Row],[ORTools FZN2 Cost]],Table1[[#This Row],[ORTools FZN2 State]]="Optimal",Table1[[#This Row],[Chuffed MZ1 State]]="Suboptimal"),1,"")</f>
        <v/>
      </c>
      <c r="N86" s="5" t="s">
        <v>26</v>
      </c>
      <c r="O86" s="2">
        <v>259872</v>
      </c>
      <c r="P86" s="2">
        <v>301.69077220000003</v>
      </c>
      <c r="Q86" s="2" t="str">
        <f>IF(AND(Table1[[#This Row],[Chuffed MZ2 Cost]]=Table1[[#This Row],[ORTools FZN2 Cost]],Table1[[#This Row],[ORTools FZN2 State]]="Optimal",Table1[[#This Row],[Chuffed MZ2 State]]="Suboptimal"),1,"")</f>
        <v/>
      </c>
      <c r="R86" s="5" t="s">
        <v>25</v>
      </c>
      <c r="S86" s="2">
        <v>172398</v>
      </c>
      <c r="T86" s="2">
        <v>185.120000000001</v>
      </c>
      <c r="U86" s="2"/>
      <c r="V86" s="5" t="s">
        <v>25</v>
      </c>
      <c r="W86" s="2">
        <v>172398</v>
      </c>
      <c r="X86" s="2">
        <v>18.419246600000001</v>
      </c>
      <c r="Y86" s="2" t="str">
        <f>IF(AND(Table1[[#This Row],[ORTools FZN1 Cost]]=Table1[[#This Row],[ORTools FZN2 Cost]],Table1[[#This Row],[ORTools FZN2 State]]="Optimal",Table1[[#This Row],[ORTools FZN1 State]]="Suboptimal"),1,"")</f>
        <v/>
      </c>
      <c r="Z86" s="5" t="s">
        <v>25</v>
      </c>
      <c r="AA86" s="2">
        <v>172398</v>
      </c>
      <c r="AB86" s="2">
        <v>14.524476699999999</v>
      </c>
      <c r="AC86" s="12" t="s">
        <v>26</v>
      </c>
      <c r="AD86" s="12">
        <v>172398</v>
      </c>
      <c r="AE86" s="12">
        <v>300.1098283</v>
      </c>
      <c r="AF86" s="2">
        <f>IF(AND(Table1[[#This Row],[Cplex MB Cost]]=Table1[[#This Row],[ORTools FZN2 Cost]],Table1[[#This Row],[ORTools FZN2 State]]="Optimal",Table1[[#This Row],[Cplex MB State]]="Suboptimal"),1,"")</f>
        <v>1</v>
      </c>
      <c r="AG86" s="4">
        <f>IF(AND(AC86="Optimal",AD86&lt;&gt;AA86,Table1[[#This Row],[Example]]&lt;&gt;"R001",Table1[[#This Row],[Example]]&lt;&gt;"R002"),AD86-AA86,)</f>
        <v>0</v>
      </c>
      <c r="AH86" s="5" t="s">
        <v>42</v>
      </c>
      <c r="AI86" s="2">
        <v>-87165</v>
      </c>
      <c r="AJ86" s="2">
        <v>300.5775903</v>
      </c>
      <c r="AK86" s="2" t="str">
        <f>IF(AND(Table1[[#This Row],[Cplex MD Cost]]=Table1[[#This Row],[ORTools FZN2 Cost]],Table1[[#This Row],[ORTools FZN2 State]]="Optimal",Table1[[#This Row],[Cplex MD State]]="Suboptimal"),1,"")</f>
        <v/>
      </c>
      <c r="AL86" s="4">
        <f>IF(AND(AH86="Optimal",AI86&lt;&gt;AA86,Table1[[#This Row],[Example]]&lt;&gt;"R001",Table1[[#This Row],[Example]]&lt;&gt;"R002"),AI86-AA86,)</f>
        <v>0</v>
      </c>
      <c r="AM86" s="39" t="s">
        <v>26</v>
      </c>
      <c r="AN86" s="39">
        <v>428257</v>
      </c>
      <c r="AO86" s="2">
        <v>300.08162709999999</v>
      </c>
      <c r="AP8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6" s="4" t="str">
        <f>IF(AND(Table1[[#This Row],[Cplex MI Cost]]=Table1[[#This Row],[ORTools FZN2 Cost]],Table1[[#This Row],[ORTools FZN2 State]]="Optimal",Table1[[#This Row],[Cplex MI State]]="Suboptimal"),1,"")</f>
        <v/>
      </c>
      <c r="AR86" s="5" t="s">
        <v>42</v>
      </c>
      <c r="AS86" s="2">
        <v>-87165</v>
      </c>
      <c r="AT86" s="2">
        <v>300.05146789999998</v>
      </c>
      <c r="AU86" s="2" t="str">
        <f>IF(AND(Table1[[#This Row],[Z3 SMT2-1 Maxres Cost]]=Table1[[#This Row],[ORTools FZN2 Cost]],Table1[[#This Row],[ORTools FZN2 State]]="Optimal"),1,"")</f>
        <v/>
      </c>
      <c r="AV86" s="39" t="s">
        <v>42</v>
      </c>
      <c r="AW86" s="39">
        <v>-87165</v>
      </c>
      <c r="AX86" s="2">
        <v>300.04172130000001</v>
      </c>
      <c r="AY86" s="2" t="str">
        <f>IF(AND(Table1[[#This Row],[Z3 SMT2-1 PdMaxres Cost]]=Table1[[#This Row],[ORTools FZN2 Cost]],Table1[[#This Row],[ORTools FZN2 State]]="Optimal"),1,"")</f>
        <v/>
      </c>
      <c r="AZ86" s="5" t="s">
        <v>42</v>
      </c>
      <c r="BA86" s="2">
        <v>-87165</v>
      </c>
      <c r="BB86" s="39">
        <v>300.04693759999998</v>
      </c>
      <c r="BC86" s="39" t="str">
        <f>IF(AND(Table1[[#This Row],[Z3 SMT2-1 WMax Cost]]=Table1[[#This Row],[ORTools FZN2 Cost]],Table1[[#This Row],[ORTools FZN2 State]]="Optimal"),1,"")</f>
        <v/>
      </c>
      <c r="BD86" s="39" t="s">
        <v>42</v>
      </c>
      <c r="BE86" s="39">
        <v>-87165</v>
      </c>
      <c r="BF86" s="2">
        <v>300.04755949999998</v>
      </c>
      <c r="BG86" s="2" t="str">
        <f>IF(AND(Table1[[#This Row],[Z3 SMT2-2 Maxres Cost]]=Table1[[#This Row],[ORTools FZN2 Cost]],Table1[[#This Row],[ORTools FZN2 State]]="Optimal"),1,"")</f>
        <v/>
      </c>
      <c r="BH86" s="5" t="s">
        <v>42</v>
      </c>
      <c r="BI86" s="2">
        <v>-87165</v>
      </c>
      <c r="BJ86" s="39">
        <v>300.04723239999998</v>
      </c>
      <c r="BK86" s="39" t="str">
        <f>IF(AND(Table1[[#This Row],[Z3 SMT2-2 PdMaxres Cost]]=Table1[[#This Row],[ORTools FZN2 Cost]],Table1[[#This Row],[ORTools FZN2 State]]="Optimal"),1,"")</f>
        <v/>
      </c>
      <c r="BL86" s="39" t="s">
        <v>42</v>
      </c>
      <c r="BM86" s="39">
        <v>-87165</v>
      </c>
      <c r="BN86" s="2">
        <v>300.05473979999999</v>
      </c>
      <c r="BO86" s="4" t="str">
        <f>IF(AND(Table1[[#This Row],[Z3 SMT2-2 PdMaxres Cost]]=Table1[[#This Row],[ORTools FZN2 Cost]],Table1[[#This Row],[ORTools FZN2 State]]="Optimal"),1,"")</f>
        <v/>
      </c>
      <c r="BP86" s="5" t="s">
        <v>26</v>
      </c>
      <c r="BQ86" s="2">
        <v>172402</v>
      </c>
      <c r="BR86" s="2">
        <v>300.11600470000002</v>
      </c>
      <c r="BS86" s="2" t="str">
        <f>IF(AND(Table1[[#This Row],[Gurobi MB Cost]]=Table1[[#This Row],[ORTools FZN2 Cost]],Table1[[#This Row],[ORTools FZN2 State]]="Optimal",Table1[[#This Row],[Gurobi MB State]]="Suboptimal"),1,"")</f>
        <v/>
      </c>
      <c r="BT8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6" s="5" t="s">
        <v>26</v>
      </c>
      <c r="BV86" s="2">
        <v>1032738</v>
      </c>
      <c r="BW86" s="2">
        <v>300.17097239999998</v>
      </c>
      <c r="BX86" s="2" t="str">
        <f>IF(AND(Table1[[#This Row],[Gurobi MD Cost]]=Table1[[#This Row],[ORTools FZN2 Cost]],Table1[[#This Row],[ORTools FZN2 State]]="Optimal",Table1[[#This Row],[Gurobi MD State]]="Suboptimal"),1,"")</f>
        <v/>
      </c>
      <c r="BY8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6" s="5" t="s">
        <v>25</v>
      </c>
      <c r="CA86" s="2">
        <v>172398</v>
      </c>
      <c r="CB86" s="2">
        <v>173.09080779999999</v>
      </c>
      <c r="CC86" s="2" t="str">
        <f>IF(AND(Table1[[#This Row],[Gurobi MI Cost]]=Table1[[#This Row],[ORTools FZN2 Cost]],Table1[[#This Row],[ORTools FZN2 State]]="Optimal",Table1[[#This Row],[Gurobi MI State]]="Suboptimal"),1,"")</f>
        <v/>
      </c>
      <c r="CD8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6" s="39" t="s">
        <v>42</v>
      </c>
      <c r="CF86" s="2">
        <v>-87165</v>
      </c>
      <c r="CG86" s="39">
        <v>306.12160239999997</v>
      </c>
      <c r="CH86" s="39" t="s">
        <v>42</v>
      </c>
      <c r="CI86" s="39">
        <v>-87165</v>
      </c>
      <c r="CJ86" s="2">
        <v>306.08469480000002</v>
      </c>
      <c r="CK86" s="5" t="s">
        <v>25</v>
      </c>
      <c r="CL86" s="2">
        <v>172398</v>
      </c>
      <c r="CM86" s="2">
        <v>109.290000000001</v>
      </c>
      <c r="CN86" s="5" t="s">
        <v>26</v>
      </c>
      <c r="CO86" s="2">
        <v>777581</v>
      </c>
      <c r="CP86" s="2">
        <v>301.69202469999999</v>
      </c>
      <c r="CQ86" s="5" t="s">
        <v>25</v>
      </c>
      <c r="CR86" s="2">
        <v>172398</v>
      </c>
      <c r="CS86" s="2">
        <v>32.990980499999999</v>
      </c>
      <c r="CT86" s="6" t="s">
        <v>25</v>
      </c>
      <c r="CU86" s="4">
        <v>172398</v>
      </c>
      <c r="CV86" s="4">
        <v>22.126760699999998</v>
      </c>
      <c r="CW86" s="39" t="s">
        <v>26</v>
      </c>
      <c r="CX86" s="39">
        <v>257849</v>
      </c>
      <c r="CY86" s="2">
        <v>300.01979999999998</v>
      </c>
      <c r="CZ86" s="2" t="str">
        <f>IF(AND(Table1[[#This Row],[Cplex MZ1 Cost]]=Table1[[#This Row],[ORTools FZN2 Cost]],Table1[[#This Row],[ORTools FZN2 State]]="Optimal",Table1[[#This Row],[Cplex MZ1 State]]="Suboptimal"),1,"")</f>
        <v/>
      </c>
      <c r="DA86" s="5" t="s">
        <v>26</v>
      </c>
      <c r="DB86" s="2">
        <v>687727</v>
      </c>
      <c r="DC86" s="2">
        <v>300.02679999999998</v>
      </c>
      <c r="DD86" s="2" t="str">
        <f>IF(AND(Table1[[#This Row],[Cplex MZ2 Cost]]=Table1[[#This Row],[ORTools FZN2 Cost]],Table1[[#This Row],[ORTools FZN2 State]]="Optimal",Table1[[#This Row],[Cplex MZ2 State]]="Suboptimal"),1,"")</f>
        <v/>
      </c>
      <c r="DE86" s="39" t="s">
        <v>26</v>
      </c>
      <c r="DF86" s="39">
        <v>430200</v>
      </c>
      <c r="DG86" s="2">
        <v>300.00810000000001</v>
      </c>
      <c r="DH86" s="2" t="str">
        <f>IF(AND(Table1[[#This Row],[Gurobi MZ1 Cost]]=Table1[[#This Row],[ORTools FZN2 Cost]],Table1[[#This Row],[ORTools FZN2 State]]="Optimal",Table1[[#This Row],[Gurobi MZ1 State]]="Suboptimal"),1,"")</f>
        <v/>
      </c>
      <c r="DI86" s="5" t="s">
        <v>26</v>
      </c>
      <c r="DJ86" s="2">
        <v>945267</v>
      </c>
      <c r="DK86" s="2">
        <v>300.00580000000002</v>
      </c>
      <c r="DL86" s="4" t="str">
        <f>IF(AND(Table1[[#This Row],[Gurobi MZ2 Cost]]=Table1[[#This Row],[ORTools FZN2 Cost]],Table1[[#This Row],[ORTools FZN2 State]]="Optimal",Table1[[#This Row],[Gurobi MZ2 State]]="Suboptimal"),1,"")</f>
        <v/>
      </c>
      <c r="DM86" s="39" t="s">
        <v>26</v>
      </c>
      <c r="DN86" s="12">
        <v>172398</v>
      </c>
      <c r="DO86" s="69">
        <v>300.05299999999897</v>
      </c>
      <c r="DP86" s="11">
        <f>IF(AND(Table1[[#This Row],[Cplex MC nonDual Cost]]=Table1[[#This Row],[ORTools FZN2 Cost]],Table1[[#This Row],[ORTools FZN2 State]]="Optimal",Table1[[#This Row],[Cplex MC nonDual State]]="Suboptimal"),1,"")</f>
        <v>1</v>
      </c>
      <c r="DQ86" s="5" t="s">
        <v>26</v>
      </c>
      <c r="DR86" s="2">
        <v>687686</v>
      </c>
      <c r="DS86" s="2">
        <v>300.02050000000003</v>
      </c>
      <c r="DT86" s="2" t="str">
        <f>IF(AND(Table1[[#This Row],[Cplex MIP DM''z Cost]]=Table1[[#This Row],[ORTools FZN2 Cost]],Table1[[#This Row],[ORTools FZN2 State]]="Optimal",Table1[[#This Row],[Cplex MIP DM''z  State]]="Suboptimal"),1,"")</f>
        <v/>
      </c>
      <c r="DU8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6" s="5" t="s">
        <v>26</v>
      </c>
      <c r="DW86" s="2">
        <v>344879</v>
      </c>
      <c r="DX86" s="2">
        <v>299.99380000000002</v>
      </c>
      <c r="DY86" s="4" t="str">
        <f>IF(AND(Table1[[#This Row],[Gurobi DM''z  Cost]]=Table1[[#This Row],[ORTools FZN2 Cost]],Table1[[#This Row],[ORTools FZN2 State]]="Optimal",Table1[[#This Row],[Gurobi DM''z  State]]="Suboptimal"),1,"")</f>
        <v/>
      </c>
      <c r="DZ8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7" spans="1:130" ht="15.75" x14ac:dyDescent="0.25">
      <c r="A87" s="47" t="s">
        <v>113</v>
      </c>
      <c r="B87" s="5">
        <v>70</v>
      </c>
      <c r="C87" s="2">
        <v>35</v>
      </c>
      <c r="D87" s="5">
        <v>540</v>
      </c>
      <c r="E87" s="2">
        <v>46</v>
      </c>
      <c r="F87" s="5">
        <v>80</v>
      </c>
      <c r="G87" s="2">
        <v>2</v>
      </c>
      <c r="H87" s="4">
        <f t="shared" si="1"/>
        <v>0</v>
      </c>
      <c r="I87" s="4">
        <f>Table1[[#This Row],[B]]+Table1[[#This Row],[Atomic Constraints]]+Table1[[#This Row],[Soft Atomic Constraints]]+Table1[[#This Row],[Disjunctive Constraints]]+Table1[[#This Row],[Direct Successors]]</f>
        <v>703</v>
      </c>
      <c r="J87" s="5" t="s">
        <v>26</v>
      </c>
      <c r="K87" s="2">
        <v>8323226</v>
      </c>
      <c r="L87" s="2">
        <v>303.49241339999998</v>
      </c>
      <c r="M87" s="2" t="str">
        <f>IF(AND(Table1[[#This Row],[Chuffed MZ1 Cost]]=Table1[[#This Row],[ORTools FZN2 Cost]],Table1[[#This Row],[ORTools FZN2 State]]="Optimal",Table1[[#This Row],[Chuffed MZ1 State]]="Suboptimal"),1,"")</f>
        <v/>
      </c>
      <c r="N87" s="5" t="s">
        <v>26</v>
      </c>
      <c r="O87" s="2">
        <v>8637319</v>
      </c>
      <c r="P87" s="2">
        <v>303.49251939999999</v>
      </c>
      <c r="Q87" s="2" t="str">
        <f>IF(AND(Table1[[#This Row],[Chuffed MZ2 Cost]]=Table1[[#This Row],[ORTools FZN2 Cost]],Table1[[#This Row],[ORTools FZN2 State]]="Optimal",Table1[[#This Row],[Chuffed MZ2 State]]="Suboptimal"),1,"")</f>
        <v/>
      </c>
      <c r="R87" s="6" t="s">
        <v>25</v>
      </c>
      <c r="S87" s="4">
        <v>0</v>
      </c>
      <c r="T87" s="4">
        <v>1.85000000000036</v>
      </c>
      <c r="U87" s="4"/>
      <c r="V87" s="5" t="s">
        <v>25</v>
      </c>
      <c r="W87" s="2">
        <v>0</v>
      </c>
      <c r="X87" s="2">
        <v>112.9421339</v>
      </c>
      <c r="Y87" s="2" t="str">
        <f>IF(AND(Table1[[#This Row],[ORTools FZN1 Cost]]=Table1[[#This Row],[ORTools FZN2 Cost]],Table1[[#This Row],[ORTools FZN2 State]]="Optimal",Table1[[#This Row],[ORTools FZN1 State]]="Suboptimal"),1,"")</f>
        <v/>
      </c>
      <c r="Z87" s="5" t="s">
        <v>25</v>
      </c>
      <c r="AA87" s="2">
        <v>0</v>
      </c>
      <c r="AB87" s="2">
        <v>102.72992240000001</v>
      </c>
      <c r="AC87" s="39" t="s">
        <v>42</v>
      </c>
      <c r="AD87" s="39">
        <v>-347971</v>
      </c>
      <c r="AE87" s="2">
        <v>300.18720230000002</v>
      </c>
      <c r="AF87" s="2" t="str">
        <f>IF(AND(Table1[[#This Row],[Cplex MB Cost]]=Table1[[#This Row],[ORTools FZN2 Cost]],Table1[[#This Row],[ORTools FZN2 State]]="Optimal",Table1[[#This Row],[Cplex MB State]]="Suboptimal"),1,"")</f>
        <v/>
      </c>
      <c r="AG87" s="4">
        <f>IF(AND(AC87="Optimal",AD87&lt;&gt;AA87,Table1[[#This Row],[Example]]&lt;&gt;"R001",Table1[[#This Row],[Example]]&lt;&gt;"R002"),AD87-AA87,)</f>
        <v>0</v>
      </c>
      <c r="AH87" s="5" t="s">
        <v>42</v>
      </c>
      <c r="AI87" s="2">
        <v>-347971</v>
      </c>
      <c r="AJ87" s="2">
        <v>300.36008149999998</v>
      </c>
      <c r="AK87" s="2" t="str">
        <f>IF(AND(Table1[[#This Row],[Cplex MD Cost]]=Table1[[#This Row],[ORTools FZN2 Cost]],Table1[[#This Row],[ORTools FZN2 State]]="Optimal",Table1[[#This Row],[Cplex MD State]]="Suboptimal"),1,"")</f>
        <v/>
      </c>
      <c r="AL87" s="2">
        <f>IF(AND(AH87="Optimal",AI87&lt;&gt;AA87,Table1[[#This Row],[Example]]&lt;&gt;"R001",Table1[[#This Row],[Example]]&lt;&gt;"R002"),AI87-AA87,)</f>
        <v>0</v>
      </c>
      <c r="AM87" s="39" t="s">
        <v>25</v>
      </c>
      <c r="AN87" s="39">
        <v>0</v>
      </c>
      <c r="AO87" s="2">
        <v>30.358845800000001</v>
      </c>
      <c r="AP8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7" s="4" t="str">
        <f>IF(AND(Table1[[#This Row],[Cplex MI Cost]]=Table1[[#This Row],[ORTools FZN2 Cost]],Table1[[#This Row],[ORTools FZN2 State]]="Optimal",Table1[[#This Row],[Cplex MI State]]="Suboptimal"),1,"")</f>
        <v/>
      </c>
      <c r="AR87" s="5" t="s">
        <v>42</v>
      </c>
      <c r="AS87" s="2">
        <v>-347971</v>
      </c>
      <c r="AT87" s="2">
        <v>300.07805630000001</v>
      </c>
      <c r="AU87" s="2" t="str">
        <f>IF(AND(Table1[[#This Row],[Z3 SMT2-1 Maxres Cost]]=Table1[[#This Row],[ORTools FZN2 Cost]],Table1[[#This Row],[ORTools FZN2 State]]="Optimal"),1,"")</f>
        <v/>
      </c>
      <c r="AV87" s="39" t="s">
        <v>42</v>
      </c>
      <c r="AW87" s="39">
        <v>-347971</v>
      </c>
      <c r="AX87" s="2">
        <v>300.07694029999999</v>
      </c>
      <c r="AY87" s="2" t="str">
        <f>IF(AND(Table1[[#This Row],[Z3 SMT2-1 PdMaxres Cost]]=Table1[[#This Row],[ORTools FZN2 Cost]],Table1[[#This Row],[ORTools FZN2 State]]="Optimal"),1,"")</f>
        <v/>
      </c>
      <c r="AZ87" s="5" t="s">
        <v>42</v>
      </c>
      <c r="BA87" s="2">
        <v>-347971</v>
      </c>
      <c r="BB87" s="39">
        <v>300.10128989999998</v>
      </c>
      <c r="BC87" s="39" t="str">
        <f>IF(AND(Table1[[#This Row],[Z3 SMT2-1 WMax Cost]]=Table1[[#This Row],[ORTools FZN2 Cost]],Table1[[#This Row],[ORTools FZN2 State]]="Optimal"),1,"")</f>
        <v/>
      </c>
      <c r="BD87" s="39" t="s">
        <v>42</v>
      </c>
      <c r="BE87" s="39">
        <v>-347971</v>
      </c>
      <c r="BF87" s="2">
        <v>300.08107109999997</v>
      </c>
      <c r="BG87" s="2" t="str">
        <f>IF(AND(Table1[[#This Row],[Z3 SMT2-2 Maxres Cost]]=Table1[[#This Row],[ORTools FZN2 Cost]],Table1[[#This Row],[ORTools FZN2 State]]="Optimal"),1,"")</f>
        <v/>
      </c>
      <c r="BH87" s="5" t="s">
        <v>42</v>
      </c>
      <c r="BI87" s="2">
        <v>-347971</v>
      </c>
      <c r="BJ87" s="39">
        <v>300.07255939999999</v>
      </c>
      <c r="BK87" s="39" t="str">
        <f>IF(AND(Table1[[#This Row],[Z3 SMT2-2 PdMaxres Cost]]=Table1[[#This Row],[ORTools FZN2 Cost]],Table1[[#This Row],[ORTools FZN2 State]]="Optimal"),1,"")</f>
        <v/>
      </c>
      <c r="BL87" s="39" t="s">
        <v>42</v>
      </c>
      <c r="BM87" s="39">
        <v>-347971</v>
      </c>
      <c r="BN87" s="2">
        <v>300.06441389999998</v>
      </c>
      <c r="BO87" s="4" t="str">
        <f>IF(AND(Table1[[#This Row],[Z3 SMT2-2 PdMaxres Cost]]=Table1[[#This Row],[ORTools FZN2 Cost]],Table1[[#This Row],[ORTools FZN2 State]]="Optimal"),1,"")</f>
        <v/>
      </c>
      <c r="BP87" s="5" t="s">
        <v>42</v>
      </c>
      <c r="BQ87" s="2">
        <v>-347971</v>
      </c>
      <c r="BR87" s="2">
        <v>316.76414149999999</v>
      </c>
      <c r="BS87" s="2" t="str">
        <f>IF(AND(Table1[[#This Row],[Gurobi MB Cost]]=Table1[[#This Row],[ORTools FZN2 Cost]],Table1[[#This Row],[ORTools FZN2 State]]="Optimal",Table1[[#This Row],[Gurobi MB State]]="Suboptimal"),1,"")</f>
        <v/>
      </c>
      <c r="BT8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7" s="5" t="s">
        <v>42</v>
      </c>
      <c r="BV87" s="2">
        <v>-347971</v>
      </c>
      <c r="BW87" s="2">
        <v>300.04424729999999</v>
      </c>
      <c r="BX87" s="2" t="str">
        <f>IF(AND(Table1[[#This Row],[Gurobi MD Cost]]=Table1[[#This Row],[ORTools FZN2 Cost]],Table1[[#This Row],[ORTools FZN2 State]]="Optimal",Table1[[#This Row],[Gurobi MD State]]="Suboptimal"),1,"")</f>
        <v/>
      </c>
      <c r="BY8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7" s="5" t="s">
        <v>42</v>
      </c>
      <c r="CA87" s="2">
        <v>-347971</v>
      </c>
      <c r="CB87" s="2">
        <v>306.56785050000002</v>
      </c>
      <c r="CC87" s="2" t="str">
        <f>IF(AND(Table1[[#This Row],[Gurobi MI Cost]]=Table1[[#This Row],[ORTools FZN2 Cost]],Table1[[#This Row],[ORTools FZN2 State]]="Optimal",Table1[[#This Row],[Gurobi MI State]]="Suboptimal"),1,"")</f>
        <v/>
      </c>
      <c r="CD8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7" s="39" t="s">
        <v>42</v>
      </c>
      <c r="CF87" s="2">
        <v>-347971</v>
      </c>
      <c r="CG87" s="39">
        <v>306.23315079999998</v>
      </c>
      <c r="CH87" s="39" t="s">
        <v>42</v>
      </c>
      <c r="CI87" s="39">
        <v>-347971</v>
      </c>
      <c r="CJ87" s="2">
        <v>306.17843740000001</v>
      </c>
      <c r="CK87" s="5" t="s">
        <v>25</v>
      </c>
      <c r="CL87" s="2">
        <v>0</v>
      </c>
      <c r="CM87" s="2">
        <v>1.1919999999991</v>
      </c>
      <c r="CN87" s="5" t="s">
        <v>26</v>
      </c>
      <c r="CO87" s="2">
        <v>11748618</v>
      </c>
      <c r="CP87" s="2">
        <v>303.28699289999997</v>
      </c>
      <c r="CQ87" s="5" t="s">
        <v>25</v>
      </c>
      <c r="CR87" s="2">
        <v>0</v>
      </c>
      <c r="CS87" s="2">
        <v>136.49273980000001</v>
      </c>
      <c r="CT87" s="6" t="s">
        <v>25</v>
      </c>
      <c r="CU87" s="4">
        <v>0</v>
      </c>
      <c r="CV87" s="4">
        <v>41.436858700000002</v>
      </c>
      <c r="CW87" s="39" t="s">
        <v>42</v>
      </c>
      <c r="CX87" s="39"/>
      <c r="CY87" s="2">
        <v>300.0274</v>
      </c>
      <c r="CZ87" s="2" t="str">
        <f>IF(AND(Table1[[#This Row],[Cplex MZ1 Cost]]=Table1[[#This Row],[ORTools FZN2 Cost]],Table1[[#This Row],[ORTools FZN2 State]]="Optimal",Table1[[#This Row],[Cplex MZ1 State]]="Suboptimal"),1,"")</f>
        <v/>
      </c>
      <c r="DA87" s="5" t="s">
        <v>26</v>
      </c>
      <c r="DB87" s="2">
        <v>5871752</v>
      </c>
      <c r="DC87" s="2">
        <v>300.02679999999998</v>
      </c>
      <c r="DD87" s="2" t="str">
        <f>IF(AND(Table1[[#This Row],[Cplex MZ2 Cost]]=Table1[[#This Row],[ORTools FZN2 Cost]],Table1[[#This Row],[ORTools FZN2 State]]="Optimal",Table1[[#This Row],[Cplex MZ2 State]]="Suboptimal"),1,"")</f>
        <v/>
      </c>
      <c r="DE87" s="39" t="s">
        <v>42</v>
      </c>
      <c r="DF87" s="39"/>
      <c r="DG87" s="2">
        <v>300.01530000000002</v>
      </c>
      <c r="DH87" s="2" t="str">
        <f>IF(AND(Table1[[#This Row],[Gurobi MZ1 Cost]]=Table1[[#This Row],[ORTools FZN2 Cost]],Table1[[#This Row],[ORTools FZN2 State]]="Optimal",Table1[[#This Row],[Gurobi MZ1 State]]="Suboptimal"),1,"")</f>
        <v/>
      </c>
      <c r="DI87" s="5" t="s">
        <v>42</v>
      </c>
      <c r="DJ87" s="2"/>
      <c r="DK87" s="2">
        <v>300.00940000000003</v>
      </c>
      <c r="DL87" s="4" t="str">
        <f>IF(AND(Table1[[#This Row],[Gurobi MZ2 Cost]]=Table1[[#This Row],[ORTools FZN2 Cost]],Table1[[#This Row],[ORTools FZN2 State]]="Optimal",Table1[[#This Row],[Gurobi MZ2 State]]="Suboptimal"),1,"")</f>
        <v/>
      </c>
      <c r="DM87" s="39" t="s">
        <v>25</v>
      </c>
      <c r="DN87" s="39">
        <v>0</v>
      </c>
      <c r="DO87" s="65">
        <v>9.6129999999993707</v>
      </c>
      <c r="DP87" s="4" t="str">
        <f>IF(AND(Table1[[#This Row],[Cplex MC nonDual Cost]]=Table1[[#This Row],[ORTools FZN2 Cost]],Table1[[#This Row],[ORTools FZN2 State]]="Optimal",Table1[[#This Row],[Cplex MC nonDual State]]="Suboptimal"),1,"")</f>
        <v/>
      </c>
      <c r="DQ87" s="5" t="s">
        <v>42</v>
      </c>
      <c r="DR87" s="2"/>
      <c r="DS87" s="2">
        <v>300.03609999999998</v>
      </c>
      <c r="DT87" s="2" t="str">
        <f>IF(AND(Table1[[#This Row],[Cplex MIP DM''z Cost]]=Table1[[#This Row],[ORTools FZN2 Cost]],Table1[[#This Row],[ORTools FZN2 State]]="Optimal",Table1[[#This Row],[Cplex MIP DM''z  State]]="Suboptimal"),1,"")</f>
        <v/>
      </c>
      <c r="DU8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7" s="5" t="s">
        <v>42</v>
      </c>
      <c r="DW87" s="2"/>
      <c r="DX87" s="2">
        <v>299.99880000000002</v>
      </c>
      <c r="DY87" s="4" t="str">
        <f>IF(AND(Table1[[#This Row],[Gurobi DM''z  Cost]]=Table1[[#This Row],[ORTools FZN2 Cost]],Table1[[#This Row],[ORTools FZN2 State]]="Optimal",Table1[[#This Row],[Gurobi DM''z  State]]="Suboptimal"),1,"")</f>
        <v/>
      </c>
      <c r="DZ8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8" spans="1:130" ht="15.75" x14ac:dyDescent="0.25">
      <c r="A88" s="46" t="s">
        <v>114</v>
      </c>
      <c r="B88" s="5">
        <v>34</v>
      </c>
      <c r="C88" s="2">
        <v>17</v>
      </c>
      <c r="D88" s="5">
        <v>93</v>
      </c>
      <c r="E88" s="2">
        <v>23</v>
      </c>
      <c r="F88" s="5">
        <v>25</v>
      </c>
      <c r="G88" s="2">
        <v>0</v>
      </c>
      <c r="H88" s="4">
        <f t="shared" si="1"/>
        <v>0</v>
      </c>
      <c r="I88" s="4">
        <f>Table1[[#This Row],[B]]+Table1[[#This Row],[Atomic Constraints]]+Table1[[#This Row],[Soft Atomic Constraints]]+Table1[[#This Row],[Disjunctive Constraints]]+Table1[[#This Row],[Direct Successors]]</f>
        <v>158</v>
      </c>
      <c r="J88" s="5" t="s">
        <v>25</v>
      </c>
      <c r="K88" s="2">
        <v>0</v>
      </c>
      <c r="L88" s="2">
        <v>1.7372825000000001</v>
      </c>
      <c r="M88" s="2" t="str">
        <f>IF(AND(Table1[[#This Row],[Chuffed MZ1 Cost]]=Table1[[#This Row],[ORTools FZN2 Cost]],Table1[[#This Row],[ORTools FZN2 State]]="Optimal",Table1[[#This Row],[Chuffed MZ1 State]]="Suboptimal"),1,"")</f>
        <v/>
      </c>
      <c r="N88" s="5" t="s">
        <v>25</v>
      </c>
      <c r="O88" s="2">
        <v>0</v>
      </c>
      <c r="P88" s="2">
        <v>20.172994899999999</v>
      </c>
      <c r="Q88" s="2" t="str">
        <f>IF(AND(Table1[[#This Row],[Chuffed MZ2 Cost]]=Table1[[#This Row],[ORTools FZN2 Cost]],Table1[[#This Row],[ORTools FZN2 State]]="Optimal",Table1[[#This Row],[Chuffed MZ2 State]]="Suboptimal"),1,"")</f>
        <v/>
      </c>
      <c r="R88" s="5" t="s">
        <v>25</v>
      </c>
      <c r="S88" s="2">
        <v>0</v>
      </c>
      <c r="T88" s="2">
        <v>0.365999999999985</v>
      </c>
      <c r="U88" s="2"/>
      <c r="V88" s="5" t="s">
        <v>25</v>
      </c>
      <c r="W88" s="2">
        <v>0</v>
      </c>
      <c r="X88" s="2">
        <v>4.5504826999999999</v>
      </c>
      <c r="Y88" s="2" t="str">
        <f>IF(AND(Table1[[#This Row],[ORTools FZN1 Cost]]=Table1[[#This Row],[ORTools FZN2 Cost]],Table1[[#This Row],[ORTools FZN2 State]]="Optimal",Table1[[#This Row],[ORTools FZN1 State]]="Suboptimal"),1,"")</f>
        <v/>
      </c>
      <c r="Z88" s="5" t="s">
        <v>25</v>
      </c>
      <c r="AA88" s="2">
        <v>0</v>
      </c>
      <c r="AB88" s="2">
        <v>3.8637603999999999</v>
      </c>
      <c r="AC88" s="39" t="s">
        <v>25</v>
      </c>
      <c r="AD88" s="39">
        <v>0</v>
      </c>
      <c r="AE88" s="2">
        <v>14.660448300000001</v>
      </c>
      <c r="AF88" s="2" t="str">
        <f>IF(AND(Table1[[#This Row],[Cplex MB Cost]]=Table1[[#This Row],[ORTools FZN2 Cost]],Table1[[#This Row],[ORTools FZN2 State]]="Optimal",Table1[[#This Row],[Cplex MB State]]="Suboptimal"),1,"")</f>
        <v/>
      </c>
      <c r="AG88" s="4">
        <f>IF(AND(AC88="Optimal",AD88&lt;&gt;AA88,Table1[[#This Row],[Example]]&lt;&gt;"R001",Table1[[#This Row],[Example]]&lt;&gt;"R002"),AD88-AA88,)</f>
        <v>0</v>
      </c>
      <c r="AH88" s="5" t="s">
        <v>26</v>
      </c>
      <c r="AI88" s="2">
        <v>160008</v>
      </c>
      <c r="AJ88" s="2">
        <v>300.16481770000001</v>
      </c>
      <c r="AK88" s="2" t="str">
        <f>IF(AND(Table1[[#This Row],[Cplex MD Cost]]=Table1[[#This Row],[ORTools FZN2 Cost]],Table1[[#This Row],[ORTools FZN2 State]]="Optimal",Table1[[#This Row],[Cplex MD State]]="Suboptimal"),1,"")</f>
        <v/>
      </c>
      <c r="AL88" s="2">
        <f>IF(AND(AH88="Optimal",AI88&lt;&gt;AA88,Table1[[#This Row],[Example]]&lt;&gt;"R001",Table1[[#This Row],[Example]]&lt;&gt;"R002"),AI88-AA88,)</f>
        <v>0</v>
      </c>
      <c r="AM88" s="39" t="s">
        <v>25</v>
      </c>
      <c r="AN88" s="39">
        <v>0</v>
      </c>
      <c r="AO88" s="2">
        <v>2.6778171</v>
      </c>
      <c r="AP8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8" s="4" t="str">
        <f>IF(AND(Table1[[#This Row],[Cplex MI Cost]]=Table1[[#This Row],[ORTools FZN2 Cost]],Table1[[#This Row],[ORTools FZN2 State]]="Optimal",Table1[[#This Row],[Cplex MI State]]="Suboptimal"),1,"")</f>
        <v/>
      </c>
      <c r="AR88" s="5" t="s">
        <v>42</v>
      </c>
      <c r="AS88" s="2">
        <v>-40495</v>
      </c>
      <c r="AT88" s="2">
        <v>300.04202309999999</v>
      </c>
      <c r="AU88" s="2" t="str">
        <f>IF(AND(Table1[[#This Row],[Z3 SMT2-1 Maxres Cost]]=Table1[[#This Row],[ORTools FZN2 Cost]],Table1[[#This Row],[ORTools FZN2 State]]="Optimal"),1,"")</f>
        <v/>
      </c>
      <c r="AV88" s="39" t="s">
        <v>42</v>
      </c>
      <c r="AW88" s="39">
        <v>-40495</v>
      </c>
      <c r="AX88" s="2">
        <v>300.0367827</v>
      </c>
      <c r="AY88" s="2" t="str">
        <f>IF(AND(Table1[[#This Row],[Z3 SMT2-1 PdMaxres Cost]]=Table1[[#This Row],[ORTools FZN2 Cost]],Table1[[#This Row],[ORTools FZN2 State]]="Optimal"),1,"")</f>
        <v/>
      </c>
      <c r="AZ88" s="5" t="s">
        <v>42</v>
      </c>
      <c r="BA88" s="2">
        <v>-40495</v>
      </c>
      <c r="BB88" s="39">
        <v>300.05686650000001</v>
      </c>
      <c r="BC88" s="39" t="str">
        <f>IF(AND(Table1[[#This Row],[Z3 SMT2-1 WMax Cost]]=Table1[[#This Row],[ORTools FZN2 Cost]],Table1[[#This Row],[ORTools FZN2 State]]="Optimal"),1,"")</f>
        <v/>
      </c>
      <c r="BD88" s="39" t="s">
        <v>42</v>
      </c>
      <c r="BE88" s="39">
        <v>-40495</v>
      </c>
      <c r="BF88" s="2">
        <v>300.92397030000001</v>
      </c>
      <c r="BG88" s="2" t="str">
        <f>IF(AND(Table1[[#This Row],[Z3 SMT2-2 Maxres Cost]]=Table1[[#This Row],[ORTools FZN2 Cost]],Table1[[#This Row],[ORTools FZN2 State]]="Optimal"),1,"")</f>
        <v/>
      </c>
      <c r="BH88" s="5" t="s">
        <v>42</v>
      </c>
      <c r="BI88" s="2">
        <v>-40495</v>
      </c>
      <c r="BJ88" s="39">
        <v>300.04205689999998</v>
      </c>
      <c r="BK88" s="39" t="str">
        <f>IF(AND(Table1[[#This Row],[Z3 SMT2-2 PdMaxres Cost]]=Table1[[#This Row],[ORTools FZN2 Cost]],Table1[[#This Row],[ORTools FZN2 State]]="Optimal"),1,"")</f>
        <v/>
      </c>
      <c r="BL88" s="39" t="s">
        <v>42</v>
      </c>
      <c r="BM88" s="39">
        <v>-40495</v>
      </c>
      <c r="BN88" s="2">
        <v>300.04771890000001</v>
      </c>
      <c r="BO88" s="4" t="str">
        <f>IF(AND(Table1[[#This Row],[Z3 SMT2-2 PdMaxres Cost]]=Table1[[#This Row],[ORTools FZN2 Cost]],Table1[[#This Row],[ORTools FZN2 State]]="Optimal"),1,"")</f>
        <v/>
      </c>
      <c r="BP88" s="5" t="s">
        <v>25</v>
      </c>
      <c r="BQ88" s="2">
        <v>0</v>
      </c>
      <c r="BR88" s="2">
        <v>4.6496757000000004</v>
      </c>
      <c r="BS88" s="2" t="str">
        <f>IF(AND(Table1[[#This Row],[Gurobi MB Cost]]=Table1[[#This Row],[ORTools FZN2 Cost]],Table1[[#This Row],[ORTools FZN2 State]]="Optimal",Table1[[#This Row],[Gurobi MB State]]="Suboptimal"),1,"")</f>
        <v/>
      </c>
      <c r="BT8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8" s="5" t="s">
        <v>25</v>
      </c>
      <c r="BV88" s="2">
        <v>0</v>
      </c>
      <c r="BW88" s="2">
        <v>113.6264977</v>
      </c>
      <c r="BX88" s="2" t="str">
        <f>IF(AND(Table1[[#This Row],[Gurobi MD Cost]]=Table1[[#This Row],[ORTools FZN2 Cost]],Table1[[#This Row],[ORTools FZN2 State]]="Optimal",Table1[[#This Row],[Gurobi MD State]]="Suboptimal"),1,"")</f>
        <v/>
      </c>
      <c r="BY8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8" s="5" t="s">
        <v>25</v>
      </c>
      <c r="CA88" s="2">
        <v>0</v>
      </c>
      <c r="CB88" s="2">
        <v>28.0281111</v>
      </c>
      <c r="CC88" s="2" t="str">
        <f>IF(AND(Table1[[#This Row],[Gurobi MI Cost]]=Table1[[#This Row],[ORTools FZN2 Cost]],Table1[[#This Row],[ORTools FZN2 State]]="Optimal",Table1[[#This Row],[Gurobi MI State]]="Suboptimal"),1,"")</f>
        <v/>
      </c>
      <c r="CD8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8" s="39" t="s">
        <v>42</v>
      </c>
      <c r="CF88" s="2">
        <v>-40495</v>
      </c>
      <c r="CG88" s="39">
        <v>306.06590890000001</v>
      </c>
      <c r="CH88" s="39" t="s">
        <v>42</v>
      </c>
      <c r="CI88" s="39">
        <v>-40495</v>
      </c>
      <c r="CJ88" s="2">
        <v>306.04717169999998</v>
      </c>
      <c r="CK88" s="5" t="s">
        <v>25</v>
      </c>
      <c r="CL88" s="2">
        <v>0</v>
      </c>
      <c r="CM88" s="2">
        <v>0.28899999999885001</v>
      </c>
      <c r="CN88" s="5" t="s">
        <v>26</v>
      </c>
      <c r="CO88" s="2">
        <v>606680</v>
      </c>
      <c r="CP88" s="2">
        <v>301.29899360000002</v>
      </c>
      <c r="CQ88" s="5" t="s">
        <v>25</v>
      </c>
      <c r="CR88" s="2">
        <v>0</v>
      </c>
      <c r="CS88" s="2">
        <v>9.5905799999999992</v>
      </c>
      <c r="CT88" s="6" t="s">
        <v>25</v>
      </c>
      <c r="CU88" s="4">
        <v>0</v>
      </c>
      <c r="CV88" s="4">
        <v>6.7520227000000004</v>
      </c>
      <c r="CW88" s="39" t="s">
        <v>25</v>
      </c>
      <c r="CX88" s="39">
        <v>0</v>
      </c>
      <c r="CY88" s="2">
        <v>124.0398</v>
      </c>
      <c r="CZ88" s="2" t="str">
        <f>IF(AND(Table1[[#This Row],[Cplex MZ1 Cost]]=Table1[[#This Row],[ORTools FZN2 Cost]],Table1[[#This Row],[ORTools FZN2 State]]="Optimal",Table1[[#This Row],[Cplex MZ1 State]]="Suboptimal"),1,"")</f>
        <v/>
      </c>
      <c r="DA88" s="5" t="s">
        <v>25</v>
      </c>
      <c r="DB88" s="2">
        <v>0</v>
      </c>
      <c r="DC88" s="2">
        <v>136.76830000000001</v>
      </c>
      <c r="DD88" s="2" t="str">
        <f>IF(AND(Table1[[#This Row],[Cplex MZ2 Cost]]=Table1[[#This Row],[ORTools FZN2 Cost]],Table1[[#This Row],[ORTools FZN2 State]]="Optimal",Table1[[#This Row],[Cplex MZ2 State]]="Suboptimal"),1,"")</f>
        <v/>
      </c>
      <c r="DE88" s="39" t="s">
        <v>25</v>
      </c>
      <c r="DF88" s="39">
        <v>0</v>
      </c>
      <c r="DG88" s="2">
        <v>133.64660000000001</v>
      </c>
      <c r="DH88" s="2" t="str">
        <f>IF(AND(Table1[[#This Row],[Gurobi MZ1 Cost]]=Table1[[#This Row],[ORTools FZN2 Cost]],Table1[[#This Row],[ORTools FZN2 State]]="Optimal",Table1[[#This Row],[Gurobi MZ1 State]]="Suboptimal"),1,"")</f>
        <v/>
      </c>
      <c r="DI88" s="5" t="s">
        <v>25</v>
      </c>
      <c r="DJ88" s="2">
        <v>0</v>
      </c>
      <c r="DK88" s="2">
        <v>95.731300000000005</v>
      </c>
      <c r="DL88" s="4" t="str">
        <f>IF(AND(Table1[[#This Row],[Gurobi MZ2 Cost]]=Table1[[#This Row],[ORTools FZN2 Cost]],Table1[[#This Row],[ORTools FZN2 State]]="Optimal",Table1[[#This Row],[Gurobi MZ2 State]]="Suboptimal"),1,"")</f>
        <v/>
      </c>
      <c r="DM88" s="39" t="s">
        <v>25</v>
      </c>
      <c r="DN88" s="39">
        <v>0</v>
      </c>
      <c r="DO88" s="65">
        <v>1.6509999999998399</v>
      </c>
      <c r="DP88" s="4" t="str">
        <f>IF(AND(Table1[[#This Row],[Cplex MC nonDual Cost]]=Table1[[#This Row],[ORTools FZN2 Cost]],Table1[[#This Row],[ORTools FZN2 State]]="Optimal",Table1[[#This Row],[Cplex MC nonDual State]]="Suboptimal"),1,"")</f>
        <v/>
      </c>
      <c r="DQ88" s="5" t="s">
        <v>25</v>
      </c>
      <c r="DR88" s="2">
        <v>0</v>
      </c>
      <c r="DS88" s="2">
        <v>45.44</v>
      </c>
      <c r="DT88" s="2" t="str">
        <f>IF(AND(Table1[[#This Row],[Cplex MIP DM''z Cost]]=Table1[[#This Row],[ORTools FZN2 Cost]],Table1[[#This Row],[ORTools FZN2 State]]="Optimal",Table1[[#This Row],[Cplex MIP DM''z  State]]="Suboptimal"),1,"")</f>
        <v/>
      </c>
      <c r="DU8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8" s="5" t="s">
        <v>25</v>
      </c>
      <c r="DW88" s="2">
        <v>0</v>
      </c>
      <c r="DX88" s="2">
        <v>153.9545</v>
      </c>
      <c r="DY88" s="4" t="str">
        <f>IF(AND(Table1[[#This Row],[Gurobi DM''z  Cost]]=Table1[[#This Row],[ORTools FZN2 Cost]],Table1[[#This Row],[ORTools FZN2 State]]="Optimal",Table1[[#This Row],[Gurobi DM''z  State]]="Suboptimal"),1,"")</f>
        <v/>
      </c>
      <c r="DZ8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89" spans="1:130" ht="15.75" x14ac:dyDescent="0.25">
      <c r="A89" s="47" t="s">
        <v>115</v>
      </c>
      <c r="B89" s="5">
        <v>20</v>
      </c>
      <c r="C89" s="2">
        <v>10</v>
      </c>
      <c r="D89" s="5">
        <v>48</v>
      </c>
      <c r="E89" s="2">
        <v>3</v>
      </c>
      <c r="F89" s="5">
        <v>9</v>
      </c>
      <c r="G89" s="2">
        <v>0</v>
      </c>
      <c r="H89" s="4">
        <f t="shared" si="1"/>
        <v>0</v>
      </c>
      <c r="I89" s="4">
        <f>Table1[[#This Row],[B]]+Table1[[#This Row],[Atomic Constraints]]+Table1[[#This Row],[Soft Atomic Constraints]]+Table1[[#This Row],[Disjunctive Constraints]]+Table1[[#This Row],[Direct Successors]]</f>
        <v>70</v>
      </c>
      <c r="J89" s="5" t="s">
        <v>25</v>
      </c>
      <c r="K89" s="2">
        <v>0</v>
      </c>
      <c r="L89" s="2">
        <v>0.9599413</v>
      </c>
      <c r="M89" s="2" t="str">
        <f>IF(AND(Table1[[#This Row],[Chuffed MZ1 Cost]]=Table1[[#This Row],[ORTools FZN2 Cost]],Table1[[#This Row],[ORTools FZN2 State]]="Optimal",Table1[[#This Row],[Chuffed MZ1 State]]="Suboptimal"),1,"")</f>
        <v/>
      </c>
      <c r="N89" s="5" t="s">
        <v>25</v>
      </c>
      <c r="O89" s="2">
        <v>0</v>
      </c>
      <c r="P89" s="2">
        <v>3.8326997</v>
      </c>
      <c r="Q89" s="2" t="str">
        <f>IF(AND(Table1[[#This Row],[Chuffed MZ2 Cost]]=Table1[[#This Row],[ORTools FZN2 Cost]],Table1[[#This Row],[ORTools FZN2 State]]="Optimal",Table1[[#This Row],[Chuffed MZ2 State]]="Suboptimal"),1,"")</f>
        <v/>
      </c>
      <c r="R89" s="5" t="s">
        <v>25</v>
      </c>
      <c r="S89" s="2">
        <v>0</v>
      </c>
      <c r="T89" s="2">
        <v>0.10099999999874899</v>
      </c>
      <c r="U89" s="2"/>
      <c r="V89" s="5" t="s">
        <v>25</v>
      </c>
      <c r="W89" s="2">
        <v>0</v>
      </c>
      <c r="X89" s="2">
        <v>0.5053204</v>
      </c>
      <c r="Y89" s="2" t="str">
        <f>IF(AND(Table1[[#This Row],[ORTools FZN1 Cost]]=Table1[[#This Row],[ORTools FZN2 Cost]],Table1[[#This Row],[ORTools FZN2 State]]="Optimal",Table1[[#This Row],[ORTools FZN1 State]]="Suboptimal"),1,"")</f>
        <v/>
      </c>
      <c r="Z89" s="5" t="s">
        <v>25</v>
      </c>
      <c r="AA89" s="2">
        <v>0</v>
      </c>
      <c r="AB89" s="2">
        <v>0.47059869999999998</v>
      </c>
      <c r="AC89" s="39" t="s">
        <v>25</v>
      </c>
      <c r="AD89" s="39">
        <v>0</v>
      </c>
      <c r="AE89" s="2">
        <v>0.30031809999999998</v>
      </c>
      <c r="AF89" s="2" t="str">
        <f>IF(AND(Table1[[#This Row],[Cplex MB Cost]]=Table1[[#This Row],[ORTools FZN2 Cost]],Table1[[#This Row],[ORTools FZN2 State]]="Optimal",Table1[[#This Row],[Cplex MB State]]="Suboptimal"),1,"")</f>
        <v/>
      </c>
      <c r="AG89" s="4">
        <f>IF(AND(AC89="Optimal",AD89&lt;&gt;AA89,Table1[[#This Row],[Example]]&lt;&gt;"R001",Table1[[#This Row],[Example]]&lt;&gt;"R002"),AD89-AA89,)</f>
        <v>0</v>
      </c>
      <c r="AH89" s="5" t="s">
        <v>25</v>
      </c>
      <c r="AI89" s="2">
        <v>0</v>
      </c>
      <c r="AJ89" s="2">
        <v>5.4136740999999997</v>
      </c>
      <c r="AK89" s="2" t="str">
        <f>IF(AND(Table1[[#This Row],[Cplex MD Cost]]=Table1[[#This Row],[ORTools FZN2 Cost]],Table1[[#This Row],[ORTools FZN2 State]]="Optimal",Table1[[#This Row],[Cplex MD State]]="Suboptimal"),1,"")</f>
        <v/>
      </c>
      <c r="AL89" s="4">
        <f>IF(AND(AH89="Optimal",AI89&lt;&gt;AA89,Table1[[#This Row],[Example]]&lt;&gt;"R001",Table1[[#This Row],[Example]]&lt;&gt;"R002"),AI89-AA89,)</f>
        <v>0</v>
      </c>
      <c r="AM89" s="39" t="s">
        <v>25</v>
      </c>
      <c r="AN89" s="39">
        <v>0</v>
      </c>
      <c r="AO89" s="2">
        <v>0.62481180000000003</v>
      </c>
      <c r="AP8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89" s="2" t="str">
        <f>IF(AND(Table1[[#This Row],[Cplex MI Cost]]=Table1[[#This Row],[ORTools FZN2 Cost]],Table1[[#This Row],[ORTools FZN2 State]]="Optimal",Table1[[#This Row],[Cplex MI State]]="Suboptimal"),1,"")</f>
        <v/>
      </c>
      <c r="AR89" s="12" t="s">
        <v>26</v>
      </c>
      <c r="AS89" s="12">
        <v>0</v>
      </c>
      <c r="AT89" s="12">
        <v>9.6272158999999995</v>
      </c>
      <c r="AU89" s="12">
        <f>IF(AND(Table1[[#This Row],[Z3 SMT2-1 Maxres Cost]]=Table1[[#This Row],[ORTools FZN2 Cost]],Table1[[#This Row],[ORTools FZN2 State]]="Optimal"),1,"")</f>
        <v>1</v>
      </c>
      <c r="AV89" s="12" t="s">
        <v>26</v>
      </c>
      <c r="AW89" s="12">
        <v>0</v>
      </c>
      <c r="AX89" s="12">
        <v>9.9954023000000003</v>
      </c>
      <c r="AY89" s="12">
        <f>IF(AND(Table1[[#This Row],[Z3 SMT2-1 PdMaxres Cost]]=Table1[[#This Row],[ORTools FZN2 Cost]],Table1[[#This Row],[ORTools FZN2 State]]="Optimal"),1,"")</f>
        <v>1</v>
      </c>
      <c r="AZ89" s="12" t="s">
        <v>26</v>
      </c>
      <c r="BA89" s="12">
        <v>0</v>
      </c>
      <c r="BB89" s="12">
        <v>11.377380799999999</v>
      </c>
      <c r="BC89" s="12">
        <f>IF(AND(Table1[[#This Row],[Z3 SMT2-1 WMax Cost]]=Table1[[#This Row],[ORTools FZN2 Cost]],Table1[[#This Row],[ORTools FZN2 State]]="Optimal"),1,"")</f>
        <v>1</v>
      </c>
      <c r="BD89" s="12" t="s">
        <v>26</v>
      </c>
      <c r="BE89" s="12">
        <v>0</v>
      </c>
      <c r="BF89" s="12">
        <v>5.2242354999999998</v>
      </c>
      <c r="BG89" s="12">
        <f>IF(AND(Table1[[#This Row],[Z3 SMT2-2 Maxres Cost]]=Table1[[#This Row],[ORTools FZN2 Cost]],Table1[[#This Row],[ORTools FZN2 State]]="Optimal"),1,"")</f>
        <v>1</v>
      </c>
      <c r="BH89" s="12" t="s">
        <v>26</v>
      </c>
      <c r="BI89" s="12">
        <v>0</v>
      </c>
      <c r="BJ89" s="12">
        <v>5.1438129999999997</v>
      </c>
      <c r="BK89" s="12">
        <f>IF(AND(Table1[[#This Row],[Z3 SMT2-2 PdMaxres Cost]]=Table1[[#This Row],[ORTools FZN2 Cost]],Table1[[#This Row],[ORTools FZN2 State]]="Optimal"),1,"")</f>
        <v>1</v>
      </c>
      <c r="BL89" s="12" t="s">
        <v>26</v>
      </c>
      <c r="BM89" s="12">
        <v>0</v>
      </c>
      <c r="BN89" s="12">
        <v>5.2013090000000002</v>
      </c>
      <c r="BO89" s="11">
        <f>IF(AND(Table1[[#This Row],[Z3 SMT2-2 PdMaxres Cost]]=Table1[[#This Row],[ORTools FZN2 Cost]],Table1[[#This Row],[ORTools FZN2 State]]="Optimal"),1,"")</f>
        <v>1</v>
      </c>
      <c r="BP89" s="5" t="s">
        <v>25</v>
      </c>
      <c r="BQ89" s="2">
        <v>0</v>
      </c>
      <c r="BR89" s="2">
        <v>0.50117579999999995</v>
      </c>
      <c r="BS89" s="2" t="str">
        <f>IF(AND(Table1[[#This Row],[Gurobi MB Cost]]=Table1[[#This Row],[ORTools FZN2 Cost]],Table1[[#This Row],[ORTools FZN2 State]]="Optimal",Table1[[#This Row],[Gurobi MB State]]="Suboptimal"),1,"")</f>
        <v/>
      </c>
      <c r="BT8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89" s="5" t="s">
        <v>25</v>
      </c>
      <c r="BV89" s="2">
        <v>0</v>
      </c>
      <c r="BW89" s="2">
        <v>2.3331596999999999</v>
      </c>
      <c r="BX89" s="2" t="str">
        <f>IF(AND(Table1[[#This Row],[Gurobi MD Cost]]=Table1[[#This Row],[ORTools FZN2 Cost]],Table1[[#This Row],[ORTools FZN2 State]]="Optimal",Table1[[#This Row],[Gurobi MD State]]="Suboptimal"),1,"")</f>
        <v/>
      </c>
      <c r="BY8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89" s="5" t="s">
        <v>25</v>
      </c>
      <c r="CA89" s="2">
        <v>0</v>
      </c>
      <c r="CB89" s="2">
        <v>0.57241439999999999</v>
      </c>
      <c r="CC89" s="2" t="str">
        <f>IF(AND(Table1[[#This Row],[Gurobi MI Cost]]=Table1[[#This Row],[ORTools FZN2 Cost]],Table1[[#This Row],[ORTools FZN2 State]]="Optimal",Table1[[#This Row],[Gurobi MI State]]="Suboptimal"),1,"")</f>
        <v/>
      </c>
      <c r="CD8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89" s="39" t="s">
        <v>42</v>
      </c>
      <c r="CF89" s="2">
        <v>-8421</v>
      </c>
      <c r="CG89" s="39">
        <v>306.05948749999999</v>
      </c>
      <c r="CH89" s="39" t="s">
        <v>42</v>
      </c>
      <c r="CI89" s="39">
        <v>-8421</v>
      </c>
      <c r="CJ89" s="2">
        <v>306.0277102</v>
      </c>
      <c r="CK89" s="5" t="s">
        <v>25</v>
      </c>
      <c r="CL89" s="2">
        <v>0</v>
      </c>
      <c r="CM89" s="2">
        <v>0.122999999999593</v>
      </c>
      <c r="CN89" s="5" t="s">
        <v>25</v>
      </c>
      <c r="CO89" s="2">
        <v>0</v>
      </c>
      <c r="CP89" s="2">
        <v>1.3924192</v>
      </c>
      <c r="CQ89" s="5" t="s">
        <v>25</v>
      </c>
      <c r="CR89" s="2">
        <v>0</v>
      </c>
      <c r="CS89" s="2">
        <v>1.3023868000000001</v>
      </c>
      <c r="CT89" s="6" t="s">
        <v>25</v>
      </c>
      <c r="CU89" s="4">
        <v>0</v>
      </c>
      <c r="CV89" s="4">
        <v>1.3706193</v>
      </c>
      <c r="CW89" s="39" t="s">
        <v>25</v>
      </c>
      <c r="CX89" s="39">
        <v>0</v>
      </c>
      <c r="CY89" s="2">
        <v>1.2571000000000001</v>
      </c>
      <c r="CZ89" s="2" t="str">
        <f>IF(AND(Table1[[#This Row],[Cplex MZ1 Cost]]=Table1[[#This Row],[ORTools FZN2 Cost]],Table1[[#This Row],[ORTools FZN2 State]]="Optimal",Table1[[#This Row],[Cplex MZ1 State]]="Suboptimal"),1,"")</f>
        <v/>
      </c>
      <c r="DA89" s="5" t="s">
        <v>25</v>
      </c>
      <c r="DB89" s="2">
        <v>0</v>
      </c>
      <c r="DC89" s="2">
        <v>2.3712</v>
      </c>
      <c r="DD89" s="2" t="str">
        <f>IF(AND(Table1[[#This Row],[Cplex MZ2 Cost]]=Table1[[#This Row],[ORTools FZN2 Cost]],Table1[[#This Row],[ORTools FZN2 State]]="Optimal",Table1[[#This Row],[Cplex MZ2 State]]="Suboptimal"),1,"")</f>
        <v/>
      </c>
      <c r="DE89" s="39" t="s">
        <v>25</v>
      </c>
      <c r="DF89" s="39">
        <v>0</v>
      </c>
      <c r="DG89" s="2">
        <v>4.0891000000000002</v>
      </c>
      <c r="DH89" s="2" t="str">
        <f>IF(AND(Table1[[#This Row],[Gurobi MZ1 Cost]]=Table1[[#This Row],[ORTools FZN2 Cost]],Table1[[#This Row],[ORTools FZN2 State]]="Optimal",Table1[[#This Row],[Gurobi MZ1 State]]="Suboptimal"),1,"")</f>
        <v/>
      </c>
      <c r="DI89" s="5" t="s">
        <v>25</v>
      </c>
      <c r="DJ89" s="2">
        <v>0</v>
      </c>
      <c r="DK89" s="2">
        <v>2.4403999999999999</v>
      </c>
      <c r="DL89" s="4" t="str">
        <f>IF(AND(Table1[[#This Row],[Gurobi MZ2 Cost]]=Table1[[#This Row],[ORTools FZN2 Cost]],Table1[[#This Row],[ORTools FZN2 State]]="Optimal",Table1[[#This Row],[Gurobi MZ2 State]]="Suboptimal"),1,"")</f>
        <v/>
      </c>
      <c r="DM89" s="39" t="s">
        <v>25</v>
      </c>
      <c r="DN89" s="39">
        <v>0</v>
      </c>
      <c r="DO89" s="65">
        <v>0.14200000000164401</v>
      </c>
      <c r="DP89" s="4" t="str">
        <f>IF(AND(Table1[[#This Row],[Cplex MC nonDual Cost]]=Table1[[#This Row],[ORTools FZN2 Cost]],Table1[[#This Row],[ORTools FZN2 State]]="Optimal",Table1[[#This Row],[Cplex MC nonDual State]]="Suboptimal"),1,"")</f>
        <v/>
      </c>
      <c r="DQ89" s="5" t="s">
        <v>25</v>
      </c>
      <c r="DR89" s="2">
        <v>0</v>
      </c>
      <c r="DS89" s="2">
        <v>0.56159999999999999</v>
      </c>
      <c r="DT89" s="2" t="str">
        <f>IF(AND(Table1[[#This Row],[Cplex MIP DM''z Cost]]=Table1[[#This Row],[ORTools FZN2 Cost]],Table1[[#This Row],[ORTools FZN2 State]]="Optimal",Table1[[#This Row],[Cplex MIP DM''z  State]]="Suboptimal"),1,"")</f>
        <v/>
      </c>
      <c r="DU8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89" s="5" t="s">
        <v>25</v>
      </c>
      <c r="DW89" s="2">
        <v>0</v>
      </c>
      <c r="DX89" s="2">
        <v>0.58850000000000002</v>
      </c>
      <c r="DY89" s="4" t="str">
        <f>IF(AND(Table1[[#This Row],[Gurobi DM''z  Cost]]=Table1[[#This Row],[ORTools FZN2 Cost]],Table1[[#This Row],[ORTools FZN2 State]]="Optimal",Table1[[#This Row],[Gurobi DM''z  State]]="Suboptimal"),1,"")</f>
        <v/>
      </c>
      <c r="DZ8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0" spans="1:130" ht="15.75" x14ac:dyDescent="0.25">
      <c r="A90" s="46" t="s">
        <v>116</v>
      </c>
      <c r="B90" s="5">
        <v>20</v>
      </c>
      <c r="C90" s="2">
        <v>10</v>
      </c>
      <c r="D90" s="5">
        <v>48</v>
      </c>
      <c r="E90" s="2">
        <v>3</v>
      </c>
      <c r="F90" s="5">
        <v>0</v>
      </c>
      <c r="G90" s="2">
        <v>0</v>
      </c>
      <c r="H90" s="4">
        <f t="shared" si="1"/>
        <v>0</v>
      </c>
      <c r="I90" s="4">
        <f>Table1[[#This Row],[B]]+Table1[[#This Row],[Atomic Constraints]]+Table1[[#This Row],[Soft Atomic Constraints]]+Table1[[#This Row],[Disjunctive Constraints]]+Table1[[#This Row],[Direct Successors]]</f>
        <v>61</v>
      </c>
      <c r="J90" s="5" t="s">
        <v>25</v>
      </c>
      <c r="K90" s="2">
        <v>0</v>
      </c>
      <c r="L90" s="2">
        <v>1.7089411999999999</v>
      </c>
      <c r="M90" s="2" t="str">
        <f>IF(AND(Table1[[#This Row],[Chuffed MZ1 Cost]]=Table1[[#This Row],[ORTools FZN2 Cost]],Table1[[#This Row],[ORTools FZN2 State]]="Optimal",Table1[[#This Row],[Chuffed MZ1 State]]="Suboptimal"),1,"")</f>
        <v/>
      </c>
      <c r="N90" s="5" t="s">
        <v>25</v>
      </c>
      <c r="O90" s="2">
        <v>0</v>
      </c>
      <c r="P90" s="2">
        <v>1.5514063</v>
      </c>
      <c r="Q90" s="2" t="str">
        <f>IF(AND(Table1[[#This Row],[Chuffed MZ2 Cost]]=Table1[[#This Row],[ORTools FZN2 Cost]],Table1[[#This Row],[ORTools FZN2 State]]="Optimal",Table1[[#This Row],[Chuffed MZ2 State]]="Suboptimal"),1,"")</f>
        <v/>
      </c>
      <c r="R90" s="6" t="s">
        <v>25</v>
      </c>
      <c r="S90" s="4">
        <v>0</v>
      </c>
      <c r="T90" s="4">
        <v>0.10300000000097501</v>
      </c>
      <c r="U90" s="4"/>
      <c r="V90" s="5" t="s">
        <v>25</v>
      </c>
      <c r="W90" s="2">
        <v>0</v>
      </c>
      <c r="X90" s="2">
        <v>0.47751389999999999</v>
      </c>
      <c r="Y90" s="2" t="str">
        <f>IF(AND(Table1[[#This Row],[ORTools FZN1 Cost]]=Table1[[#This Row],[ORTools FZN2 Cost]],Table1[[#This Row],[ORTools FZN2 State]]="Optimal",Table1[[#This Row],[ORTools FZN1 State]]="Suboptimal"),1,"")</f>
        <v/>
      </c>
      <c r="Z90" s="5" t="s">
        <v>25</v>
      </c>
      <c r="AA90" s="2">
        <v>0</v>
      </c>
      <c r="AB90" s="2">
        <v>0.50526530000000003</v>
      </c>
      <c r="AC90" s="39" t="s">
        <v>25</v>
      </c>
      <c r="AD90" s="39">
        <v>0</v>
      </c>
      <c r="AE90" s="2">
        <v>0.27247369999999999</v>
      </c>
      <c r="AF90" s="2" t="str">
        <f>IF(AND(Table1[[#This Row],[Cplex MB Cost]]=Table1[[#This Row],[ORTools FZN2 Cost]],Table1[[#This Row],[ORTools FZN2 State]]="Optimal",Table1[[#This Row],[Cplex MB State]]="Suboptimal"),1,"")</f>
        <v/>
      </c>
      <c r="AG90" s="4">
        <f>IF(AND(AC90="Optimal",AD90&lt;&gt;AA90,Table1[[#This Row],[Example]]&lt;&gt;"R001",Table1[[#This Row],[Example]]&lt;&gt;"R002"),AD90-AA90,)</f>
        <v>0</v>
      </c>
      <c r="AH90" s="5" t="s">
        <v>25</v>
      </c>
      <c r="AI90" s="2">
        <v>0</v>
      </c>
      <c r="AJ90" s="2">
        <v>6.9604626999999999</v>
      </c>
      <c r="AK90" s="2" t="str">
        <f>IF(AND(Table1[[#This Row],[Cplex MD Cost]]=Table1[[#This Row],[ORTools FZN2 Cost]],Table1[[#This Row],[ORTools FZN2 State]]="Optimal",Table1[[#This Row],[Cplex MD State]]="Suboptimal"),1,"")</f>
        <v/>
      </c>
      <c r="AL90" s="4">
        <f>IF(AND(AH90="Optimal",AI90&lt;&gt;AA90,Table1[[#This Row],[Example]]&lt;&gt;"R001",Table1[[#This Row],[Example]]&lt;&gt;"R002"),AI90-AA90,)</f>
        <v>0</v>
      </c>
      <c r="AM90" s="39" t="s">
        <v>25</v>
      </c>
      <c r="AN90" s="39">
        <v>0</v>
      </c>
      <c r="AO90" s="2">
        <v>0.55936540000000001</v>
      </c>
      <c r="AP9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0" s="4" t="str">
        <f>IF(AND(Table1[[#This Row],[Cplex MI Cost]]=Table1[[#This Row],[ORTools FZN2 Cost]],Table1[[#This Row],[ORTools FZN2 State]]="Optimal",Table1[[#This Row],[Cplex MI State]]="Suboptimal"),1,"")</f>
        <v/>
      </c>
      <c r="AR90" s="12" t="s">
        <v>26</v>
      </c>
      <c r="AS90" s="12">
        <v>0</v>
      </c>
      <c r="AT90" s="12">
        <v>7.8601425000000003</v>
      </c>
      <c r="AU90" s="12">
        <f>IF(AND(Table1[[#This Row],[Z3 SMT2-1 Maxres Cost]]=Table1[[#This Row],[ORTools FZN2 Cost]],Table1[[#This Row],[ORTools FZN2 State]]="Optimal"),1,"")</f>
        <v>1</v>
      </c>
      <c r="AV90" s="12" t="s">
        <v>26</v>
      </c>
      <c r="AW90" s="12">
        <v>0</v>
      </c>
      <c r="AX90" s="12">
        <v>8.3564053999999999</v>
      </c>
      <c r="AY90" s="12">
        <f>IF(AND(Table1[[#This Row],[Z3 SMT2-1 PdMaxres Cost]]=Table1[[#This Row],[ORTools FZN2 Cost]],Table1[[#This Row],[ORTools FZN2 State]]="Optimal"),1,"")</f>
        <v>1</v>
      </c>
      <c r="AZ90" s="12" t="s">
        <v>26</v>
      </c>
      <c r="BA90" s="12">
        <v>0</v>
      </c>
      <c r="BB90" s="12">
        <v>9.4134664000000008</v>
      </c>
      <c r="BC90" s="12">
        <f>IF(AND(Table1[[#This Row],[Z3 SMT2-1 WMax Cost]]=Table1[[#This Row],[ORTools FZN2 Cost]],Table1[[#This Row],[ORTools FZN2 State]]="Optimal"),1,"")</f>
        <v>1</v>
      </c>
      <c r="BD90" s="12" t="s">
        <v>26</v>
      </c>
      <c r="BE90" s="12">
        <v>0</v>
      </c>
      <c r="BF90" s="12">
        <v>7.5516496000000002</v>
      </c>
      <c r="BG90" s="12">
        <f>IF(AND(Table1[[#This Row],[Z3 SMT2-2 Maxres Cost]]=Table1[[#This Row],[ORTools FZN2 Cost]],Table1[[#This Row],[ORTools FZN2 State]]="Optimal"),1,"")</f>
        <v>1</v>
      </c>
      <c r="BH90" s="12" t="s">
        <v>26</v>
      </c>
      <c r="BI90" s="12">
        <v>0</v>
      </c>
      <c r="BJ90" s="12">
        <v>7.5371782999999999</v>
      </c>
      <c r="BK90" s="12">
        <f>IF(AND(Table1[[#This Row],[Z3 SMT2-2 PdMaxres Cost]]=Table1[[#This Row],[ORTools FZN2 Cost]],Table1[[#This Row],[ORTools FZN2 State]]="Optimal"),1,"")</f>
        <v>1</v>
      </c>
      <c r="BL90" s="12" t="s">
        <v>26</v>
      </c>
      <c r="BM90" s="12">
        <v>0</v>
      </c>
      <c r="BN90" s="12">
        <v>7.5571403999999998</v>
      </c>
      <c r="BO90" s="11">
        <f>IF(AND(Table1[[#This Row],[Z3 SMT2-2 PdMaxres Cost]]=Table1[[#This Row],[ORTools FZN2 Cost]],Table1[[#This Row],[ORTools FZN2 State]]="Optimal"),1,"")</f>
        <v>1</v>
      </c>
      <c r="BP90" s="5" t="s">
        <v>25</v>
      </c>
      <c r="BQ90" s="2">
        <v>0</v>
      </c>
      <c r="BR90" s="2">
        <v>0.48649949999999997</v>
      </c>
      <c r="BS90" s="2" t="str">
        <f>IF(AND(Table1[[#This Row],[Gurobi MB Cost]]=Table1[[#This Row],[ORTools FZN2 Cost]],Table1[[#This Row],[ORTools FZN2 State]]="Optimal",Table1[[#This Row],[Gurobi MB State]]="Suboptimal"),1,"")</f>
        <v/>
      </c>
      <c r="BT9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0" s="5" t="s">
        <v>25</v>
      </c>
      <c r="BV90" s="2">
        <v>0</v>
      </c>
      <c r="BW90" s="2">
        <v>2.3142691000000002</v>
      </c>
      <c r="BX90" s="2" t="str">
        <f>IF(AND(Table1[[#This Row],[Gurobi MD Cost]]=Table1[[#This Row],[ORTools FZN2 Cost]],Table1[[#This Row],[ORTools FZN2 State]]="Optimal",Table1[[#This Row],[Gurobi MD State]]="Suboptimal"),1,"")</f>
        <v/>
      </c>
      <c r="BY9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0" s="5" t="s">
        <v>25</v>
      </c>
      <c r="CA90" s="2">
        <v>0</v>
      </c>
      <c r="CB90" s="2">
        <v>0.43940259999999998</v>
      </c>
      <c r="CC90" s="2" t="str">
        <f>IF(AND(Table1[[#This Row],[Gurobi MI Cost]]=Table1[[#This Row],[ORTools FZN2 Cost]],Table1[[#This Row],[ORTools FZN2 State]]="Optimal",Table1[[#This Row],[Gurobi MI State]]="Suboptimal"),1,"")</f>
        <v/>
      </c>
      <c r="CD9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0" s="39" t="s">
        <v>42</v>
      </c>
      <c r="CF90" s="2">
        <v>-8421</v>
      </c>
      <c r="CG90" s="39">
        <v>305.9839733</v>
      </c>
      <c r="CH90" s="39" t="s">
        <v>42</v>
      </c>
      <c r="CI90" s="39">
        <v>-8421</v>
      </c>
      <c r="CJ90" s="2">
        <v>306.02791009999999</v>
      </c>
      <c r="CK90" s="5" t="s">
        <v>25</v>
      </c>
      <c r="CL90" s="2">
        <v>0</v>
      </c>
      <c r="CM90" s="2">
        <v>0.121999999999389</v>
      </c>
      <c r="CN90" s="5" t="s">
        <v>25</v>
      </c>
      <c r="CO90" s="2">
        <v>0</v>
      </c>
      <c r="CP90" s="2">
        <v>0.91289299999999995</v>
      </c>
      <c r="CQ90" s="5" t="s">
        <v>25</v>
      </c>
      <c r="CR90" s="2">
        <v>0</v>
      </c>
      <c r="CS90" s="2">
        <v>1.2009768000000001</v>
      </c>
      <c r="CT90" s="6" t="s">
        <v>25</v>
      </c>
      <c r="CU90" s="4">
        <v>0</v>
      </c>
      <c r="CV90" s="4">
        <v>1.2865009999999999</v>
      </c>
      <c r="CW90" s="39" t="s">
        <v>25</v>
      </c>
      <c r="CX90" s="39">
        <v>0</v>
      </c>
      <c r="CY90" s="2">
        <v>2.4868999999999999</v>
      </c>
      <c r="CZ90" s="2" t="str">
        <f>IF(AND(Table1[[#This Row],[Cplex MZ1 Cost]]=Table1[[#This Row],[ORTools FZN2 Cost]],Table1[[#This Row],[ORTools FZN2 State]]="Optimal",Table1[[#This Row],[Cplex MZ1 State]]="Suboptimal"),1,"")</f>
        <v/>
      </c>
      <c r="DA90" s="5" t="s">
        <v>25</v>
      </c>
      <c r="DB90" s="2">
        <v>0</v>
      </c>
      <c r="DC90" s="2">
        <v>1.8822000000000001</v>
      </c>
      <c r="DD90" s="2" t="str">
        <f>IF(AND(Table1[[#This Row],[Cplex MZ2 Cost]]=Table1[[#This Row],[ORTools FZN2 Cost]],Table1[[#This Row],[ORTools FZN2 State]]="Optimal",Table1[[#This Row],[Cplex MZ2 State]]="Suboptimal"),1,"")</f>
        <v/>
      </c>
      <c r="DE90" s="39" t="s">
        <v>25</v>
      </c>
      <c r="DF90" s="39">
        <v>0</v>
      </c>
      <c r="DG90" s="2">
        <v>2.2481</v>
      </c>
      <c r="DH90" s="2" t="str">
        <f>IF(AND(Table1[[#This Row],[Gurobi MZ1 Cost]]=Table1[[#This Row],[ORTools FZN2 Cost]],Table1[[#This Row],[ORTools FZN2 State]]="Optimal",Table1[[#This Row],[Gurobi MZ1 State]]="Suboptimal"),1,"")</f>
        <v/>
      </c>
      <c r="DI90" s="5" t="s">
        <v>25</v>
      </c>
      <c r="DJ90" s="2">
        <v>0</v>
      </c>
      <c r="DK90" s="2">
        <v>2.3477999999999999</v>
      </c>
      <c r="DL90" s="4" t="str">
        <f>IF(AND(Table1[[#This Row],[Gurobi MZ2 Cost]]=Table1[[#This Row],[ORTools FZN2 Cost]],Table1[[#This Row],[ORTools FZN2 State]]="Optimal",Table1[[#This Row],[Gurobi MZ2 State]]="Suboptimal"),1,"")</f>
        <v/>
      </c>
      <c r="DM90" s="39" t="s">
        <v>25</v>
      </c>
      <c r="DN90" s="39">
        <v>0</v>
      </c>
      <c r="DO90" s="65">
        <v>0.12800000000061099</v>
      </c>
      <c r="DP90" s="4" t="str">
        <f>IF(AND(Table1[[#This Row],[Cplex MC nonDual Cost]]=Table1[[#This Row],[ORTools FZN2 Cost]],Table1[[#This Row],[ORTools FZN2 State]]="Optimal",Table1[[#This Row],[Cplex MC nonDual State]]="Suboptimal"),1,"")</f>
        <v/>
      </c>
      <c r="DQ90" s="5" t="s">
        <v>25</v>
      </c>
      <c r="DR90" s="2">
        <v>0</v>
      </c>
      <c r="DS90" s="2">
        <v>1.3107</v>
      </c>
      <c r="DT90" s="2" t="str">
        <f>IF(AND(Table1[[#This Row],[Cplex MIP DM''z Cost]]=Table1[[#This Row],[ORTools FZN2 Cost]],Table1[[#This Row],[ORTools FZN2 State]]="Optimal",Table1[[#This Row],[Cplex MIP DM''z  State]]="Suboptimal"),1,"")</f>
        <v/>
      </c>
      <c r="DU9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0" s="5" t="s">
        <v>25</v>
      </c>
      <c r="DW90" s="2">
        <v>0</v>
      </c>
      <c r="DX90" s="2">
        <v>2.0581</v>
      </c>
      <c r="DY90" s="4" t="str">
        <f>IF(AND(Table1[[#This Row],[Gurobi DM''z  Cost]]=Table1[[#This Row],[ORTools FZN2 Cost]],Table1[[#This Row],[ORTools FZN2 State]]="Optimal",Table1[[#This Row],[Gurobi DM''z  State]]="Suboptimal"),1,"")</f>
        <v/>
      </c>
      <c r="DZ9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1" spans="1:130" ht="15.75" x14ac:dyDescent="0.25">
      <c r="A91" s="47" t="s">
        <v>117</v>
      </c>
      <c r="B91" s="5">
        <v>60</v>
      </c>
      <c r="C91" s="2">
        <v>30</v>
      </c>
      <c r="D91" s="5">
        <v>490</v>
      </c>
      <c r="E91" s="2">
        <v>33</v>
      </c>
      <c r="F91" s="5">
        <v>40</v>
      </c>
      <c r="G91" s="2">
        <v>0</v>
      </c>
      <c r="H91" s="4">
        <f t="shared" si="1"/>
        <v>0</v>
      </c>
      <c r="I91" s="4">
        <f>Table1[[#This Row],[B]]+Table1[[#This Row],[Atomic Constraints]]+Table1[[#This Row],[Soft Atomic Constraints]]+Table1[[#This Row],[Disjunctive Constraints]]+Table1[[#This Row],[Direct Successors]]</f>
        <v>593</v>
      </c>
      <c r="J91" s="5" t="s">
        <v>26</v>
      </c>
      <c r="K91" s="2">
        <v>5662337</v>
      </c>
      <c r="L91" s="2">
        <v>302.52757409999998</v>
      </c>
      <c r="M91" s="2" t="str">
        <f>IF(AND(Table1[[#This Row],[Chuffed MZ1 Cost]]=Table1[[#This Row],[ORTools FZN2 Cost]],Table1[[#This Row],[ORTools FZN2 State]]="Optimal",Table1[[#This Row],[Chuffed MZ1 State]]="Suboptimal"),1,"")</f>
        <v/>
      </c>
      <c r="N91" s="5" t="s">
        <v>26</v>
      </c>
      <c r="O91" s="2">
        <v>3703512</v>
      </c>
      <c r="P91" s="2">
        <v>302.59313250000002</v>
      </c>
      <c r="Q91" s="2" t="str">
        <f>IF(AND(Table1[[#This Row],[Chuffed MZ2 Cost]]=Table1[[#This Row],[ORTools FZN2 Cost]],Table1[[#This Row],[ORTools FZN2 State]]="Optimal",Table1[[#This Row],[Chuffed MZ2 State]]="Suboptimal"),1,"")</f>
        <v/>
      </c>
      <c r="R91" s="11" t="s">
        <v>26</v>
      </c>
      <c r="S91" s="11">
        <v>2176754</v>
      </c>
      <c r="T91" s="11">
        <v>300.164999999999</v>
      </c>
      <c r="U91" s="11">
        <v>1</v>
      </c>
      <c r="V91" s="5" t="s">
        <v>25</v>
      </c>
      <c r="W91" s="2">
        <v>2176754</v>
      </c>
      <c r="X91" s="2">
        <v>80.076130199999994</v>
      </c>
      <c r="Y91" s="2" t="str">
        <f>IF(AND(Table1[[#This Row],[ORTools FZN1 Cost]]=Table1[[#This Row],[ORTools FZN2 Cost]],Table1[[#This Row],[ORTools FZN2 State]]="Optimal",Table1[[#This Row],[ORTools FZN1 State]]="Suboptimal"),1,"")</f>
        <v/>
      </c>
      <c r="Z91" s="5" t="s">
        <v>25</v>
      </c>
      <c r="AA91" s="2">
        <v>2176754</v>
      </c>
      <c r="AB91" s="2">
        <v>81.828280800000002</v>
      </c>
      <c r="AC91" s="39" t="s">
        <v>42</v>
      </c>
      <c r="AD91" s="39">
        <v>-219661</v>
      </c>
      <c r="AE91" s="2">
        <v>300.1462123</v>
      </c>
      <c r="AF91" s="2" t="str">
        <f>IF(AND(Table1[[#This Row],[Cplex MB Cost]]=Table1[[#This Row],[ORTools FZN2 Cost]],Table1[[#This Row],[ORTools FZN2 State]]="Optimal",Table1[[#This Row],[Cplex MB State]]="Suboptimal"),1,"")</f>
        <v/>
      </c>
      <c r="AG91" s="4">
        <f>IF(AND(AC91="Optimal",AD91&lt;&gt;AA91,Table1[[#This Row],[Example]]&lt;&gt;"R001",Table1[[#This Row],[Example]]&lt;&gt;"R002"),AD91-AA91,)</f>
        <v>0</v>
      </c>
      <c r="AH91" s="5" t="s">
        <v>42</v>
      </c>
      <c r="AI91" s="2">
        <v>-219661</v>
      </c>
      <c r="AJ91" s="2">
        <v>300.45199659999997</v>
      </c>
      <c r="AK91" s="2" t="str">
        <f>IF(AND(Table1[[#This Row],[Cplex MD Cost]]=Table1[[#This Row],[ORTools FZN2 Cost]],Table1[[#This Row],[ORTools FZN2 State]]="Optimal",Table1[[#This Row],[Cplex MD State]]="Suboptimal"),1,"")</f>
        <v/>
      </c>
      <c r="AL91" s="2">
        <f>IF(AND(AH91="Optimal",AI91&lt;&gt;AA91,Table1[[#This Row],[Example]]&lt;&gt;"R001",Table1[[#This Row],[Example]]&lt;&gt;"R002"),AI91-AA91,)</f>
        <v>0</v>
      </c>
      <c r="AM91" s="39" t="s">
        <v>26</v>
      </c>
      <c r="AN91" s="39">
        <v>4351515</v>
      </c>
      <c r="AO91" s="2">
        <v>300.13741879999998</v>
      </c>
      <c r="AP9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1" s="2" t="str">
        <f>IF(AND(Table1[[#This Row],[Cplex MI Cost]]=Table1[[#This Row],[ORTools FZN2 Cost]],Table1[[#This Row],[ORTools FZN2 State]]="Optimal",Table1[[#This Row],[Cplex MI State]]="Suboptimal"),1,"")</f>
        <v/>
      </c>
      <c r="AR91" s="5" t="s">
        <v>42</v>
      </c>
      <c r="AS91" s="2">
        <v>-219661</v>
      </c>
      <c r="AT91" s="2">
        <v>300.05624390000003</v>
      </c>
      <c r="AU91" s="2" t="str">
        <f>IF(AND(Table1[[#This Row],[Z3 SMT2-1 Maxres Cost]]=Table1[[#This Row],[ORTools FZN2 Cost]],Table1[[#This Row],[ORTools FZN2 State]]="Optimal"),1,"")</f>
        <v/>
      </c>
      <c r="AV91" s="39" t="s">
        <v>42</v>
      </c>
      <c r="AW91" s="39">
        <v>-219661</v>
      </c>
      <c r="AX91" s="2">
        <v>300.05290070000001</v>
      </c>
      <c r="AY91" s="2" t="str">
        <f>IF(AND(Table1[[#This Row],[Z3 SMT2-1 PdMaxres Cost]]=Table1[[#This Row],[ORTools FZN2 Cost]],Table1[[#This Row],[ORTools FZN2 State]]="Optimal"),1,"")</f>
        <v/>
      </c>
      <c r="AZ91" s="5" t="s">
        <v>42</v>
      </c>
      <c r="BA91" s="2">
        <v>-219661</v>
      </c>
      <c r="BB91" s="39">
        <v>300.10334940000001</v>
      </c>
      <c r="BC91" s="39" t="str">
        <f>IF(AND(Table1[[#This Row],[Z3 SMT2-1 WMax Cost]]=Table1[[#This Row],[ORTools FZN2 Cost]],Table1[[#This Row],[ORTools FZN2 State]]="Optimal"),1,"")</f>
        <v/>
      </c>
      <c r="BD91" s="39" t="s">
        <v>42</v>
      </c>
      <c r="BE91" s="39">
        <v>-219661</v>
      </c>
      <c r="BF91" s="2">
        <v>300.06034419999997</v>
      </c>
      <c r="BG91" s="2" t="str">
        <f>IF(AND(Table1[[#This Row],[Z3 SMT2-2 Maxres Cost]]=Table1[[#This Row],[ORTools FZN2 Cost]],Table1[[#This Row],[ORTools FZN2 State]]="Optimal"),1,"")</f>
        <v/>
      </c>
      <c r="BH91" s="5" t="s">
        <v>42</v>
      </c>
      <c r="BI91" s="2">
        <v>-219661</v>
      </c>
      <c r="BJ91" s="39">
        <v>300.05374160000002</v>
      </c>
      <c r="BK91" s="39" t="str">
        <f>IF(AND(Table1[[#This Row],[Z3 SMT2-2 PdMaxres Cost]]=Table1[[#This Row],[ORTools FZN2 Cost]],Table1[[#This Row],[ORTools FZN2 State]]="Optimal"),1,"")</f>
        <v/>
      </c>
      <c r="BL91" s="39" t="s">
        <v>42</v>
      </c>
      <c r="BM91" s="39">
        <v>-219661</v>
      </c>
      <c r="BN91" s="2">
        <v>300.05386299999998</v>
      </c>
      <c r="BO91" s="4" t="str">
        <f>IF(AND(Table1[[#This Row],[Z3 SMT2-2 PdMaxres Cost]]=Table1[[#This Row],[ORTools FZN2 Cost]],Table1[[#This Row],[ORTools FZN2 State]]="Optimal"),1,"")</f>
        <v/>
      </c>
      <c r="BP91" s="5" t="s">
        <v>42</v>
      </c>
      <c r="BQ91" s="2">
        <v>-219661</v>
      </c>
      <c r="BR91" s="2">
        <v>300.10371309999999</v>
      </c>
      <c r="BS91" s="2" t="str">
        <f>IF(AND(Table1[[#This Row],[Gurobi MB Cost]]=Table1[[#This Row],[ORTools FZN2 Cost]],Table1[[#This Row],[ORTools FZN2 State]]="Optimal",Table1[[#This Row],[Gurobi MB State]]="Suboptimal"),1,"")</f>
        <v/>
      </c>
      <c r="BT9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1" s="5" t="s">
        <v>42</v>
      </c>
      <c r="BV91" s="2">
        <v>-219661</v>
      </c>
      <c r="BW91" s="2">
        <v>300.11871050000002</v>
      </c>
      <c r="BX91" s="2" t="str">
        <f>IF(AND(Table1[[#This Row],[Gurobi MD Cost]]=Table1[[#This Row],[ORTools FZN2 Cost]],Table1[[#This Row],[ORTools FZN2 State]]="Optimal",Table1[[#This Row],[Gurobi MD State]]="Suboptimal"),1,"")</f>
        <v/>
      </c>
      <c r="BY9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1" s="5" t="s">
        <v>42</v>
      </c>
      <c r="CA91" s="2">
        <v>-219661</v>
      </c>
      <c r="CB91" s="2">
        <v>300.16524349999997</v>
      </c>
      <c r="CC91" s="2" t="str">
        <f>IF(AND(Table1[[#This Row],[Gurobi MI Cost]]=Table1[[#This Row],[ORTools FZN2 Cost]],Table1[[#This Row],[ORTools FZN2 State]]="Optimal",Table1[[#This Row],[Gurobi MI State]]="Suboptimal"),1,"")</f>
        <v/>
      </c>
      <c r="CD9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1" s="39" t="s">
        <v>42</v>
      </c>
      <c r="CF91" s="2">
        <v>-219661</v>
      </c>
      <c r="CG91" s="39">
        <v>306.23198070000001</v>
      </c>
      <c r="CH91" s="39" t="s">
        <v>42</v>
      </c>
      <c r="CI91" s="39">
        <v>-219661</v>
      </c>
      <c r="CJ91" s="2">
        <v>306.18134989999999</v>
      </c>
      <c r="CK91" s="5" t="s">
        <v>26</v>
      </c>
      <c r="CL91" s="2">
        <v>2176754</v>
      </c>
      <c r="CM91" s="2">
        <v>300.01799999999997</v>
      </c>
      <c r="CN91" s="5" t="s">
        <v>26</v>
      </c>
      <c r="CO91" s="2">
        <v>6342076</v>
      </c>
      <c r="CP91" s="2">
        <v>302.51106870000001</v>
      </c>
      <c r="CQ91" s="5" t="s">
        <v>25</v>
      </c>
      <c r="CR91" s="2">
        <v>2176754</v>
      </c>
      <c r="CS91" s="2">
        <v>105.8224232</v>
      </c>
      <c r="CT91" s="6" t="s">
        <v>25</v>
      </c>
      <c r="CU91" s="4">
        <v>2176754</v>
      </c>
      <c r="CV91" s="4">
        <v>41.413500499999998</v>
      </c>
      <c r="CW91" s="39" t="s">
        <v>42</v>
      </c>
      <c r="CX91" s="39"/>
      <c r="CY91" s="2">
        <v>300.02449999999999</v>
      </c>
      <c r="CZ91" s="2" t="str">
        <f>IF(AND(Table1[[#This Row],[Cplex MZ1 Cost]]=Table1[[#This Row],[ORTools FZN2 Cost]],Table1[[#This Row],[ORTools FZN2 State]]="Optimal",Table1[[#This Row],[Cplex MZ1 State]]="Suboptimal"),1,"")</f>
        <v/>
      </c>
      <c r="DA91" s="5" t="s">
        <v>26</v>
      </c>
      <c r="DB91" s="2">
        <v>5024530</v>
      </c>
      <c r="DC91" s="2">
        <v>300.02330000000001</v>
      </c>
      <c r="DD91" s="2" t="str">
        <f>IF(AND(Table1[[#This Row],[Cplex MZ2 Cost]]=Table1[[#This Row],[ORTools FZN2 Cost]],Table1[[#This Row],[ORTools FZN2 State]]="Optimal",Table1[[#This Row],[Cplex MZ2 State]]="Suboptimal"),1,"")</f>
        <v/>
      </c>
      <c r="DE91" s="39" t="s">
        <v>42</v>
      </c>
      <c r="DF91" s="39"/>
      <c r="DG91" s="2">
        <v>300.00959999999998</v>
      </c>
      <c r="DH91" s="2" t="str">
        <f>IF(AND(Table1[[#This Row],[Gurobi MZ1 Cost]]=Table1[[#This Row],[ORTools FZN2 Cost]],Table1[[#This Row],[ORTools FZN2 State]]="Optimal",Table1[[#This Row],[Gurobi MZ1 State]]="Suboptimal"),1,"")</f>
        <v/>
      </c>
      <c r="DI91" s="5" t="s">
        <v>42</v>
      </c>
      <c r="DJ91" s="2"/>
      <c r="DK91" s="2">
        <v>300.00510000000003</v>
      </c>
      <c r="DL91" s="4" t="str">
        <f>IF(AND(Table1[[#This Row],[Gurobi MZ2 Cost]]=Table1[[#This Row],[ORTools FZN2 Cost]],Table1[[#This Row],[ORTools FZN2 State]]="Optimal",Table1[[#This Row],[Gurobi MZ2 State]]="Suboptimal"),1,"")</f>
        <v/>
      </c>
      <c r="DM91" s="39" t="s">
        <v>26</v>
      </c>
      <c r="DN91" s="39">
        <v>2180174</v>
      </c>
      <c r="DO91" s="65">
        <v>300.070999999999</v>
      </c>
      <c r="DP91" s="4" t="str">
        <f>IF(AND(Table1[[#This Row],[Cplex MC nonDual Cost]]=Table1[[#This Row],[ORTools FZN2 Cost]],Table1[[#This Row],[ORTools FZN2 State]]="Optimal",Table1[[#This Row],[Cplex MC nonDual State]]="Suboptimal"),1,"")</f>
        <v/>
      </c>
      <c r="DQ91" s="5" t="s">
        <v>26</v>
      </c>
      <c r="DR91" s="2">
        <v>5222894</v>
      </c>
      <c r="DS91" s="2">
        <v>300.03210000000001</v>
      </c>
      <c r="DT91" s="2" t="str">
        <f>IF(AND(Table1[[#This Row],[Cplex MIP DM''z Cost]]=Table1[[#This Row],[ORTools FZN2 Cost]],Table1[[#This Row],[ORTools FZN2 State]]="Optimal",Table1[[#This Row],[Cplex MIP DM''z  State]]="Suboptimal"),1,"")</f>
        <v/>
      </c>
      <c r="DU9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1" s="5" t="s">
        <v>42</v>
      </c>
      <c r="DW91" s="2"/>
      <c r="DX91" s="2">
        <v>300.01299999999998</v>
      </c>
      <c r="DY91" s="4" t="str">
        <f>IF(AND(Table1[[#This Row],[Gurobi DM''z  Cost]]=Table1[[#This Row],[ORTools FZN2 Cost]],Table1[[#This Row],[ORTools FZN2 State]]="Optimal",Table1[[#This Row],[Gurobi DM''z  State]]="Suboptimal"),1,"")</f>
        <v/>
      </c>
      <c r="DZ9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2" spans="1:130" ht="15.75" x14ac:dyDescent="0.25">
      <c r="A92" s="46" t="s">
        <v>118</v>
      </c>
      <c r="B92" s="5">
        <v>66</v>
      </c>
      <c r="C92" s="2">
        <v>33</v>
      </c>
      <c r="D92" s="5">
        <v>646</v>
      </c>
      <c r="E92" s="2">
        <v>41</v>
      </c>
      <c r="F92" s="5">
        <v>55</v>
      </c>
      <c r="G92" s="2">
        <v>0</v>
      </c>
      <c r="H92" s="4">
        <f t="shared" si="1"/>
        <v>0</v>
      </c>
      <c r="I92" s="4">
        <f>Table1[[#This Row],[B]]+Table1[[#This Row],[Atomic Constraints]]+Table1[[#This Row],[Soft Atomic Constraints]]+Table1[[#This Row],[Disjunctive Constraints]]+Table1[[#This Row],[Direct Successors]]</f>
        <v>775</v>
      </c>
      <c r="J92" s="5" t="s">
        <v>26</v>
      </c>
      <c r="K92" s="2">
        <v>9308459</v>
      </c>
      <c r="L92" s="2">
        <v>303.00510430000003</v>
      </c>
      <c r="M92" s="2" t="str">
        <f>IF(AND(Table1[[#This Row],[Chuffed MZ1 Cost]]=Table1[[#This Row],[ORTools FZN2 Cost]],Table1[[#This Row],[ORTools FZN2 State]]="Optimal",Table1[[#This Row],[Chuffed MZ1 State]]="Suboptimal"),1,"")</f>
        <v/>
      </c>
      <c r="N92" s="5" t="s">
        <v>26</v>
      </c>
      <c r="O92" s="2">
        <v>9330046</v>
      </c>
      <c r="P92" s="2">
        <v>302.9879378</v>
      </c>
      <c r="Q92" s="2" t="str">
        <f>IF(AND(Table1[[#This Row],[Chuffed MZ2 Cost]]=Table1[[#This Row],[ORTools FZN2 Cost]],Table1[[#This Row],[ORTools FZN2 State]]="Optimal",Table1[[#This Row],[Chuffed MZ2 State]]="Suboptimal"),1,"")</f>
        <v/>
      </c>
      <c r="R92" s="11" t="s">
        <v>26</v>
      </c>
      <c r="S92" s="11">
        <v>3182935</v>
      </c>
      <c r="T92" s="11">
        <v>300.108</v>
      </c>
      <c r="U92" s="11">
        <v>1</v>
      </c>
      <c r="V92" s="5" t="s">
        <v>25</v>
      </c>
      <c r="W92" s="2">
        <v>3182935</v>
      </c>
      <c r="X92" s="2">
        <v>135.71701849999999</v>
      </c>
      <c r="Y92" s="2" t="str">
        <f>IF(AND(Table1[[#This Row],[ORTools FZN1 Cost]]=Table1[[#This Row],[ORTools FZN2 Cost]],Table1[[#This Row],[ORTools FZN2 State]]="Optimal",Table1[[#This Row],[ORTools FZN1 State]]="Suboptimal"),1,"")</f>
        <v/>
      </c>
      <c r="Z92" s="5" t="s">
        <v>25</v>
      </c>
      <c r="AA92" s="2">
        <v>3182935</v>
      </c>
      <c r="AB92" s="2">
        <v>161.2616735</v>
      </c>
      <c r="AC92" s="39" t="s">
        <v>42</v>
      </c>
      <c r="AD92" s="39">
        <v>-291919</v>
      </c>
      <c r="AE92" s="2">
        <v>300.16908480000001</v>
      </c>
      <c r="AF92" s="2" t="str">
        <f>IF(AND(Table1[[#This Row],[Cplex MB Cost]]=Table1[[#This Row],[ORTools FZN2 Cost]],Table1[[#This Row],[ORTools FZN2 State]]="Optimal",Table1[[#This Row],[Cplex MB State]]="Suboptimal"),1,"")</f>
        <v/>
      </c>
      <c r="AG92" s="4">
        <f>IF(AND(AC92="Optimal",AD92&lt;&gt;AA92,Table1[[#This Row],[Example]]&lt;&gt;"R001",Table1[[#This Row],[Example]]&lt;&gt;"R002"),AD92-AA92,)</f>
        <v>0</v>
      </c>
      <c r="AH92" s="5" t="s">
        <v>42</v>
      </c>
      <c r="AI92" s="2">
        <v>-291919</v>
      </c>
      <c r="AJ92" s="2">
        <v>300.67447950000002</v>
      </c>
      <c r="AK92" s="2" t="str">
        <f>IF(AND(Table1[[#This Row],[Cplex MD Cost]]=Table1[[#This Row],[ORTools FZN2 Cost]],Table1[[#This Row],[ORTools FZN2 State]]="Optimal",Table1[[#This Row],[Cplex MD State]]="Suboptimal"),1,"")</f>
        <v/>
      </c>
      <c r="AL92" s="4">
        <f>IF(AND(AH92="Optimal",AI92&lt;&gt;AA92,Table1[[#This Row],[Example]]&lt;&gt;"R001",Table1[[#This Row],[Example]]&lt;&gt;"R002"),AI92-AA92,)</f>
        <v>0</v>
      </c>
      <c r="AM92" s="39" t="s">
        <v>26</v>
      </c>
      <c r="AN92" s="39">
        <v>9268795</v>
      </c>
      <c r="AO92" s="2">
        <v>300.17114930000002</v>
      </c>
      <c r="AP9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2" s="4" t="str">
        <f>IF(AND(Table1[[#This Row],[Cplex MI Cost]]=Table1[[#This Row],[ORTools FZN2 Cost]],Table1[[#This Row],[ORTools FZN2 State]]="Optimal",Table1[[#This Row],[Cplex MI State]]="Suboptimal"),1,"")</f>
        <v/>
      </c>
      <c r="AR92" s="5" t="s">
        <v>42</v>
      </c>
      <c r="AS92" s="2">
        <v>-291919</v>
      </c>
      <c r="AT92" s="2">
        <v>300.06570069999998</v>
      </c>
      <c r="AU92" s="2" t="str">
        <f>IF(AND(Table1[[#This Row],[Z3 SMT2-1 Maxres Cost]]=Table1[[#This Row],[ORTools FZN2 Cost]],Table1[[#This Row],[ORTools FZN2 State]]="Optimal"),1,"")</f>
        <v/>
      </c>
      <c r="AV92" s="39" t="s">
        <v>42</v>
      </c>
      <c r="AW92" s="39">
        <v>-291919</v>
      </c>
      <c r="AX92" s="2">
        <v>300.05884250000003</v>
      </c>
      <c r="AY92" s="2" t="str">
        <f>IF(AND(Table1[[#This Row],[Z3 SMT2-1 PdMaxres Cost]]=Table1[[#This Row],[ORTools FZN2 Cost]],Table1[[#This Row],[ORTools FZN2 State]]="Optimal"),1,"")</f>
        <v/>
      </c>
      <c r="AZ92" s="5" t="s">
        <v>42</v>
      </c>
      <c r="BA92" s="2">
        <v>-291919</v>
      </c>
      <c r="BB92" s="39">
        <v>300.07058230000001</v>
      </c>
      <c r="BC92" s="39" t="str">
        <f>IF(AND(Table1[[#This Row],[Z3 SMT2-1 WMax Cost]]=Table1[[#This Row],[ORTools FZN2 Cost]],Table1[[#This Row],[ORTools FZN2 State]]="Optimal"),1,"")</f>
        <v/>
      </c>
      <c r="BD92" s="39" t="s">
        <v>42</v>
      </c>
      <c r="BE92" s="39">
        <v>-291919</v>
      </c>
      <c r="BF92" s="2">
        <v>300.07104500000003</v>
      </c>
      <c r="BG92" s="2" t="str">
        <f>IF(AND(Table1[[#This Row],[Z3 SMT2-2 Maxres Cost]]=Table1[[#This Row],[ORTools FZN2 Cost]],Table1[[#This Row],[ORTools FZN2 State]]="Optimal"),1,"")</f>
        <v/>
      </c>
      <c r="BH92" s="5" t="s">
        <v>42</v>
      </c>
      <c r="BI92" s="2">
        <v>-291919</v>
      </c>
      <c r="BJ92" s="39">
        <v>300.06303750000001</v>
      </c>
      <c r="BK92" s="39" t="str">
        <f>IF(AND(Table1[[#This Row],[Z3 SMT2-2 PdMaxres Cost]]=Table1[[#This Row],[ORTools FZN2 Cost]],Table1[[#This Row],[ORTools FZN2 State]]="Optimal"),1,"")</f>
        <v/>
      </c>
      <c r="BL92" s="39" t="s">
        <v>42</v>
      </c>
      <c r="BM92" s="39">
        <v>-291919</v>
      </c>
      <c r="BN92" s="2">
        <v>300.06153399999999</v>
      </c>
      <c r="BO92" s="4" t="str">
        <f>IF(AND(Table1[[#This Row],[Z3 SMT2-2 PdMaxres Cost]]=Table1[[#This Row],[ORTools FZN2 Cost]],Table1[[#This Row],[ORTools FZN2 State]]="Optimal"),1,"")</f>
        <v/>
      </c>
      <c r="BP92" s="5" t="s">
        <v>42</v>
      </c>
      <c r="BQ92" s="2">
        <v>-291919</v>
      </c>
      <c r="BR92" s="2">
        <v>300.15853040000002</v>
      </c>
      <c r="BS92" s="2" t="str">
        <f>IF(AND(Table1[[#This Row],[Gurobi MB Cost]]=Table1[[#This Row],[ORTools FZN2 Cost]],Table1[[#This Row],[ORTools FZN2 State]]="Optimal",Table1[[#This Row],[Gurobi MB State]]="Suboptimal"),1,"")</f>
        <v/>
      </c>
      <c r="BT9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2" s="5" t="s">
        <v>42</v>
      </c>
      <c r="BV92" s="2">
        <v>-291919</v>
      </c>
      <c r="BW92" s="2">
        <v>300.74911880000002</v>
      </c>
      <c r="BX92" s="2" t="str">
        <f>IF(AND(Table1[[#This Row],[Gurobi MD Cost]]=Table1[[#This Row],[ORTools FZN2 Cost]],Table1[[#This Row],[ORTools FZN2 State]]="Optimal",Table1[[#This Row],[Gurobi MD State]]="Suboptimal"),1,"")</f>
        <v/>
      </c>
      <c r="BY9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2" s="5" t="s">
        <v>42</v>
      </c>
      <c r="CA92" s="2">
        <v>-291919</v>
      </c>
      <c r="CB92" s="2">
        <v>300.12651190000003</v>
      </c>
      <c r="CC92" s="2" t="str">
        <f>IF(AND(Table1[[#This Row],[Gurobi MI Cost]]=Table1[[#This Row],[ORTools FZN2 Cost]],Table1[[#This Row],[ORTools FZN2 State]]="Optimal",Table1[[#This Row],[Gurobi MI State]]="Suboptimal"),1,"")</f>
        <v/>
      </c>
      <c r="CD9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2" s="39" t="s">
        <v>42</v>
      </c>
      <c r="CF92" s="2">
        <v>-291919</v>
      </c>
      <c r="CG92" s="39">
        <v>306.19932720000003</v>
      </c>
      <c r="CH92" s="39" t="s">
        <v>42</v>
      </c>
      <c r="CI92" s="39">
        <v>-291919</v>
      </c>
      <c r="CJ92" s="2">
        <v>306.16165280000001</v>
      </c>
      <c r="CK92" s="5" t="s">
        <v>26</v>
      </c>
      <c r="CL92" s="2">
        <v>3182935</v>
      </c>
      <c r="CM92" s="2">
        <v>300.09299999999899</v>
      </c>
      <c r="CN92" s="5" t="s">
        <v>26</v>
      </c>
      <c r="CO92" s="2">
        <v>7831510</v>
      </c>
      <c r="CP92" s="2">
        <v>302.94775090000002</v>
      </c>
      <c r="CQ92" s="5" t="s">
        <v>25</v>
      </c>
      <c r="CR92" s="2">
        <v>3182935</v>
      </c>
      <c r="CS92" s="2">
        <v>153.89390929999999</v>
      </c>
      <c r="CT92" s="6" t="s">
        <v>25</v>
      </c>
      <c r="CU92" s="4">
        <v>3182935</v>
      </c>
      <c r="CV92" s="4">
        <v>56.062815700000002</v>
      </c>
      <c r="CW92" s="39" t="s">
        <v>26</v>
      </c>
      <c r="CX92" s="39">
        <v>7256251</v>
      </c>
      <c r="CY92" s="2">
        <v>300.0111</v>
      </c>
      <c r="CZ92" s="2" t="str">
        <f>IF(AND(Table1[[#This Row],[Cplex MZ1 Cost]]=Table1[[#This Row],[ORTools FZN2 Cost]],Table1[[#This Row],[ORTools FZN2 State]]="Optimal",Table1[[#This Row],[Cplex MZ1 State]]="Suboptimal"),1,"")</f>
        <v/>
      </c>
      <c r="DA92" s="5" t="s">
        <v>42</v>
      </c>
      <c r="DB92" s="2"/>
      <c r="DC92" s="2">
        <v>300.0729</v>
      </c>
      <c r="DD92" s="2" t="str">
        <f>IF(AND(Table1[[#This Row],[Cplex MZ2 Cost]]=Table1[[#This Row],[ORTools FZN2 Cost]],Table1[[#This Row],[ORTools FZN2 State]]="Optimal",Table1[[#This Row],[Cplex MZ2 State]]="Suboptimal"),1,"")</f>
        <v/>
      </c>
      <c r="DE92" s="39" t="s">
        <v>42</v>
      </c>
      <c r="DF92" s="39"/>
      <c r="DG92" s="2">
        <v>300.01440000000002</v>
      </c>
      <c r="DH92" s="2" t="str">
        <f>IF(AND(Table1[[#This Row],[Gurobi MZ1 Cost]]=Table1[[#This Row],[ORTools FZN2 Cost]],Table1[[#This Row],[ORTools FZN2 State]]="Optimal",Table1[[#This Row],[Gurobi MZ1 State]]="Suboptimal"),1,"")</f>
        <v/>
      </c>
      <c r="DI92" s="5" t="s">
        <v>42</v>
      </c>
      <c r="DJ92" s="2"/>
      <c r="DK92" s="2">
        <v>300.005</v>
      </c>
      <c r="DL92" s="4" t="str">
        <f>IF(AND(Table1[[#This Row],[Gurobi MZ2 Cost]]=Table1[[#This Row],[ORTools FZN2 Cost]],Table1[[#This Row],[ORTools FZN2 State]]="Optimal",Table1[[#This Row],[Gurobi MZ2 State]]="Suboptimal"),1,"")</f>
        <v/>
      </c>
      <c r="DM92" s="39" t="s">
        <v>26</v>
      </c>
      <c r="DN92" s="39">
        <v>3470232</v>
      </c>
      <c r="DO92" s="65">
        <v>300.24200000000002</v>
      </c>
      <c r="DP92" s="4" t="str">
        <f>IF(AND(Table1[[#This Row],[Cplex MC nonDual Cost]]=Table1[[#This Row],[ORTools FZN2 Cost]],Table1[[#This Row],[ORTools FZN2 State]]="Optimal",Table1[[#This Row],[Cplex MC nonDual State]]="Suboptimal"),1,"")</f>
        <v/>
      </c>
      <c r="DQ92" s="5" t="s">
        <v>42</v>
      </c>
      <c r="DR92" s="2"/>
      <c r="DS92" s="2">
        <v>300.01569999999998</v>
      </c>
      <c r="DT92" s="2" t="str">
        <f>IF(AND(Table1[[#This Row],[Cplex MIP DM''z Cost]]=Table1[[#This Row],[ORTools FZN2 Cost]],Table1[[#This Row],[ORTools FZN2 State]]="Optimal",Table1[[#This Row],[Cplex MIP DM''z  State]]="Suboptimal"),1,"")</f>
        <v/>
      </c>
      <c r="DU9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2" s="5" t="s">
        <v>42</v>
      </c>
      <c r="DW92" s="2"/>
      <c r="DX92" s="2">
        <v>300.00900000000001</v>
      </c>
      <c r="DY92" s="4" t="str">
        <f>IF(AND(Table1[[#This Row],[Gurobi DM''z  Cost]]=Table1[[#This Row],[ORTools FZN2 Cost]],Table1[[#This Row],[ORTools FZN2 State]]="Optimal",Table1[[#This Row],[Gurobi DM''z  State]]="Suboptimal"),1,"")</f>
        <v/>
      </c>
      <c r="DZ9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3" spans="1:130" ht="15.75" x14ac:dyDescent="0.25">
      <c r="A93" s="47" t="s">
        <v>119</v>
      </c>
      <c r="B93" s="5">
        <v>58</v>
      </c>
      <c r="C93" s="2">
        <v>29</v>
      </c>
      <c r="D93" s="5">
        <v>435</v>
      </c>
      <c r="E93" s="2">
        <v>31</v>
      </c>
      <c r="F93" s="5">
        <v>32</v>
      </c>
      <c r="G93" s="2">
        <v>0</v>
      </c>
      <c r="H93" s="4">
        <f t="shared" si="1"/>
        <v>0</v>
      </c>
      <c r="I93" s="4">
        <f>Table1[[#This Row],[B]]+Table1[[#This Row],[Atomic Constraints]]+Table1[[#This Row],[Soft Atomic Constraints]]+Table1[[#This Row],[Disjunctive Constraints]]+Table1[[#This Row],[Direct Successors]]</f>
        <v>527</v>
      </c>
      <c r="J93" s="5" t="s">
        <v>26</v>
      </c>
      <c r="K93" s="2">
        <v>4738729</v>
      </c>
      <c r="L93" s="2">
        <v>302.45424009999999</v>
      </c>
      <c r="M93" s="2" t="str">
        <f>IF(AND(Table1[[#This Row],[Chuffed MZ1 Cost]]=Table1[[#This Row],[ORTools FZN2 Cost]],Table1[[#This Row],[ORTools FZN2 State]]="Optimal",Table1[[#This Row],[Chuffed MZ1 State]]="Suboptimal"),1,"")</f>
        <v/>
      </c>
      <c r="N93" s="5" t="s">
        <v>26</v>
      </c>
      <c r="O93" s="2">
        <v>3150162</v>
      </c>
      <c r="P93" s="2">
        <v>302.50571059999999</v>
      </c>
      <c r="Q93" s="2" t="str">
        <f>IF(AND(Table1[[#This Row],[Chuffed MZ2 Cost]]=Table1[[#This Row],[ORTools FZN2 Cost]],Table1[[#This Row],[ORTools FZN2 State]]="Optimal",Table1[[#This Row],[Chuffed MZ2 State]]="Suboptimal"),1,"")</f>
        <v/>
      </c>
      <c r="R93" s="6" t="s">
        <v>26</v>
      </c>
      <c r="S93" s="4">
        <v>1567986</v>
      </c>
      <c r="T93" s="4">
        <v>300.14899999999898</v>
      </c>
      <c r="U93" s="4"/>
      <c r="V93" s="5" t="s">
        <v>25</v>
      </c>
      <c r="W93" s="2">
        <v>1567984</v>
      </c>
      <c r="X93" s="2">
        <v>48.185127700000002</v>
      </c>
      <c r="Y93" s="2" t="str">
        <f>IF(AND(Table1[[#This Row],[ORTools FZN1 Cost]]=Table1[[#This Row],[ORTools FZN2 Cost]],Table1[[#This Row],[ORTools FZN2 State]]="Optimal",Table1[[#This Row],[ORTools FZN1 State]]="Suboptimal"),1,"")</f>
        <v/>
      </c>
      <c r="Z93" s="5" t="s">
        <v>25</v>
      </c>
      <c r="AA93" s="2">
        <v>1567984</v>
      </c>
      <c r="AB93" s="2">
        <v>58.215929099999997</v>
      </c>
      <c r="AC93" s="39" t="s">
        <v>42</v>
      </c>
      <c r="AD93" s="39">
        <v>-198535</v>
      </c>
      <c r="AE93" s="2">
        <v>300.14289530000002</v>
      </c>
      <c r="AF93" s="2" t="str">
        <f>IF(AND(Table1[[#This Row],[Cplex MB Cost]]=Table1[[#This Row],[ORTools FZN2 Cost]],Table1[[#This Row],[ORTools FZN2 State]]="Optimal",Table1[[#This Row],[Cplex MB State]]="Suboptimal"),1,"")</f>
        <v/>
      </c>
      <c r="AG93" s="4">
        <f>IF(AND(AC93="Optimal",AD93&lt;&gt;AA93,Table1[[#This Row],[Example]]&lt;&gt;"R001",Table1[[#This Row],[Example]]&lt;&gt;"R002"),AD93-AA93,)</f>
        <v>0</v>
      </c>
      <c r="AH93" s="5" t="s">
        <v>42</v>
      </c>
      <c r="AI93" s="2">
        <v>-198535</v>
      </c>
      <c r="AJ93" s="2">
        <v>300.39953860000003</v>
      </c>
      <c r="AK93" s="2" t="str">
        <f>IF(AND(Table1[[#This Row],[Cplex MD Cost]]=Table1[[#This Row],[ORTools FZN2 Cost]],Table1[[#This Row],[ORTools FZN2 State]]="Optimal",Table1[[#This Row],[Cplex MD State]]="Suboptimal"),1,"")</f>
        <v/>
      </c>
      <c r="AL93" s="4">
        <f>IF(AND(AH93="Optimal",AI93&lt;&gt;AA93,Table1[[#This Row],[Example]]&lt;&gt;"R001",Table1[[#This Row],[Example]]&lt;&gt;"R002"),AI93-AA93,)</f>
        <v>0</v>
      </c>
      <c r="AM93" s="39" t="s">
        <v>42</v>
      </c>
      <c r="AN93" s="39">
        <v>-198535</v>
      </c>
      <c r="AO93" s="2">
        <v>300.0911888</v>
      </c>
      <c r="AP9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3" s="4" t="str">
        <f>IF(AND(Table1[[#This Row],[Cplex MI Cost]]=Table1[[#This Row],[ORTools FZN2 Cost]],Table1[[#This Row],[ORTools FZN2 State]]="Optimal",Table1[[#This Row],[Cplex MI State]]="Suboptimal"),1,"")</f>
        <v/>
      </c>
      <c r="AR93" s="5" t="s">
        <v>42</v>
      </c>
      <c r="AS93" s="2">
        <v>-198535</v>
      </c>
      <c r="AT93" s="2">
        <v>300.07350869999999</v>
      </c>
      <c r="AU93" s="2" t="str">
        <f>IF(AND(Table1[[#This Row],[Z3 SMT2-1 Maxres Cost]]=Table1[[#This Row],[ORTools FZN2 Cost]],Table1[[#This Row],[ORTools FZN2 State]]="Optimal"),1,"")</f>
        <v/>
      </c>
      <c r="AV93" s="39" t="s">
        <v>42</v>
      </c>
      <c r="AW93" s="39">
        <v>-198535</v>
      </c>
      <c r="AX93" s="2">
        <v>300.06949859999997</v>
      </c>
      <c r="AY93" s="2" t="str">
        <f>IF(AND(Table1[[#This Row],[Z3 SMT2-1 PdMaxres Cost]]=Table1[[#This Row],[ORTools FZN2 Cost]],Table1[[#This Row],[ORTools FZN2 State]]="Optimal"),1,"")</f>
        <v/>
      </c>
      <c r="AZ93" s="5" t="s">
        <v>42</v>
      </c>
      <c r="BA93" s="2">
        <v>-198535</v>
      </c>
      <c r="BB93" s="39">
        <v>300.06538890000002</v>
      </c>
      <c r="BC93" s="39" t="str">
        <f>IF(AND(Table1[[#This Row],[Z3 SMT2-1 WMax Cost]]=Table1[[#This Row],[ORTools FZN2 Cost]],Table1[[#This Row],[ORTools FZN2 State]]="Optimal"),1,"")</f>
        <v/>
      </c>
      <c r="BD93" s="39" t="s">
        <v>42</v>
      </c>
      <c r="BE93" s="39">
        <v>-198535</v>
      </c>
      <c r="BF93" s="2">
        <v>300.05500210000002</v>
      </c>
      <c r="BG93" s="2" t="str">
        <f>IF(AND(Table1[[#This Row],[Z3 SMT2-2 Maxres Cost]]=Table1[[#This Row],[ORTools FZN2 Cost]],Table1[[#This Row],[ORTools FZN2 State]]="Optimal"),1,"")</f>
        <v/>
      </c>
      <c r="BH93" s="5" t="s">
        <v>42</v>
      </c>
      <c r="BI93" s="2">
        <v>-198535</v>
      </c>
      <c r="BJ93" s="39">
        <v>300.06024109999998</v>
      </c>
      <c r="BK93" s="39" t="str">
        <f>IF(AND(Table1[[#This Row],[Z3 SMT2-2 PdMaxres Cost]]=Table1[[#This Row],[ORTools FZN2 Cost]],Table1[[#This Row],[ORTools FZN2 State]]="Optimal"),1,"")</f>
        <v/>
      </c>
      <c r="BL93" s="39" t="s">
        <v>42</v>
      </c>
      <c r="BM93" s="39">
        <v>-198535</v>
      </c>
      <c r="BN93" s="2">
        <v>300.05511569999999</v>
      </c>
      <c r="BO93" s="4" t="str">
        <f>IF(AND(Table1[[#This Row],[Z3 SMT2-2 PdMaxres Cost]]=Table1[[#This Row],[ORTools FZN2 Cost]],Table1[[#This Row],[ORTools FZN2 State]]="Optimal"),1,"")</f>
        <v/>
      </c>
      <c r="BP93" s="5" t="s">
        <v>42</v>
      </c>
      <c r="BQ93" s="2">
        <v>-198535</v>
      </c>
      <c r="BR93" s="2">
        <v>300.32403249999999</v>
      </c>
      <c r="BS93" s="2" t="str">
        <f>IF(AND(Table1[[#This Row],[Gurobi MB Cost]]=Table1[[#This Row],[ORTools FZN2 Cost]],Table1[[#This Row],[ORTools FZN2 State]]="Optimal",Table1[[#This Row],[Gurobi MB State]]="Suboptimal"),1,"")</f>
        <v/>
      </c>
      <c r="BT9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3" s="5" t="s">
        <v>42</v>
      </c>
      <c r="BV93" s="2">
        <v>-198535</v>
      </c>
      <c r="BW93" s="2">
        <v>300.47352890000002</v>
      </c>
      <c r="BX93" s="2" t="str">
        <f>IF(AND(Table1[[#This Row],[Gurobi MD Cost]]=Table1[[#This Row],[ORTools FZN2 Cost]],Table1[[#This Row],[ORTools FZN2 State]]="Optimal",Table1[[#This Row],[Gurobi MD State]]="Suboptimal"),1,"")</f>
        <v/>
      </c>
      <c r="BY9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3" s="5" t="s">
        <v>42</v>
      </c>
      <c r="CA93" s="2">
        <v>-198535</v>
      </c>
      <c r="CB93" s="2">
        <v>300.12193589999998</v>
      </c>
      <c r="CC93" s="2" t="str">
        <f>IF(AND(Table1[[#This Row],[Gurobi MI Cost]]=Table1[[#This Row],[ORTools FZN2 Cost]],Table1[[#This Row],[ORTools FZN2 State]]="Optimal",Table1[[#This Row],[Gurobi MI State]]="Suboptimal"),1,"")</f>
        <v/>
      </c>
      <c r="CD9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3" s="39" t="s">
        <v>42</v>
      </c>
      <c r="CF93" s="2">
        <v>-198535</v>
      </c>
      <c r="CG93" s="39">
        <v>306.15622660000002</v>
      </c>
      <c r="CH93" s="39" t="s">
        <v>42</v>
      </c>
      <c r="CI93" s="39">
        <v>-198535</v>
      </c>
      <c r="CJ93" s="2">
        <v>306.13544899999999</v>
      </c>
      <c r="CK93" s="5" t="s">
        <v>26</v>
      </c>
      <c r="CL93" s="2">
        <v>1568041</v>
      </c>
      <c r="CM93" s="2">
        <v>300.11399999999998</v>
      </c>
      <c r="CN93" s="5" t="s">
        <v>26</v>
      </c>
      <c r="CO93" s="2">
        <v>3341689</v>
      </c>
      <c r="CP93" s="2">
        <v>302.40374170000001</v>
      </c>
      <c r="CQ93" s="5" t="s">
        <v>25</v>
      </c>
      <c r="CR93" s="2">
        <v>1567984</v>
      </c>
      <c r="CS93" s="2">
        <v>95.853706200000005</v>
      </c>
      <c r="CT93" s="6" t="s">
        <v>25</v>
      </c>
      <c r="CU93" s="4">
        <v>1567984</v>
      </c>
      <c r="CV93" s="4">
        <v>52.181868000000001</v>
      </c>
      <c r="CW93" s="39" t="s">
        <v>26</v>
      </c>
      <c r="CX93" s="39">
        <v>4895735</v>
      </c>
      <c r="CY93" s="2">
        <v>300.01299999999998</v>
      </c>
      <c r="CZ93" s="2" t="str">
        <f>IF(AND(Table1[[#This Row],[Cplex MZ1 Cost]]=Table1[[#This Row],[ORTools FZN2 Cost]],Table1[[#This Row],[ORTools FZN2 State]]="Optimal",Table1[[#This Row],[Cplex MZ1 State]]="Suboptimal"),1,"")</f>
        <v/>
      </c>
      <c r="DA93" s="5" t="s">
        <v>26</v>
      </c>
      <c r="DB93" s="2">
        <v>4516420</v>
      </c>
      <c r="DC93" s="2">
        <v>300.01499999999999</v>
      </c>
      <c r="DD93" s="2" t="str">
        <f>IF(AND(Table1[[#This Row],[Cplex MZ2 Cost]]=Table1[[#This Row],[ORTools FZN2 Cost]],Table1[[#This Row],[ORTools FZN2 State]]="Optimal",Table1[[#This Row],[Cplex MZ2 State]]="Suboptimal"),1,"")</f>
        <v/>
      </c>
      <c r="DE93" s="39" t="s">
        <v>42</v>
      </c>
      <c r="DF93" s="39"/>
      <c r="DG93" s="2">
        <v>300.00990000000002</v>
      </c>
      <c r="DH93" s="2" t="str">
        <f>IF(AND(Table1[[#This Row],[Gurobi MZ1 Cost]]=Table1[[#This Row],[ORTools FZN2 Cost]],Table1[[#This Row],[ORTools FZN2 State]]="Optimal",Table1[[#This Row],[Gurobi MZ1 State]]="Suboptimal"),1,"")</f>
        <v/>
      </c>
      <c r="DI93" s="5" t="s">
        <v>42</v>
      </c>
      <c r="DJ93" s="2"/>
      <c r="DK93" s="2">
        <v>300.15800000000002</v>
      </c>
      <c r="DL93" s="4" t="str">
        <f>IF(AND(Table1[[#This Row],[Gurobi MZ2 Cost]]=Table1[[#This Row],[ORTools FZN2 Cost]],Table1[[#This Row],[ORTools FZN2 State]]="Optimal",Table1[[#This Row],[Gurobi MZ2 State]]="Suboptimal"),1,"")</f>
        <v/>
      </c>
      <c r="DM93" s="39" t="s">
        <v>26</v>
      </c>
      <c r="DN93" s="12">
        <v>1567984</v>
      </c>
      <c r="DO93" s="69">
        <v>300.03200000000101</v>
      </c>
      <c r="DP93" s="11">
        <f>IF(AND(Table1[[#This Row],[Cplex MC nonDual Cost]]=Table1[[#This Row],[ORTools FZN2 Cost]],Table1[[#This Row],[ORTools FZN2 State]]="Optimal",Table1[[#This Row],[Cplex MC nonDual State]]="Suboptimal"),1,"")</f>
        <v>1</v>
      </c>
      <c r="DQ93" s="5" t="s">
        <v>26</v>
      </c>
      <c r="DR93" s="2">
        <v>3344812</v>
      </c>
      <c r="DS93" s="2">
        <v>300.01740000000001</v>
      </c>
      <c r="DT93" s="2" t="str">
        <f>IF(AND(Table1[[#This Row],[Cplex MIP DM''z Cost]]=Table1[[#This Row],[ORTools FZN2 Cost]],Table1[[#This Row],[ORTools FZN2 State]]="Optimal",Table1[[#This Row],[Cplex MIP DM''z  State]]="Suboptimal"),1,"")</f>
        <v/>
      </c>
      <c r="DU9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3" s="5" t="s">
        <v>42</v>
      </c>
      <c r="DW93" s="2"/>
      <c r="DX93" s="2">
        <v>300.00810000000001</v>
      </c>
      <c r="DY93" s="4" t="str">
        <f>IF(AND(Table1[[#This Row],[Gurobi DM''z  Cost]]=Table1[[#This Row],[ORTools FZN2 Cost]],Table1[[#This Row],[ORTools FZN2 State]]="Optimal",Table1[[#This Row],[Gurobi DM''z  State]]="Suboptimal"),1,"")</f>
        <v/>
      </c>
      <c r="DZ9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4" spans="1:130" ht="15.75" x14ac:dyDescent="0.25">
      <c r="A94" s="46" t="s">
        <v>120</v>
      </c>
      <c r="B94" s="5">
        <v>64</v>
      </c>
      <c r="C94" s="2">
        <v>32</v>
      </c>
      <c r="D94" s="5">
        <v>546</v>
      </c>
      <c r="E94" s="2">
        <v>38</v>
      </c>
      <c r="F94" s="5">
        <v>46</v>
      </c>
      <c r="G94" s="2">
        <v>0</v>
      </c>
      <c r="H94" s="4">
        <f t="shared" si="1"/>
        <v>0</v>
      </c>
      <c r="I94" s="4">
        <f>Table1[[#This Row],[B]]+Table1[[#This Row],[Atomic Constraints]]+Table1[[#This Row],[Soft Atomic Constraints]]+Table1[[#This Row],[Disjunctive Constraints]]+Table1[[#This Row],[Direct Successors]]</f>
        <v>662</v>
      </c>
      <c r="J94" s="5" t="s">
        <v>26</v>
      </c>
      <c r="K94" s="2">
        <v>6896845</v>
      </c>
      <c r="L94" s="2">
        <v>302.97373750000003</v>
      </c>
      <c r="M94" s="2" t="str">
        <f>IF(AND(Table1[[#This Row],[Chuffed MZ1 Cost]]=Table1[[#This Row],[ORTools FZN2 Cost]],Table1[[#This Row],[ORTools FZN2 State]]="Optimal",Table1[[#This Row],[Chuffed MZ1 State]]="Suboptimal"),1,"")</f>
        <v/>
      </c>
      <c r="N94" s="5" t="s">
        <v>26</v>
      </c>
      <c r="O94" s="2">
        <v>7908497</v>
      </c>
      <c r="P94" s="2">
        <v>302.81677100000002</v>
      </c>
      <c r="Q94" s="2" t="str">
        <f>IF(AND(Table1[[#This Row],[Chuffed MZ2 Cost]]=Table1[[#This Row],[ORTools FZN2 Cost]],Table1[[#This Row],[ORTools FZN2 State]]="Optimal",Table1[[#This Row],[Chuffed MZ2 State]]="Suboptimal"),1,"")</f>
        <v/>
      </c>
      <c r="R94" s="6" t="s">
        <v>26</v>
      </c>
      <c r="S94" s="4">
        <v>2110352</v>
      </c>
      <c r="T94" s="4">
        <v>300.19299999999902</v>
      </c>
      <c r="U94" s="4"/>
      <c r="V94" s="5" t="s">
        <v>25</v>
      </c>
      <c r="W94" s="2">
        <v>2110350</v>
      </c>
      <c r="X94" s="2">
        <v>85.2151511</v>
      </c>
      <c r="Y94" s="2" t="str">
        <f>IF(AND(Table1[[#This Row],[ORTools FZN1 Cost]]=Table1[[#This Row],[ORTools FZN2 Cost]],Table1[[#This Row],[ORTools FZN2 State]]="Optimal",Table1[[#This Row],[ORTools FZN1 State]]="Suboptimal"),1,"")</f>
        <v/>
      </c>
      <c r="Z94" s="5" t="s">
        <v>25</v>
      </c>
      <c r="AA94" s="2">
        <v>2110350</v>
      </c>
      <c r="AB94" s="2">
        <v>96.535889499999996</v>
      </c>
      <c r="AC94" s="39" t="s">
        <v>42</v>
      </c>
      <c r="AD94" s="39">
        <v>-266305</v>
      </c>
      <c r="AE94" s="2">
        <v>300.15167919999999</v>
      </c>
      <c r="AF94" s="2" t="str">
        <f>IF(AND(Table1[[#This Row],[Cplex MB Cost]]=Table1[[#This Row],[ORTools FZN2 Cost]],Table1[[#This Row],[ORTools FZN2 State]]="Optimal",Table1[[#This Row],[Cplex MB State]]="Suboptimal"),1,"")</f>
        <v/>
      </c>
      <c r="AG94" s="4">
        <f>IF(AND(AC94="Optimal",AD94&lt;&gt;AA94,Table1[[#This Row],[Example]]&lt;&gt;"R001",Table1[[#This Row],[Example]]&lt;&gt;"R002"),AD94-AA94,)</f>
        <v>0</v>
      </c>
      <c r="AH94" s="5" t="s">
        <v>42</v>
      </c>
      <c r="AI94" s="2">
        <v>-266305</v>
      </c>
      <c r="AJ94" s="2">
        <v>300.51284989999999</v>
      </c>
      <c r="AK94" s="2" t="str">
        <f>IF(AND(Table1[[#This Row],[Cplex MD Cost]]=Table1[[#This Row],[ORTools FZN2 Cost]],Table1[[#This Row],[ORTools FZN2 State]]="Optimal",Table1[[#This Row],[Cplex MD State]]="Suboptimal"),1,"")</f>
        <v/>
      </c>
      <c r="AL94" s="4">
        <f>IF(AND(AH94="Optimal",AI94&lt;&gt;AA94,Table1[[#This Row],[Example]]&lt;&gt;"R001",Table1[[#This Row],[Example]]&lt;&gt;"R002"),AI94-AA94,)</f>
        <v>0</v>
      </c>
      <c r="AM94" s="39" t="s">
        <v>26</v>
      </c>
      <c r="AN94" s="39">
        <v>8452759</v>
      </c>
      <c r="AO94" s="2">
        <v>300.11949850000002</v>
      </c>
      <c r="AP9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4" s="4" t="str">
        <f>IF(AND(Table1[[#This Row],[Cplex MI Cost]]=Table1[[#This Row],[ORTools FZN2 Cost]],Table1[[#This Row],[ORTools FZN2 State]]="Optimal",Table1[[#This Row],[Cplex MI State]]="Suboptimal"),1,"")</f>
        <v/>
      </c>
      <c r="AR94" s="5" t="s">
        <v>42</v>
      </c>
      <c r="AS94" s="2">
        <v>-266305</v>
      </c>
      <c r="AT94" s="2">
        <v>300.06418200000002</v>
      </c>
      <c r="AU94" s="2" t="str">
        <f>IF(AND(Table1[[#This Row],[Z3 SMT2-1 Maxres Cost]]=Table1[[#This Row],[ORTools FZN2 Cost]],Table1[[#This Row],[ORTools FZN2 State]]="Optimal"),1,"")</f>
        <v/>
      </c>
      <c r="AV94" s="39" t="s">
        <v>42</v>
      </c>
      <c r="AW94" s="39">
        <v>-266305</v>
      </c>
      <c r="AX94" s="2">
        <v>300.0634518</v>
      </c>
      <c r="AY94" s="2" t="str">
        <f>IF(AND(Table1[[#This Row],[Z3 SMT2-1 PdMaxres Cost]]=Table1[[#This Row],[ORTools FZN2 Cost]],Table1[[#This Row],[ORTools FZN2 State]]="Optimal"),1,"")</f>
        <v/>
      </c>
      <c r="AZ94" s="5" t="s">
        <v>42</v>
      </c>
      <c r="BA94" s="2">
        <v>-266305</v>
      </c>
      <c r="BB94" s="39">
        <v>300.08055639999998</v>
      </c>
      <c r="BC94" s="39" t="str">
        <f>IF(AND(Table1[[#This Row],[Z3 SMT2-1 WMax Cost]]=Table1[[#This Row],[ORTools FZN2 Cost]],Table1[[#This Row],[ORTools FZN2 State]]="Optimal"),1,"")</f>
        <v/>
      </c>
      <c r="BD94" s="39" t="s">
        <v>42</v>
      </c>
      <c r="BE94" s="39">
        <v>-266305</v>
      </c>
      <c r="BF94" s="2">
        <v>300.05986139999999</v>
      </c>
      <c r="BG94" s="2" t="str">
        <f>IF(AND(Table1[[#This Row],[Z3 SMT2-2 Maxres Cost]]=Table1[[#This Row],[ORTools FZN2 Cost]],Table1[[#This Row],[ORTools FZN2 State]]="Optimal"),1,"")</f>
        <v/>
      </c>
      <c r="BH94" s="5" t="s">
        <v>42</v>
      </c>
      <c r="BI94" s="2">
        <v>-266305</v>
      </c>
      <c r="BJ94" s="39">
        <v>300.0588674</v>
      </c>
      <c r="BK94" s="39" t="str">
        <f>IF(AND(Table1[[#This Row],[Z3 SMT2-2 PdMaxres Cost]]=Table1[[#This Row],[ORTools FZN2 Cost]],Table1[[#This Row],[ORTools FZN2 State]]="Optimal"),1,"")</f>
        <v/>
      </c>
      <c r="BL94" s="39" t="s">
        <v>42</v>
      </c>
      <c r="BM94" s="39">
        <v>-266305</v>
      </c>
      <c r="BN94" s="2">
        <v>300.06829679999998</v>
      </c>
      <c r="BO94" s="4" t="str">
        <f>IF(AND(Table1[[#This Row],[Z3 SMT2-2 PdMaxres Cost]]=Table1[[#This Row],[ORTools FZN2 Cost]],Table1[[#This Row],[ORTools FZN2 State]]="Optimal"),1,"")</f>
        <v/>
      </c>
      <c r="BP94" s="5" t="s">
        <v>42</v>
      </c>
      <c r="BQ94" s="2">
        <v>-266305</v>
      </c>
      <c r="BR94" s="2">
        <v>300.17084349999999</v>
      </c>
      <c r="BS94" s="2" t="str">
        <f>IF(AND(Table1[[#This Row],[Gurobi MB Cost]]=Table1[[#This Row],[ORTools FZN2 Cost]],Table1[[#This Row],[ORTools FZN2 State]]="Optimal",Table1[[#This Row],[Gurobi MB State]]="Suboptimal"),1,"")</f>
        <v/>
      </c>
      <c r="BT9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4" s="5" t="s">
        <v>42</v>
      </c>
      <c r="BV94" s="2">
        <v>-266305</v>
      </c>
      <c r="BW94" s="2">
        <v>300.14541969999999</v>
      </c>
      <c r="BX94" s="2" t="str">
        <f>IF(AND(Table1[[#This Row],[Gurobi MD Cost]]=Table1[[#This Row],[ORTools FZN2 Cost]],Table1[[#This Row],[ORTools FZN2 State]]="Optimal",Table1[[#This Row],[Gurobi MD State]]="Suboptimal"),1,"")</f>
        <v/>
      </c>
      <c r="BY9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4" s="5" t="s">
        <v>42</v>
      </c>
      <c r="CA94" s="2">
        <v>-266305</v>
      </c>
      <c r="CB94" s="2">
        <v>300.18314329999998</v>
      </c>
      <c r="CC94" s="2" t="str">
        <f>IF(AND(Table1[[#This Row],[Gurobi MI Cost]]=Table1[[#This Row],[ORTools FZN2 Cost]],Table1[[#This Row],[ORTools FZN2 State]]="Optimal",Table1[[#This Row],[Gurobi MI State]]="Suboptimal"),1,"")</f>
        <v/>
      </c>
      <c r="CD9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4" s="39" t="s">
        <v>42</v>
      </c>
      <c r="CF94" s="2">
        <v>-266305</v>
      </c>
      <c r="CG94" s="39">
        <v>306.17721799999998</v>
      </c>
      <c r="CH94" s="39" t="s">
        <v>42</v>
      </c>
      <c r="CI94" s="39">
        <v>-266305</v>
      </c>
      <c r="CJ94" s="2">
        <v>306.18964979999998</v>
      </c>
      <c r="CK94" s="5" t="s">
        <v>26</v>
      </c>
      <c r="CL94" s="2">
        <v>2110352</v>
      </c>
      <c r="CM94" s="2">
        <v>300.17899999999798</v>
      </c>
      <c r="CN94" s="5" t="s">
        <v>26</v>
      </c>
      <c r="CO94" s="2">
        <v>7928723</v>
      </c>
      <c r="CP94" s="2">
        <v>302.82364949999999</v>
      </c>
      <c r="CQ94" s="5" t="s">
        <v>25</v>
      </c>
      <c r="CR94" s="2">
        <v>2110350</v>
      </c>
      <c r="CS94" s="2">
        <v>132.51951389999999</v>
      </c>
      <c r="CT94" s="6" t="s">
        <v>25</v>
      </c>
      <c r="CU94" s="4">
        <v>2110350</v>
      </c>
      <c r="CV94" s="4">
        <v>58.416386000000003</v>
      </c>
      <c r="CW94" s="39" t="s">
        <v>26</v>
      </c>
      <c r="CX94" s="39">
        <v>5285263</v>
      </c>
      <c r="CY94" s="2">
        <v>300.01769999999999</v>
      </c>
      <c r="CZ94" s="2" t="str">
        <f>IF(AND(Table1[[#This Row],[Cplex MZ1 Cost]]=Table1[[#This Row],[ORTools FZN2 Cost]],Table1[[#This Row],[ORTools FZN2 State]]="Optimal",Table1[[#This Row],[Cplex MZ1 State]]="Suboptimal"),1,"")</f>
        <v/>
      </c>
      <c r="DA94" s="5" t="s">
        <v>26</v>
      </c>
      <c r="DB94" s="2">
        <v>6592721</v>
      </c>
      <c r="DC94" s="2">
        <v>300.02679999999998</v>
      </c>
      <c r="DD94" s="2" t="str">
        <f>IF(AND(Table1[[#This Row],[Cplex MZ2 Cost]]=Table1[[#This Row],[ORTools FZN2 Cost]],Table1[[#This Row],[ORTools FZN2 State]]="Optimal",Table1[[#This Row],[Cplex MZ2 State]]="Suboptimal"),1,"")</f>
        <v/>
      </c>
      <c r="DE94" s="39" t="s">
        <v>42</v>
      </c>
      <c r="DF94" s="39"/>
      <c r="DG94" s="2">
        <v>300.5258</v>
      </c>
      <c r="DH94" s="2" t="str">
        <f>IF(AND(Table1[[#This Row],[Gurobi MZ1 Cost]]=Table1[[#This Row],[ORTools FZN2 Cost]],Table1[[#This Row],[ORTools FZN2 State]]="Optimal",Table1[[#This Row],[Gurobi MZ1 State]]="Suboptimal"),1,"")</f>
        <v/>
      </c>
      <c r="DI94" s="5" t="s">
        <v>42</v>
      </c>
      <c r="DJ94" s="2"/>
      <c r="DK94" s="2">
        <v>300.01150000000001</v>
      </c>
      <c r="DL94" s="4" t="str">
        <f>IF(AND(Table1[[#This Row],[Gurobi MZ2 Cost]]=Table1[[#This Row],[ORTools FZN2 Cost]],Table1[[#This Row],[ORTools FZN2 State]]="Optimal",Table1[[#This Row],[Gurobi MZ2 State]]="Suboptimal"),1,"")</f>
        <v/>
      </c>
      <c r="DM94" s="39" t="s">
        <v>26</v>
      </c>
      <c r="DN94" s="39">
        <v>2372238</v>
      </c>
      <c r="DO94" s="65">
        <v>300.05299999999897</v>
      </c>
      <c r="DP94" s="4" t="str">
        <f>IF(AND(Table1[[#This Row],[Cplex MC nonDual Cost]]=Table1[[#This Row],[ORTools FZN2 Cost]],Table1[[#This Row],[ORTools FZN2 State]]="Optimal",Table1[[#This Row],[Cplex MC nonDual State]]="Suboptimal"),1,"")</f>
        <v/>
      </c>
      <c r="DQ94" s="5" t="s">
        <v>26</v>
      </c>
      <c r="DR94" s="2">
        <v>6060053</v>
      </c>
      <c r="DS94" s="2">
        <v>300.02089999999998</v>
      </c>
      <c r="DT94" s="2" t="str">
        <f>IF(AND(Table1[[#This Row],[Cplex MIP DM''z Cost]]=Table1[[#This Row],[ORTools FZN2 Cost]],Table1[[#This Row],[ORTools FZN2 State]]="Optimal",Table1[[#This Row],[Cplex MIP DM''z  State]]="Suboptimal"),1,"")</f>
        <v/>
      </c>
      <c r="DU9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4" s="5" t="s">
        <v>42</v>
      </c>
      <c r="DW94" s="2"/>
      <c r="DX94" s="2">
        <v>300.06400000000002</v>
      </c>
      <c r="DY94" s="4" t="str">
        <f>IF(AND(Table1[[#This Row],[Gurobi DM''z  Cost]]=Table1[[#This Row],[ORTools FZN2 Cost]],Table1[[#This Row],[ORTools FZN2 State]]="Optimal",Table1[[#This Row],[Gurobi DM''z  State]]="Suboptimal"),1,"")</f>
        <v/>
      </c>
      <c r="DZ9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5" spans="1:130" ht="15.75" x14ac:dyDescent="0.25">
      <c r="A95" s="47" t="s">
        <v>121</v>
      </c>
      <c r="B95" s="5">
        <v>68</v>
      </c>
      <c r="C95" s="2">
        <v>34</v>
      </c>
      <c r="D95" s="5">
        <v>612</v>
      </c>
      <c r="E95" s="2">
        <v>40</v>
      </c>
      <c r="F95" s="5">
        <v>51</v>
      </c>
      <c r="G95" s="2">
        <v>0</v>
      </c>
      <c r="H95" s="4">
        <f t="shared" si="1"/>
        <v>0</v>
      </c>
      <c r="I95" s="4">
        <f>Table1[[#This Row],[B]]+Table1[[#This Row],[Atomic Constraints]]+Table1[[#This Row],[Soft Atomic Constraints]]+Table1[[#This Row],[Disjunctive Constraints]]+Table1[[#This Row],[Direct Successors]]</f>
        <v>737</v>
      </c>
      <c r="J95" s="5" t="s">
        <v>26</v>
      </c>
      <c r="K95" s="2">
        <v>10134545</v>
      </c>
      <c r="L95" s="2">
        <v>303.14688080000002</v>
      </c>
      <c r="M95" s="2" t="str">
        <f>IF(AND(Table1[[#This Row],[Chuffed MZ1 Cost]]=Table1[[#This Row],[ORTools FZN2 Cost]],Table1[[#This Row],[ORTools FZN2 State]]="Optimal",Table1[[#This Row],[Chuffed MZ1 State]]="Suboptimal"),1,"")</f>
        <v/>
      </c>
      <c r="N95" s="5" t="s">
        <v>26</v>
      </c>
      <c r="O95" s="2">
        <v>8543407</v>
      </c>
      <c r="P95" s="2">
        <v>303.14301469999998</v>
      </c>
      <c r="Q95" s="2" t="str">
        <f>IF(AND(Table1[[#This Row],[Chuffed MZ2 Cost]]=Table1[[#This Row],[ORTools FZN2 Cost]],Table1[[#This Row],[ORTools FZN2 State]]="Optimal",Table1[[#This Row],[Chuffed MZ2 State]]="Suboptimal"),1,"")</f>
        <v/>
      </c>
      <c r="R95" s="6" t="s">
        <v>26</v>
      </c>
      <c r="S95" s="4">
        <v>2856020</v>
      </c>
      <c r="T95" s="4">
        <v>300.13200000000001</v>
      </c>
      <c r="U95" s="4"/>
      <c r="V95" s="5" t="s">
        <v>25</v>
      </c>
      <c r="W95" s="2">
        <v>2851600</v>
      </c>
      <c r="X95" s="2">
        <v>120.2852558</v>
      </c>
      <c r="Y95" s="2" t="str">
        <f>IF(AND(Table1[[#This Row],[ORTools FZN1 Cost]]=Table1[[#This Row],[ORTools FZN2 Cost]],Table1[[#This Row],[ORTools FZN2 State]]="Optimal",Table1[[#This Row],[ORTools FZN1 State]]="Suboptimal"),1,"")</f>
        <v/>
      </c>
      <c r="Z95" s="5" t="s">
        <v>25</v>
      </c>
      <c r="AA95" s="2">
        <v>2851600</v>
      </c>
      <c r="AB95" s="2">
        <v>93.707402599999995</v>
      </c>
      <c r="AC95" s="39" t="s">
        <v>42</v>
      </c>
      <c r="AD95" s="39">
        <v>-319125</v>
      </c>
      <c r="AE95" s="2">
        <v>300.209024</v>
      </c>
      <c r="AF95" s="2" t="str">
        <f>IF(AND(Table1[[#This Row],[Cplex MB Cost]]=Table1[[#This Row],[ORTools FZN2 Cost]],Table1[[#This Row],[ORTools FZN2 State]]="Optimal",Table1[[#This Row],[Cplex MB State]]="Suboptimal"),1,"")</f>
        <v/>
      </c>
      <c r="AG95" s="4">
        <f>IF(AND(AC95="Optimal",AD95&lt;&gt;AA95,Table1[[#This Row],[Example]]&lt;&gt;"R001",Table1[[#This Row],[Example]]&lt;&gt;"R002"),AD95-AA95,)</f>
        <v>0</v>
      </c>
      <c r="AH95" s="5" t="s">
        <v>42</v>
      </c>
      <c r="AI95" s="2">
        <v>-319125</v>
      </c>
      <c r="AJ95" s="2">
        <v>300.73648730000002</v>
      </c>
      <c r="AK95" s="2" t="str">
        <f>IF(AND(Table1[[#This Row],[Cplex MD Cost]]=Table1[[#This Row],[ORTools FZN2 Cost]],Table1[[#This Row],[ORTools FZN2 State]]="Optimal",Table1[[#This Row],[Cplex MD State]]="Suboptimal"),1,"")</f>
        <v/>
      </c>
      <c r="AL95" s="4">
        <f>IF(AND(AH95="Optimal",AI95&lt;&gt;AA95,Table1[[#This Row],[Example]]&lt;&gt;"R001",Table1[[#This Row],[Example]]&lt;&gt;"R002"),AI95-AA95,)</f>
        <v>0</v>
      </c>
      <c r="AM95" s="39" t="s">
        <v>42</v>
      </c>
      <c r="AN95" s="39">
        <v>-319125</v>
      </c>
      <c r="AO95" s="2">
        <v>300.16300280000002</v>
      </c>
      <c r="AP9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5" s="4" t="str">
        <f>IF(AND(Table1[[#This Row],[Cplex MI Cost]]=Table1[[#This Row],[ORTools FZN2 Cost]],Table1[[#This Row],[ORTools FZN2 State]]="Optimal",Table1[[#This Row],[Cplex MI State]]="Suboptimal"),1,"")</f>
        <v/>
      </c>
      <c r="AR95" s="5" t="s">
        <v>42</v>
      </c>
      <c r="AS95" s="2">
        <v>-319125</v>
      </c>
      <c r="AT95" s="2">
        <v>300.06285509999998</v>
      </c>
      <c r="AU95" s="2" t="str">
        <f>IF(AND(Table1[[#This Row],[Z3 SMT2-1 Maxres Cost]]=Table1[[#This Row],[ORTools FZN2 Cost]],Table1[[#This Row],[ORTools FZN2 State]]="Optimal"),1,"")</f>
        <v/>
      </c>
      <c r="AV95" s="39" t="s">
        <v>42</v>
      </c>
      <c r="AW95" s="39">
        <v>-319125</v>
      </c>
      <c r="AX95" s="2">
        <v>300.0671183</v>
      </c>
      <c r="AY95" s="2" t="str">
        <f>IF(AND(Table1[[#This Row],[Z3 SMT2-1 PdMaxres Cost]]=Table1[[#This Row],[ORTools FZN2 Cost]],Table1[[#This Row],[ORTools FZN2 State]]="Optimal"),1,"")</f>
        <v/>
      </c>
      <c r="AZ95" s="5" t="s">
        <v>42</v>
      </c>
      <c r="BA95" s="2">
        <v>-319125</v>
      </c>
      <c r="BB95" s="39">
        <v>300.08088720000001</v>
      </c>
      <c r="BC95" s="39" t="str">
        <f>IF(AND(Table1[[#This Row],[Z3 SMT2-1 WMax Cost]]=Table1[[#This Row],[ORTools FZN2 Cost]],Table1[[#This Row],[ORTools FZN2 State]]="Optimal"),1,"")</f>
        <v/>
      </c>
      <c r="BD95" s="39" t="s">
        <v>42</v>
      </c>
      <c r="BE95" s="39">
        <v>-319125</v>
      </c>
      <c r="BF95" s="2">
        <v>300.06162469999998</v>
      </c>
      <c r="BG95" s="2" t="str">
        <f>IF(AND(Table1[[#This Row],[Z3 SMT2-2 Maxres Cost]]=Table1[[#This Row],[ORTools FZN2 Cost]],Table1[[#This Row],[ORTools FZN2 State]]="Optimal"),1,"")</f>
        <v/>
      </c>
      <c r="BH95" s="5" t="s">
        <v>42</v>
      </c>
      <c r="BI95" s="2">
        <v>-319125</v>
      </c>
      <c r="BJ95" s="39">
        <v>300.06405660000001</v>
      </c>
      <c r="BK95" s="39" t="str">
        <f>IF(AND(Table1[[#This Row],[Z3 SMT2-2 PdMaxres Cost]]=Table1[[#This Row],[ORTools FZN2 Cost]],Table1[[#This Row],[ORTools FZN2 State]]="Optimal"),1,"")</f>
        <v/>
      </c>
      <c r="BL95" s="39" t="s">
        <v>42</v>
      </c>
      <c r="BM95" s="39">
        <v>-319125</v>
      </c>
      <c r="BN95" s="2">
        <v>300.06256389999999</v>
      </c>
      <c r="BO95" s="4" t="str">
        <f>IF(AND(Table1[[#This Row],[Z3 SMT2-2 PdMaxres Cost]]=Table1[[#This Row],[ORTools FZN2 Cost]],Table1[[#This Row],[ORTools FZN2 State]]="Optimal"),1,"")</f>
        <v/>
      </c>
      <c r="BP95" s="5" t="s">
        <v>42</v>
      </c>
      <c r="BQ95" s="2">
        <v>-319125</v>
      </c>
      <c r="BR95" s="2">
        <v>300.7866123</v>
      </c>
      <c r="BS95" s="2" t="str">
        <f>IF(AND(Table1[[#This Row],[Gurobi MB Cost]]=Table1[[#This Row],[ORTools FZN2 Cost]],Table1[[#This Row],[ORTools FZN2 State]]="Optimal",Table1[[#This Row],[Gurobi MB State]]="Suboptimal"),1,"")</f>
        <v/>
      </c>
      <c r="BT9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5" s="5" t="s">
        <v>42</v>
      </c>
      <c r="BV95" s="2">
        <v>-319125</v>
      </c>
      <c r="BW95" s="2">
        <v>300.23581539999998</v>
      </c>
      <c r="BX95" s="2" t="str">
        <f>IF(AND(Table1[[#This Row],[Gurobi MD Cost]]=Table1[[#This Row],[ORTools FZN2 Cost]],Table1[[#This Row],[ORTools FZN2 State]]="Optimal",Table1[[#This Row],[Gurobi MD State]]="Suboptimal"),1,"")</f>
        <v/>
      </c>
      <c r="BY9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5" s="5" t="s">
        <v>42</v>
      </c>
      <c r="CA95" s="2">
        <v>-319125</v>
      </c>
      <c r="CB95" s="2">
        <v>300.0977421</v>
      </c>
      <c r="CC95" s="2" t="str">
        <f>IF(AND(Table1[[#This Row],[Gurobi MI Cost]]=Table1[[#This Row],[ORTools FZN2 Cost]],Table1[[#This Row],[ORTools FZN2 State]]="Optimal",Table1[[#This Row],[Gurobi MI State]]="Suboptimal"),1,"")</f>
        <v/>
      </c>
      <c r="CD9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5" s="39" t="s">
        <v>42</v>
      </c>
      <c r="CF95" s="2">
        <v>-319125</v>
      </c>
      <c r="CG95" s="39">
        <v>306.2239391</v>
      </c>
      <c r="CH95" s="39" t="s">
        <v>42</v>
      </c>
      <c r="CI95" s="39">
        <v>-319125</v>
      </c>
      <c r="CJ95" s="2">
        <v>306.28405529999998</v>
      </c>
      <c r="CK95" s="5" t="s">
        <v>26</v>
      </c>
      <c r="CL95" s="2">
        <v>2851600</v>
      </c>
      <c r="CM95" s="2">
        <v>300.11799999999999</v>
      </c>
      <c r="CN95" s="5" t="s">
        <v>26</v>
      </c>
      <c r="CO95" s="2">
        <v>8899724</v>
      </c>
      <c r="CP95" s="2">
        <v>303.13020160000002</v>
      </c>
      <c r="CQ95" s="5" t="s">
        <v>25</v>
      </c>
      <c r="CR95" s="2">
        <v>2851600</v>
      </c>
      <c r="CS95" s="2">
        <v>109.07494610000001</v>
      </c>
      <c r="CT95" s="6" t="s">
        <v>25</v>
      </c>
      <c r="CU95" s="4">
        <v>2851600</v>
      </c>
      <c r="CV95" s="4">
        <v>55.698944500000003</v>
      </c>
      <c r="CW95" s="39" t="s">
        <v>26</v>
      </c>
      <c r="CX95" s="39">
        <v>7263100</v>
      </c>
      <c r="CY95" s="2">
        <v>300.03440000000001</v>
      </c>
      <c r="CZ95" s="2" t="str">
        <f>IF(AND(Table1[[#This Row],[Cplex MZ1 Cost]]=Table1[[#This Row],[ORTools FZN2 Cost]],Table1[[#This Row],[ORTools FZN2 State]]="Optimal",Table1[[#This Row],[Cplex MZ1 State]]="Suboptimal"),1,"")</f>
        <v/>
      </c>
      <c r="DA95" s="5" t="s">
        <v>42</v>
      </c>
      <c r="DB95" s="2"/>
      <c r="DC95" s="2">
        <v>300.0258</v>
      </c>
      <c r="DD95" s="2" t="str">
        <f>IF(AND(Table1[[#This Row],[Cplex MZ2 Cost]]=Table1[[#This Row],[ORTools FZN2 Cost]],Table1[[#This Row],[ORTools FZN2 State]]="Optimal",Table1[[#This Row],[Cplex MZ2 State]]="Suboptimal"),1,"")</f>
        <v/>
      </c>
      <c r="DE95" s="39" t="s">
        <v>42</v>
      </c>
      <c r="DF95" s="39"/>
      <c r="DG95" s="2">
        <v>300.01420000000002</v>
      </c>
      <c r="DH95" s="2" t="str">
        <f>IF(AND(Table1[[#This Row],[Gurobi MZ1 Cost]]=Table1[[#This Row],[ORTools FZN2 Cost]],Table1[[#This Row],[ORTools FZN2 State]]="Optimal",Table1[[#This Row],[Gurobi MZ1 State]]="Suboptimal"),1,"")</f>
        <v/>
      </c>
      <c r="DI95" s="5" t="s">
        <v>42</v>
      </c>
      <c r="DJ95" s="2"/>
      <c r="DK95" s="2">
        <v>300.0385</v>
      </c>
      <c r="DL95" s="4" t="str">
        <f>IF(AND(Table1[[#This Row],[Gurobi MZ2 Cost]]=Table1[[#This Row],[ORTools FZN2 Cost]],Table1[[#This Row],[ORTools FZN2 State]]="Optimal",Table1[[#This Row],[Gurobi MZ2 State]]="Suboptimal"),1,"")</f>
        <v/>
      </c>
      <c r="DM95" s="39" t="s">
        <v>26</v>
      </c>
      <c r="DN95" s="39">
        <v>3170315</v>
      </c>
      <c r="DO95" s="65">
        <v>300.07400000000001</v>
      </c>
      <c r="DP95" s="4" t="str">
        <f>IF(AND(Table1[[#This Row],[Cplex MC nonDual Cost]]=Table1[[#This Row],[ORTools FZN2 Cost]],Table1[[#This Row],[ORTools FZN2 State]]="Optimal",Table1[[#This Row],[Cplex MC nonDual State]]="Suboptimal"),1,"")</f>
        <v/>
      </c>
      <c r="DQ95" s="5" t="s">
        <v>26</v>
      </c>
      <c r="DR95" s="2">
        <v>7915156</v>
      </c>
      <c r="DS95" s="2">
        <v>300.03949999999998</v>
      </c>
      <c r="DT95" s="2" t="str">
        <f>IF(AND(Table1[[#This Row],[Cplex MIP DM''z Cost]]=Table1[[#This Row],[ORTools FZN2 Cost]],Table1[[#This Row],[ORTools FZN2 State]]="Optimal",Table1[[#This Row],[Cplex MIP DM''z  State]]="Suboptimal"),1,"")</f>
        <v/>
      </c>
      <c r="DU9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5" s="5" t="s">
        <v>42</v>
      </c>
      <c r="DW95" s="2"/>
      <c r="DX95" s="2">
        <v>300.04480000000001</v>
      </c>
      <c r="DY95" s="4" t="str">
        <f>IF(AND(Table1[[#This Row],[Gurobi DM''z  Cost]]=Table1[[#This Row],[ORTools FZN2 Cost]],Table1[[#This Row],[ORTools FZN2 State]]="Optimal",Table1[[#This Row],[Gurobi DM''z  State]]="Suboptimal"),1,"")</f>
        <v/>
      </c>
      <c r="DZ9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6" spans="1:130" ht="15.75" x14ac:dyDescent="0.25">
      <c r="A96" s="46" t="s">
        <v>122</v>
      </c>
      <c r="B96" s="5">
        <v>26</v>
      </c>
      <c r="C96" s="2">
        <v>13</v>
      </c>
      <c r="D96" s="5">
        <v>42</v>
      </c>
      <c r="E96" s="2">
        <v>20</v>
      </c>
      <c r="F96" s="5">
        <v>19</v>
      </c>
      <c r="G96" s="2">
        <v>0</v>
      </c>
      <c r="H96" s="4">
        <f t="shared" si="1"/>
        <v>0</v>
      </c>
      <c r="I96" s="4">
        <f>Table1[[#This Row],[B]]+Table1[[#This Row],[Atomic Constraints]]+Table1[[#This Row],[Soft Atomic Constraints]]+Table1[[#This Row],[Disjunctive Constraints]]+Table1[[#This Row],[Direct Successors]]</f>
        <v>94</v>
      </c>
      <c r="J96" s="5" t="s">
        <v>25</v>
      </c>
      <c r="K96" s="2">
        <v>36955</v>
      </c>
      <c r="L96" s="2">
        <v>44.454564599999998</v>
      </c>
      <c r="M96" s="2" t="str">
        <f>IF(AND(Table1[[#This Row],[Chuffed MZ1 Cost]]=Table1[[#This Row],[ORTools FZN2 Cost]],Table1[[#This Row],[ORTools FZN2 State]]="Optimal",Table1[[#This Row],[Chuffed MZ1 State]]="Suboptimal"),1,"")</f>
        <v/>
      </c>
      <c r="N96" s="5" t="s">
        <v>25</v>
      </c>
      <c r="O96" s="2">
        <v>36955</v>
      </c>
      <c r="P96" s="2">
        <v>31.3197802</v>
      </c>
      <c r="Q96" s="2" t="str">
        <f>IF(AND(Table1[[#This Row],[Chuffed MZ2 Cost]]=Table1[[#This Row],[ORTools FZN2 Cost]],Table1[[#This Row],[ORTools FZN2 State]]="Optimal",Table1[[#This Row],[Chuffed MZ2 State]]="Suboptimal"),1,"")</f>
        <v/>
      </c>
      <c r="R96" s="5" t="s">
        <v>25</v>
      </c>
      <c r="S96" s="2">
        <v>36955</v>
      </c>
      <c r="T96" s="2">
        <v>1.49300000000039</v>
      </c>
      <c r="U96" s="2"/>
      <c r="V96" s="5" t="s">
        <v>25</v>
      </c>
      <c r="W96" s="2">
        <v>36955</v>
      </c>
      <c r="X96" s="2">
        <v>2.3592439000000001</v>
      </c>
      <c r="Y96" s="2" t="str">
        <f>IF(AND(Table1[[#This Row],[ORTools FZN1 Cost]]=Table1[[#This Row],[ORTools FZN2 Cost]],Table1[[#This Row],[ORTools FZN2 State]]="Optimal",Table1[[#This Row],[ORTools FZN1 State]]="Suboptimal"),1,"")</f>
        <v/>
      </c>
      <c r="Z96" s="5" t="s">
        <v>25</v>
      </c>
      <c r="AA96" s="2">
        <v>36955</v>
      </c>
      <c r="AB96" s="2">
        <v>1.5798144000000001</v>
      </c>
      <c r="AC96" s="39" t="s">
        <v>25</v>
      </c>
      <c r="AD96" s="39">
        <v>36955</v>
      </c>
      <c r="AE96" s="2">
        <v>84.088549999999998</v>
      </c>
      <c r="AF96" s="2" t="str">
        <f>IF(AND(Table1[[#This Row],[Cplex MB Cost]]=Table1[[#This Row],[ORTools FZN2 Cost]],Table1[[#This Row],[ORTools FZN2 State]]="Optimal",Table1[[#This Row],[Cplex MB State]]="Suboptimal"),1,"")</f>
        <v/>
      </c>
      <c r="AG96" s="4">
        <f>IF(AND(AC96="Optimal",AD96&lt;&gt;AA96,Table1[[#This Row],[Example]]&lt;&gt;"R001",Table1[[#This Row],[Example]]&lt;&gt;"R002"),AD96-AA96,)</f>
        <v>0</v>
      </c>
      <c r="AH96" s="5" t="s">
        <v>26</v>
      </c>
      <c r="AI96" s="2">
        <v>72781</v>
      </c>
      <c r="AJ96" s="2">
        <v>300.14176250000003</v>
      </c>
      <c r="AK96" s="2" t="str">
        <f>IF(AND(Table1[[#This Row],[Cplex MD Cost]]=Table1[[#This Row],[ORTools FZN2 Cost]],Table1[[#This Row],[ORTools FZN2 State]]="Optimal",Table1[[#This Row],[Cplex MD State]]="Suboptimal"),1,"")</f>
        <v/>
      </c>
      <c r="AL96" s="2">
        <f>IF(AND(AH96="Optimal",AI96&lt;&gt;AA96,Table1[[#This Row],[Example]]&lt;&gt;"R001",Table1[[#This Row],[Example]]&lt;&gt;"R002"),AI96-AA96,)</f>
        <v>0</v>
      </c>
      <c r="AM96" s="39" t="s">
        <v>26</v>
      </c>
      <c r="AN96" s="39">
        <v>55178</v>
      </c>
      <c r="AO96" s="2">
        <v>300.04417799999999</v>
      </c>
      <c r="AP9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6" s="4" t="str">
        <f>IF(AND(Table1[[#This Row],[Cplex MI Cost]]=Table1[[#This Row],[ORTools FZN2 Cost]],Table1[[#This Row],[ORTools FZN2 State]]="Optimal",Table1[[#This Row],[Cplex MI State]]="Suboptimal"),1,"")</f>
        <v/>
      </c>
      <c r="AR96" s="12" t="s">
        <v>26</v>
      </c>
      <c r="AS96" s="12">
        <v>36955</v>
      </c>
      <c r="AT96" s="12">
        <v>127.5768762</v>
      </c>
      <c r="AU96" s="12">
        <f>IF(AND(Table1[[#This Row],[Z3 SMT2-1 Maxres Cost]]=Table1[[#This Row],[ORTools FZN2 Cost]],Table1[[#This Row],[ORTools FZN2 State]]="Optimal"),1,"")</f>
        <v>1</v>
      </c>
      <c r="AV96" s="12" t="s">
        <v>26</v>
      </c>
      <c r="AW96" s="12">
        <v>36955</v>
      </c>
      <c r="AX96" s="12">
        <v>135.20333479999999</v>
      </c>
      <c r="AY96" s="12">
        <f>IF(AND(Table1[[#This Row],[Z3 SMT2-1 PdMaxres Cost]]=Table1[[#This Row],[ORTools FZN2 Cost]],Table1[[#This Row],[ORTools FZN2 State]]="Optimal"),1,"")</f>
        <v>1</v>
      </c>
      <c r="AZ96" s="12" t="s">
        <v>26</v>
      </c>
      <c r="BA96" s="12">
        <v>36955</v>
      </c>
      <c r="BB96" s="12">
        <v>154.20167079999999</v>
      </c>
      <c r="BC96" s="12">
        <f>IF(AND(Table1[[#This Row],[Z3 SMT2-1 WMax Cost]]=Table1[[#This Row],[ORTools FZN2 Cost]],Table1[[#This Row],[ORTools FZN2 State]]="Optimal"),1,"")</f>
        <v>1</v>
      </c>
      <c r="BD96" s="12" t="s">
        <v>26</v>
      </c>
      <c r="BE96" s="12">
        <v>36955</v>
      </c>
      <c r="BF96" s="12">
        <v>122.1395332</v>
      </c>
      <c r="BG96" s="12">
        <f>IF(AND(Table1[[#This Row],[Z3 SMT2-2 Maxres Cost]]=Table1[[#This Row],[ORTools FZN2 Cost]],Table1[[#This Row],[ORTools FZN2 State]]="Optimal"),1,"")</f>
        <v>1</v>
      </c>
      <c r="BH96" s="12" t="s">
        <v>26</v>
      </c>
      <c r="BI96" s="12">
        <v>36955</v>
      </c>
      <c r="BJ96" s="12">
        <v>121.8798176</v>
      </c>
      <c r="BK96" s="12">
        <f>IF(AND(Table1[[#This Row],[Z3 SMT2-2 PdMaxres Cost]]=Table1[[#This Row],[ORTools FZN2 Cost]],Table1[[#This Row],[ORTools FZN2 State]]="Optimal"),1,"")</f>
        <v>1</v>
      </c>
      <c r="BL96" s="12" t="s">
        <v>26</v>
      </c>
      <c r="BM96" s="12">
        <v>36955</v>
      </c>
      <c r="BN96" s="12">
        <v>121.1035553</v>
      </c>
      <c r="BO96" s="11">
        <f>IF(AND(Table1[[#This Row],[Z3 SMT2-2 PdMaxres Cost]]=Table1[[#This Row],[ORTools FZN2 Cost]],Table1[[#This Row],[ORTools FZN2 State]]="Optimal"),1,"")</f>
        <v>1</v>
      </c>
      <c r="BP96" s="5" t="s">
        <v>25</v>
      </c>
      <c r="BQ96" s="2">
        <v>36955</v>
      </c>
      <c r="BR96" s="2">
        <v>33.942298100000002</v>
      </c>
      <c r="BS96" s="2" t="str">
        <f>IF(AND(Table1[[#This Row],[Gurobi MB Cost]]=Table1[[#This Row],[ORTools FZN2 Cost]],Table1[[#This Row],[ORTools FZN2 State]]="Optimal",Table1[[#This Row],[Gurobi MB State]]="Suboptimal"),1,"")</f>
        <v/>
      </c>
      <c r="BT9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6" s="5" t="s">
        <v>25</v>
      </c>
      <c r="BV96" s="2">
        <v>36955</v>
      </c>
      <c r="BW96" s="2">
        <v>89.9502466</v>
      </c>
      <c r="BX96" s="2" t="str">
        <f>IF(AND(Table1[[#This Row],[Gurobi MD Cost]]=Table1[[#This Row],[ORTools FZN2 Cost]],Table1[[#This Row],[ORTools FZN2 State]]="Optimal",Table1[[#This Row],[Gurobi MD State]]="Suboptimal"),1,"")</f>
        <v/>
      </c>
      <c r="BY9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6" s="5" t="s">
        <v>25</v>
      </c>
      <c r="CA96" s="2">
        <v>36955</v>
      </c>
      <c r="CB96" s="2">
        <v>76.854126100000002</v>
      </c>
      <c r="CC96" s="2" t="str">
        <f>IF(AND(Table1[[#This Row],[Gurobi MI Cost]]=Table1[[#This Row],[ORTools FZN2 Cost]],Table1[[#This Row],[ORTools FZN2 State]]="Optimal",Table1[[#This Row],[Gurobi MI State]]="Suboptimal"),1,"")</f>
        <v/>
      </c>
      <c r="CD9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6" s="39" t="s">
        <v>42</v>
      </c>
      <c r="CF96" s="2">
        <v>-18279</v>
      </c>
      <c r="CG96" s="39">
        <v>306.05890090000003</v>
      </c>
      <c r="CH96" s="39" t="s">
        <v>42</v>
      </c>
      <c r="CI96" s="39">
        <v>-18279</v>
      </c>
      <c r="CJ96" s="2">
        <v>306.02489120000001</v>
      </c>
      <c r="CK96" s="5" t="s">
        <v>25</v>
      </c>
      <c r="CL96" s="2">
        <v>36955</v>
      </c>
      <c r="CM96" s="2">
        <v>1.39700000000084</v>
      </c>
      <c r="CN96" s="5" t="s">
        <v>25</v>
      </c>
      <c r="CO96" s="2">
        <v>36955</v>
      </c>
      <c r="CP96" s="2">
        <v>39.648372700000003</v>
      </c>
      <c r="CQ96" s="5" t="s">
        <v>25</v>
      </c>
      <c r="CR96" s="2">
        <v>36955</v>
      </c>
      <c r="CS96" s="2">
        <v>3.2760908</v>
      </c>
      <c r="CT96" s="6" t="s">
        <v>25</v>
      </c>
      <c r="CU96" s="4">
        <v>36955</v>
      </c>
      <c r="CV96" s="4">
        <v>2.8690289</v>
      </c>
      <c r="CW96" s="39" t="s">
        <v>25</v>
      </c>
      <c r="CX96" s="39">
        <v>36955</v>
      </c>
      <c r="CY96" s="2">
        <v>111.0673</v>
      </c>
      <c r="CZ96" s="2" t="str">
        <f>IF(AND(Table1[[#This Row],[Cplex MZ1 Cost]]=Table1[[#This Row],[ORTools FZN2 Cost]],Table1[[#This Row],[ORTools FZN2 State]]="Optimal",Table1[[#This Row],[Cplex MZ1 State]]="Suboptimal"),1,"")</f>
        <v/>
      </c>
      <c r="DA96" s="5" t="s">
        <v>25</v>
      </c>
      <c r="DB96" s="2">
        <v>36955</v>
      </c>
      <c r="DC96" s="2">
        <v>104.6789</v>
      </c>
      <c r="DD96" s="2" t="str">
        <f>IF(AND(Table1[[#This Row],[Cplex MZ2 Cost]]=Table1[[#This Row],[ORTools FZN2 Cost]],Table1[[#This Row],[ORTools FZN2 State]]="Optimal",Table1[[#This Row],[Cplex MZ2 State]]="Suboptimal"),1,"")</f>
        <v/>
      </c>
      <c r="DE96" s="39" t="s">
        <v>25</v>
      </c>
      <c r="DF96" s="39">
        <v>36955</v>
      </c>
      <c r="DG96" s="2">
        <v>142.40950000000001</v>
      </c>
      <c r="DH96" s="2" t="str">
        <f>IF(AND(Table1[[#This Row],[Gurobi MZ1 Cost]]=Table1[[#This Row],[ORTools FZN2 Cost]],Table1[[#This Row],[ORTools FZN2 State]]="Optimal",Table1[[#This Row],[Gurobi MZ1 State]]="Suboptimal"),1,"")</f>
        <v/>
      </c>
      <c r="DI96" s="5" t="s">
        <v>25</v>
      </c>
      <c r="DJ96" s="2">
        <v>36955</v>
      </c>
      <c r="DK96" s="2">
        <v>264.012</v>
      </c>
      <c r="DL96" s="4" t="str">
        <f>IF(AND(Table1[[#This Row],[Gurobi MZ2 Cost]]=Table1[[#This Row],[ORTools FZN2 Cost]],Table1[[#This Row],[ORTools FZN2 State]]="Optimal",Table1[[#This Row],[Gurobi MZ2 State]]="Suboptimal"),1,"")</f>
        <v/>
      </c>
      <c r="DM96" s="39" t="s">
        <v>25</v>
      </c>
      <c r="DN96" s="39">
        <v>36955</v>
      </c>
      <c r="DO96" s="65">
        <v>276.68499999999898</v>
      </c>
      <c r="DP96" s="4" t="str">
        <f>IF(AND(Table1[[#This Row],[Cplex MC nonDual Cost]]=Table1[[#This Row],[ORTools FZN2 Cost]],Table1[[#This Row],[ORTools FZN2 State]]="Optimal",Table1[[#This Row],[Cplex MC nonDual State]]="Suboptimal"),1,"")</f>
        <v/>
      </c>
      <c r="DQ96" s="5" t="s">
        <v>25</v>
      </c>
      <c r="DR96" s="2">
        <v>36955</v>
      </c>
      <c r="DS96" s="2">
        <v>134.8494</v>
      </c>
      <c r="DT96" s="2" t="str">
        <f>IF(AND(Table1[[#This Row],[Cplex MIP DM''z Cost]]=Table1[[#This Row],[ORTools FZN2 Cost]],Table1[[#This Row],[ORTools FZN2 State]]="Optimal",Table1[[#This Row],[Cplex MIP DM''z  State]]="Suboptimal"),1,"")</f>
        <v/>
      </c>
      <c r="DU9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6" s="5" t="s">
        <v>26</v>
      </c>
      <c r="DW96" s="2">
        <v>36955</v>
      </c>
      <c r="DX96" s="2">
        <v>299.99959999999999</v>
      </c>
      <c r="DY96" s="4">
        <f>IF(AND(Table1[[#This Row],[Gurobi DM''z  Cost]]=Table1[[#This Row],[ORTools FZN2 Cost]],Table1[[#This Row],[ORTools FZN2 State]]="Optimal",Table1[[#This Row],[Gurobi DM''z  State]]="Suboptimal"),1,"")</f>
        <v>1</v>
      </c>
      <c r="DZ9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7" spans="1:130" ht="15.75" x14ac:dyDescent="0.25">
      <c r="A97" s="47" t="s">
        <v>123</v>
      </c>
      <c r="B97" s="5">
        <v>26</v>
      </c>
      <c r="C97" s="2">
        <v>13</v>
      </c>
      <c r="D97" s="5">
        <v>38</v>
      </c>
      <c r="E97" s="2">
        <v>17</v>
      </c>
      <c r="F97" s="5">
        <v>14</v>
      </c>
      <c r="G97" s="2">
        <v>0</v>
      </c>
      <c r="H97" s="4">
        <f t="shared" si="1"/>
        <v>0</v>
      </c>
      <c r="I97" s="4">
        <f>Table1[[#This Row],[B]]+Table1[[#This Row],[Atomic Constraints]]+Table1[[#This Row],[Soft Atomic Constraints]]+Table1[[#This Row],[Disjunctive Constraints]]+Table1[[#This Row],[Direct Successors]]</f>
        <v>82</v>
      </c>
      <c r="J97" s="5" t="s">
        <v>25</v>
      </c>
      <c r="K97" s="2">
        <v>35986</v>
      </c>
      <c r="L97" s="2">
        <v>33.440005200000002</v>
      </c>
      <c r="M97" s="2" t="str">
        <f>IF(AND(Table1[[#This Row],[Chuffed MZ1 Cost]]=Table1[[#This Row],[ORTools FZN2 Cost]],Table1[[#This Row],[ORTools FZN2 State]]="Optimal",Table1[[#This Row],[Chuffed MZ1 State]]="Suboptimal"),1,"")</f>
        <v/>
      </c>
      <c r="N97" s="5" t="s">
        <v>25</v>
      </c>
      <c r="O97" s="2">
        <v>35986</v>
      </c>
      <c r="P97" s="2">
        <v>20.893127100000001</v>
      </c>
      <c r="Q97" s="2" t="str">
        <f>IF(AND(Table1[[#This Row],[Chuffed MZ2 Cost]]=Table1[[#This Row],[ORTools FZN2 Cost]],Table1[[#This Row],[ORTools FZN2 State]]="Optimal",Table1[[#This Row],[Chuffed MZ2 State]]="Suboptimal"),1,"")</f>
        <v/>
      </c>
      <c r="R97" s="6" t="s">
        <v>25</v>
      </c>
      <c r="S97" s="4">
        <v>35986</v>
      </c>
      <c r="T97" s="4">
        <v>33.968000000000799</v>
      </c>
      <c r="U97" s="4"/>
      <c r="V97" s="5" t="s">
        <v>25</v>
      </c>
      <c r="W97" s="2">
        <v>35986</v>
      </c>
      <c r="X97" s="2">
        <v>1.9497586</v>
      </c>
      <c r="Y97" s="2" t="str">
        <f>IF(AND(Table1[[#This Row],[ORTools FZN1 Cost]]=Table1[[#This Row],[ORTools FZN2 Cost]],Table1[[#This Row],[ORTools FZN2 State]]="Optimal",Table1[[#This Row],[ORTools FZN1 State]]="Suboptimal"),1,"")</f>
        <v/>
      </c>
      <c r="Z97" s="5" t="s">
        <v>25</v>
      </c>
      <c r="AA97" s="2">
        <v>35986</v>
      </c>
      <c r="AB97" s="2">
        <v>1.9972813</v>
      </c>
      <c r="AC97" s="39" t="s">
        <v>25</v>
      </c>
      <c r="AD97" s="39">
        <v>35986</v>
      </c>
      <c r="AE97" s="2">
        <v>55.932613799999999</v>
      </c>
      <c r="AF97" s="2" t="str">
        <f>IF(AND(Table1[[#This Row],[Cplex MB Cost]]=Table1[[#This Row],[ORTools FZN2 Cost]],Table1[[#This Row],[ORTools FZN2 State]]="Optimal",Table1[[#This Row],[Cplex MB State]]="Suboptimal"),1,"")</f>
        <v/>
      </c>
      <c r="AG97" s="4">
        <f>IF(AND(AC97="Optimal",AD97&lt;&gt;AA97,Table1[[#This Row],[Example]]&lt;&gt;"R001",Table1[[#This Row],[Example]]&lt;&gt;"R002"),AD97-AA97,)</f>
        <v>0</v>
      </c>
      <c r="AH97" s="5" t="s">
        <v>26</v>
      </c>
      <c r="AI97" s="2">
        <v>72049</v>
      </c>
      <c r="AJ97" s="2">
        <v>300.23925159999999</v>
      </c>
      <c r="AK97" s="2" t="str">
        <f>IF(AND(Table1[[#This Row],[Cplex MD Cost]]=Table1[[#This Row],[ORTools FZN2 Cost]],Table1[[#This Row],[ORTools FZN2 State]]="Optimal",Table1[[#This Row],[Cplex MD State]]="Suboptimal"),1,"")</f>
        <v/>
      </c>
      <c r="AL97" s="4">
        <f>IF(AND(AH97="Optimal",AI97&lt;&gt;AA97,Table1[[#This Row],[Example]]&lt;&gt;"R001",Table1[[#This Row],[Example]]&lt;&gt;"R002"),AI97-AA97,)</f>
        <v>0</v>
      </c>
      <c r="AM97" s="39" t="s">
        <v>26</v>
      </c>
      <c r="AN97" s="39">
        <v>35986</v>
      </c>
      <c r="AO97" s="2">
        <v>300.05137930000001</v>
      </c>
      <c r="AP9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7" s="4">
        <f>IF(AND(Table1[[#This Row],[Cplex MI Cost]]=Table1[[#This Row],[ORTools FZN2 Cost]],Table1[[#This Row],[ORTools FZN2 State]]="Optimal",Table1[[#This Row],[Cplex MI State]]="Suboptimal"),1,"")</f>
        <v>1</v>
      </c>
      <c r="AR97" s="12" t="s">
        <v>26</v>
      </c>
      <c r="AS97" s="12">
        <v>35986</v>
      </c>
      <c r="AT97" s="12">
        <v>137.39020769999999</v>
      </c>
      <c r="AU97" s="12">
        <f>IF(AND(Table1[[#This Row],[Z3 SMT2-1 Maxres Cost]]=Table1[[#This Row],[ORTools FZN2 Cost]],Table1[[#This Row],[ORTools FZN2 State]]="Optimal"),1,"")</f>
        <v>1</v>
      </c>
      <c r="AV97" s="12" t="s">
        <v>26</v>
      </c>
      <c r="AW97" s="12">
        <v>35986</v>
      </c>
      <c r="AX97" s="12">
        <v>143.22003599999999</v>
      </c>
      <c r="AY97" s="12">
        <f>IF(AND(Table1[[#This Row],[Z3 SMT2-1 PdMaxres Cost]]=Table1[[#This Row],[ORTools FZN2 Cost]],Table1[[#This Row],[ORTools FZN2 State]]="Optimal"),1,"")</f>
        <v>1</v>
      </c>
      <c r="AZ97" s="12" t="s">
        <v>26</v>
      </c>
      <c r="BA97" s="12">
        <v>35986</v>
      </c>
      <c r="BB97" s="12">
        <v>165.08834450000001</v>
      </c>
      <c r="BC97" s="12">
        <f>IF(AND(Table1[[#This Row],[Z3 SMT2-1 WMax Cost]]=Table1[[#This Row],[ORTools FZN2 Cost]],Table1[[#This Row],[ORTools FZN2 State]]="Optimal"),1,"")</f>
        <v>1</v>
      </c>
      <c r="BD97" s="12" t="s">
        <v>26</v>
      </c>
      <c r="BE97" s="12">
        <v>35986</v>
      </c>
      <c r="BF97" s="12">
        <v>73.896496600000006</v>
      </c>
      <c r="BG97" s="12">
        <f>IF(AND(Table1[[#This Row],[Z3 SMT2-2 Maxres Cost]]=Table1[[#This Row],[ORTools FZN2 Cost]],Table1[[#This Row],[ORTools FZN2 State]]="Optimal"),1,"")</f>
        <v>1</v>
      </c>
      <c r="BH97" s="12" t="s">
        <v>26</v>
      </c>
      <c r="BI97" s="12">
        <v>35986</v>
      </c>
      <c r="BJ97" s="12">
        <v>73.714756100000002</v>
      </c>
      <c r="BK97" s="12">
        <f>IF(AND(Table1[[#This Row],[Z3 SMT2-2 PdMaxres Cost]]=Table1[[#This Row],[ORTools FZN2 Cost]],Table1[[#This Row],[ORTools FZN2 State]]="Optimal"),1,"")</f>
        <v>1</v>
      </c>
      <c r="BL97" s="12" t="s">
        <v>26</v>
      </c>
      <c r="BM97" s="12">
        <v>35986</v>
      </c>
      <c r="BN97" s="12">
        <v>72.792775300000002</v>
      </c>
      <c r="BO97" s="11">
        <f>IF(AND(Table1[[#This Row],[Z3 SMT2-2 PdMaxres Cost]]=Table1[[#This Row],[ORTools FZN2 Cost]],Table1[[#This Row],[ORTools FZN2 State]]="Optimal"),1,"")</f>
        <v>1</v>
      </c>
      <c r="BP97" s="5" t="s">
        <v>25</v>
      </c>
      <c r="BQ97" s="2">
        <v>35986</v>
      </c>
      <c r="BR97" s="2">
        <v>62.252019599999997</v>
      </c>
      <c r="BS97" s="2" t="str">
        <f>IF(AND(Table1[[#This Row],[Gurobi MB Cost]]=Table1[[#This Row],[ORTools FZN2 Cost]],Table1[[#This Row],[ORTools FZN2 State]]="Optimal",Table1[[#This Row],[Gurobi MB State]]="Suboptimal"),1,"")</f>
        <v/>
      </c>
      <c r="BT9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7" s="5" t="s">
        <v>25</v>
      </c>
      <c r="BV97" s="2">
        <v>35986</v>
      </c>
      <c r="BW97" s="2">
        <v>164.74275639999999</v>
      </c>
      <c r="BX97" s="2" t="str">
        <f>IF(AND(Table1[[#This Row],[Gurobi MD Cost]]=Table1[[#This Row],[ORTools FZN2 Cost]],Table1[[#This Row],[ORTools FZN2 State]]="Optimal",Table1[[#This Row],[Gurobi MD State]]="Suboptimal"),1,"")</f>
        <v/>
      </c>
      <c r="BY9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7" s="5" t="s">
        <v>25</v>
      </c>
      <c r="CA97" s="2">
        <v>35986</v>
      </c>
      <c r="CB97" s="2">
        <v>49.016942</v>
      </c>
      <c r="CC97" s="2" t="str">
        <f>IF(AND(Table1[[#This Row],[Gurobi MI Cost]]=Table1[[#This Row],[ORTools FZN2 Cost]],Table1[[#This Row],[ORTools FZN2 State]]="Optimal",Table1[[#This Row],[Gurobi MI State]]="Suboptimal"),1,"")</f>
        <v/>
      </c>
      <c r="CD9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7" s="39" t="s">
        <v>42</v>
      </c>
      <c r="CF97" s="2">
        <v>-18279</v>
      </c>
      <c r="CG97" s="39">
        <v>306.02280660000002</v>
      </c>
      <c r="CH97" s="39" t="s">
        <v>42</v>
      </c>
      <c r="CI97" s="39">
        <v>-18279</v>
      </c>
      <c r="CJ97" s="2">
        <v>306.09046919999997</v>
      </c>
      <c r="CK97" s="5" t="s">
        <v>25</v>
      </c>
      <c r="CL97" s="2">
        <v>35986</v>
      </c>
      <c r="CM97" s="2">
        <v>5.1520000000000401</v>
      </c>
      <c r="CN97" s="5" t="s">
        <v>25</v>
      </c>
      <c r="CO97" s="2">
        <v>35986</v>
      </c>
      <c r="CP97" s="2">
        <v>10.812434400000001</v>
      </c>
      <c r="CQ97" s="5" t="s">
        <v>25</v>
      </c>
      <c r="CR97" s="2">
        <v>35986</v>
      </c>
      <c r="CS97" s="2">
        <v>3.703068</v>
      </c>
      <c r="CT97" s="6" t="s">
        <v>25</v>
      </c>
      <c r="CU97" s="4">
        <v>35986</v>
      </c>
      <c r="CV97" s="4">
        <v>3.0825222999999999</v>
      </c>
      <c r="CW97" s="39" t="s">
        <v>26</v>
      </c>
      <c r="CX97" s="12">
        <v>35986</v>
      </c>
      <c r="CY97" s="12">
        <v>300.01609999999999</v>
      </c>
      <c r="CZ97" s="12">
        <f>IF(AND(Table1[[#This Row],[Cplex MZ1 Cost]]=Table1[[#This Row],[ORTools FZN2 Cost]],Table1[[#This Row],[ORTools FZN2 State]]="Optimal",Table1[[#This Row],[Cplex MZ1 State]]="Suboptimal"),1,"")</f>
        <v>1</v>
      </c>
      <c r="DA97" s="5" t="s">
        <v>25</v>
      </c>
      <c r="DB97" s="2">
        <v>35986</v>
      </c>
      <c r="DC97" s="2">
        <v>200.29599999999999</v>
      </c>
      <c r="DD97" s="2" t="str">
        <f>IF(AND(Table1[[#This Row],[Cplex MZ2 Cost]]=Table1[[#This Row],[ORTools FZN2 Cost]],Table1[[#This Row],[ORTools FZN2 State]]="Optimal",Table1[[#This Row],[Cplex MZ2 State]]="Suboptimal"),1,"")</f>
        <v/>
      </c>
      <c r="DE97" s="12" t="s">
        <v>26</v>
      </c>
      <c r="DF97" s="12">
        <v>35986</v>
      </c>
      <c r="DG97" s="12">
        <v>300.00229999999999</v>
      </c>
      <c r="DH97" s="12">
        <f>IF(AND(Table1[[#This Row],[Gurobi MZ1 Cost]]=Table1[[#This Row],[ORTools FZN2 Cost]],Table1[[#This Row],[ORTools FZN2 State]]="Optimal",Table1[[#This Row],[Gurobi MZ1 State]]="Suboptimal"),1,"")</f>
        <v>1</v>
      </c>
      <c r="DI97" s="12" t="s">
        <v>26</v>
      </c>
      <c r="DJ97" s="12">
        <v>35986</v>
      </c>
      <c r="DK97" s="12">
        <v>300.00380000000001</v>
      </c>
      <c r="DL97" s="11">
        <f>IF(AND(Table1[[#This Row],[Gurobi MZ2 Cost]]=Table1[[#This Row],[ORTools FZN2 Cost]],Table1[[#This Row],[ORTools FZN2 State]]="Optimal",Table1[[#This Row],[Gurobi MZ2 State]]="Suboptimal"),1,"")</f>
        <v>1</v>
      </c>
      <c r="DM97" s="39" t="s">
        <v>25</v>
      </c>
      <c r="DN97" s="39">
        <v>35986</v>
      </c>
      <c r="DO97" s="65">
        <v>40.001000000000197</v>
      </c>
      <c r="DP97" s="4" t="str">
        <f>IF(AND(Table1[[#This Row],[Cplex MC nonDual Cost]]=Table1[[#This Row],[ORTools FZN2 Cost]],Table1[[#This Row],[ORTools FZN2 State]]="Optimal",Table1[[#This Row],[Cplex MC nonDual State]]="Suboptimal"),1,"")</f>
        <v/>
      </c>
      <c r="DQ97" s="5" t="s">
        <v>25</v>
      </c>
      <c r="DR97" s="2">
        <v>35986</v>
      </c>
      <c r="DS97" s="2">
        <v>200.83869999999999</v>
      </c>
      <c r="DT97" s="2" t="str">
        <f>IF(AND(Table1[[#This Row],[Cplex MIP DM''z Cost]]=Table1[[#This Row],[ORTools FZN2 Cost]],Table1[[#This Row],[ORTools FZN2 State]]="Optimal",Table1[[#This Row],[Cplex MIP DM''z  State]]="Suboptimal"),1,"")</f>
        <v/>
      </c>
      <c r="DU9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7" s="5" t="s">
        <v>25</v>
      </c>
      <c r="DW97" s="2">
        <v>35986</v>
      </c>
      <c r="DX97" s="2">
        <v>121.3479</v>
      </c>
      <c r="DY97" s="4" t="str">
        <f>IF(AND(Table1[[#This Row],[Gurobi DM''z  Cost]]=Table1[[#This Row],[ORTools FZN2 Cost]],Table1[[#This Row],[ORTools FZN2 State]]="Optimal",Table1[[#This Row],[Gurobi DM''z  State]]="Suboptimal"),1,"")</f>
        <v/>
      </c>
      <c r="DZ9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8" spans="1:130" ht="15.75" x14ac:dyDescent="0.25">
      <c r="A98" s="46" t="s">
        <v>124</v>
      </c>
      <c r="B98" s="5">
        <v>26</v>
      </c>
      <c r="C98" s="2">
        <v>13</v>
      </c>
      <c r="D98" s="5">
        <v>25</v>
      </c>
      <c r="E98" s="2">
        <v>19</v>
      </c>
      <c r="F98" s="5">
        <v>15</v>
      </c>
      <c r="G98" s="2">
        <v>0</v>
      </c>
      <c r="H98" s="4">
        <f t="shared" si="1"/>
        <v>0</v>
      </c>
      <c r="I98" s="4">
        <f>Table1[[#This Row],[B]]+Table1[[#This Row],[Atomic Constraints]]+Table1[[#This Row],[Soft Atomic Constraints]]+Table1[[#This Row],[Disjunctive Constraints]]+Table1[[#This Row],[Direct Successors]]</f>
        <v>72</v>
      </c>
      <c r="J98" s="5" t="s">
        <v>25</v>
      </c>
      <c r="K98" s="2">
        <v>8</v>
      </c>
      <c r="L98" s="2">
        <v>3.3486861999999999</v>
      </c>
      <c r="M98" s="2" t="str">
        <f>IF(AND(Table1[[#This Row],[Chuffed MZ1 Cost]]=Table1[[#This Row],[ORTools FZN2 Cost]],Table1[[#This Row],[ORTools FZN2 State]]="Optimal",Table1[[#This Row],[Chuffed MZ1 State]]="Suboptimal"),1,"")</f>
        <v/>
      </c>
      <c r="N98" s="5" t="s">
        <v>25</v>
      </c>
      <c r="O98" s="2">
        <v>8</v>
      </c>
      <c r="P98" s="2">
        <v>1.5839201000000001</v>
      </c>
      <c r="Q98" s="2" t="str">
        <f>IF(AND(Table1[[#This Row],[Chuffed MZ2 Cost]]=Table1[[#This Row],[ORTools FZN2 Cost]],Table1[[#This Row],[ORTools FZN2 State]]="Optimal",Table1[[#This Row],[Chuffed MZ2 State]]="Suboptimal"),1,"")</f>
        <v/>
      </c>
      <c r="R98" s="5" t="s">
        <v>25</v>
      </c>
      <c r="S98" s="2">
        <v>8</v>
      </c>
      <c r="T98" s="2">
        <v>0.91699999999946202</v>
      </c>
      <c r="U98" s="2"/>
      <c r="V98" s="5" t="s">
        <v>25</v>
      </c>
      <c r="W98" s="2">
        <v>8</v>
      </c>
      <c r="X98" s="2">
        <v>2.3547742</v>
      </c>
      <c r="Y98" s="2" t="str">
        <f>IF(AND(Table1[[#This Row],[ORTools FZN1 Cost]]=Table1[[#This Row],[ORTools FZN2 Cost]],Table1[[#This Row],[ORTools FZN2 State]]="Optimal",Table1[[#This Row],[ORTools FZN1 State]]="Suboptimal"),1,"")</f>
        <v/>
      </c>
      <c r="Z98" s="5" t="s">
        <v>25</v>
      </c>
      <c r="AA98" s="2">
        <v>8</v>
      </c>
      <c r="AB98" s="2">
        <v>1.9769895</v>
      </c>
      <c r="AC98" s="39" t="s">
        <v>25</v>
      </c>
      <c r="AD98" s="39">
        <v>8</v>
      </c>
      <c r="AE98" s="2">
        <v>4.944801</v>
      </c>
      <c r="AF98" s="2" t="str">
        <f>IF(AND(Table1[[#This Row],[Cplex MB Cost]]=Table1[[#This Row],[ORTools FZN2 Cost]],Table1[[#This Row],[ORTools FZN2 State]]="Optimal",Table1[[#This Row],[Cplex MB State]]="Suboptimal"),1,"")</f>
        <v/>
      </c>
      <c r="AG98" s="4">
        <f>IF(AND(AC98="Optimal",AD98&lt;&gt;AA98,Table1[[#This Row],[Example]]&lt;&gt;"R001",Table1[[#This Row],[Example]]&lt;&gt;"R002"),AD98-AA98,)</f>
        <v>0</v>
      </c>
      <c r="AH98" s="5" t="s">
        <v>26</v>
      </c>
      <c r="AI98" s="2">
        <v>54267</v>
      </c>
      <c r="AJ98" s="2">
        <v>300.22789130000001</v>
      </c>
      <c r="AK98" s="2" t="str">
        <f>IF(AND(Table1[[#This Row],[Cplex MD Cost]]=Table1[[#This Row],[ORTools FZN2 Cost]],Table1[[#This Row],[ORTools FZN2 State]]="Optimal",Table1[[#This Row],[Cplex MD State]]="Suboptimal"),1,"")</f>
        <v/>
      </c>
      <c r="AL98" s="2">
        <f>IF(AND(AH98="Optimal",AI98&lt;&gt;AA98,Table1[[#This Row],[Example]]&lt;&gt;"R001",Table1[[#This Row],[Example]]&lt;&gt;"R002"),AI98-AA98,)</f>
        <v>0</v>
      </c>
      <c r="AM98" s="39" t="s">
        <v>25</v>
      </c>
      <c r="AN98" s="39">
        <v>8</v>
      </c>
      <c r="AO98" s="2">
        <v>3.5939945</v>
      </c>
      <c r="AP9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8" s="4" t="str">
        <f>IF(AND(Table1[[#This Row],[Cplex MI Cost]]=Table1[[#This Row],[ORTools FZN2 Cost]],Table1[[#This Row],[ORTools FZN2 State]]="Optimal",Table1[[#This Row],[Cplex MI State]]="Suboptimal"),1,"")</f>
        <v/>
      </c>
      <c r="AR98" s="12" t="s">
        <v>26</v>
      </c>
      <c r="AS98" s="12">
        <v>8</v>
      </c>
      <c r="AT98" s="12">
        <v>195.51012539999999</v>
      </c>
      <c r="AU98" s="12">
        <f>IF(AND(Table1[[#This Row],[Z3 SMT2-1 Maxres Cost]]=Table1[[#This Row],[ORTools FZN2 Cost]],Table1[[#This Row],[ORTools FZN2 State]]="Optimal"),1,"")</f>
        <v>1</v>
      </c>
      <c r="AV98" s="12" t="s">
        <v>26</v>
      </c>
      <c r="AW98" s="12">
        <v>8</v>
      </c>
      <c r="AX98" s="12">
        <v>206.39134089999999</v>
      </c>
      <c r="AY98" s="12">
        <f>IF(AND(Table1[[#This Row],[Z3 SMT2-1 PdMaxres Cost]]=Table1[[#This Row],[ORTools FZN2 Cost]],Table1[[#This Row],[ORTools FZN2 State]]="Optimal"),1,"")</f>
        <v>1</v>
      </c>
      <c r="AZ98" s="12" t="s">
        <v>26</v>
      </c>
      <c r="BA98" s="12">
        <v>8</v>
      </c>
      <c r="BB98" s="12">
        <v>234.31224219999999</v>
      </c>
      <c r="BC98" s="12">
        <f>IF(AND(Table1[[#This Row],[Z3 SMT2-1 WMax Cost]]=Table1[[#This Row],[ORTools FZN2 Cost]],Table1[[#This Row],[ORTools FZN2 State]]="Optimal"),1,"")</f>
        <v>1</v>
      </c>
      <c r="BD98" s="12" t="s">
        <v>26</v>
      </c>
      <c r="BE98" s="12">
        <v>8</v>
      </c>
      <c r="BF98" s="12">
        <v>98.066321799999997</v>
      </c>
      <c r="BG98" s="12">
        <f>IF(AND(Table1[[#This Row],[Z3 SMT2-2 Maxres Cost]]=Table1[[#This Row],[ORTools FZN2 Cost]],Table1[[#This Row],[ORTools FZN2 State]]="Optimal"),1,"")</f>
        <v>1</v>
      </c>
      <c r="BH98" s="12" t="s">
        <v>26</v>
      </c>
      <c r="BI98" s="12">
        <v>8</v>
      </c>
      <c r="BJ98" s="12">
        <v>96.712949600000002</v>
      </c>
      <c r="BK98" s="12">
        <f>IF(AND(Table1[[#This Row],[Z3 SMT2-2 PdMaxres Cost]]=Table1[[#This Row],[ORTools FZN2 Cost]],Table1[[#This Row],[ORTools FZN2 State]]="Optimal"),1,"")</f>
        <v>1</v>
      </c>
      <c r="BL98" s="12" t="s">
        <v>26</v>
      </c>
      <c r="BM98" s="12">
        <v>8</v>
      </c>
      <c r="BN98" s="12">
        <v>96.869864399999997</v>
      </c>
      <c r="BO98" s="11">
        <f>IF(AND(Table1[[#This Row],[Z3 SMT2-2 PdMaxres Cost]]=Table1[[#This Row],[ORTools FZN2 Cost]],Table1[[#This Row],[ORTools FZN2 State]]="Optimal"),1,"")</f>
        <v>1</v>
      </c>
      <c r="BP98" s="5" t="s">
        <v>25</v>
      </c>
      <c r="BQ98" s="2">
        <v>8</v>
      </c>
      <c r="BR98" s="2">
        <v>16.246440799999998</v>
      </c>
      <c r="BS98" s="2" t="str">
        <f>IF(AND(Table1[[#This Row],[Gurobi MB Cost]]=Table1[[#This Row],[ORTools FZN2 Cost]],Table1[[#This Row],[ORTools FZN2 State]]="Optimal",Table1[[#This Row],[Gurobi MB State]]="Suboptimal"),1,"")</f>
        <v/>
      </c>
      <c r="BT9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8" s="5" t="s">
        <v>25</v>
      </c>
      <c r="BV98" s="2">
        <v>8</v>
      </c>
      <c r="BW98" s="2">
        <v>42.535833799999999</v>
      </c>
      <c r="BX98" s="2" t="str">
        <f>IF(AND(Table1[[#This Row],[Gurobi MD Cost]]=Table1[[#This Row],[ORTools FZN2 Cost]],Table1[[#This Row],[ORTools FZN2 State]]="Optimal",Table1[[#This Row],[Gurobi MD State]]="Suboptimal"),1,"")</f>
        <v/>
      </c>
      <c r="BY9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8" s="5" t="s">
        <v>25</v>
      </c>
      <c r="CA98" s="2">
        <v>8</v>
      </c>
      <c r="CB98" s="2">
        <v>6.8140362000000003</v>
      </c>
      <c r="CC98" s="2" t="str">
        <f>IF(AND(Table1[[#This Row],[Gurobi MI Cost]]=Table1[[#This Row],[ORTools FZN2 Cost]],Table1[[#This Row],[ORTools FZN2 State]]="Optimal",Table1[[#This Row],[Gurobi MI State]]="Suboptimal"),1,"")</f>
        <v/>
      </c>
      <c r="CD9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8" s="39" t="s">
        <v>42</v>
      </c>
      <c r="CF98" s="2">
        <v>-18279</v>
      </c>
      <c r="CG98" s="39">
        <v>306.03085370000002</v>
      </c>
      <c r="CH98" s="39" t="s">
        <v>42</v>
      </c>
      <c r="CI98" s="39">
        <v>-18279</v>
      </c>
      <c r="CJ98" s="2">
        <v>306.10270079999998</v>
      </c>
      <c r="CK98" s="5" t="s">
        <v>25</v>
      </c>
      <c r="CL98" s="2">
        <v>8</v>
      </c>
      <c r="CM98" s="2">
        <v>1.11999999999898</v>
      </c>
      <c r="CN98" s="5" t="s">
        <v>25</v>
      </c>
      <c r="CO98" s="2">
        <v>8</v>
      </c>
      <c r="CP98" s="2">
        <v>10.9449729</v>
      </c>
      <c r="CQ98" s="5" t="s">
        <v>25</v>
      </c>
      <c r="CR98" s="2">
        <v>8</v>
      </c>
      <c r="CS98" s="2">
        <v>3.2063030000000001</v>
      </c>
      <c r="CT98" s="6" t="s">
        <v>25</v>
      </c>
      <c r="CU98" s="4">
        <v>8</v>
      </c>
      <c r="CV98" s="4">
        <v>2.4742663</v>
      </c>
      <c r="CW98" s="39" t="s">
        <v>25</v>
      </c>
      <c r="CX98" s="39">
        <v>8</v>
      </c>
      <c r="CY98" s="2">
        <v>186.41300000000001</v>
      </c>
      <c r="CZ98" s="2" t="str">
        <f>IF(AND(Table1[[#This Row],[Cplex MZ1 Cost]]=Table1[[#This Row],[ORTools FZN2 Cost]],Table1[[#This Row],[ORTools FZN2 State]]="Optimal",Table1[[#This Row],[Cplex MZ1 State]]="Suboptimal"),1,"")</f>
        <v/>
      </c>
      <c r="DA98" s="5" t="s">
        <v>25</v>
      </c>
      <c r="DB98" s="2">
        <v>8</v>
      </c>
      <c r="DC98" s="2">
        <v>89.367800000000003</v>
      </c>
      <c r="DD98" s="2" t="str">
        <f>IF(AND(Table1[[#This Row],[Cplex MZ2 Cost]]=Table1[[#This Row],[ORTools FZN2 Cost]],Table1[[#This Row],[ORTools FZN2 State]]="Optimal",Table1[[#This Row],[Cplex MZ2 State]]="Suboptimal"),1,"")</f>
        <v/>
      </c>
      <c r="DE98" s="12" t="s">
        <v>26</v>
      </c>
      <c r="DF98" s="12">
        <v>8</v>
      </c>
      <c r="DG98" s="12">
        <v>300.00420000000003</v>
      </c>
      <c r="DH98" s="12">
        <f>IF(AND(Table1[[#This Row],[Gurobi MZ1 Cost]]=Table1[[#This Row],[ORTools FZN2 Cost]],Table1[[#This Row],[ORTools FZN2 State]]="Optimal",Table1[[#This Row],[Gurobi MZ1 State]]="Suboptimal"),1,"")</f>
        <v>1</v>
      </c>
      <c r="DI98" s="5" t="s">
        <v>26</v>
      </c>
      <c r="DJ98" s="2">
        <v>18307</v>
      </c>
      <c r="DK98" s="2">
        <v>300.00319999999999</v>
      </c>
      <c r="DL98" s="4" t="str">
        <f>IF(AND(Table1[[#This Row],[Gurobi MZ2 Cost]]=Table1[[#This Row],[ORTools FZN2 Cost]],Table1[[#This Row],[ORTools FZN2 State]]="Optimal",Table1[[#This Row],[Gurobi MZ2 State]]="Suboptimal"),1,"")</f>
        <v/>
      </c>
      <c r="DM98" s="39" t="s">
        <v>25</v>
      </c>
      <c r="DN98" s="39">
        <v>8</v>
      </c>
      <c r="DO98" s="65">
        <v>6.6119999999991697</v>
      </c>
      <c r="DP98" s="4" t="str">
        <f>IF(AND(Table1[[#This Row],[Cplex MC nonDual Cost]]=Table1[[#This Row],[ORTools FZN2 Cost]],Table1[[#This Row],[ORTools FZN2 State]]="Optimal",Table1[[#This Row],[Cplex MC nonDual State]]="Suboptimal"),1,"")</f>
        <v/>
      </c>
      <c r="DQ98" s="5" t="s">
        <v>25</v>
      </c>
      <c r="DR98" s="2">
        <v>8</v>
      </c>
      <c r="DS98" s="2">
        <v>244.7011</v>
      </c>
      <c r="DT98" s="2" t="str">
        <f>IF(AND(Table1[[#This Row],[Cplex MIP DM''z Cost]]=Table1[[#This Row],[ORTools FZN2 Cost]],Table1[[#This Row],[ORTools FZN2 State]]="Optimal",Table1[[#This Row],[Cplex MIP DM''z  State]]="Suboptimal"),1,"")</f>
        <v/>
      </c>
      <c r="DU9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8" s="5" t="s">
        <v>25</v>
      </c>
      <c r="DW98" s="2">
        <v>8</v>
      </c>
      <c r="DX98" s="2">
        <v>49.701799999999999</v>
      </c>
      <c r="DY98" s="4" t="str">
        <f>IF(AND(Table1[[#This Row],[Gurobi DM''z  Cost]]=Table1[[#This Row],[ORTools FZN2 Cost]],Table1[[#This Row],[ORTools FZN2 State]]="Optimal",Table1[[#This Row],[Gurobi DM''z  State]]="Suboptimal"),1,"")</f>
        <v/>
      </c>
      <c r="DZ9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99" spans="1:130" x14ac:dyDescent="0.25">
      <c r="A99" s="52" t="s">
        <v>125</v>
      </c>
      <c r="B99" s="5">
        <v>26</v>
      </c>
      <c r="C99" s="2">
        <v>6</v>
      </c>
      <c r="D99" s="5">
        <v>89</v>
      </c>
      <c r="E99" s="2">
        <v>19</v>
      </c>
      <c r="F99" s="5">
        <v>11</v>
      </c>
      <c r="G99" s="2">
        <v>4</v>
      </c>
      <c r="H99" s="4">
        <f t="shared" si="1"/>
        <v>14</v>
      </c>
      <c r="I99" s="4">
        <f>Table1[[#This Row],[B]]+Table1[[#This Row],[Atomic Constraints]]+Table1[[#This Row],[Soft Atomic Constraints]]+Table1[[#This Row],[Disjunctive Constraints]]+Table1[[#This Row],[Direct Successors]]</f>
        <v>129</v>
      </c>
      <c r="J99" s="5" t="s">
        <v>77</v>
      </c>
      <c r="K99" s="2">
        <v>-18279</v>
      </c>
      <c r="L99" s="2">
        <v>0.64704550000000005</v>
      </c>
      <c r="M99" s="2" t="str">
        <f>IF(AND(Table1[[#This Row],[Chuffed MZ1 Cost]]=Table1[[#This Row],[ORTools FZN2 Cost]],Table1[[#This Row],[ORTools FZN2 State]]="Optimal",Table1[[#This Row],[Chuffed MZ1 State]]="Suboptimal"),1,"")</f>
        <v/>
      </c>
      <c r="N99" s="5" t="s">
        <v>77</v>
      </c>
      <c r="O99" s="2">
        <v>-18279</v>
      </c>
      <c r="P99" s="2">
        <v>0.64846499999999996</v>
      </c>
      <c r="Q99" s="2" t="str">
        <f>IF(AND(Table1[[#This Row],[Chuffed MZ2 Cost]]=Table1[[#This Row],[ORTools FZN2 Cost]],Table1[[#This Row],[ORTools FZN2 State]]="Optimal",Table1[[#This Row],[Chuffed MZ2 State]]="Suboptimal"),1,"")</f>
        <v/>
      </c>
      <c r="R99" s="5" t="s">
        <v>77</v>
      </c>
      <c r="S99" s="2">
        <v>-18279</v>
      </c>
      <c r="T99" s="2">
        <v>9.6999999999752604E-2</v>
      </c>
      <c r="U99" s="2"/>
      <c r="V99" s="5" t="s">
        <v>77</v>
      </c>
      <c r="W99" s="2">
        <v>-18279</v>
      </c>
      <c r="X99" s="2">
        <v>0.12530530000000001</v>
      </c>
      <c r="Y99" s="2" t="str">
        <f>IF(AND(Table1[[#This Row],[ORTools FZN1 Cost]]=Table1[[#This Row],[ORTools FZN2 Cost]],Table1[[#This Row],[ORTools FZN2 State]]="Optimal",Table1[[#This Row],[ORTools FZN1 State]]="Suboptimal"),1,"")</f>
        <v/>
      </c>
      <c r="Z99" s="5" t="s">
        <v>77</v>
      </c>
      <c r="AA99" s="2">
        <v>-18279</v>
      </c>
      <c r="AB99" s="2">
        <v>0.12097339999999999</v>
      </c>
      <c r="AC99" s="39" t="s">
        <v>77</v>
      </c>
      <c r="AD99" s="39">
        <v>-18279</v>
      </c>
      <c r="AE99" s="2">
        <v>5.5985800000000002E-2</v>
      </c>
      <c r="AF99" s="2" t="str">
        <f>IF(AND(Table1[[#This Row],[Cplex MB Cost]]=Table1[[#This Row],[ORTools FZN2 Cost]],Table1[[#This Row],[ORTools FZN2 State]]="Optimal",Table1[[#This Row],[Cplex MB State]]="Suboptimal"),1,"")</f>
        <v/>
      </c>
      <c r="AG99" s="4">
        <f>IF(AND(AC99="Optimal",AD99&lt;&gt;AA99,Table1[[#This Row],[Example]]&lt;&gt;"R001",Table1[[#This Row],[Example]]&lt;&gt;"R002"),AD99-AA99,)</f>
        <v>0</v>
      </c>
      <c r="AH99" s="5" t="s">
        <v>77</v>
      </c>
      <c r="AI99" s="2">
        <v>-18279</v>
      </c>
      <c r="AJ99" s="2">
        <v>0.55514889999999995</v>
      </c>
      <c r="AK99" s="2" t="str">
        <f>IF(AND(Table1[[#This Row],[Cplex MD Cost]]=Table1[[#This Row],[ORTools FZN2 Cost]],Table1[[#This Row],[ORTools FZN2 State]]="Optimal",Table1[[#This Row],[Cplex MD State]]="Suboptimal"),1,"")</f>
        <v/>
      </c>
      <c r="AL99" s="4">
        <f>IF(AND(AH99="Optimal",AI99&lt;&gt;AA99,Table1[[#This Row],[Example]]&lt;&gt;"R001",Table1[[#This Row],[Example]]&lt;&gt;"R002"),AI99-AA99,)</f>
        <v>0</v>
      </c>
      <c r="AM99" s="39" t="s">
        <v>77</v>
      </c>
      <c r="AN99" s="39">
        <v>-18279</v>
      </c>
      <c r="AO99" s="2">
        <v>0.1204175</v>
      </c>
      <c r="AP9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99" s="2" t="str">
        <f>IF(AND(Table1[[#This Row],[Cplex MI Cost]]=Table1[[#This Row],[ORTools FZN2 Cost]],Table1[[#This Row],[ORTools FZN2 State]]="Optimal",Table1[[#This Row],[Cplex MI State]]="Suboptimal"),1,"")</f>
        <v/>
      </c>
      <c r="AR99" s="5" t="s">
        <v>77</v>
      </c>
      <c r="AS99" s="2">
        <v>-18279</v>
      </c>
      <c r="AT99" s="2">
        <v>0.51291189999999998</v>
      </c>
      <c r="AU99" s="2" t="str">
        <f>IF(AND(Table1[[#This Row],[Z3 SMT2-1 Maxres Cost]]=Table1[[#This Row],[ORTools FZN2 Cost]],Table1[[#This Row],[ORTools FZN2 State]]="Optimal"),1,"")</f>
        <v/>
      </c>
      <c r="AV99" s="39" t="s">
        <v>77</v>
      </c>
      <c r="AW99" s="39">
        <v>-18279</v>
      </c>
      <c r="AX99" s="2">
        <v>0.55684829999999996</v>
      </c>
      <c r="AY99" s="2" t="str">
        <f>IF(AND(Table1[[#This Row],[Z3 SMT2-1 PdMaxres Cost]]=Table1[[#This Row],[ORTools FZN2 Cost]],Table1[[#This Row],[ORTools FZN2 State]]="Optimal"),1,"")</f>
        <v/>
      </c>
      <c r="AZ99" s="5" t="s">
        <v>77</v>
      </c>
      <c r="BA99" s="2">
        <v>-18279</v>
      </c>
      <c r="BB99" s="39">
        <v>0.62016300000000002</v>
      </c>
      <c r="BC99" s="39" t="str">
        <f>IF(AND(Table1[[#This Row],[Z3 SMT2-1 WMax Cost]]=Table1[[#This Row],[ORTools FZN2 Cost]],Table1[[#This Row],[ORTools FZN2 State]]="Optimal"),1,"")</f>
        <v/>
      </c>
      <c r="BD99" s="39" t="s">
        <v>77</v>
      </c>
      <c r="BE99" s="39">
        <v>-18279</v>
      </c>
      <c r="BF99" s="2">
        <v>0.54640529999999998</v>
      </c>
      <c r="BG99" s="2" t="str">
        <f>IF(AND(Table1[[#This Row],[Z3 SMT2-2 Maxres Cost]]=Table1[[#This Row],[ORTools FZN2 Cost]],Table1[[#This Row],[ORTools FZN2 State]]="Optimal"),1,"")</f>
        <v/>
      </c>
      <c r="BH99" s="5" t="s">
        <v>77</v>
      </c>
      <c r="BI99" s="2">
        <v>-18279</v>
      </c>
      <c r="BJ99" s="39">
        <v>0.53381000000000001</v>
      </c>
      <c r="BK99" s="39" t="str">
        <f>IF(AND(Table1[[#This Row],[Z3 SMT2-2 PdMaxres Cost]]=Table1[[#This Row],[ORTools FZN2 Cost]],Table1[[#This Row],[ORTools FZN2 State]]="Optimal"),1,"")</f>
        <v/>
      </c>
      <c r="BL99" s="39" t="s">
        <v>77</v>
      </c>
      <c r="BM99" s="39">
        <v>-18279</v>
      </c>
      <c r="BN99" s="2">
        <v>0.65687530000000005</v>
      </c>
      <c r="BO99" s="4" t="str">
        <f>IF(AND(Table1[[#This Row],[Z3 SMT2-2 PdMaxres Cost]]=Table1[[#This Row],[ORTools FZN2 Cost]],Table1[[#This Row],[ORTools FZN2 State]]="Optimal"),1,"")</f>
        <v/>
      </c>
      <c r="BP99" s="5" t="s">
        <v>77</v>
      </c>
      <c r="BQ99" s="2">
        <v>-18279</v>
      </c>
      <c r="BR99" s="2">
        <v>5.0905600000000002E-2</v>
      </c>
      <c r="BS99" s="2" t="str">
        <f>IF(AND(Table1[[#This Row],[Gurobi MB Cost]]=Table1[[#This Row],[ORTools FZN2 Cost]],Table1[[#This Row],[ORTools FZN2 State]]="Optimal",Table1[[#This Row],[Gurobi MB State]]="Suboptimal"),1,"")</f>
        <v/>
      </c>
      <c r="BT9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99" s="5" t="s">
        <v>77</v>
      </c>
      <c r="BV99" s="2">
        <v>-18279</v>
      </c>
      <c r="BW99" s="2">
        <v>0.1131834</v>
      </c>
      <c r="BX99" s="2" t="str">
        <f>IF(AND(Table1[[#This Row],[Gurobi MD Cost]]=Table1[[#This Row],[ORTools FZN2 Cost]],Table1[[#This Row],[ORTools FZN2 State]]="Optimal",Table1[[#This Row],[Gurobi MD State]]="Suboptimal"),1,"")</f>
        <v/>
      </c>
      <c r="BY9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99" s="5" t="s">
        <v>77</v>
      </c>
      <c r="CA99" s="2">
        <v>-18279</v>
      </c>
      <c r="CB99" s="2">
        <v>4.37588E-2</v>
      </c>
      <c r="CC99" s="2" t="str">
        <f>IF(AND(Table1[[#This Row],[Gurobi MI Cost]]=Table1[[#This Row],[ORTools FZN2 Cost]],Table1[[#This Row],[ORTools FZN2 State]]="Optimal",Table1[[#This Row],[Gurobi MI State]]="Suboptimal"),1,"")</f>
        <v/>
      </c>
      <c r="CD9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99" s="39" t="s">
        <v>77</v>
      </c>
      <c r="CF99" s="2">
        <v>-18279</v>
      </c>
      <c r="CG99" s="39">
        <v>5.1013997</v>
      </c>
      <c r="CH99" s="39" t="s">
        <v>77</v>
      </c>
      <c r="CI99" s="39">
        <v>-18279</v>
      </c>
      <c r="CJ99" s="2">
        <v>5.0910757000000002</v>
      </c>
      <c r="CK99" s="5" t="s">
        <v>77</v>
      </c>
      <c r="CL99" s="2">
        <v>-18279</v>
      </c>
      <c r="CM99" s="2">
        <v>0.111999999999171</v>
      </c>
      <c r="CN99" s="5" t="s">
        <v>77</v>
      </c>
      <c r="CO99" s="2">
        <v>-18279</v>
      </c>
      <c r="CP99" s="2">
        <v>0.63517400000000002</v>
      </c>
      <c r="CQ99" s="5" t="s">
        <v>77</v>
      </c>
      <c r="CR99" s="2">
        <v>-18279</v>
      </c>
      <c r="CS99" s="2">
        <v>0.3081005</v>
      </c>
      <c r="CT99" s="6" t="s">
        <v>77</v>
      </c>
      <c r="CU99" s="4">
        <v>-18279</v>
      </c>
      <c r="CV99" s="4">
        <v>0.2917305</v>
      </c>
      <c r="CW99" s="39" t="s">
        <v>77</v>
      </c>
      <c r="CX99" s="39"/>
      <c r="CY99" s="2">
        <v>6.6100000000000006E-2</v>
      </c>
      <c r="CZ99" s="2" t="str">
        <f>IF(AND(Table1[[#This Row],[Cplex MZ1 Cost]]=Table1[[#This Row],[ORTools FZN2 Cost]],Table1[[#This Row],[ORTools FZN2 State]]="Optimal",Table1[[#This Row],[Cplex MZ1 State]]="Suboptimal"),1,"")</f>
        <v/>
      </c>
      <c r="DA99" s="5" t="s">
        <v>77</v>
      </c>
      <c r="DB99" s="2"/>
      <c r="DC99" s="2">
        <v>0.1026</v>
      </c>
      <c r="DD99" s="2" t="str">
        <f>IF(AND(Table1[[#This Row],[Cplex MZ2 Cost]]=Table1[[#This Row],[ORTools FZN2 Cost]],Table1[[#This Row],[ORTools FZN2 State]]="Optimal",Table1[[#This Row],[Cplex MZ2 State]]="Suboptimal"),1,"")</f>
        <v/>
      </c>
      <c r="DE99" s="39" t="s">
        <v>77</v>
      </c>
      <c r="DF99" s="39"/>
      <c r="DG99" s="2">
        <v>2.47E-2</v>
      </c>
      <c r="DH99" s="2" t="str">
        <f>IF(AND(Table1[[#This Row],[Gurobi MZ1 Cost]]=Table1[[#This Row],[ORTools FZN2 Cost]],Table1[[#This Row],[ORTools FZN2 State]]="Optimal",Table1[[#This Row],[Gurobi MZ1 State]]="Suboptimal"),1,"")</f>
        <v/>
      </c>
      <c r="DI99" s="5" t="s">
        <v>77</v>
      </c>
      <c r="DJ99" s="2"/>
      <c r="DK99" s="2">
        <v>3.32E-2</v>
      </c>
      <c r="DL99" s="4" t="str">
        <f>IF(AND(Table1[[#This Row],[Gurobi MZ2 Cost]]=Table1[[#This Row],[ORTools FZN2 Cost]],Table1[[#This Row],[ORTools FZN2 State]]="Optimal",Table1[[#This Row],[Gurobi MZ2 State]]="Suboptimal"),1,"")</f>
        <v/>
      </c>
      <c r="DM99" s="39" t="s">
        <v>77</v>
      </c>
      <c r="DN99" s="39">
        <v>-18279</v>
      </c>
      <c r="DO99" s="65">
        <v>7.6000000000931295E-2</v>
      </c>
      <c r="DP99" s="4" t="str">
        <f>IF(AND(Table1[[#This Row],[Cplex MC nonDual Cost]]=Table1[[#This Row],[ORTools FZN2 Cost]],Table1[[#This Row],[ORTools FZN2 State]]="Optimal",Table1[[#This Row],[Cplex MC nonDual State]]="Suboptimal"),1,"")</f>
        <v/>
      </c>
      <c r="DQ99" s="5" t="s">
        <v>77</v>
      </c>
      <c r="DR99" s="2"/>
      <c r="DS99" s="2">
        <v>7.2099999999999997E-2</v>
      </c>
      <c r="DT99" s="2" t="str">
        <f>IF(AND(Table1[[#This Row],[Cplex MIP DM''z Cost]]=Table1[[#This Row],[ORTools FZN2 Cost]],Table1[[#This Row],[ORTools FZN2 State]]="Optimal",Table1[[#This Row],[Cplex MIP DM''z  State]]="Suboptimal"),1,"")</f>
        <v/>
      </c>
      <c r="DU9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99" s="5" t="s">
        <v>77</v>
      </c>
      <c r="DW99" s="2"/>
      <c r="DX99" s="2">
        <v>2.8799999999999999E-2</v>
      </c>
      <c r="DY99" s="4" t="str">
        <f>IF(AND(Table1[[#This Row],[Gurobi DM''z  Cost]]=Table1[[#This Row],[ORTools FZN2 Cost]],Table1[[#This Row],[ORTools FZN2 State]]="Optimal",Table1[[#This Row],[Gurobi DM''z  State]]="Suboptimal"),1,"")</f>
        <v/>
      </c>
      <c r="DZ9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0" spans="1:130" ht="15.75" x14ac:dyDescent="0.25">
      <c r="A100" s="46" t="s">
        <v>126</v>
      </c>
      <c r="B100" s="5">
        <v>32</v>
      </c>
      <c r="C100" s="2">
        <v>6</v>
      </c>
      <c r="D100" s="5">
        <v>222</v>
      </c>
      <c r="E100" s="2">
        <v>20</v>
      </c>
      <c r="F100" s="5">
        <v>16</v>
      </c>
      <c r="G100" s="2">
        <v>3</v>
      </c>
      <c r="H100" s="4">
        <f t="shared" si="1"/>
        <v>20</v>
      </c>
      <c r="I100" s="4">
        <f>Table1[[#This Row],[B]]+Table1[[#This Row],[Atomic Constraints]]+Table1[[#This Row],[Soft Atomic Constraints]]+Table1[[#This Row],[Disjunctive Constraints]]+Table1[[#This Row],[Direct Successors]]</f>
        <v>267</v>
      </c>
      <c r="J100" s="5" t="s">
        <v>25</v>
      </c>
      <c r="K100" s="2">
        <v>1</v>
      </c>
      <c r="L100" s="2">
        <v>0.91604850000000004</v>
      </c>
      <c r="M100" s="2" t="str">
        <f>IF(AND(Table1[[#This Row],[Chuffed MZ1 Cost]]=Table1[[#This Row],[ORTools FZN2 Cost]],Table1[[#This Row],[ORTools FZN2 State]]="Optimal",Table1[[#This Row],[Chuffed MZ1 State]]="Suboptimal"),1,"")</f>
        <v/>
      </c>
      <c r="N100" s="5" t="s">
        <v>25</v>
      </c>
      <c r="O100" s="2">
        <v>1</v>
      </c>
      <c r="P100" s="2">
        <v>0.79512260000000001</v>
      </c>
      <c r="Q100" s="2" t="str">
        <f>IF(AND(Table1[[#This Row],[Chuffed MZ2 Cost]]=Table1[[#This Row],[ORTools FZN2 Cost]],Table1[[#This Row],[ORTools FZN2 State]]="Optimal",Table1[[#This Row],[Chuffed MZ2 State]]="Suboptimal"),1,"")</f>
        <v/>
      </c>
      <c r="R100" s="5" t="s">
        <v>25</v>
      </c>
      <c r="S100" s="2">
        <v>1</v>
      </c>
      <c r="T100" s="2">
        <v>0.20900000000074201</v>
      </c>
      <c r="U100" s="2"/>
      <c r="V100" s="5" t="s">
        <v>25</v>
      </c>
      <c r="W100" s="2">
        <v>1</v>
      </c>
      <c r="X100" s="2">
        <v>0.70400969999999996</v>
      </c>
      <c r="Y100" s="2" t="str">
        <f>IF(AND(Table1[[#This Row],[ORTools FZN1 Cost]]=Table1[[#This Row],[ORTools FZN2 Cost]],Table1[[#This Row],[ORTools FZN2 State]]="Optimal",Table1[[#This Row],[ORTools FZN1 State]]="Suboptimal"),1,"")</f>
        <v/>
      </c>
      <c r="Z100" s="5" t="s">
        <v>25</v>
      </c>
      <c r="AA100" s="2">
        <v>1</v>
      </c>
      <c r="AB100" s="2">
        <v>0.61650910000000003</v>
      </c>
      <c r="AC100" s="39" t="s">
        <v>25</v>
      </c>
      <c r="AD100" s="39">
        <v>1</v>
      </c>
      <c r="AE100" s="2">
        <v>4.2578918999999997</v>
      </c>
      <c r="AF100" s="2" t="str">
        <f>IF(AND(Table1[[#This Row],[Cplex MB Cost]]=Table1[[#This Row],[ORTools FZN2 Cost]],Table1[[#This Row],[ORTools FZN2 State]]="Optimal",Table1[[#This Row],[Cplex MB State]]="Suboptimal"),1,"")</f>
        <v/>
      </c>
      <c r="AG100" s="4">
        <f>IF(AND(AC100="Optimal",AD100&lt;&gt;AA100,Table1[[#This Row],[Example]]&lt;&gt;"R001",Table1[[#This Row],[Example]]&lt;&gt;"R002"),AD100-AA100,)</f>
        <v>0</v>
      </c>
      <c r="AH100" s="5" t="s">
        <v>25</v>
      </c>
      <c r="AI100" s="2">
        <v>1</v>
      </c>
      <c r="AJ100" s="2">
        <v>164.88089260000001</v>
      </c>
      <c r="AK100" s="2" t="str">
        <f>IF(AND(Table1[[#This Row],[Cplex MD Cost]]=Table1[[#This Row],[ORTools FZN2 Cost]],Table1[[#This Row],[ORTools FZN2 State]]="Optimal",Table1[[#This Row],[Cplex MD State]]="Suboptimal"),1,"")</f>
        <v/>
      </c>
      <c r="AL100" s="2">
        <f>IF(AND(AH100="Optimal",AI100&lt;&gt;AA100,Table1[[#This Row],[Example]]&lt;&gt;"R001",Table1[[#This Row],[Example]]&lt;&gt;"R002"),AI100-AA100,)</f>
        <v>0</v>
      </c>
      <c r="AM100" s="39" t="s">
        <v>25</v>
      </c>
      <c r="AN100" s="39">
        <v>1</v>
      </c>
      <c r="AO100" s="2">
        <v>0.72856560000000004</v>
      </c>
      <c r="AP10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0" s="4" t="str">
        <f>IF(AND(Table1[[#This Row],[Cplex MI Cost]]=Table1[[#This Row],[ORTools FZN2 Cost]],Table1[[#This Row],[ORTools FZN2 State]]="Optimal",Table1[[#This Row],[Cplex MI State]]="Suboptimal"),1,"")</f>
        <v/>
      </c>
      <c r="AR100" s="12" t="s">
        <v>26</v>
      </c>
      <c r="AS100" s="12">
        <v>1</v>
      </c>
      <c r="AT100" s="12">
        <v>50.565139299999998</v>
      </c>
      <c r="AU100" s="12">
        <f>IF(AND(Table1[[#This Row],[Z3 SMT2-1 Maxres Cost]]=Table1[[#This Row],[ORTools FZN2 Cost]],Table1[[#This Row],[ORTools FZN2 State]]="Optimal"),1,"")</f>
        <v>1</v>
      </c>
      <c r="AV100" s="12" t="s">
        <v>26</v>
      </c>
      <c r="AW100" s="12">
        <v>1</v>
      </c>
      <c r="AX100" s="12">
        <v>52.9777725</v>
      </c>
      <c r="AY100" s="12">
        <f>IF(AND(Table1[[#This Row],[Z3 SMT2-1 PdMaxres Cost]]=Table1[[#This Row],[ORTools FZN2 Cost]],Table1[[#This Row],[ORTools FZN2 State]]="Optimal"),1,"")</f>
        <v>1</v>
      </c>
      <c r="AZ100" s="12" t="s">
        <v>26</v>
      </c>
      <c r="BA100" s="12">
        <v>1</v>
      </c>
      <c r="BB100" s="12">
        <v>59.661750400000003</v>
      </c>
      <c r="BC100" s="12">
        <f>IF(AND(Table1[[#This Row],[Z3 SMT2-1 WMax Cost]]=Table1[[#This Row],[ORTools FZN2 Cost]],Table1[[#This Row],[ORTools FZN2 State]]="Optimal"),1,"")</f>
        <v>1</v>
      </c>
      <c r="BD100" s="12" t="s">
        <v>26</v>
      </c>
      <c r="BE100" s="12">
        <v>1</v>
      </c>
      <c r="BF100" s="12">
        <v>42.788787300000003</v>
      </c>
      <c r="BG100" s="12">
        <f>IF(AND(Table1[[#This Row],[Z3 SMT2-2 Maxres Cost]]=Table1[[#This Row],[ORTools FZN2 Cost]],Table1[[#This Row],[ORTools FZN2 State]]="Optimal"),1,"")</f>
        <v>1</v>
      </c>
      <c r="BH100" s="12" t="s">
        <v>26</v>
      </c>
      <c r="BI100" s="12">
        <v>1</v>
      </c>
      <c r="BJ100" s="12">
        <v>42.480300100000001</v>
      </c>
      <c r="BK100" s="12">
        <f>IF(AND(Table1[[#This Row],[Z3 SMT2-2 PdMaxres Cost]]=Table1[[#This Row],[ORTools FZN2 Cost]],Table1[[#This Row],[ORTools FZN2 State]]="Optimal"),1,"")</f>
        <v>1</v>
      </c>
      <c r="BL100" s="12" t="s">
        <v>26</v>
      </c>
      <c r="BM100" s="12">
        <v>1</v>
      </c>
      <c r="BN100" s="12">
        <v>42.995903800000001</v>
      </c>
      <c r="BO100" s="11">
        <f>IF(AND(Table1[[#This Row],[Z3 SMT2-2 PdMaxres Cost]]=Table1[[#This Row],[ORTools FZN2 Cost]],Table1[[#This Row],[ORTools FZN2 State]]="Optimal"),1,"")</f>
        <v>1</v>
      </c>
      <c r="BP100" s="5" t="s">
        <v>25</v>
      </c>
      <c r="BQ100" s="2">
        <v>1</v>
      </c>
      <c r="BR100" s="2">
        <v>0.76568570000000002</v>
      </c>
      <c r="BS100" s="2" t="str">
        <f>IF(AND(Table1[[#This Row],[Gurobi MB Cost]]=Table1[[#This Row],[ORTools FZN2 Cost]],Table1[[#This Row],[ORTools FZN2 State]]="Optimal",Table1[[#This Row],[Gurobi MB State]]="Suboptimal"),1,"")</f>
        <v/>
      </c>
      <c r="BT10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0" s="5" t="s">
        <v>25</v>
      </c>
      <c r="BV100" s="2">
        <v>1</v>
      </c>
      <c r="BW100" s="2">
        <v>10.890894599999999</v>
      </c>
      <c r="BX100" s="2" t="str">
        <f>IF(AND(Table1[[#This Row],[Gurobi MD Cost]]=Table1[[#This Row],[ORTools FZN2 Cost]],Table1[[#This Row],[ORTools FZN2 State]]="Optimal",Table1[[#This Row],[Gurobi MD State]]="Suboptimal"),1,"")</f>
        <v/>
      </c>
      <c r="BY10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0" s="5" t="s">
        <v>25</v>
      </c>
      <c r="CA100" s="2">
        <v>1</v>
      </c>
      <c r="CB100" s="2">
        <v>0.75817670000000004</v>
      </c>
      <c r="CC100" s="2" t="str">
        <f>IF(AND(Table1[[#This Row],[Gurobi MI Cost]]=Table1[[#This Row],[ORTools FZN2 Cost]],Table1[[#This Row],[ORTools FZN2 State]]="Optimal",Table1[[#This Row],[Gurobi MI State]]="Suboptimal"),1,"")</f>
        <v/>
      </c>
      <c r="CD10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0" s="39" t="s">
        <v>42</v>
      </c>
      <c r="CF100" s="2">
        <v>-33825</v>
      </c>
      <c r="CG100" s="39">
        <v>306.07658739999999</v>
      </c>
      <c r="CH100" s="39" t="s">
        <v>42</v>
      </c>
      <c r="CI100" s="39">
        <v>-33825</v>
      </c>
      <c r="CJ100" s="2">
        <v>306.01158359999999</v>
      </c>
      <c r="CK100" s="5" t="s">
        <v>25</v>
      </c>
      <c r="CL100" s="2">
        <v>1</v>
      </c>
      <c r="CM100" s="2">
        <v>0.29100000000107701</v>
      </c>
      <c r="CN100" s="5" t="s">
        <v>25</v>
      </c>
      <c r="CO100" s="2">
        <v>1</v>
      </c>
      <c r="CP100" s="2">
        <v>0.98651809999999995</v>
      </c>
      <c r="CQ100" s="5" t="s">
        <v>25</v>
      </c>
      <c r="CR100" s="2">
        <v>1</v>
      </c>
      <c r="CS100" s="2">
        <v>1.7387638999999999</v>
      </c>
      <c r="CT100" s="6" t="s">
        <v>25</v>
      </c>
      <c r="CU100" s="4">
        <v>1</v>
      </c>
      <c r="CV100" s="4">
        <v>1.5977408</v>
      </c>
      <c r="CW100" s="39" t="s">
        <v>25</v>
      </c>
      <c r="CX100" s="39">
        <v>1</v>
      </c>
      <c r="CY100" s="2">
        <v>7.5883000000000003</v>
      </c>
      <c r="CZ100" s="2" t="str">
        <f>IF(AND(Table1[[#This Row],[Cplex MZ1 Cost]]=Table1[[#This Row],[ORTools FZN2 Cost]],Table1[[#This Row],[ORTools FZN2 State]]="Optimal",Table1[[#This Row],[Cplex MZ1 State]]="Suboptimal"),1,"")</f>
        <v/>
      </c>
      <c r="DA100" s="5" t="s">
        <v>25</v>
      </c>
      <c r="DB100" s="2">
        <v>1</v>
      </c>
      <c r="DC100" s="2">
        <v>3.734</v>
      </c>
      <c r="DD100" s="2" t="str">
        <f>IF(AND(Table1[[#This Row],[Cplex MZ2 Cost]]=Table1[[#This Row],[ORTools FZN2 Cost]],Table1[[#This Row],[ORTools FZN2 State]]="Optimal",Table1[[#This Row],[Cplex MZ2 State]]="Suboptimal"),1,"")</f>
        <v/>
      </c>
      <c r="DE100" s="39" t="s">
        <v>25</v>
      </c>
      <c r="DF100" s="39">
        <v>1</v>
      </c>
      <c r="DG100" s="2">
        <v>5.6368999999999998</v>
      </c>
      <c r="DH100" s="2" t="str">
        <f>IF(AND(Table1[[#This Row],[Gurobi MZ1 Cost]]=Table1[[#This Row],[ORTools FZN2 Cost]],Table1[[#This Row],[ORTools FZN2 State]]="Optimal",Table1[[#This Row],[Gurobi MZ1 State]]="Suboptimal"),1,"")</f>
        <v/>
      </c>
      <c r="DI100" s="5" t="s">
        <v>25</v>
      </c>
      <c r="DJ100" s="2">
        <v>1</v>
      </c>
      <c r="DK100" s="2">
        <v>3.8108</v>
      </c>
      <c r="DL100" s="4" t="str">
        <f>IF(AND(Table1[[#This Row],[Gurobi MZ2 Cost]]=Table1[[#This Row],[ORTools FZN2 Cost]],Table1[[#This Row],[ORTools FZN2 State]]="Optimal",Table1[[#This Row],[Gurobi MZ2 State]]="Suboptimal"),1,"")</f>
        <v/>
      </c>
      <c r="DM100" s="39" t="s">
        <v>25</v>
      </c>
      <c r="DN100" s="39">
        <v>1</v>
      </c>
      <c r="DO100" s="65">
        <v>0.365999999999985</v>
      </c>
      <c r="DP100" s="4" t="str">
        <f>IF(AND(Table1[[#This Row],[Cplex MC nonDual Cost]]=Table1[[#This Row],[ORTools FZN2 Cost]],Table1[[#This Row],[ORTools FZN2 State]]="Optimal",Table1[[#This Row],[Cplex MC nonDual State]]="Suboptimal"),1,"")</f>
        <v/>
      </c>
      <c r="DQ100" s="5" t="s">
        <v>25</v>
      </c>
      <c r="DR100" s="2">
        <v>1</v>
      </c>
      <c r="DS100" s="2">
        <v>3.8668</v>
      </c>
      <c r="DT100" s="2" t="str">
        <f>IF(AND(Table1[[#This Row],[Cplex MIP DM''z Cost]]=Table1[[#This Row],[ORTools FZN2 Cost]],Table1[[#This Row],[ORTools FZN2 State]]="Optimal",Table1[[#This Row],[Cplex MIP DM''z  State]]="Suboptimal"),1,"")</f>
        <v/>
      </c>
      <c r="DU10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0" s="5" t="s">
        <v>25</v>
      </c>
      <c r="DW100" s="2">
        <v>1</v>
      </c>
      <c r="DX100" s="2">
        <v>26.912199999999999</v>
      </c>
      <c r="DY100" s="4" t="str">
        <f>IF(AND(Table1[[#This Row],[Gurobi DM''z  Cost]]=Table1[[#This Row],[ORTools FZN2 Cost]],Table1[[#This Row],[ORTools FZN2 State]]="Optimal",Table1[[#This Row],[Gurobi DM''z  State]]="Suboptimal"),1,"")</f>
        <v/>
      </c>
      <c r="DZ10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1" spans="1:130" ht="15.75" x14ac:dyDescent="0.25">
      <c r="A101" s="47" t="s">
        <v>127</v>
      </c>
      <c r="B101" s="5">
        <v>10</v>
      </c>
      <c r="C101" s="2">
        <v>0</v>
      </c>
      <c r="D101" s="5">
        <v>30</v>
      </c>
      <c r="E101" s="2">
        <v>7</v>
      </c>
      <c r="F101" s="5">
        <v>2</v>
      </c>
      <c r="G101" s="2">
        <v>0</v>
      </c>
      <c r="H101" s="4">
        <f t="shared" si="1"/>
        <v>10</v>
      </c>
      <c r="I101" s="4">
        <f>Table1[[#This Row],[B]]+Table1[[#This Row],[Atomic Constraints]]+Table1[[#This Row],[Soft Atomic Constraints]]+Table1[[#This Row],[Disjunctive Constraints]]+Table1[[#This Row],[Direct Successors]]</f>
        <v>39</v>
      </c>
      <c r="J101" s="5" t="s">
        <v>25</v>
      </c>
      <c r="K101" s="2">
        <v>0</v>
      </c>
      <c r="L101" s="2">
        <v>0.56173150000000005</v>
      </c>
      <c r="M101" s="2" t="str">
        <f>IF(AND(Table1[[#This Row],[Chuffed MZ1 Cost]]=Table1[[#This Row],[ORTools FZN2 Cost]],Table1[[#This Row],[ORTools FZN2 State]]="Optimal",Table1[[#This Row],[Chuffed MZ1 State]]="Suboptimal"),1,"")</f>
        <v/>
      </c>
      <c r="N101" s="5" t="s">
        <v>25</v>
      </c>
      <c r="O101" s="2">
        <v>0</v>
      </c>
      <c r="P101" s="2">
        <v>0.54852270000000003</v>
      </c>
      <c r="Q101" s="2" t="str">
        <f>IF(AND(Table1[[#This Row],[Chuffed MZ2 Cost]]=Table1[[#This Row],[ORTools FZN2 Cost]],Table1[[#This Row],[ORTools FZN2 State]]="Optimal",Table1[[#This Row],[Chuffed MZ2 State]]="Suboptimal"),1,"")</f>
        <v/>
      </c>
      <c r="R101" s="5" t="s">
        <v>25</v>
      </c>
      <c r="S101" s="2">
        <v>0</v>
      </c>
      <c r="T101" s="2">
        <v>2.39999999994325E-2</v>
      </c>
      <c r="U101" s="2"/>
      <c r="V101" s="5" t="s">
        <v>25</v>
      </c>
      <c r="W101" s="2">
        <v>0</v>
      </c>
      <c r="X101" s="2">
        <v>5.8363999999999999E-2</v>
      </c>
      <c r="Y101" s="2" t="str">
        <f>IF(AND(Table1[[#This Row],[ORTools FZN1 Cost]]=Table1[[#This Row],[ORTools FZN2 Cost]],Table1[[#This Row],[ORTools FZN2 State]]="Optimal",Table1[[#This Row],[ORTools FZN1 State]]="Suboptimal"),1,"")</f>
        <v/>
      </c>
      <c r="Z101" s="5" t="s">
        <v>25</v>
      </c>
      <c r="AA101" s="2">
        <v>0</v>
      </c>
      <c r="AB101" s="2">
        <v>5.6563000000000002E-2</v>
      </c>
      <c r="AC101" s="39" t="s">
        <v>25</v>
      </c>
      <c r="AD101" s="39">
        <v>0</v>
      </c>
      <c r="AE101" s="2">
        <v>2.3233899999999998E-2</v>
      </c>
      <c r="AF101" s="2" t="str">
        <f>IF(AND(Table1[[#This Row],[Cplex MB Cost]]=Table1[[#This Row],[ORTools FZN2 Cost]],Table1[[#This Row],[ORTools FZN2 State]]="Optimal",Table1[[#This Row],[Cplex MB State]]="Suboptimal"),1,"")</f>
        <v/>
      </c>
      <c r="AG101" s="4">
        <f>IF(AND(AC101="Optimal",AD101&lt;&gt;AA101,Table1[[#This Row],[Example]]&lt;&gt;"R001",Table1[[#This Row],[Example]]&lt;&gt;"R002"),AD101-AA101,)</f>
        <v>0</v>
      </c>
      <c r="AH101" s="5" t="s">
        <v>25</v>
      </c>
      <c r="AI101" s="2">
        <v>0</v>
      </c>
      <c r="AJ101" s="2">
        <v>0.20590890000000001</v>
      </c>
      <c r="AK101" s="2" t="str">
        <f>IF(AND(Table1[[#This Row],[Cplex MD Cost]]=Table1[[#This Row],[ORTools FZN2 Cost]],Table1[[#This Row],[ORTools FZN2 State]]="Optimal",Table1[[#This Row],[Cplex MD State]]="Suboptimal"),1,"")</f>
        <v/>
      </c>
      <c r="AL101" s="4">
        <f>IF(AND(AH101="Optimal",AI101&lt;&gt;AA101,Table1[[#This Row],[Example]]&lt;&gt;"R001",Table1[[#This Row],[Example]]&lt;&gt;"R002"),AI101-AA101,)</f>
        <v>0</v>
      </c>
      <c r="AM101" s="39" t="s">
        <v>25</v>
      </c>
      <c r="AN101" s="39">
        <v>0</v>
      </c>
      <c r="AO101" s="2">
        <v>2.2919200000000001E-2</v>
      </c>
      <c r="AP10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1" s="2" t="str">
        <f>IF(AND(Table1[[#This Row],[Cplex MI Cost]]=Table1[[#This Row],[ORTools FZN2 Cost]],Table1[[#This Row],[ORTools FZN2 State]]="Optimal",Table1[[#This Row],[Cplex MI State]]="Suboptimal"),1,"")</f>
        <v/>
      </c>
      <c r="AR101" s="12" t="s">
        <v>26</v>
      </c>
      <c r="AS101" s="12">
        <v>0</v>
      </c>
      <c r="AT101" s="12">
        <v>9.7794599999999995E-2</v>
      </c>
      <c r="AU101" s="12">
        <f>IF(AND(Table1[[#This Row],[Z3 SMT2-1 Maxres Cost]]=Table1[[#This Row],[ORTools FZN2 Cost]],Table1[[#This Row],[ORTools FZN2 State]]="Optimal"),1,"")</f>
        <v>1</v>
      </c>
      <c r="AV101" s="12" t="s">
        <v>26</v>
      </c>
      <c r="AW101" s="12">
        <v>0</v>
      </c>
      <c r="AX101" s="12">
        <v>0.11219419999999999</v>
      </c>
      <c r="AY101" s="12">
        <f>IF(AND(Table1[[#This Row],[Z3 SMT2-1 PdMaxres Cost]]=Table1[[#This Row],[ORTools FZN2 Cost]],Table1[[#This Row],[ORTools FZN2 State]]="Optimal"),1,"")</f>
        <v>1</v>
      </c>
      <c r="AZ101" s="12" t="s">
        <v>26</v>
      </c>
      <c r="BA101" s="12">
        <v>0</v>
      </c>
      <c r="BB101" s="12">
        <v>0.12843109999999999</v>
      </c>
      <c r="BC101" s="12">
        <f>IF(AND(Table1[[#This Row],[Z3 SMT2-1 WMax Cost]]=Table1[[#This Row],[ORTools FZN2 Cost]],Table1[[#This Row],[ORTools FZN2 State]]="Optimal"),1,"")</f>
        <v>1</v>
      </c>
      <c r="BD101" s="12" t="s">
        <v>26</v>
      </c>
      <c r="BE101" s="12">
        <v>0</v>
      </c>
      <c r="BF101" s="12">
        <v>0.1042342</v>
      </c>
      <c r="BG101" s="12">
        <f>IF(AND(Table1[[#This Row],[Z3 SMT2-2 Maxres Cost]]=Table1[[#This Row],[ORTools FZN2 Cost]],Table1[[#This Row],[ORTools FZN2 State]]="Optimal"),1,"")</f>
        <v>1</v>
      </c>
      <c r="BH101" s="12" t="s">
        <v>26</v>
      </c>
      <c r="BI101" s="12">
        <v>0</v>
      </c>
      <c r="BJ101" s="12">
        <v>0.104155</v>
      </c>
      <c r="BK101" s="12">
        <f>IF(AND(Table1[[#This Row],[Z3 SMT2-2 PdMaxres Cost]]=Table1[[#This Row],[ORTools FZN2 Cost]],Table1[[#This Row],[ORTools FZN2 State]]="Optimal"),1,"")</f>
        <v>1</v>
      </c>
      <c r="BL101" s="12" t="s">
        <v>26</v>
      </c>
      <c r="BM101" s="12">
        <v>0</v>
      </c>
      <c r="BN101" s="12">
        <v>0.11297169999999999</v>
      </c>
      <c r="BO101" s="11">
        <f>IF(AND(Table1[[#This Row],[Z3 SMT2-2 PdMaxres Cost]]=Table1[[#This Row],[ORTools FZN2 Cost]],Table1[[#This Row],[ORTools FZN2 State]]="Optimal"),1,"")</f>
        <v>1</v>
      </c>
      <c r="BP101" s="5" t="s">
        <v>25</v>
      </c>
      <c r="BQ101" s="2">
        <v>0</v>
      </c>
      <c r="BR101" s="2">
        <v>8.6830999999999992E-3</v>
      </c>
      <c r="BS101" s="2" t="str">
        <f>IF(AND(Table1[[#This Row],[Gurobi MB Cost]]=Table1[[#This Row],[ORTools FZN2 Cost]],Table1[[#This Row],[ORTools FZN2 State]]="Optimal",Table1[[#This Row],[Gurobi MB State]]="Suboptimal"),1,"")</f>
        <v/>
      </c>
      <c r="BT10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1" s="5" t="s">
        <v>25</v>
      </c>
      <c r="BV101" s="2">
        <v>0</v>
      </c>
      <c r="BW101" s="2">
        <v>5.4577100000000003E-2</v>
      </c>
      <c r="BX101" s="2" t="str">
        <f>IF(AND(Table1[[#This Row],[Gurobi MD Cost]]=Table1[[#This Row],[ORTools FZN2 Cost]],Table1[[#This Row],[ORTools FZN2 State]]="Optimal",Table1[[#This Row],[Gurobi MD State]]="Suboptimal"),1,"")</f>
        <v/>
      </c>
      <c r="BY10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1" s="5" t="s">
        <v>25</v>
      </c>
      <c r="CA101" s="2">
        <v>0</v>
      </c>
      <c r="CB101" s="2">
        <v>7.0159999999999997E-3</v>
      </c>
      <c r="CC101" s="2" t="str">
        <f>IF(AND(Table1[[#This Row],[Gurobi MI Cost]]=Table1[[#This Row],[ORTools FZN2 Cost]],Table1[[#This Row],[ORTools FZN2 State]]="Optimal",Table1[[#This Row],[Gurobi MI State]]="Suboptimal"),1,"")</f>
        <v/>
      </c>
      <c r="CD10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1" s="39" t="s">
        <v>25</v>
      </c>
      <c r="CF101" s="2">
        <v>0</v>
      </c>
      <c r="CG101" s="39">
        <v>5.1049559999999996</v>
      </c>
      <c r="CH101" s="39" t="s">
        <v>25</v>
      </c>
      <c r="CI101" s="39">
        <v>0</v>
      </c>
      <c r="CJ101" s="2">
        <v>5.2041206999999998</v>
      </c>
      <c r="CK101" s="5" t="s">
        <v>25</v>
      </c>
      <c r="CL101" s="2">
        <v>0</v>
      </c>
      <c r="CM101" s="2">
        <v>2.5999999999839901E-2</v>
      </c>
      <c r="CN101" s="5" t="s">
        <v>25</v>
      </c>
      <c r="CO101" s="2">
        <v>0</v>
      </c>
      <c r="CP101" s="2">
        <v>0.54929130000000004</v>
      </c>
      <c r="CQ101" s="5" t="s">
        <v>25</v>
      </c>
      <c r="CR101" s="2">
        <v>0</v>
      </c>
      <c r="CS101" s="2">
        <v>9.4479800000000003E-2</v>
      </c>
      <c r="CT101" s="6" t="s">
        <v>25</v>
      </c>
      <c r="CU101" s="4">
        <v>0</v>
      </c>
      <c r="CV101" s="4">
        <v>0.12708829999999999</v>
      </c>
      <c r="CW101" s="39" t="s">
        <v>25</v>
      </c>
      <c r="CX101" s="39">
        <v>0</v>
      </c>
      <c r="CY101" s="2">
        <v>5.3600000000000002E-2</v>
      </c>
      <c r="CZ101" s="2" t="str">
        <f>IF(AND(Table1[[#This Row],[Cplex MZ1 Cost]]=Table1[[#This Row],[ORTools FZN2 Cost]],Table1[[#This Row],[ORTools FZN2 State]]="Optimal",Table1[[#This Row],[Cplex MZ1 State]]="Suboptimal"),1,"")</f>
        <v/>
      </c>
      <c r="DA101" s="5" t="s">
        <v>25</v>
      </c>
      <c r="DB101" s="2">
        <v>0</v>
      </c>
      <c r="DC101" s="2">
        <v>2.0400000000000001E-2</v>
      </c>
      <c r="DD101" s="2" t="str">
        <f>IF(AND(Table1[[#This Row],[Cplex MZ2 Cost]]=Table1[[#This Row],[ORTools FZN2 Cost]],Table1[[#This Row],[ORTools FZN2 State]]="Optimal",Table1[[#This Row],[Cplex MZ2 State]]="Suboptimal"),1,"")</f>
        <v/>
      </c>
      <c r="DE101" s="39" t="s">
        <v>25</v>
      </c>
      <c r="DF101" s="39">
        <v>0</v>
      </c>
      <c r="DG101" s="2">
        <v>2.9399999999999999E-2</v>
      </c>
      <c r="DH101" s="2" t="str">
        <f>IF(AND(Table1[[#This Row],[Gurobi MZ1 Cost]]=Table1[[#This Row],[ORTools FZN2 Cost]],Table1[[#This Row],[ORTools FZN2 State]]="Optimal",Table1[[#This Row],[Gurobi MZ1 State]]="Suboptimal"),1,"")</f>
        <v/>
      </c>
      <c r="DI101" s="5" t="s">
        <v>25</v>
      </c>
      <c r="DJ101" s="2">
        <v>0</v>
      </c>
      <c r="DK101" s="2">
        <v>1.03E-2</v>
      </c>
      <c r="DL101" s="4" t="str">
        <f>IF(AND(Table1[[#This Row],[Gurobi MZ2 Cost]]=Table1[[#This Row],[ORTools FZN2 Cost]],Table1[[#This Row],[ORTools FZN2 State]]="Optimal",Table1[[#This Row],[Gurobi MZ2 State]]="Suboptimal"),1,"")</f>
        <v/>
      </c>
      <c r="DM101" s="39" t="s">
        <v>25</v>
      </c>
      <c r="DN101" s="39">
        <v>0</v>
      </c>
      <c r="DO101" s="65">
        <v>2.4000000001251399E-2</v>
      </c>
      <c r="DP101" s="4" t="str">
        <f>IF(AND(Table1[[#This Row],[Cplex MC nonDual Cost]]=Table1[[#This Row],[ORTools FZN2 Cost]],Table1[[#This Row],[ORTools FZN2 State]]="Optimal",Table1[[#This Row],[Cplex MC nonDual State]]="Suboptimal"),1,"")</f>
        <v/>
      </c>
      <c r="DQ101" s="5" t="s">
        <v>25</v>
      </c>
      <c r="DR101" s="2">
        <v>0</v>
      </c>
      <c r="DS101" s="2">
        <v>3.4799999999999998E-2</v>
      </c>
      <c r="DT101" s="2" t="str">
        <f>IF(AND(Table1[[#This Row],[Cplex MIP DM''z Cost]]=Table1[[#This Row],[ORTools FZN2 Cost]],Table1[[#This Row],[ORTools FZN2 State]]="Optimal",Table1[[#This Row],[Cplex MIP DM''z  State]]="Suboptimal"),1,"")</f>
        <v/>
      </c>
      <c r="DU10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1" s="5" t="s">
        <v>25</v>
      </c>
      <c r="DW101" s="2">
        <v>0</v>
      </c>
      <c r="DX101" s="2">
        <v>6.9000000000000006E-2</v>
      </c>
      <c r="DY101" s="4" t="str">
        <f>IF(AND(Table1[[#This Row],[Gurobi DM''z  Cost]]=Table1[[#This Row],[ORTools FZN2 Cost]],Table1[[#This Row],[ORTools FZN2 State]]="Optimal",Table1[[#This Row],[Gurobi DM''z  State]]="Suboptimal"),1,"")</f>
        <v/>
      </c>
      <c r="DZ10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2" spans="1:130" x14ac:dyDescent="0.25">
      <c r="A102" s="52" t="s">
        <v>128</v>
      </c>
      <c r="B102" s="5">
        <v>26</v>
      </c>
      <c r="C102" s="2">
        <v>6</v>
      </c>
      <c r="D102" s="5">
        <v>96</v>
      </c>
      <c r="E102" s="2">
        <v>16</v>
      </c>
      <c r="F102" s="5">
        <v>10</v>
      </c>
      <c r="G102" s="2">
        <v>4</v>
      </c>
      <c r="H102" s="4">
        <f t="shared" si="1"/>
        <v>14</v>
      </c>
      <c r="I102" s="4">
        <f>Table1[[#This Row],[B]]+Table1[[#This Row],[Atomic Constraints]]+Table1[[#This Row],[Soft Atomic Constraints]]+Table1[[#This Row],[Disjunctive Constraints]]+Table1[[#This Row],[Direct Successors]]</f>
        <v>132</v>
      </c>
      <c r="J102" s="5" t="s">
        <v>77</v>
      </c>
      <c r="K102" s="2">
        <v>-18279</v>
      </c>
      <c r="L102" s="2">
        <v>0.68442389999999997</v>
      </c>
      <c r="M102" s="2" t="str">
        <f>IF(AND(Table1[[#This Row],[Chuffed MZ1 Cost]]=Table1[[#This Row],[ORTools FZN2 Cost]],Table1[[#This Row],[ORTools FZN2 State]]="Optimal",Table1[[#This Row],[Chuffed MZ1 State]]="Suboptimal"),1,"")</f>
        <v/>
      </c>
      <c r="N102" s="5" t="s">
        <v>77</v>
      </c>
      <c r="O102" s="2">
        <v>-18279</v>
      </c>
      <c r="P102" s="2">
        <v>0.64832809999999996</v>
      </c>
      <c r="Q102" s="2" t="str">
        <f>IF(AND(Table1[[#This Row],[Chuffed MZ2 Cost]]=Table1[[#This Row],[ORTools FZN2 Cost]],Table1[[#This Row],[ORTools FZN2 State]]="Optimal",Table1[[#This Row],[Chuffed MZ2 State]]="Suboptimal"),1,"")</f>
        <v/>
      </c>
      <c r="R102" s="6" t="s">
        <v>77</v>
      </c>
      <c r="S102" s="4">
        <v>-18279</v>
      </c>
      <c r="T102" s="4">
        <v>7.4000000000523897E-2</v>
      </c>
      <c r="U102" s="4"/>
      <c r="V102" s="5" t="s">
        <v>77</v>
      </c>
      <c r="W102" s="2">
        <v>-18279</v>
      </c>
      <c r="X102" s="2">
        <v>0.12930620000000001</v>
      </c>
      <c r="Y102" s="2" t="str">
        <f>IF(AND(Table1[[#This Row],[ORTools FZN1 Cost]]=Table1[[#This Row],[ORTools FZN2 Cost]],Table1[[#This Row],[ORTools FZN2 State]]="Optimal",Table1[[#This Row],[ORTools FZN1 State]]="Suboptimal"),1,"")</f>
        <v/>
      </c>
      <c r="Z102" s="5" t="s">
        <v>77</v>
      </c>
      <c r="AA102" s="2">
        <v>-18279</v>
      </c>
      <c r="AB102" s="2">
        <v>0.12221559999999999</v>
      </c>
      <c r="AC102" s="39" t="s">
        <v>77</v>
      </c>
      <c r="AD102" s="39">
        <v>-18279</v>
      </c>
      <c r="AE102" s="2">
        <v>4.9713100000000003E-2</v>
      </c>
      <c r="AF102" s="2" t="str">
        <f>IF(AND(Table1[[#This Row],[Cplex MB Cost]]=Table1[[#This Row],[ORTools FZN2 Cost]],Table1[[#This Row],[ORTools FZN2 State]]="Optimal",Table1[[#This Row],[Cplex MB State]]="Suboptimal"),1,"")</f>
        <v/>
      </c>
      <c r="AG102" s="4">
        <f>IF(AND(AC102="Optimal",AD102&lt;&gt;AA102,Table1[[#This Row],[Example]]&lt;&gt;"R001",Table1[[#This Row],[Example]]&lt;&gt;"R002"),AD102-AA102,)</f>
        <v>0</v>
      </c>
      <c r="AH102" s="5" t="s">
        <v>77</v>
      </c>
      <c r="AI102" s="2">
        <v>-18279</v>
      </c>
      <c r="AJ102" s="2">
        <v>0.49002319999999999</v>
      </c>
      <c r="AK102" s="2" t="str">
        <f>IF(AND(Table1[[#This Row],[Cplex MD Cost]]=Table1[[#This Row],[ORTools FZN2 Cost]],Table1[[#This Row],[ORTools FZN2 State]]="Optimal",Table1[[#This Row],[Cplex MD State]]="Suboptimal"),1,"")</f>
        <v/>
      </c>
      <c r="AL102" s="4">
        <f>IF(AND(AH102="Optimal",AI102&lt;&gt;AA102,Table1[[#This Row],[Example]]&lt;&gt;"R001",Table1[[#This Row],[Example]]&lt;&gt;"R002"),AI102-AA102,)</f>
        <v>0</v>
      </c>
      <c r="AM102" s="39" t="s">
        <v>77</v>
      </c>
      <c r="AN102" s="39">
        <v>-18279</v>
      </c>
      <c r="AO102" s="2">
        <v>0.10245369999999999</v>
      </c>
      <c r="AP10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2" s="4" t="str">
        <f>IF(AND(Table1[[#This Row],[Cplex MI Cost]]=Table1[[#This Row],[ORTools FZN2 Cost]],Table1[[#This Row],[ORTools FZN2 State]]="Optimal",Table1[[#This Row],[Cplex MI State]]="Suboptimal"),1,"")</f>
        <v/>
      </c>
      <c r="AR102" s="5" t="s">
        <v>77</v>
      </c>
      <c r="AS102" s="2">
        <v>-18279</v>
      </c>
      <c r="AT102" s="2">
        <v>0.56859130000000002</v>
      </c>
      <c r="AU102" s="2" t="str">
        <f>IF(AND(Table1[[#This Row],[Z3 SMT2-1 Maxres Cost]]=Table1[[#This Row],[ORTools FZN2 Cost]],Table1[[#This Row],[ORTools FZN2 State]]="Optimal"),1,"")</f>
        <v/>
      </c>
      <c r="AV102" s="39" t="s">
        <v>77</v>
      </c>
      <c r="AW102" s="39">
        <v>-18279</v>
      </c>
      <c r="AX102" s="2">
        <v>0.58785279999999995</v>
      </c>
      <c r="AY102" s="2" t="str">
        <f>IF(AND(Table1[[#This Row],[Z3 SMT2-1 PdMaxres Cost]]=Table1[[#This Row],[ORTools FZN2 Cost]],Table1[[#This Row],[ORTools FZN2 State]]="Optimal"),1,"")</f>
        <v/>
      </c>
      <c r="AZ102" s="5" t="s">
        <v>77</v>
      </c>
      <c r="BA102" s="2">
        <v>-18279</v>
      </c>
      <c r="BB102" s="39">
        <v>0.71538460000000004</v>
      </c>
      <c r="BC102" s="39" t="str">
        <f>IF(AND(Table1[[#This Row],[Z3 SMT2-1 WMax Cost]]=Table1[[#This Row],[ORTools FZN2 Cost]],Table1[[#This Row],[ORTools FZN2 State]]="Optimal"),1,"")</f>
        <v/>
      </c>
      <c r="BD102" s="39" t="s">
        <v>77</v>
      </c>
      <c r="BE102" s="39">
        <v>-18279</v>
      </c>
      <c r="BF102" s="2">
        <v>0.59040879999999996</v>
      </c>
      <c r="BG102" s="2" t="str">
        <f>IF(AND(Table1[[#This Row],[Z3 SMT2-2 Maxres Cost]]=Table1[[#This Row],[ORTools FZN2 Cost]],Table1[[#This Row],[ORTools FZN2 State]]="Optimal"),1,"")</f>
        <v/>
      </c>
      <c r="BH102" s="5" t="s">
        <v>77</v>
      </c>
      <c r="BI102" s="2">
        <v>-18279</v>
      </c>
      <c r="BJ102" s="39">
        <v>0.5877211</v>
      </c>
      <c r="BK102" s="39" t="str">
        <f>IF(AND(Table1[[#This Row],[Z3 SMT2-2 PdMaxres Cost]]=Table1[[#This Row],[ORTools FZN2 Cost]],Table1[[#This Row],[ORTools FZN2 State]]="Optimal"),1,"")</f>
        <v/>
      </c>
      <c r="BL102" s="39" t="s">
        <v>77</v>
      </c>
      <c r="BM102" s="39">
        <v>-18279</v>
      </c>
      <c r="BN102" s="2">
        <v>0.6130177</v>
      </c>
      <c r="BO102" s="4" t="str">
        <f>IF(AND(Table1[[#This Row],[Z3 SMT2-2 PdMaxres Cost]]=Table1[[#This Row],[ORTools FZN2 Cost]],Table1[[#This Row],[ORTools FZN2 State]]="Optimal"),1,"")</f>
        <v/>
      </c>
      <c r="BP102" s="5" t="s">
        <v>77</v>
      </c>
      <c r="BQ102" s="2">
        <v>-18279</v>
      </c>
      <c r="BR102" s="2">
        <v>5.5913900000000002E-2</v>
      </c>
      <c r="BS102" s="2" t="str">
        <f>IF(AND(Table1[[#This Row],[Gurobi MB Cost]]=Table1[[#This Row],[ORTools FZN2 Cost]],Table1[[#This Row],[ORTools FZN2 State]]="Optimal",Table1[[#This Row],[Gurobi MB State]]="Suboptimal"),1,"")</f>
        <v/>
      </c>
      <c r="BT10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2" s="5" t="s">
        <v>77</v>
      </c>
      <c r="BV102" s="2">
        <v>-18279</v>
      </c>
      <c r="BW102" s="2">
        <v>0.1143006</v>
      </c>
      <c r="BX102" s="2" t="str">
        <f>IF(AND(Table1[[#This Row],[Gurobi MD Cost]]=Table1[[#This Row],[ORTools FZN2 Cost]],Table1[[#This Row],[ORTools FZN2 State]]="Optimal",Table1[[#This Row],[Gurobi MD State]]="Suboptimal"),1,"")</f>
        <v/>
      </c>
      <c r="BY10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2" s="5" t="s">
        <v>77</v>
      </c>
      <c r="CA102" s="2">
        <v>-18279</v>
      </c>
      <c r="CB102" s="2">
        <v>4.10248E-2</v>
      </c>
      <c r="CC102" s="2" t="str">
        <f>IF(AND(Table1[[#This Row],[Gurobi MI Cost]]=Table1[[#This Row],[ORTools FZN2 Cost]],Table1[[#This Row],[ORTools FZN2 State]]="Optimal",Table1[[#This Row],[Gurobi MI State]]="Suboptimal"),1,"")</f>
        <v/>
      </c>
      <c r="CD10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2" s="39" t="s">
        <v>77</v>
      </c>
      <c r="CF102" s="2">
        <v>-18279</v>
      </c>
      <c r="CG102" s="39">
        <v>5.0950705000000003</v>
      </c>
      <c r="CH102" s="39" t="s">
        <v>77</v>
      </c>
      <c r="CI102" s="39">
        <v>-18279</v>
      </c>
      <c r="CJ102" s="2">
        <v>5.0910086999999997</v>
      </c>
      <c r="CK102" s="5" t="s">
        <v>77</v>
      </c>
      <c r="CL102" s="2">
        <v>-18279</v>
      </c>
      <c r="CM102" s="2">
        <v>8.8999999999941806E-2</v>
      </c>
      <c r="CN102" s="5" t="s">
        <v>77</v>
      </c>
      <c r="CO102" s="2">
        <v>-18279</v>
      </c>
      <c r="CP102" s="2">
        <v>0.63220600000000005</v>
      </c>
      <c r="CQ102" s="5" t="s">
        <v>77</v>
      </c>
      <c r="CR102" s="2">
        <v>-18279</v>
      </c>
      <c r="CS102" s="2">
        <v>0.30290099999999998</v>
      </c>
      <c r="CT102" s="6" t="s">
        <v>77</v>
      </c>
      <c r="CU102" s="4">
        <v>-18279</v>
      </c>
      <c r="CV102" s="4">
        <v>0.3605854</v>
      </c>
      <c r="CW102" s="39" t="s">
        <v>77</v>
      </c>
      <c r="CX102" s="39"/>
      <c r="CY102" s="2">
        <v>6.3500000000000001E-2</v>
      </c>
      <c r="CZ102" s="2" t="str">
        <f>IF(AND(Table1[[#This Row],[Cplex MZ1 Cost]]=Table1[[#This Row],[ORTools FZN2 Cost]],Table1[[#This Row],[ORTools FZN2 State]]="Optimal",Table1[[#This Row],[Cplex MZ1 State]]="Suboptimal"),1,"")</f>
        <v/>
      </c>
      <c r="DA102" s="5" t="s">
        <v>77</v>
      </c>
      <c r="DB102" s="2"/>
      <c r="DC102" s="2">
        <v>6.9000000000000006E-2</v>
      </c>
      <c r="DD102" s="2" t="str">
        <f>IF(AND(Table1[[#This Row],[Cplex MZ2 Cost]]=Table1[[#This Row],[ORTools FZN2 Cost]],Table1[[#This Row],[ORTools FZN2 State]]="Optimal",Table1[[#This Row],[Cplex MZ2 State]]="Suboptimal"),1,"")</f>
        <v/>
      </c>
      <c r="DE102" s="39" t="s">
        <v>77</v>
      </c>
      <c r="DF102" s="39"/>
      <c r="DG102" s="2">
        <v>2.46E-2</v>
      </c>
      <c r="DH102" s="2" t="str">
        <f>IF(AND(Table1[[#This Row],[Gurobi MZ1 Cost]]=Table1[[#This Row],[ORTools FZN2 Cost]],Table1[[#This Row],[ORTools FZN2 State]]="Optimal",Table1[[#This Row],[Gurobi MZ1 State]]="Suboptimal"),1,"")</f>
        <v/>
      </c>
      <c r="DI102" s="5" t="s">
        <v>77</v>
      </c>
      <c r="DJ102" s="2"/>
      <c r="DK102" s="2">
        <v>3.3000000000000002E-2</v>
      </c>
      <c r="DL102" s="4" t="str">
        <f>IF(AND(Table1[[#This Row],[Gurobi MZ2 Cost]]=Table1[[#This Row],[ORTools FZN2 Cost]],Table1[[#This Row],[ORTools FZN2 State]]="Optimal",Table1[[#This Row],[Gurobi MZ2 State]]="Suboptimal"),1,"")</f>
        <v/>
      </c>
      <c r="DM102" s="39" t="s">
        <v>77</v>
      </c>
      <c r="DN102" s="39">
        <v>-18279</v>
      </c>
      <c r="DO102" s="65">
        <v>5.8000000000902198E-2</v>
      </c>
      <c r="DP102" s="4" t="str">
        <f>IF(AND(Table1[[#This Row],[Cplex MC nonDual Cost]]=Table1[[#This Row],[ORTools FZN2 Cost]],Table1[[#This Row],[ORTools FZN2 State]]="Optimal",Table1[[#This Row],[Cplex MC nonDual State]]="Suboptimal"),1,"")</f>
        <v/>
      </c>
      <c r="DQ102" s="5" t="s">
        <v>77</v>
      </c>
      <c r="DR102" s="2"/>
      <c r="DS102" s="2">
        <v>7.0000000000000007E-2</v>
      </c>
      <c r="DT102" s="2" t="str">
        <f>IF(AND(Table1[[#This Row],[Cplex MIP DM''z Cost]]=Table1[[#This Row],[ORTools FZN2 Cost]],Table1[[#This Row],[ORTools FZN2 State]]="Optimal",Table1[[#This Row],[Cplex MIP DM''z  State]]="Suboptimal"),1,"")</f>
        <v/>
      </c>
      <c r="DU10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2" s="5" t="s">
        <v>77</v>
      </c>
      <c r="DW102" s="2"/>
      <c r="DX102" s="2">
        <v>3.3099999999999997E-2</v>
      </c>
      <c r="DY102" s="4" t="str">
        <f>IF(AND(Table1[[#This Row],[Gurobi DM''z  Cost]]=Table1[[#This Row],[ORTools FZN2 Cost]],Table1[[#This Row],[ORTools FZN2 State]]="Optimal",Table1[[#This Row],[Gurobi DM''z  State]]="Suboptimal"),1,"")</f>
        <v/>
      </c>
      <c r="DZ10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3" spans="1:130" x14ac:dyDescent="0.25">
      <c r="A103" s="52" t="s">
        <v>129</v>
      </c>
      <c r="B103" s="5">
        <v>26</v>
      </c>
      <c r="C103" s="2">
        <v>6</v>
      </c>
      <c r="D103" s="5">
        <v>102</v>
      </c>
      <c r="E103" s="2">
        <v>16</v>
      </c>
      <c r="F103" s="5">
        <v>11</v>
      </c>
      <c r="G103" s="2">
        <v>4</v>
      </c>
      <c r="H103" s="4">
        <f t="shared" si="1"/>
        <v>14</v>
      </c>
      <c r="I103" s="4">
        <f>Table1[[#This Row],[B]]+Table1[[#This Row],[Atomic Constraints]]+Table1[[#This Row],[Soft Atomic Constraints]]+Table1[[#This Row],[Disjunctive Constraints]]+Table1[[#This Row],[Direct Successors]]</f>
        <v>139</v>
      </c>
      <c r="J103" s="5" t="s">
        <v>77</v>
      </c>
      <c r="K103" s="2">
        <v>-18279</v>
      </c>
      <c r="L103" s="2">
        <v>0.65128920000000001</v>
      </c>
      <c r="M103" s="2" t="str">
        <f>IF(AND(Table1[[#This Row],[Chuffed MZ1 Cost]]=Table1[[#This Row],[ORTools FZN2 Cost]],Table1[[#This Row],[ORTools FZN2 State]]="Optimal",Table1[[#This Row],[Chuffed MZ1 State]]="Suboptimal"),1,"")</f>
        <v/>
      </c>
      <c r="N103" s="5" t="s">
        <v>77</v>
      </c>
      <c r="O103" s="2">
        <v>-18279</v>
      </c>
      <c r="P103" s="2">
        <v>0.67962940000000005</v>
      </c>
      <c r="Q103" s="2" t="str">
        <f>IF(AND(Table1[[#This Row],[Chuffed MZ2 Cost]]=Table1[[#This Row],[ORTools FZN2 Cost]],Table1[[#This Row],[ORTools FZN2 State]]="Optimal",Table1[[#This Row],[Chuffed MZ2 State]]="Suboptimal"),1,"")</f>
        <v/>
      </c>
      <c r="R103" s="5" t="s">
        <v>77</v>
      </c>
      <c r="S103" s="2">
        <v>-18279</v>
      </c>
      <c r="T103" s="2">
        <v>7.6999999999316102E-2</v>
      </c>
      <c r="U103" s="2"/>
      <c r="V103" s="5" t="s">
        <v>77</v>
      </c>
      <c r="W103" s="2">
        <v>-18279</v>
      </c>
      <c r="X103" s="2">
        <v>0.13009180000000001</v>
      </c>
      <c r="Y103" s="2" t="str">
        <f>IF(AND(Table1[[#This Row],[ORTools FZN1 Cost]]=Table1[[#This Row],[ORTools FZN2 Cost]],Table1[[#This Row],[ORTools FZN2 State]]="Optimal",Table1[[#This Row],[ORTools FZN1 State]]="Suboptimal"),1,"")</f>
        <v/>
      </c>
      <c r="Z103" s="5" t="s">
        <v>77</v>
      </c>
      <c r="AA103" s="2">
        <v>-18279</v>
      </c>
      <c r="AB103" s="2">
        <v>0.12233719999999999</v>
      </c>
      <c r="AC103" s="39" t="s">
        <v>77</v>
      </c>
      <c r="AD103" s="39">
        <v>-18279</v>
      </c>
      <c r="AE103" s="2">
        <v>4.8795699999999997E-2</v>
      </c>
      <c r="AF103" s="2" t="str">
        <f>IF(AND(Table1[[#This Row],[Cplex MB Cost]]=Table1[[#This Row],[ORTools FZN2 Cost]],Table1[[#This Row],[ORTools FZN2 State]]="Optimal",Table1[[#This Row],[Cplex MB State]]="Suboptimal"),1,"")</f>
        <v/>
      </c>
      <c r="AG103" s="4">
        <f>IF(AND(AC103="Optimal",AD103&lt;&gt;AA103,Table1[[#This Row],[Example]]&lt;&gt;"R001",Table1[[#This Row],[Example]]&lt;&gt;"R002"),AD103-AA103,)</f>
        <v>0</v>
      </c>
      <c r="AH103" s="5" t="s">
        <v>77</v>
      </c>
      <c r="AI103" s="2">
        <v>-18279</v>
      </c>
      <c r="AJ103" s="2">
        <v>0.46858359999999999</v>
      </c>
      <c r="AK103" s="2" t="str">
        <f>IF(AND(Table1[[#This Row],[Cplex MD Cost]]=Table1[[#This Row],[ORTools FZN2 Cost]],Table1[[#This Row],[ORTools FZN2 State]]="Optimal",Table1[[#This Row],[Cplex MD State]]="Suboptimal"),1,"")</f>
        <v/>
      </c>
      <c r="AL103" s="4">
        <f>IF(AND(AH103="Optimal",AI103&lt;&gt;AA103,Table1[[#This Row],[Example]]&lt;&gt;"R001",Table1[[#This Row],[Example]]&lt;&gt;"R002"),AI103-AA103,)</f>
        <v>0</v>
      </c>
      <c r="AM103" s="39" t="s">
        <v>77</v>
      </c>
      <c r="AN103" s="39">
        <v>-18279</v>
      </c>
      <c r="AO103" s="2">
        <v>9.92233E-2</v>
      </c>
      <c r="AP10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3" s="2" t="str">
        <f>IF(AND(Table1[[#This Row],[Cplex MI Cost]]=Table1[[#This Row],[ORTools FZN2 Cost]],Table1[[#This Row],[ORTools FZN2 State]]="Optimal",Table1[[#This Row],[Cplex MI State]]="Suboptimal"),1,"")</f>
        <v/>
      </c>
      <c r="AR103" s="5" t="s">
        <v>77</v>
      </c>
      <c r="AS103" s="2">
        <v>-18279</v>
      </c>
      <c r="AT103" s="2">
        <v>0.54250600000000004</v>
      </c>
      <c r="AU103" s="2" t="str">
        <f>IF(AND(Table1[[#This Row],[Z3 SMT2-1 Maxres Cost]]=Table1[[#This Row],[ORTools FZN2 Cost]],Table1[[#This Row],[ORTools FZN2 State]]="Optimal"),1,"")</f>
        <v/>
      </c>
      <c r="AV103" s="39" t="s">
        <v>77</v>
      </c>
      <c r="AW103" s="39">
        <v>-18279</v>
      </c>
      <c r="AX103" s="2">
        <v>0.56614509999999996</v>
      </c>
      <c r="AY103" s="2" t="str">
        <f>IF(AND(Table1[[#This Row],[Z3 SMT2-1 PdMaxres Cost]]=Table1[[#This Row],[ORTools FZN2 Cost]],Table1[[#This Row],[ORTools FZN2 State]]="Optimal"),1,"")</f>
        <v/>
      </c>
      <c r="AZ103" s="5" t="s">
        <v>77</v>
      </c>
      <c r="BA103" s="2">
        <v>-18279</v>
      </c>
      <c r="BB103" s="39">
        <v>0.62363219999999997</v>
      </c>
      <c r="BC103" s="39" t="str">
        <f>IF(AND(Table1[[#This Row],[Z3 SMT2-1 WMax Cost]]=Table1[[#This Row],[ORTools FZN2 Cost]],Table1[[#This Row],[ORTools FZN2 State]]="Optimal"),1,"")</f>
        <v/>
      </c>
      <c r="BD103" s="39" t="s">
        <v>77</v>
      </c>
      <c r="BE103" s="39">
        <v>-18279</v>
      </c>
      <c r="BF103" s="2">
        <v>0.55681360000000002</v>
      </c>
      <c r="BG103" s="2" t="str">
        <f>IF(AND(Table1[[#This Row],[Z3 SMT2-2 Maxres Cost]]=Table1[[#This Row],[ORTools FZN2 Cost]],Table1[[#This Row],[ORTools FZN2 State]]="Optimal"),1,"")</f>
        <v/>
      </c>
      <c r="BH103" s="5" t="s">
        <v>77</v>
      </c>
      <c r="BI103" s="2">
        <v>-18279</v>
      </c>
      <c r="BJ103" s="39">
        <v>0.55306869999999997</v>
      </c>
      <c r="BK103" s="39" t="str">
        <f>IF(AND(Table1[[#This Row],[Z3 SMT2-2 PdMaxres Cost]]=Table1[[#This Row],[ORTools FZN2 Cost]],Table1[[#This Row],[ORTools FZN2 State]]="Optimal"),1,"")</f>
        <v/>
      </c>
      <c r="BL103" s="39" t="s">
        <v>77</v>
      </c>
      <c r="BM103" s="39">
        <v>-18279</v>
      </c>
      <c r="BN103" s="2">
        <v>0.62776750000000003</v>
      </c>
      <c r="BO103" s="4" t="str">
        <f>IF(AND(Table1[[#This Row],[Z3 SMT2-2 PdMaxres Cost]]=Table1[[#This Row],[ORTools FZN2 Cost]],Table1[[#This Row],[ORTools FZN2 State]]="Optimal"),1,"")</f>
        <v/>
      </c>
      <c r="BP103" s="5" t="s">
        <v>77</v>
      </c>
      <c r="BQ103" s="2">
        <v>-18279</v>
      </c>
      <c r="BR103" s="2">
        <v>4.7389500000000001E-2</v>
      </c>
      <c r="BS103" s="2" t="str">
        <f>IF(AND(Table1[[#This Row],[Gurobi MB Cost]]=Table1[[#This Row],[ORTools FZN2 Cost]],Table1[[#This Row],[ORTools FZN2 State]]="Optimal",Table1[[#This Row],[Gurobi MB State]]="Suboptimal"),1,"")</f>
        <v/>
      </c>
      <c r="BT10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3" s="5" t="s">
        <v>77</v>
      </c>
      <c r="BV103" s="2">
        <v>-18279</v>
      </c>
      <c r="BW103" s="2">
        <v>0.1094257</v>
      </c>
      <c r="BX103" s="2" t="str">
        <f>IF(AND(Table1[[#This Row],[Gurobi MD Cost]]=Table1[[#This Row],[ORTools FZN2 Cost]],Table1[[#This Row],[ORTools FZN2 State]]="Optimal",Table1[[#This Row],[Gurobi MD State]]="Suboptimal"),1,"")</f>
        <v/>
      </c>
      <c r="BY10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3" s="5" t="s">
        <v>77</v>
      </c>
      <c r="CA103" s="2">
        <v>-18279</v>
      </c>
      <c r="CB103" s="2">
        <v>3.6152200000000002E-2</v>
      </c>
      <c r="CC103" s="2" t="str">
        <f>IF(AND(Table1[[#This Row],[Gurobi MI Cost]]=Table1[[#This Row],[ORTools FZN2 Cost]],Table1[[#This Row],[ORTools FZN2 State]]="Optimal",Table1[[#This Row],[Gurobi MI State]]="Suboptimal"),1,"")</f>
        <v/>
      </c>
      <c r="CD10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3" s="39" t="s">
        <v>77</v>
      </c>
      <c r="CF103" s="2">
        <v>-18279</v>
      </c>
      <c r="CG103" s="39">
        <v>5.0958734999999997</v>
      </c>
      <c r="CH103" s="39" t="s">
        <v>77</v>
      </c>
      <c r="CI103" s="39">
        <v>-18279</v>
      </c>
      <c r="CJ103" s="2">
        <v>5.2142875999999996</v>
      </c>
      <c r="CK103" s="5" t="s">
        <v>77</v>
      </c>
      <c r="CL103" s="2">
        <v>-18279</v>
      </c>
      <c r="CM103" s="2">
        <v>8.5000000000945902E-2</v>
      </c>
      <c r="CN103" s="5" t="s">
        <v>77</v>
      </c>
      <c r="CO103" s="2">
        <v>-18279</v>
      </c>
      <c r="CP103" s="2">
        <v>0.63436029999999999</v>
      </c>
      <c r="CQ103" s="5" t="s">
        <v>77</v>
      </c>
      <c r="CR103" s="2">
        <v>-18279</v>
      </c>
      <c r="CS103" s="2">
        <v>0.30409140000000001</v>
      </c>
      <c r="CT103" s="6" t="s">
        <v>77</v>
      </c>
      <c r="CU103" s="4">
        <v>-18279</v>
      </c>
      <c r="CV103" s="4">
        <v>0.34074589999999999</v>
      </c>
      <c r="CW103" s="39" t="s">
        <v>77</v>
      </c>
      <c r="CX103" s="39"/>
      <c r="CY103" s="2">
        <v>6.5500000000000003E-2</v>
      </c>
      <c r="CZ103" s="2" t="str">
        <f>IF(AND(Table1[[#This Row],[Cplex MZ1 Cost]]=Table1[[#This Row],[ORTools FZN2 Cost]],Table1[[#This Row],[ORTools FZN2 State]]="Optimal",Table1[[#This Row],[Cplex MZ1 State]]="Suboptimal"),1,"")</f>
        <v/>
      </c>
      <c r="DA103" s="5" t="s">
        <v>77</v>
      </c>
      <c r="DB103" s="2"/>
      <c r="DC103" s="2">
        <v>7.4800000000000005E-2</v>
      </c>
      <c r="DD103" s="2" t="str">
        <f>IF(AND(Table1[[#This Row],[Cplex MZ2 Cost]]=Table1[[#This Row],[ORTools FZN2 Cost]],Table1[[#This Row],[ORTools FZN2 State]]="Optimal",Table1[[#This Row],[Cplex MZ2 State]]="Suboptimal"),1,"")</f>
        <v/>
      </c>
      <c r="DE103" s="39" t="s">
        <v>77</v>
      </c>
      <c r="DF103" s="39"/>
      <c r="DG103" s="2">
        <v>2.4199999999999999E-2</v>
      </c>
      <c r="DH103" s="2" t="str">
        <f>IF(AND(Table1[[#This Row],[Gurobi MZ1 Cost]]=Table1[[#This Row],[ORTools FZN2 Cost]],Table1[[#This Row],[ORTools FZN2 State]]="Optimal",Table1[[#This Row],[Gurobi MZ1 State]]="Suboptimal"),1,"")</f>
        <v/>
      </c>
      <c r="DI103" s="5" t="s">
        <v>77</v>
      </c>
      <c r="DJ103" s="2"/>
      <c r="DK103" s="2">
        <v>3.5200000000000002E-2</v>
      </c>
      <c r="DL103" s="4" t="str">
        <f>IF(AND(Table1[[#This Row],[Gurobi MZ2 Cost]]=Table1[[#This Row],[ORTools FZN2 Cost]],Table1[[#This Row],[ORTools FZN2 State]]="Optimal",Table1[[#This Row],[Gurobi MZ2 State]]="Suboptimal"),1,"")</f>
        <v/>
      </c>
      <c r="DM103" s="39" t="s">
        <v>77</v>
      </c>
      <c r="DN103" s="39">
        <v>-18279</v>
      </c>
      <c r="DO103" s="65">
        <v>6.0999999999694403E-2</v>
      </c>
      <c r="DP103" s="4" t="str">
        <f>IF(AND(Table1[[#This Row],[Cplex MC nonDual Cost]]=Table1[[#This Row],[ORTools FZN2 Cost]],Table1[[#This Row],[ORTools FZN2 State]]="Optimal",Table1[[#This Row],[Cplex MC nonDual State]]="Suboptimal"),1,"")</f>
        <v/>
      </c>
      <c r="DQ103" s="5" t="s">
        <v>77</v>
      </c>
      <c r="DR103" s="2"/>
      <c r="DS103" s="2">
        <v>6.88E-2</v>
      </c>
      <c r="DT103" s="2" t="str">
        <f>IF(AND(Table1[[#This Row],[Cplex MIP DM''z Cost]]=Table1[[#This Row],[ORTools FZN2 Cost]],Table1[[#This Row],[ORTools FZN2 State]]="Optimal",Table1[[#This Row],[Cplex MIP DM''z  State]]="Suboptimal"),1,"")</f>
        <v/>
      </c>
      <c r="DU10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3" s="5" t="s">
        <v>77</v>
      </c>
      <c r="DW103" s="2"/>
      <c r="DX103" s="2">
        <v>3.09E-2</v>
      </c>
      <c r="DY103" s="4" t="str">
        <f>IF(AND(Table1[[#This Row],[Gurobi DM''z  Cost]]=Table1[[#This Row],[ORTools FZN2 Cost]],Table1[[#This Row],[ORTools FZN2 State]]="Optimal",Table1[[#This Row],[Gurobi DM''z  State]]="Suboptimal"),1,"")</f>
        <v/>
      </c>
      <c r="DZ10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4" spans="1:130" x14ac:dyDescent="0.25">
      <c r="A104" s="52" t="s">
        <v>130</v>
      </c>
      <c r="B104" s="5">
        <v>26</v>
      </c>
      <c r="C104" s="2">
        <v>6</v>
      </c>
      <c r="D104" s="5">
        <v>91</v>
      </c>
      <c r="E104" s="2">
        <v>16</v>
      </c>
      <c r="F104" s="5">
        <v>9</v>
      </c>
      <c r="G104" s="2">
        <v>4</v>
      </c>
      <c r="H104" s="4">
        <f t="shared" si="1"/>
        <v>14</v>
      </c>
      <c r="I104" s="4">
        <f>Table1[[#This Row],[B]]+Table1[[#This Row],[Atomic Constraints]]+Table1[[#This Row],[Soft Atomic Constraints]]+Table1[[#This Row],[Disjunctive Constraints]]+Table1[[#This Row],[Direct Successors]]</f>
        <v>126</v>
      </c>
      <c r="J104" s="5" t="s">
        <v>77</v>
      </c>
      <c r="K104" s="2">
        <v>-18279</v>
      </c>
      <c r="L104" s="2">
        <v>0.63602099999999995</v>
      </c>
      <c r="M104" s="2" t="str">
        <f>IF(AND(Table1[[#This Row],[Chuffed MZ1 Cost]]=Table1[[#This Row],[ORTools FZN2 Cost]],Table1[[#This Row],[ORTools FZN2 State]]="Optimal",Table1[[#This Row],[Chuffed MZ1 State]]="Suboptimal"),1,"")</f>
        <v/>
      </c>
      <c r="N104" s="5" t="s">
        <v>77</v>
      </c>
      <c r="O104" s="2">
        <v>-18279</v>
      </c>
      <c r="P104" s="2">
        <v>0.66914580000000001</v>
      </c>
      <c r="Q104" s="2" t="str">
        <f>IF(AND(Table1[[#This Row],[Chuffed MZ2 Cost]]=Table1[[#This Row],[ORTools FZN2 Cost]],Table1[[#This Row],[ORTools FZN2 State]]="Optimal",Table1[[#This Row],[Chuffed MZ2 State]]="Suboptimal"),1,"")</f>
        <v/>
      </c>
      <c r="R104" s="6" t="s">
        <v>77</v>
      </c>
      <c r="S104" s="4">
        <v>-18279</v>
      </c>
      <c r="T104" s="4">
        <v>7.4000000000523897E-2</v>
      </c>
      <c r="U104" s="4"/>
      <c r="V104" s="5" t="s">
        <v>77</v>
      </c>
      <c r="W104" s="2">
        <v>-18279</v>
      </c>
      <c r="X104" s="2">
        <v>0.12131989999999999</v>
      </c>
      <c r="Y104" s="2" t="str">
        <f>IF(AND(Table1[[#This Row],[ORTools FZN1 Cost]]=Table1[[#This Row],[ORTools FZN2 Cost]],Table1[[#This Row],[ORTools FZN2 State]]="Optimal",Table1[[#This Row],[ORTools FZN1 State]]="Suboptimal"),1,"")</f>
        <v/>
      </c>
      <c r="Z104" s="5" t="s">
        <v>77</v>
      </c>
      <c r="AA104" s="2">
        <v>-18279</v>
      </c>
      <c r="AB104" s="2">
        <v>0.1177767</v>
      </c>
      <c r="AC104" s="39" t="s">
        <v>77</v>
      </c>
      <c r="AD104" s="39">
        <v>-18279</v>
      </c>
      <c r="AE104" s="2">
        <v>5.6076099999999997E-2</v>
      </c>
      <c r="AF104" s="2" t="str">
        <f>IF(AND(Table1[[#This Row],[Cplex MB Cost]]=Table1[[#This Row],[ORTools FZN2 Cost]],Table1[[#This Row],[ORTools FZN2 State]]="Optimal",Table1[[#This Row],[Cplex MB State]]="Suboptimal"),1,"")</f>
        <v/>
      </c>
      <c r="AG104" s="4">
        <f>IF(AND(AC104="Optimal",AD104&lt;&gt;AA104,Table1[[#This Row],[Example]]&lt;&gt;"R001",Table1[[#This Row],[Example]]&lt;&gt;"R002"),AD104-AA104,)</f>
        <v>0</v>
      </c>
      <c r="AH104" s="5" t="s">
        <v>77</v>
      </c>
      <c r="AI104" s="2">
        <v>-18279</v>
      </c>
      <c r="AJ104" s="2">
        <v>0.62642430000000004</v>
      </c>
      <c r="AK104" s="2" t="str">
        <f>IF(AND(Table1[[#This Row],[Cplex MD Cost]]=Table1[[#This Row],[ORTools FZN2 Cost]],Table1[[#This Row],[ORTools FZN2 State]]="Optimal",Table1[[#This Row],[Cplex MD State]]="Suboptimal"),1,"")</f>
        <v/>
      </c>
      <c r="AL104" s="4">
        <f>IF(AND(AH104="Optimal",AI104&lt;&gt;AA104,Table1[[#This Row],[Example]]&lt;&gt;"R001",Table1[[#This Row],[Example]]&lt;&gt;"R002"),AI104-AA104,)</f>
        <v>0</v>
      </c>
      <c r="AM104" s="39" t="s">
        <v>77</v>
      </c>
      <c r="AN104" s="39">
        <v>-18279</v>
      </c>
      <c r="AO104" s="2">
        <v>0.11398899999999999</v>
      </c>
      <c r="AP10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4" s="4" t="str">
        <f>IF(AND(Table1[[#This Row],[Cplex MI Cost]]=Table1[[#This Row],[ORTools FZN2 Cost]],Table1[[#This Row],[ORTools FZN2 State]]="Optimal",Table1[[#This Row],[Cplex MI State]]="Suboptimal"),1,"")</f>
        <v/>
      </c>
      <c r="AR104" s="5" t="s">
        <v>77</v>
      </c>
      <c r="AS104" s="2">
        <v>-18279</v>
      </c>
      <c r="AT104" s="2">
        <v>0.58136319999999997</v>
      </c>
      <c r="AU104" s="2" t="str">
        <f>IF(AND(Table1[[#This Row],[Z3 SMT2-1 Maxres Cost]]=Table1[[#This Row],[ORTools FZN2 Cost]],Table1[[#This Row],[ORTools FZN2 State]]="Optimal"),1,"")</f>
        <v/>
      </c>
      <c r="AV104" s="39" t="s">
        <v>77</v>
      </c>
      <c r="AW104" s="39">
        <v>-18279</v>
      </c>
      <c r="AX104" s="2">
        <v>0.6014351</v>
      </c>
      <c r="AY104" s="2" t="str">
        <f>IF(AND(Table1[[#This Row],[Z3 SMT2-1 PdMaxres Cost]]=Table1[[#This Row],[ORTools FZN2 Cost]],Table1[[#This Row],[ORTools FZN2 State]]="Optimal"),1,"")</f>
        <v/>
      </c>
      <c r="AZ104" s="5" t="s">
        <v>77</v>
      </c>
      <c r="BA104" s="2">
        <v>-18279</v>
      </c>
      <c r="BB104" s="39">
        <v>0.85632039999999998</v>
      </c>
      <c r="BC104" s="39" t="str">
        <f>IF(AND(Table1[[#This Row],[Z3 SMT2-1 WMax Cost]]=Table1[[#This Row],[ORTools FZN2 Cost]],Table1[[#This Row],[ORTools FZN2 State]]="Optimal"),1,"")</f>
        <v/>
      </c>
      <c r="BD104" s="39" t="s">
        <v>77</v>
      </c>
      <c r="BE104" s="39">
        <v>-18279</v>
      </c>
      <c r="BF104" s="2">
        <v>0.51934290000000005</v>
      </c>
      <c r="BG104" s="2" t="str">
        <f>IF(AND(Table1[[#This Row],[Z3 SMT2-2 Maxres Cost]]=Table1[[#This Row],[ORTools FZN2 Cost]],Table1[[#This Row],[ORTools FZN2 State]]="Optimal"),1,"")</f>
        <v/>
      </c>
      <c r="BH104" s="5" t="s">
        <v>77</v>
      </c>
      <c r="BI104" s="2">
        <v>-18279</v>
      </c>
      <c r="BJ104" s="39">
        <v>0.51671849999999997</v>
      </c>
      <c r="BK104" s="39" t="str">
        <f>IF(AND(Table1[[#This Row],[Z3 SMT2-2 PdMaxres Cost]]=Table1[[#This Row],[ORTools FZN2 Cost]],Table1[[#This Row],[ORTools FZN2 State]]="Optimal"),1,"")</f>
        <v/>
      </c>
      <c r="BL104" s="39" t="s">
        <v>77</v>
      </c>
      <c r="BM104" s="39">
        <v>-18279</v>
      </c>
      <c r="BN104" s="2">
        <v>0.55318469999999997</v>
      </c>
      <c r="BO104" s="4" t="str">
        <f>IF(AND(Table1[[#This Row],[Z3 SMT2-2 PdMaxres Cost]]=Table1[[#This Row],[ORTools FZN2 Cost]],Table1[[#This Row],[ORTools FZN2 State]]="Optimal"),1,"")</f>
        <v/>
      </c>
      <c r="BP104" s="5" t="s">
        <v>77</v>
      </c>
      <c r="BQ104" s="2">
        <v>-18279</v>
      </c>
      <c r="BR104" s="2">
        <v>7.7794699999999994E-2</v>
      </c>
      <c r="BS104" s="2" t="str">
        <f>IF(AND(Table1[[#This Row],[Gurobi MB Cost]]=Table1[[#This Row],[ORTools FZN2 Cost]],Table1[[#This Row],[ORTools FZN2 State]]="Optimal",Table1[[#This Row],[Gurobi MB State]]="Suboptimal"),1,"")</f>
        <v/>
      </c>
      <c r="BT10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4" s="5" t="s">
        <v>77</v>
      </c>
      <c r="BV104" s="2">
        <v>-18279</v>
      </c>
      <c r="BW104" s="2">
        <v>0.111651</v>
      </c>
      <c r="BX104" s="2" t="str">
        <f>IF(AND(Table1[[#This Row],[Gurobi MD Cost]]=Table1[[#This Row],[ORTools FZN2 Cost]],Table1[[#This Row],[ORTools FZN2 State]]="Optimal",Table1[[#This Row],[Gurobi MD State]]="Suboptimal"),1,"")</f>
        <v/>
      </c>
      <c r="BY10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4" s="5" t="s">
        <v>77</v>
      </c>
      <c r="CA104" s="2">
        <v>-18279</v>
      </c>
      <c r="CB104" s="2">
        <v>4.7862500000000002E-2</v>
      </c>
      <c r="CC104" s="2" t="str">
        <f>IF(AND(Table1[[#This Row],[Gurobi MI Cost]]=Table1[[#This Row],[ORTools FZN2 Cost]],Table1[[#This Row],[ORTools FZN2 State]]="Optimal",Table1[[#This Row],[Gurobi MI State]]="Suboptimal"),1,"")</f>
        <v/>
      </c>
      <c r="CD10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4" s="39" t="s">
        <v>77</v>
      </c>
      <c r="CF104" s="2">
        <v>-18279</v>
      </c>
      <c r="CG104" s="39">
        <v>5.1115206000000004</v>
      </c>
      <c r="CH104" s="39" t="s">
        <v>77</v>
      </c>
      <c r="CI104" s="39">
        <v>-18279</v>
      </c>
      <c r="CJ104" s="2">
        <v>5.1354207000000001</v>
      </c>
      <c r="CK104" s="5" t="s">
        <v>77</v>
      </c>
      <c r="CL104" s="2">
        <v>-18279</v>
      </c>
      <c r="CM104" s="2">
        <v>8.4000000000742106E-2</v>
      </c>
      <c r="CN104" s="5" t="s">
        <v>77</v>
      </c>
      <c r="CO104" s="2">
        <v>-18279</v>
      </c>
      <c r="CP104" s="2">
        <v>0.63507670000000005</v>
      </c>
      <c r="CQ104" s="5" t="s">
        <v>77</v>
      </c>
      <c r="CR104" s="2">
        <v>-18279</v>
      </c>
      <c r="CS104" s="2">
        <v>0.30455270000000001</v>
      </c>
      <c r="CT104" s="6" t="s">
        <v>77</v>
      </c>
      <c r="CU104" s="4">
        <v>-18279</v>
      </c>
      <c r="CV104" s="4">
        <v>0.36358239999999997</v>
      </c>
      <c r="CW104" s="39" t="s">
        <v>77</v>
      </c>
      <c r="CX104" s="39"/>
      <c r="CY104" s="2">
        <v>6.5100000000000005E-2</v>
      </c>
      <c r="CZ104" s="2" t="str">
        <f>IF(AND(Table1[[#This Row],[Cplex MZ1 Cost]]=Table1[[#This Row],[ORTools FZN2 Cost]],Table1[[#This Row],[ORTools FZN2 State]]="Optimal",Table1[[#This Row],[Cplex MZ1 State]]="Suboptimal"),1,"")</f>
        <v/>
      </c>
      <c r="DA104" s="5" t="s">
        <v>77</v>
      </c>
      <c r="DB104" s="2"/>
      <c r="DC104" s="2">
        <v>9.5299999999999996E-2</v>
      </c>
      <c r="DD104" s="2" t="str">
        <f>IF(AND(Table1[[#This Row],[Cplex MZ2 Cost]]=Table1[[#This Row],[ORTools FZN2 Cost]],Table1[[#This Row],[ORTools FZN2 State]]="Optimal",Table1[[#This Row],[Cplex MZ2 State]]="Suboptimal"),1,"")</f>
        <v/>
      </c>
      <c r="DE104" s="39" t="s">
        <v>77</v>
      </c>
      <c r="DF104" s="39"/>
      <c r="DG104" s="2">
        <v>2.3400000000000001E-2</v>
      </c>
      <c r="DH104" s="2" t="str">
        <f>IF(AND(Table1[[#This Row],[Gurobi MZ1 Cost]]=Table1[[#This Row],[ORTools FZN2 Cost]],Table1[[#This Row],[ORTools FZN2 State]]="Optimal",Table1[[#This Row],[Gurobi MZ1 State]]="Suboptimal"),1,"")</f>
        <v/>
      </c>
      <c r="DI104" s="5" t="s">
        <v>77</v>
      </c>
      <c r="DJ104" s="2"/>
      <c r="DK104" s="2">
        <v>4.36E-2</v>
      </c>
      <c r="DL104" s="4" t="str">
        <f>IF(AND(Table1[[#This Row],[Gurobi MZ2 Cost]]=Table1[[#This Row],[ORTools FZN2 Cost]],Table1[[#This Row],[ORTools FZN2 State]]="Optimal",Table1[[#This Row],[Gurobi MZ2 State]]="Suboptimal"),1,"")</f>
        <v/>
      </c>
      <c r="DM104" s="39" t="s">
        <v>77</v>
      </c>
      <c r="DN104" s="39">
        <v>-18279</v>
      </c>
      <c r="DO104" s="65">
        <v>5.8000000000902198E-2</v>
      </c>
      <c r="DP104" s="4" t="str">
        <f>IF(AND(Table1[[#This Row],[Cplex MC nonDual Cost]]=Table1[[#This Row],[ORTools FZN2 Cost]],Table1[[#This Row],[ORTools FZN2 State]]="Optimal",Table1[[#This Row],[Cplex MC nonDual State]]="Suboptimal"),1,"")</f>
        <v/>
      </c>
      <c r="DQ104" s="5" t="s">
        <v>77</v>
      </c>
      <c r="DR104" s="2"/>
      <c r="DS104" s="2">
        <v>7.9699999999999993E-2</v>
      </c>
      <c r="DT104" s="2" t="str">
        <f>IF(AND(Table1[[#This Row],[Cplex MIP DM''z Cost]]=Table1[[#This Row],[ORTools FZN2 Cost]],Table1[[#This Row],[ORTools FZN2 State]]="Optimal",Table1[[#This Row],[Cplex MIP DM''z  State]]="Suboptimal"),1,"")</f>
        <v/>
      </c>
      <c r="DU10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4" s="5" t="s">
        <v>77</v>
      </c>
      <c r="DW104" s="2"/>
      <c r="DX104" s="2">
        <v>2.9499999999999998E-2</v>
      </c>
      <c r="DY104" s="4" t="str">
        <f>IF(AND(Table1[[#This Row],[Gurobi DM''z  Cost]]=Table1[[#This Row],[ORTools FZN2 Cost]],Table1[[#This Row],[ORTools FZN2 State]]="Optimal",Table1[[#This Row],[Gurobi DM''z  State]]="Suboptimal"),1,"")</f>
        <v/>
      </c>
      <c r="DZ10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5" spans="1:130" x14ac:dyDescent="0.25">
      <c r="A105" s="52" t="s">
        <v>131</v>
      </c>
      <c r="B105" s="5">
        <v>26</v>
      </c>
      <c r="C105" s="2">
        <v>6</v>
      </c>
      <c r="D105" s="5">
        <v>105</v>
      </c>
      <c r="E105" s="2">
        <v>17</v>
      </c>
      <c r="F105" s="5">
        <v>12</v>
      </c>
      <c r="G105" s="2">
        <v>4</v>
      </c>
      <c r="H105" s="4">
        <f t="shared" si="1"/>
        <v>14</v>
      </c>
      <c r="I105" s="4">
        <f>Table1[[#This Row],[B]]+Table1[[#This Row],[Atomic Constraints]]+Table1[[#This Row],[Soft Atomic Constraints]]+Table1[[#This Row],[Disjunctive Constraints]]+Table1[[#This Row],[Direct Successors]]</f>
        <v>144</v>
      </c>
      <c r="J105" s="5" t="s">
        <v>77</v>
      </c>
      <c r="K105" s="2">
        <v>-18279</v>
      </c>
      <c r="L105" s="2">
        <v>0.64843309999999998</v>
      </c>
      <c r="M105" s="2" t="str">
        <f>IF(AND(Table1[[#This Row],[Chuffed MZ1 Cost]]=Table1[[#This Row],[ORTools FZN2 Cost]],Table1[[#This Row],[ORTools FZN2 State]]="Optimal",Table1[[#This Row],[Chuffed MZ1 State]]="Suboptimal"),1,"")</f>
        <v/>
      </c>
      <c r="N105" s="5" t="s">
        <v>77</v>
      </c>
      <c r="O105" s="2">
        <v>-18279</v>
      </c>
      <c r="P105" s="2">
        <v>0.66707079999999996</v>
      </c>
      <c r="Q105" s="2" t="str">
        <f>IF(AND(Table1[[#This Row],[Chuffed MZ2 Cost]]=Table1[[#This Row],[ORTools FZN2 Cost]],Table1[[#This Row],[ORTools FZN2 State]]="Optimal",Table1[[#This Row],[Chuffed MZ2 State]]="Suboptimal"),1,"")</f>
        <v/>
      </c>
      <c r="R105" s="5" t="s">
        <v>77</v>
      </c>
      <c r="S105" s="2">
        <v>-18279</v>
      </c>
      <c r="T105" s="2">
        <v>1.6999999999825401E-2</v>
      </c>
      <c r="U105" s="2"/>
      <c r="V105" s="5" t="s">
        <v>77</v>
      </c>
      <c r="W105" s="2">
        <v>-18279</v>
      </c>
      <c r="X105" s="2">
        <v>0.1234267</v>
      </c>
      <c r="Y105" s="2" t="str">
        <f>IF(AND(Table1[[#This Row],[ORTools FZN1 Cost]]=Table1[[#This Row],[ORTools FZN2 Cost]],Table1[[#This Row],[ORTools FZN2 State]]="Optimal",Table1[[#This Row],[ORTools FZN1 State]]="Suboptimal"),1,"")</f>
        <v/>
      </c>
      <c r="Z105" s="5" t="s">
        <v>77</v>
      </c>
      <c r="AA105" s="2">
        <v>-18279</v>
      </c>
      <c r="AB105" s="2">
        <v>0.13693040000000001</v>
      </c>
      <c r="AC105" s="39" t="s">
        <v>77</v>
      </c>
      <c r="AD105" s="39">
        <v>-18279</v>
      </c>
      <c r="AE105" s="2">
        <v>1.6781600000000001E-2</v>
      </c>
      <c r="AF105" s="2" t="str">
        <f>IF(AND(Table1[[#This Row],[Cplex MB Cost]]=Table1[[#This Row],[ORTools FZN2 Cost]],Table1[[#This Row],[ORTools FZN2 State]]="Optimal",Table1[[#This Row],[Cplex MB State]]="Suboptimal"),1,"")</f>
        <v/>
      </c>
      <c r="AG105" s="4">
        <f>IF(AND(AC105="Optimal",AD105&lt;&gt;AA105,Table1[[#This Row],[Example]]&lt;&gt;"R001",Table1[[#This Row],[Example]]&lt;&gt;"R002"),AD105-AA105,)</f>
        <v>0</v>
      </c>
      <c r="AH105" s="5" t="s">
        <v>77</v>
      </c>
      <c r="AI105" s="2">
        <v>-18279</v>
      </c>
      <c r="AJ105" s="2">
        <v>0.73687919999999996</v>
      </c>
      <c r="AK105" s="2" t="str">
        <f>IF(AND(Table1[[#This Row],[Cplex MD Cost]]=Table1[[#This Row],[ORTools FZN2 Cost]],Table1[[#This Row],[ORTools FZN2 State]]="Optimal",Table1[[#This Row],[Cplex MD State]]="Suboptimal"),1,"")</f>
        <v/>
      </c>
      <c r="AL105" s="4">
        <f>IF(AND(AH105="Optimal",AI105&lt;&gt;AA105,Table1[[#This Row],[Example]]&lt;&gt;"R001",Table1[[#This Row],[Example]]&lt;&gt;"R002"),AI105-AA105,)</f>
        <v>0</v>
      </c>
      <c r="AM105" s="39" t="s">
        <v>77</v>
      </c>
      <c r="AN105" s="39">
        <v>-18279</v>
      </c>
      <c r="AO105" s="2">
        <v>0.1124116</v>
      </c>
      <c r="AP10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5" s="2" t="str">
        <f>IF(AND(Table1[[#This Row],[Cplex MI Cost]]=Table1[[#This Row],[ORTools FZN2 Cost]],Table1[[#This Row],[ORTools FZN2 State]]="Optimal",Table1[[#This Row],[Cplex MI State]]="Suboptimal"),1,"")</f>
        <v/>
      </c>
      <c r="AR105" s="5" t="s">
        <v>77</v>
      </c>
      <c r="AS105" s="2">
        <v>-18279</v>
      </c>
      <c r="AT105" s="2">
        <v>0.70317649999999998</v>
      </c>
      <c r="AU105" s="2" t="str">
        <f>IF(AND(Table1[[#This Row],[Z3 SMT2-1 Maxres Cost]]=Table1[[#This Row],[ORTools FZN2 Cost]],Table1[[#This Row],[ORTools FZN2 State]]="Optimal"),1,"")</f>
        <v/>
      </c>
      <c r="AV105" s="39" t="s">
        <v>77</v>
      </c>
      <c r="AW105" s="39">
        <v>-18279</v>
      </c>
      <c r="AX105" s="2">
        <v>0.73876120000000001</v>
      </c>
      <c r="AY105" s="2" t="str">
        <f>IF(AND(Table1[[#This Row],[Z3 SMT2-1 PdMaxres Cost]]=Table1[[#This Row],[ORTools FZN2 Cost]],Table1[[#This Row],[ORTools FZN2 State]]="Optimal"),1,"")</f>
        <v/>
      </c>
      <c r="AZ105" s="5" t="s">
        <v>77</v>
      </c>
      <c r="BA105" s="2">
        <v>-18279</v>
      </c>
      <c r="BB105" s="39">
        <v>0.82937439999999996</v>
      </c>
      <c r="BC105" s="39" t="str">
        <f>IF(AND(Table1[[#This Row],[Z3 SMT2-1 WMax Cost]]=Table1[[#This Row],[ORTools FZN2 Cost]],Table1[[#This Row],[ORTools FZN2 State]]="Optimal"),1,"")</f>
        <v/>
      </c>
      <c r="BD105" s="39" t="s">
        <v>77</v>
      </c>
      <c r="BE105" s="39">
        <v>-18279</v>
      </c>
      <c r="BF105" s="2">
        <v>0.61772769999999999</v>
      </c>
      <c r="BG105" s="2" t="str">
        <f>IF(AND(Table1[[#This Row],[Z3 SMT2-2 Maxres Cost]]=Table1[[#This Row],[ORTools FZN2 Cost]],Table1[[#This Row],[ORTools FZN2 State]]="Optimal"),1,"")</f>
        <v/>
      </c>
      <c r="BH105" s="5" t="s">
        <v>77</v>
      </c>
      <c r="BI105" s="2">
        <v>-18279</v>
      </c>
      <c r="BJ105" s="39">
        <v>0.61036959999999996</v>
      </c>
      <c r="BK105" s="39" t="str">
        <f>IF(AND(Table1[[#This Row],[Z3 SMT2-2 PdMaxres Cost]]=Table1[[#This Row],[ORTools FZN2 Cost]],Table1[[#This Row],[ORTools FZN2 State]]="Optimal"),1,"")</f>
        <v/>
      </c>
      <c r="BL105" s="39" t="s">
        <v>77</v>
      </c>
      <c r="BM105" s="39">
        <v>-18279</v>
      </c>
      <c r="BN105" s="2">
        <v>0.62871540000000004</v>
      </c>
      <c r="BO105" s="4" t="str">
        <f>IF(AND(Table1[[#This Row],[Z3 SMT2-2 PdMaxres Cost]]=Table1[[#This Row],[ORTools FZN2 Cost]],Table1[[#This Row],[ORTools FZN2 State]]="Optimal"),1,"")</f>
        <v/>
      </c>
      <c r="BP105" s="5" t="s">
        <v>77</v>
      </c>
      <c r="BQ105" s="2">
        <v>-18279</v>
      </c>
      <c r="BR105" s="2">
        <v>1.5049699999999999E-2</v>
      </c>
      <c r="BS105" s="2" t="str">
        <f>IF(AND(Table1[[#This Row],[Gurobi MB Cost]]=Table1[[#This Row],[ORTools FZN2 Cost]],Table1[[#This Row],[ORTools FZN2 State]]="Optimal",Table1[[#This Row],[Gurobi MB State]]="Suboptimal"),1,"")</f>
        <v/>
      </c>
      <c r="BT10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5" s="5" t="s">
        <v>77</v>
      </c>
      <c r="BV105" s="2">
        <v>-18279</v>
      </c>
      <c r="BW105" s="2">
        <v>0.10983859999999999</v>
      </c>
      <c r="BX105" s="2" t="str">
        <f>IF(AND(Table1[[#This Row],[Gurobi MD Cost]]=Table1[[#This Row],[ORTools FZN2 Cost]],Table1[[#This Row],[ORTools FZN2 State]]="Optimal",Table1[[#This Row],[Gurobi MD State]]="Suboptimal"),1,"")</f>
        <v/>
      </c>
      <c r="BY10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5" s="5" t="s">
        <v>77</v>
      </c>
      <c r="CA105" s="2">
        <v>-18279</v>
      </c>
      <c r="CB105" s="2">
        <v>3.23617E-2</v>
      </c>
      <c r="CC105" s="2" t="str">
        <f>IF(AND(Table1[[#This Row],[Gurobi MI Cost]]=Table1[[#This Row],[ORTools FZN2 Cost]],Table1[[#This Row],[ORTools FZN2 State]]="Optimal",Table1[[#This Row],[Gurobi MI State]]="Suboptimal"),1,"")</f>
        <v/>
      </c>
      <c r="CD10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5" s="39" t="s">
        <v>77</v>
      </c>
      <c r="CF105" s="2">
        <v>-18279</v>
      </c>
      <c r="CG105" s="39">
        <v>5.1022227999999998</v>
      </c>
      <c r="CH105" s="39" t="s">
        <v>77</v>
      </c>
      <c r="CI105" s="39">
        <v>-18279</v>
      </c>
      <c r="CJ105" s="2">
        <v>5.0882430999999997</v>
      </c>
      <c r="CK105" s="5" t="s">
        <v>77</v>
      </c>
      <c r="CL105" s="2">
        <v>-18279</v>
      </c>
      <c r="CM105" s="2">
        <v>1.6999999999825401E-2</v>
      </c>
      <c r="CN105" s="5" t="s">
        <v>77</v>
      </c>
      <c r="CO105" s="2">
        <v>-18279</v>
      </c>
      <c r="CP105" s="2">
        <v>0.63892360000000004</v>
      </c>
      <c r="CQ105" s="5" t="s">
        <v>77</v>
      </c>
      <c r="CR105" s="2">
        <v>-18279</v>
      </c>
      <c r="CS105" s="2">
        <v>0.30064970000000002</v>
      </c>
      <c r="CT105" s="6" t="s">
        <v>77</v>
      </c>
      <c r="CU105" s="4">
        <v>-18279</v>
      </c>
      <c r="CV105" s="4">
        <v>0.35927150000000002</v>
      </c>
      <c r="CW105" s="39" t="s">
        <v>77</v>
      </c>
      <c r="CX105" s="39"/>
      <c r="CY105" s="2">
        <v>1.4999999999999999E-2</v>
      </c>
      <c r="CZ105" s="2" t="str">
        <f>IF(AND(Table1[[#This Row],[Cplex MZ1 Cost]]=Table1[[#This Row],[ORTools FZN2 Cost]],Table1[[#This Row],[ORTools FZN2 State]]="Optimal",Table1[[#This Row],[Cplex MZ1 State]]="Suboptimal"),1,"")</f>
        <v/>
      </c>
      <c r="DA105" s="5" t="s">
        <v>77</v>
      </c>
      <c r="DB105" s="2"/>
      <c r="DC105" s="2">
        <v>1.5900000000000001E-2</v>
      </c>
      <c r="DD105" s="2" t="str">
        <f>IF(AND(Table1[[#This Row],[Cplex MZ2 Cost]]=Table1[[#This Row],[ORTools FZN2 Cost]],Table1[[#This Row],[ORTools FZN2 State]]="Optimal",Table1[[#This Row],[Cplex MZ2 State]]="Suboptimal"),1,"")</f>
        <v/>
      </c>
      <c r="DE105" s="39" t="s">
        <v>77</v>
      </c>
      <c r="DF105" s="39"/>
      <c r="DG105" s="2">
        <v>1.35E-2</v>
      </c>
      <c r="DH105" s="2" t="str">
        <f>IF(AND(Table1[[#This Row],[Gurobi MZ1 Cost]]=Table1[[#This Row],[ORTools FZN2 Cost]],Table1[[#This Row],[ORTools FZN2 State]]="Optimal",Table1[[#This Row],[Gurobi MZ1 State]]="Suboptimal"),1,"")</f>
        <v/>
      </c>
      <c r="DI105" s="5" t="s">
        <v>77</v>
      </c>
      <c r="DJ105" s="2"/>
      <c r="DK105" s="2">
        <v>1.7399999999999999E-2</v>
      </c>
      <c r="DL105" s="4" t="str">
        <f>IF(AND(Table1[[#This Row],[Gurobi MZ2 Cost]]=Table1[[#This Row],[ORTools FZN2 Cost]],Table1[[#This Row],[ORTools FZN2 State]]="Optimal",Table1[[#This Row],[Gurobi MZ2 State]]="Suboptimal"),1,"")</f>
        <v/>
      </c>
      <c r="DM105" s="39" t="s">
        <v>77</v>
      </c>
      <c r="DN105" s="39">
        <v>-18279</v>
      </c>
      <c r="DO105" s="65">
        <v>1.9000000000232799E-2</v>
      </c>
      <c r="DP105" s="4" t="str">
        <f>IF(AND(Table1[[#This Row],[Cplex MC nonDual Cost]]=Table1[[#This Row],[ORTools FZN2 Cost]],Table1[[#This Row],[ORTools FZN2 State]]="Optimal",Table1[[#This Row],[Cplex MC nonDual State]]="Suboptimal"),1,"")</f>
        <v/>
      </c>
      <c r="DQ105" s="5" t="s">
        <v>77</v>
      </c>
      <c r="DR105" s="2"/>
      <c r="DS105" s="2">
        <v>1.7299999999999999E-2</v>
      </c>
      <c r="DT105" s="2" t="str">
        <f>IF(AND(Table1[[#This Row],[Cplex MIP DM''z Cost]]=Table1[[#This Row],[ORTools FZN2 Cost]],Table1[[#This Row],[ORTools FZN2 State]]="Optimal",Table1[[#This Row],[Cplex MIP DM''z  State]]="Suboptimal"),1,"")</f>
        <v/>
      </c>
      <c r="DU10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5" s="5" t="s">
        <v>77</v>
      </c>
      <c r="DW105" s="2"/>
      <c r="DX105" s="2">
        <v>1.66E-2</v>
      </c>
      <c r="DY105" s="4" t="str">
        <f>IF(AND(Table1[[#This Row],[Gurobi DM''z  Cost]]=Table1[[#This Row],[ORTools FZN2 Cost]],Table1[[#This Row],[ORTools FZN2 State]]="Optimal",Table1[[#This Row],[Gurobi DM''z  State]]="Suboptimal"),1,"")</f>
        <v/>
      </c>
      <c r="DZ10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6" spans="1:130" ht="15.75" x14ac:dyDescent="0.25">
      <c r="A106" s="46" t="s">
        <v>132</v>
      </c>
      <c r="B106" s="5">
        <v>40</v>
      </c>
      <c r="C106" s="2">
        <v>20</v>
      </c>
      <c r="D106" s="5">
        <v>136</v>
      </c>
      <c r="E106" s="2">
        <v>22</v>
      </c>
      <c r="F106" s="5">
        <v>30</v>
      </c>
      <c r="G106" s="2">
        <v>0</v>
      </c>
      <c r="H106" s="4">
        <f t="shared" si="1"/>
        <v>0</v>
      </c>
      <c r="I106" s="4">
        <f>Table1[[#This Row],[B]]+Table1[[#This Row],[Atomic Constraints]]+Table1[[#This Row],[Soft Atomic Constraints]]+Table1[[#This Row],[Disjunctive Constraints]]+Table1[[#This Row],[Direct Successors]]</f>
        <v>208</v>
      </c>
      <c r="J106" s="5" t="s">
        <v>25</v>
      </c>
      <c r="K106" s="2">
        <v>65685</v>
      </c>
      <c r="L106" s="2">
        <v>131.7846734</v>
      </c>
      <c r="M106" s="2" t="str">
        <f>IF(AND(Table1[[#This Row],[Chuffed MZ1 Cost]]=Table1[[#This Row],[ORTools FZN2 Cost]],Table1[[#This Row],[ORTools FZN2 State]]="Optimal",Table1[[#This Row],[Chuffed MZ1 State]]="Suboptimal"),1,"")</f>
        <v/>
      </c>
      <c r="N106" s="5" t="s">
        <v>25</v>
      </c>
      <c r="O106" s="2">
        <v>65685</v>
      </c>
      <c r="P106" s="2">
        <v>176.29018490000001</v>
      </c>
      <c r="Q106" s="2" t="str">
        <f>IF(AND(Table1[[#This Row],[Chuffed MZ2 Cost]]=Table1[[#This Row],[ORTools FZN2 Cost]],Table1[[#This Row],[ORTools FZN2 State]]="Optimal",Table1[[#This Row],[Chuffed MZ2 State]]="Suboptimal"),1,"")</f>
        <v/>
      </c>
      <c r="R106" s="6" t="s">
        <v>25</v>
      </c>
      <c r="S106" s="4">
        <v>65685</v>
      </c>
      <c r="T106" s="4">
        <v>168.753999999999</v>
      </c>
      <c r="U106" s="4"/>
      <c r="V106" s="5" t="s">
        <v>25</v>
      </c>
      <c r="W106" s="2">
        <v>65685</v>
      </c>
      <c r="X106" s="2">
        <v>10.758037099999999</v>
      </c>
      <c r="Y106" s="2" t="str">
        <f>IF(AND(Table1[[#This Row],[ORTools FZN1 Cost]]=Table1[[#This Row],[ORTools FZN2 Cost]],Table1[[#This Row],[ORTools FZN2 State]]="Optimal",Table1[[#This Row],[ORTools FZN1 State]]="Suboptimal"),1,"")</f>
        <v/>
      </c>
      <c r="Z106" s="5" t="s">
        <v>25</v>
      </c>
      <c r="AA106" s="2">
        <v>65685</v>
      </c>
      <c r="AB106" s="2">
        <v>9.3693243000000006</v>
      </c>
      <c r="AC106" s="39" t="s">
        <v>25</v>
      </c>
      <c r="AD106" s="39">
        <v>65685</v>
      </c>
      <c r="AE106" s="2">
        <v>41.947137699999999</v>
      </c>
      <c r="AF106" s="2" t="str">
        <f>IF(AND(Table1[[#This Row],[Cplex MB Cost]]=Table1[[#This Row],[ORTools FZN2 Cost]],Table1[[#This Row],[ORTools FZN2 State]]="Optimal",Table1[[#This Row],[Cplex MB State]]="Suboptimal"),1,"")</f>
        <v/>
      </c>
      <c r="AG106" s="4">
        <f>IF(AND(AC106="Optimal",AD106&lt;&gt;AA106,Table1[[#This Row],[Example]]&lt;&gt;"R001",Table1[[#This Row],[Example]]&lt;&gt;"R002"),AD106-AA106,)</f>
        <v>0</v>
      </c>
      <c r="AH106" s="5" t="s">
        <v>42</v>
      </c>
      <c r="AI106" s="2">
        <v>-65641</v>
      </c>
      <c r="AJ106" s="2">
        <v>300.1997523</v>
      </c>
      <c r="AK106" s="2" t="str">
        <f>IF(AND(Table1[[#This Row],[Cplex MD Cost]]=Table1[[#This Row],[ORTools FZN2 Cost]],Table1[[#This Row],[ORTools FZN2 State]]="Optimal",Table1[[#This Row],[Cplex MD State]]="Suboptimal"),1,"")</f>
        <v/>
      </c>
      <c r="AL106" s="4">
        <f>IF(AND(AH106="Optimal",AI106&lt;&gt;AA106,Table1[[#This Row],[Example]]&lt;&gt;"R001",Table1[[#This Row],[Example]]&lt;&gt;"R002"),AI106-AA106,)</f>
        <v>0</v>
      </c>
      <c r="AM106" s="39" t="s">
        <v>26</v>
      </c>
      <c r="AN106" s="39">
        <v>129768</v>
      </c>
      <c r="AO106" s="2">
        <v>300.09076149999999</v>
      </c>
      <c r="AP10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6" s="4" t="str">
        <f>IF(AND(Table1[[#This Row],[Cplex MI Cost]]=Table1[[#This Row],[ORTools FZN2 Cost]],Table1[[#This Row],[ORTools FZN2 State]]="Optimal",Table1[[#This Row],[Cplex MI State]]="Suboptimal"),1,"")</f>
        <v/>
      </c>
      <c r="AR106" s="5" t="s">
        <v>42</v>
      </c>
      <c r="AS106" s="2">
        <v>-65641</v>
      </c>
      <c r="AT106" s="2">
        <v>300.03387220000002</v>
      </c>
      <c r="AU106" s="2" t="str">
        <f>IF(AND(Table1[[#This Row],[Z3 SMT2-1 Maxres Cost]]=Table1[[#This Row],[ORTools FZN2 Cost]],Table1[[#This Row],[ORTools FZN2 State]]="Optimal"),1,"")</f>
        <v/>
      </c>
      <c r="AV106" s="39" t="s">
        <v>42</v>
      </c>
      <c r="AW106" s="39">
        <v>-65641</v>
      </c>
      <c r="AX106" s="2">
        <v>300.04732150000001</v>
      </c>
      <c r="AY106" s="2" t="str">
        <f>IF(AND(Table1[[#This Row],[Z3 SMT2-1 PdMaxres Cost]]=Table1[[#This Row],[ORTools FZN2 Cost]],Table1[[#This Row],[ORTools FZN2 State]]="Optimal"),1,"")</f>
        <v/>
      </c>
      <c r="AZ106" s="5" t="s">
        <v>42</v>
      </c>
      <c r="BA106" s="2">
        <v>-65641</v>
      </c>
      <c r="BB106" s="39">
        <v>300.05850620000001</v>
      </c>
      <c r="BC106" s="39" t="str">
        <f>IF(AND(Table1[[#This Row],[Z3 SMT2-1 WMax Cost]]=Table1[[#This Row],[ORTools FZN2 Cost]],Table1[[#This Row],[ORTools FZN2 State]]="Optimal"),1,"")</f>
        <v/>
      </c>
      <c r="BD106" s="39" t="s">
        <v>42</v>
      </c>
      <c r="BE106" s="39">
        <v>-65641</v>
      </c>
      <c r="BF106" s="2">
        <v>300.04806780000001</v>
      </c>
      <c r="BG106" s="2" t="str">
        <f>IF(AND(Table1[[#This Row],[Z3 SMT2-2 Maxres Cost]]=Table1[[#This Row],[ORTools FZN2 Cost]],Table1[[#This Row],[ORTools FZN2 State]]="Optimal"),1,"")</f>
        <v/>
      </c>
      <c r="BH106" s="5" t="s">
        <v>42</v>
      </c>
      <c r="BI106" s="2">
        <v>-65641</v>
      </c>
      <c r="BJ106" s="39">
        <v>300.04163</v>
      </c>
      <c r="BK106" s="39" t="str">
        <f>IF(AND(Table1[[#This Row],[Z3 SMT2-2 PdMaxres Cost]]=Table1[[#This Row],[ORTools FZN2 Cost]],Table1[[#This Row],[ORTools FZN2 State]]="Optimal"),1,"")</f>
        <v/>
      </c>
      <c r="BL106" s="39" t="s">
        <v>42</v>
      </c>
      <c r="BM106" s="39">
        <v>-65641</v>
      </c>
      <c r="BN106" s="2">
        <v>300.04364220000002</v>
      </c>
      <c r="BO106" s="4" t="str">
        <f>IF(AND(Table1[[#This Row],[Z3 SMT2-2 PdMaxres Cost]]=Table1[[#This Row],[ORTools FZN2 Cost]],Table1[[#This Row],[ORTools FZN2 State]]="Optimal"),1,"")</f>
        <v/>
      </c>
      <c r="BP106" s="5" t="s">
        <v>25</v>
      </c>
      <c r="BQ106" s="2">
        <v>65685</v>
      </c>
      <c r="BR106" s="2">
        <v>52.2655867</v>
      </c>
      <c r="BS106" s="2" t="str">
        <f>IF(AND(Table1[[#This Row],[Gurobi MB Cost]]=Table1[[#This Row],[ORTools FZN2 Cost]],Table1[[#This Row],[ORTools FZN2 State]]="Optimal",Table1[[#This Row],[Gurobi MB State]]="Suboptimal"),1,"")</f>
        <v/>
      </c>
      <c r="BT10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6" s="5" t="s">
        <v>26</v>
      </c>
      <c r="BV106" s="2">
        <v>713324</v>
      </c>
      <c r="BW106" s="2">
        <v>300.10751720000002</v>
      </c>
      <c r="BX106" s="2" t="str">
        <f>IF(AND(Table1[[#This Row],[Gurobi MD Cost]]=Table1[[#This Row],[ORTools FZN2 Cost]],Table1[[#This Row],[ORTools FZN2 State]]="Optimal",Table1[[#This Row],[Gurobi MD State]]="Suboptimal"),1,"")</f>
        <v/>
      </c>
      <c r="BY10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6" s="5" t="s">
        <v>25</v>
      </c>
      <c r="CA106" s="2">
        <v>65685</v>
      </c>
      <c r="CB106" s="2">
        <v>45.653103999999999</v>
      </c>
      <c r="CC106" s="2" t="str">
        <f>IF(AND(Table1[[#This Row],[Gurobi MI Cost]]=Table1[[#This Row],[ORTools FZN2 Cost]],Table1[[#This Row],[ORTools FZN2 State]]="Optimal",Table1[[#This Row],[Gurobi MI State]]="Suboptimal"),1,"")</f>
        <v/>
      </c>
      <c r="CD10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6" s="39" t="s">
        <v>42</v>
      </c>
      <c r="CF106" s="2">
        <v>-65641</v>
      </c>
      <c r="CG106" s="39">
        <v>306.06602889999999</v>
      </c>
      <c r="CH106" s="39" t="s">
        <v>42</v>
      </c>
      <c r="CI106" s="39">
        <v>-65641</v>
      </c>
      <c r="CJ106" s="2">
        <v>306.07749260000003</v>
      </c>
      <c r="CK106" s="5" t="s">
        <v>25</v>
      </c>
      <c r="CL106" s="2">
        <v>65685</v>
      </c>
      <c r="CM106" s="2">
        <v>32.016999999999797</v>
      </c>
      <c r="CN106" s="5" t="s">
        <v>26</v>
      </c>
      <c r="CO106" s="2">
        <v>196364</v>
      </c>
      <c r="CP106" s="2">
        <v>301.47958840000001</v>
      </c>
      <c r="CQ106" s="5" t="s">
        <v>25</v>
      </c>
      <c r="CR106" s="2">
        <v>65685</v>
      </c>
      <c r="CS106" s="2">
        <v>16.033255</v>
      </c>
      <c r="CT106" s="6" t="s">
        <v>25</v>
      </c>
      <c r="CU106" s="4">
        <v>65685</v>
      </c>
      <c r="CV106" s="4">
        <v>11.490017399999999</v>
      </c>
      <c r="CW106" s="39" t="s">
        <v>26</v>
      </c>
      <c r="CX106" s="12">
        <v>65685</v>
      </c>
      <c r="CY106" s="12">
        <v>300.01749999999998</v>
      </c>
      <c r="CZ106" s="12">
        <f>IF(AND(Table1[[#This Row],[Cplex MZ1 Cost]]=Table1[[#This Row],[ORTools FZN2 Cost]],Table1[[#This Row],[ORTools FZN2 State]]="Optimal",Table1[[#This Row],[Cplex MZ1 State]]="Suboptimal"),1,"")</f>
        <v>1</v>
      </c>
      <c r="DA106" s="12" t="s">
        <v>26</v>
      </c>
      <c r="DB106" s="12">
        <v>65685</v>
      </c>
      <c r="DC106" s="12">
        <v>300.02050000000003</v>
      </c>
      <c r="DD106" s="12">
        <f>IF(AND(Table1[[#This Row],[Cplex MZ2 Cost]]=Table1[[#This Row],[ORTools FZN2 Cost]],Table1[[#This Row],[ORTools FZN2 State]]="Optimal",Table1[[#This Row],[Cplex MZ2 State]]="Suboptimal"),1,"")</f>
        <v>1</v>
      </c>
      <c r="DE106" s="39" t="s">
        <v>26</v>
      </c>
      <c r="DF106" s="39">
        <v>65687</v>
      </c>
      <c r="DG106" s="2">
        <v>300.00850000000003</v>
      </c>
      <c r="DH106" s="2" t="str">
        <f>IF(AND(Table1[[#This Row],[Gurobi MZ1 Cost]]=Table1[[#This Row],[ORTools FZN2 Cost]],Table1[[#This Row],[ORTools FZN2 State]]="Optimal",Table1[[#This Row],[Gurobi MZ1 State]]="Suboptimal"),1,"")</f>
        <v/>
      </c>
      <c r="DI106" s="5" t="s">
        <v>26</v>
      </c>
      <c r="DJ106" s="2">
        <v>389126</v>
      </c>
      <c r="DK106" s="2">
        <v>300.00599999999997</v>
      </c>
      <c r="DL106" s="4" t="str">
        <f>IF(AND(Table1[[#This Row],[Gurobi MZ2 Cost]]=Table1[[#This Row],[ORTools FZN2 Cost]],Table1[[#This Row],[ORTools FZN2 State]]="Optimal",Table1[[#This Row],[Gurobi MZ2 State]]="Suboptimal"),1,"")</f>
        <v/>
      </c>
      <c r="DM106" s="39" t="s">
        <v>25</v>
      </c>
      <c r="DN106" s="39">
        <v>65685</v>
      </c>
      <c r="DO106" s="65">
        <v>13.533999999999599</v>
      </c>
      <c r="DP106" s="4" t="str">
        <f>IF(AND(Table1[[#This Row],[Cplex MC nonDual Cost]]=Table1[[#This Row],[ORTools FZN2 Cost]],Table1[[#This Row],[ORTools FZN2 State]]="Optimal",Table1[[#This Row],[Cplex MC nonDual State]]="Suboptimal"),1,"")</f>
        <v/>
      </c>
      <c r="DQ106" s="5" t="s">
        <v>26</v>
      </c>
      <c r="DR106" s="2">
        <v>65685</v>
      </c>
      <c r="DS106" s="2">
        <v>300.01920000000001</v>
      </c>
      <c r="DT106" s="2">
        <f>IF(AND(Table1[[#This Row],[Cplex MIP DM''z Cost]]=Table1[[#This Row],[ORTools FZN2 Cost]],Table1[[#This Row],[ORTools FZN2 State]]="Optimal",Table1[[#This Row],[Cplex MIP DM''z  State]]="Suboptimal"),1,"")</f>
        <v>1</v>
      </c>
      <c r="DU10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6" s="5" t="s">
        <v>26</v>
      </c>
      <c r="DW106" s="2">
        <v>65688</v>
      </c>
      <c r="DX106" s="2">
        <v>299.99189999999999</v>
      </c>
      <c r="DY106" s="4" t="str">
        <f>IF(AND(Table1[[#This Row],[Gurobi DM''z  Cost]]=Table1[[#This Row],[ORTools FZN2 Cost]],Table1[[#This Row],[ORTools FZN2 State]]="Optimal",Table1[[#This Row],[Gurobi DM''z  State]]="Suboptimal"),1,"")</f>
        <v/>
      </c>
      <c r="DZ10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7" spans="1:130" ht="15.75" x14ac:dyDescent="0.25">
      <c r="A107" s="47" t="s">
        <v>133</v>
      </c>
      <c r="B107" s="5">
        <v>40</v>
      </c>
      <c r="C107" s="2">
        <v>20</v>
      </c>
      <c r="D107" s="5">
        <v>118</v>
      </c>
      <c r="E107" s="2">
        <v>28</v>
      </c>
      <c r="F107" s="5">
        <v>17</v>
      </c>
      <c r="G107" s="2">
        <v>0</v>
      </c>
      <c r="H107" s="4">
        <f t="shared" si="1"/>
        <v>0</v>
      </c>
      <c r="I107" s="4">
        <f>Table1[[#This Row],[B]]+Table1[[#This Row],[Atomic Constraints]]+Table1[[#This Row],[Soft Atomic Constraints]]+Table1[[#This Row],[Disjunctive Constraints]]+Table1[[#This Row],[Direct Successors]]</f>
        <v>183</v>
      </c>
      <c r="J107" s="5" t="s">
        <v>25</v>
      </c>
      <c r="K107" s="2">
        <v>6</v>
      </c>
      <c r="L107" s="2">
        <v>22.333559399999999</v>
      </c>
      <c r="M107" s="2" t="str">
        <f>IF(AND(Table1[[#This Row],[Chuffed MZ1 Cost]]=Table1[[#This Row],[ORTools FZN2 Cost]],Table1[[#This Row],[ORTools FZN2 State]]="Optimal",Table1[[#This Row],[Chuffed MZ1 State]]="Suboptimal"),1,"")</f>
        <v/>
      </c>
      <c r="N107" s="5" t="s">
        <v>25</v>
      </c>
      <c r="O107" s="2">
        <v>6</v>
      </c>
      <c r="P107" s="2">
        <v>10.9032579</v>
      </c>
      <c r="Q107" s="2" t="str">
        <f>IF(AND(Table1[[#This Row],[Chuffed MZ2 Cost]]=Table1[[#This Row],[ORTools FZN2 Cost]],Table1[[#This Row],[ORTools FZN2 State]]="Optimal",Table1[[#This Row],[Chuffed MZ2 State]]="Suboptimal"),1,"")</f>
        <v/>
      </c>
      <c r="R107" s="11" t="s">
        <v>26</v>
      </c>
      <c r="S107" s="11">
        <v>6</v>
      </c>
      <c r="T107" s="11">
        <v>300.06200000000001</v>
      </c>
      <c r="U107" s="11">
        <v>1</v>
      </c>
      <c r="V107" s="5" t="s">
        <v>25</v>
      </c>
      <c r="W107" s="2">
        <v>6</v>
      </c>
      <c r="X107" s="2">
        <v>9.0550753000000004</v>
      </c>
      <c r="Y107" s="2" t="str">
        <f>IF(AND(Table1[[#This Row],[ORTools FZN1 Cost]]=Table1[[#This Row],[ORTools FZN2 Cost]],Table1[[#This Row],[ORTools FZN2 State]]="Optimal",Table1[[#This Row],[ORTools FZN1 State]]="Suboptimal"),1,"")</f>
        <v/>
      </c>
      <c r="Z107" s="5" t="s">
        <v>25</v>
      </c>
      <c r="AA107" s="2">
        <v>6</v>
      </c>
      <c r="AB107" s="2">
        <v>12.1741438</v>
      </c>
      <c r="AC107" s="39" t="s">
        <v>25</v>
      </c>
      <c r="AD107" s="39">
        <v>6</v>
      </c>
      <c r="AE107" s="2">
        <v>81.954988599999993</v>
      </c>
      <c r="AF107" s="2" t="str">
        <f>IF(AND(Table1[[#This Row],[Cplex MB Cost]]=Table1[[#This Row],[ORTools FZN2 Cost]],Table1[[#This Row],[ORTools FZN2 State]]="Optimal",Table1[[#This Row],[Cplex MB State]]="Suboptimal"),1,"")</f>
        <v/>
      </c>
      <c r="AG107" s="4">
        <f>IF(AND(AC107="Optimal",AD107&lt;&gt;AA107,Table1[[#This Row],[Example]]&lt;&gt;"R001",Table1[[#This Row],[Example]]&lt;&gt;"R002"),AD107-AA107,)</f>
        <v>0</v>
      </c>
      <c r="AH107" s="5" t="s">
        <v>26</v>
      </c>
      <c r="AI107" s="2">
        <v>645129</v>
      </c>
      <c r="AJ107" s="2">
        <v>300.26526769999998</v>
      </c>
      <c r="AK107" s="2" t="str">
        <f>IF(AND(Table1[[#This Row],[Cplex MD Cost]]=Table1[[#This Row],[ORTools FZN2 Cost]],Table1[[#This Row],[ORTools FZN2 State]]="Optimal",Table1[[#This Row],[Cplex MD State]]="Suboptimal"),1,"")</f>
        <v/>
      </c>
      <c r="AL107" s="2">
        <f>IF(AND(AH107="Optimal",AI107&lt;&gt;AA107,Table1[[#This Row],[Example]]&lt;&gt;"R001",Table1[[#This Row],[Example]]&lt;&gt;"R002"),AI107-AA107,)</f>
        <v>0</v>
      </c>
      <c r="AM107" s="39" t="s">
        <v>25</v>
      </c>
      <c r="AN107" s="39">
        <v>6</v>
      </c>
      <c r="AO107" s="2">
        <v>9.2861156000000005</v>
      </c>
      <c r="AP10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7" s="2" t="str">
        <f>IF(AND(Table1[[#This Row],[Cplex MI Cost]]=Table1[[#This Row],[ORTools FZN2 Cost]],Table1[[#This Row],[ORTools FZN2 State]]="Optimal",Table1[[#This Row],[Cplex MI State]]="Suboptimal"),1,"")</f>
        <v/>
      </c>
      <c r="AR107" s="5" t="s">
        <v>42</v>
      </c>
      <c r="AS107" s="2">
        <v>-65641</v>
      </c>
      <c r="AT107" s="2">
        <v>300.04120349999999</v>
      </c>
      <c r="AU107" s="2" t="str">
        <f>IF(AND(Table1[[#This Row],[Z3 SMT2-1 Maxres Cost]]=Table1[[#This Row],[ORTools FZN2 Cost]],Table1[[#This Row],[ORTools FZN2 State]]="Optimal"),1,"")</f>
        <v/>
      </c>
      <c r="AV107" s="39" t="s">
        <v>42</v>
      </c>
      <c r="AW107" s="39">
        <v>-65641</v>
      </c>
      <c r="AX107" s="2">
        <v>300.06869790000002</v>
      </c>
      <c r="AY107" s="2" t="str">
        <f>IF(AND(Table1[[#This Row],[Z3 SMT2-1 PdMaxres Cost]]=Table1[[#This Row],[ORTools FZN2 Cost]],Table1[[#This Row],[ORTools FZN2 State]]="Optimal"),1,"")</f>
        <v/>
      </c>
      <c r="AZ107" s="5" t="s">
        <v>42</v>
      </c>
      <c r="BA107" s="2">
        <v>-65641</v>
      </c>
      <c r="BB107" s="39">
        <v>300.04440369999998</v>
      </c>
      <c r="BC107" s="39" t="str">
        <f>IF(AND(Table1[[#This Row],[Z3 SMT2-1 WMax Cost]]=Table1[[#This Row],[ORTools FZN2 Cost]],Table1[[#This Row],[ORTools FZN2 State]]="Optimal"),1,"")</f>
        <v/>
      </c>
      <c r="BD107" s="39" t="s">
        <v>42</v>
      </c>
      <c r="BE107" s="39">
        <v>-65641</v>
      </c>
      <c r="BF107" s="2">
        <v>300.0538401</v>
      </c>
      <c r="BG107" s="2" t="str">
        <f>IF(AND(Table1[[#This Row],[Z3 SMT2-2 Maxres Cost]]=Table1[[#This Row],[ORTools FZN2 Cost]],Table1[[#This Row],[ORTools FZN2 State]]="Optimal"),1,"")</f>
        <v/>
      </c>
      <c r="BH107" s="5" t="s">
        <v>42</v>
      </c>
      <c r="BI107" s="2">
        <v>-65641</v>
      </c>
      <c r="BJ107" s="39">
        <v>300.04795610000002</v>
      </c>
      <c r="BK107" s="39" t="str">
        <f>IF(AND(Table1[[#This Row],[Z3 SMT2-2 PdMaxres Cost]]=Table1[[#This Row],[ORTools FZN2 Cost]],Table1[[#This Row],[ORTools FZN2 State]]="Optimal"),1,"")</f>
        <v/>
      </c>
      <c r="BL107" s="39" t="s">
        <v>42</v>
      </c>
      <c r="BM107" s="39">
        <v>-65641</v>
      </c>
      <c r="BN107" s="2">
        <v>300.04164550000002</v>
      </c>
      <c r="BO107" s="4" t="str">
        <f>IF(AND(Table1[[#This Row],[Z3 SMT2-2 PdMaxres Cost]]=Table1[[#This Row],[ORTools FZN2 Cost]],Table1[[#This Row],[ORTools FZN2 State]]="Optimal"),1,"")</f>
        <v/>
      </c>
      <c r="BP107" s="5" t="s">
        <v>25</v>
      </c>
      <c r="BQ107" s="2">
        <v>6</v>
      </c>
      <c r="BR107" s="2">
        <v>32.050353299999998</v>
      </c>
      <c r="BS107" s="2" t="str">
        <f>IF(AND(Table1[[#This Row],[Gurobi MB Cost]]=Table1[[#This Row],[ORTools FZN2 Cost]],Table1[[#This Row],[ORTools FZN2 State]]="Optimal",Table1[[#This Row],[Gurobi MB State]]="Suboptimal"),1,"")</f>
        <v/>
      </c>
      <c r="BT10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7" s="5" t="s">
        <v>42</v>
      </c>
      <c r="BV107" s="2">
        <v>-65641</v>
      </c>
      <c r="BW107" s="2">
        <v>300.10144209999999</v>
      </c>
      <c r="BX107" s="2" t="str">
        <f>IF(AND(Table1[[#This Row],[Gurobi MD Cost]]=Table1[[#This Row],[ORTools FZN2 Cost]],Table1[[#This Row],[ORTools FZN2 State]]="Optimal",Table1[[#This Row],[Gurobi MD State]]="Suboptimal"),1,"")</f>
        <v/>
      </c>
      <c r="BY10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7" s="5" t="s">
        <v>25</v>
      </c>
      <c r="CA107" s="2">
        <v>6</v>
      </c>
      <c r="CB107" s="2">
        <v>60.526989399999998</v>
      </c>
      <c r="CC107" s="2" t="str">
        <f>IF(AND(Table1[[#This Row],[Gurobi MI Cost]]=Table1[[#This Row],[ORTools FZN2 Cost]],Table1[[#This Row],[ORTools FZN2 State]]="Optimal",Table1[[#This Row],[Gurobi MI State]]="Suboptimal"),1,"")</f>
        <v/>
      </c>
      <c r="CD10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7" s="39" t="s">
        <v>42</v>
      </c>
      <c r="CF107" s="2">
        <v>-65641</v>
      </c>
      <c r="CG107" s="39">
        <v>306.10093369999998</v>
      </c>
      <c r="CH107" s="39" t="s">
        <v>42</v>
      </c>
      <c r="CI107" s="39">
        <v>-65641</v>
      </c>
      <c r="CJ107" s="2">
        <v>306.04153869999999</v>
      </c>
      <c r="CK107" s="5" t="s">
        <v>25</v>
      </c>
      <c r="CL107" s="2">
        <v>6</v>
      </c>
      <c r="CM107" s="2">
        <v>132.360999999999</v>
      </c>
      <c r="CN107" s="5" t="s">
        <v>26</v>
      </c>
      <c r="CO107" s="2">
        <v>1165929</v>
      </c>
      <c r="CP107" s="2">
        <v>301.49207100000001</v>
      </c>
      <c r="CQ107" s="5" t="s">
        <v>25</v>
      </c>
      <c r="CR107" s="2">
        <v>6</v>
      </c>
      <c r="CS107" s="2">
        <v>17.416454900000002</v>
      </c>
      <c r="CT107" s="6" t="s">
        <v>25</v>
      </c>
      <c r="CU107" s="4">
        <v>6</v>
      </c>
      <c r="CV107" s="4">
        <v>10.8975183</v>
      </c>
      <c r="CW107" s="39" t="s">
        <v>26</v>
      </c>
      <c r="CX107" s="39">
        <v>261250</v>
      </c>
      <c r="CY107" s="2">
        <v>300.01620000000003</v>
      </c>
      <c r="CZ107" s="2" t="str">
        <f>IF(AND(Table1[[#This Row],[Cplex MZ1 Cost]]=Table1[[#This Row],[ORTools FZN2 Cost]],Table1[[#This Row],[ORTools FZN2 State]]="Optimal",Table1[[#This Row],[Cplex MZ1 State]]="Suboptimal"),1,"")</f>
        <v/>
      </c>
      <c r="DA107" s="5" t="s">
        <v>26</v>
      </c>
      <c r="DB107" s="2">
        <v>195451</v>
      </c>
      <c r="DC107" s="2">
        <v>300.02300000000002</v>
      </c>
      <c r="DD107" s="2" t="str">
        <f>IF(AND(Table1[[#This Row],[Cplex MZ2 Cost]]=Table1[[#This Row],[ORTools FZN2 Cost]],Table1[[#This Row],[ORTools FZN2 State]]="Optimal",Table1[[#This Row],[Cplex MZ2 State]]="Suboptimal"),1,"")</f>
        <v/>
      </c>
      <c r="DE107" s="39" t="s">
        <v>26</v>
      </c>
      <c r="DF107" s="39">
        <v>840609</v>
      </c>
      <c r="DG107" s="2">
        <v>300.00839999999999</v>
      </c>
      <c r="DH107" s="2" t="str">
        <f>IF(AND(Table1[[#This Row],[Gurobi MZ1 Cost]]=Table1[[#This Row],[ORTools FZN2 Cost]],Table1[[#This Row],[ORTools FZN2 State]]="Optimal",Table1[[#This Row],[Gurobi MZ1 State]]="Suboptimal"),1,"")</f>
        <v/>
      </c>
      <c r="DI107" s="5" t="s">
        <v>26</v>
      </c>
      <c r="DJ107" s="2">
        <v>714367</v>
      </c>
      <c r="DK107" s="2">
        <v>300.00760000000002</v>
      </c>
      <c r="DL107" s="4" t="str">
        <f>IF(AND(Table1[[#This Row],[Gurobi MZ2 Cost]]=Table1[[#This Row],[ORTools FZN2 Cost]],Table1[[#This Row],[ORTools FZN2 State]]="Optimal",Table1[[#This Row],[Gurobi MZ2 State]]="Suboptimal"),1,"")</f>
        <v/>
      </c>
      <c r="DM107" s="39" t="s">
        <v>26</v>
      </c>
      <c r="DN107" s="12">
        <v>6</v>
      </c>
      <c r="DO107" s="69">
        <v>300.03199999999902</v>
      </c>
      <c r="DP107" s="11">
        <f>IF(AND(Table1[[#This Row],[Cplex MC nonDual Cost]]=Table1[[#This Row],[ORTools FZN2 Cost]],Table1[[#This Row],[ORTools FZN2 State]]="Optimal",Table1[[#This Row],[Cplex MC nonDual State]]="Suboptimal"),1,"")</f>
        <v>1</v>
      </c>
      <c r="DQ107" s="5" t="s">
        <v>26</v>
      </c>
      <c r="DR107" s="2">
        <v>195650</v>
      </c>
      <c r="DS107" s="2">
        <v>300.01080000000002</v>
      </c>
      <c r="DT107" s="2" t="str">
        <f>IF(AND(Table1[[#This Row],[Cplex MIP DM''z Cost]]=Table1[[#This Row],[ORTools FZN2 Cost]],Table1[[#This Row],[ORTools FZN2 State]]="Optimal",Table1[[#This Row],[Cplex MIP DM''z  State]]="Suboptimal"),1,"")</f>
        <v/>
      </c>
      <c r="DU10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7" s="5" t="s">
        <v>26</v>
      </c>
      <c r="DW107" s="2">
        <v>582973</v>
      </c>
      <c r="DX107" s="2">
        <v>300.00779999999997</v>
      </c>
      <c r="DY107" s="4" t="str">
        <f>IF(AND(Table1[[#This Row],[Gurobi DM''z  Cost]]=Table1[[#This Row],[ORTools FZN2 Cost]],Table1[[#This Row],[ORTools FZN2 State]]="Optimal",Table1[[#This Row],[Gurobi DM''z  State]]="Suboptimal"),1,"")</f>
        <v/>
      </c>
      <c r="DZ10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8" spans="1:130" ht="15.75" x14ac:dyDescent="0.25">
      <c r="A108" s="46" t="s">
        <v>134</v>
      </c>
      <c r="B108" s="5">
        <v>6</v>
      </c>
      <c r="C108" s="2">
        <v>3</v>
      </c>
      <c r="D108" s="5">
        <v>2</v>
      </c>
      <c r="E108" s="2">
        <v>3</v>
      </c>
      <c r="F108" s="5">
        <v>1</v>
      </c>
      <c r="G108" s="2">
        <v>0</v>
      </c>
      <c r="H108" s="4">
        <f t="shared" si="1"/>
        <v>0</v>
      </c>
      <c r="I108" s="4">
        <f>Table1[[#This Row],[B]]+Table1[[#This Row],[Atomic Constraints]]+Table1[[#This Row],[Soft Atomic Constraints]]+Table1[[#This Row],[Disjunctive Constraints]]+Table1[[#This Row],[Direct Successors]]</f>
        <v>9</v>
      </c>
      <c r="J108" s="5" t="s">
        <v>25</v>
      </c>
      <c r="K108" s="2">
        <v>264</v>
      </c>
      <c r="L108" s="2">
        <v>0.60413070000000002</v>
      </c>
      <c r="M108" s="2" t="str">
        <f>IF(AND(Table1[[#This Row],[Chuffed MZ1 Cost]]=Table1[[#This Row],[ORTools FZN2 Cost]],Table1[[#This Row],[ORTools FZN2 State]]="Optimal",Table1[[#This Row],[Chuffed MZ1 State]]="Suboptimal"),1,"")</f>
        <v/>
      </c>
      <c r="N108" s="5" t="s">
        <v>25</v>
      </c>
      <c r="O108" s="2">
        <v>264</v>
      </c>
      <c r="P108" s="2">
        <v>0.56636039999999999</v>
      </c>
      <c r="Q108" s="2" t="str">
        <f>IF(AND(Table1[[#This Row],[Chuffed MZ2 Cost]]=Table1[[#This Row],[ORTools FZN2 Cost]],Table1[[#This Row],[ORTools FZN2 State]]="Optimal",Table1[[#This Row],[Chuffed MZ2 State]]="Suboptimal"),1,"")</f>
        <v/>
      </c>
      <c r="R108" s="6" t="s">
        <v>25</v>
      </c>
      <c r="S108" s="4">
        <v>264</v>
      </c>
      <c r="T108" s="4">
        <v>4.2000000001280603E-2</v>
      </c>
      <c r="U108" s="4"/>
      <c r="V108" s="5" t="s">
        <v>25</v>
      </c>
      <c r="W108" s="2">
        <v>264</v>
      </c>
      <c r="X108" s="2">
        <v>0.1026069</v>
      </c>
      <c r="Y108" s="2" t="str">
        <f>IF(AND(Table1[[#This Row],[ORTools FZN1 Cost]]=Table1[[#This Row],[ORTools FZN2 Cost]],Table1[[#This Row],[ORTools FZN2 State]]="Optimal",Table1[[#This Row],[ORTools FZN1 State]]="Suboptimal"),1,"")</f>
        <v/>
      </c>
      <c r="Z108" s="5" t="s">
        <v>25</v>
      </c>
      <c r="AA108" s="2">
        <v>264</v>
      </c>
      <c r="AB108" s="2">
        <v>8.5081199999999996E-2</v>
      </c>
      <c r="AC108" s="39" t="s">
        <v>25</v>
      </c>
      <c r="AD108" s="39">
        <v>264</v>
      </c>
      <c r="AE108" s="2">
        <v>7.0469699999999996E-2</v>
      </c>
      <c r="AF108" s="2" t="str">
        <f>IF(AND(Table1[[#This Row],[Cplex MB Cost]]=Table1[[#This Row],[ORTools FZN2 Cost]],Table1[[#This Row],[ORTools FZN2 State]]="Optimal",Table1[[#This Row],[Cplex MB State]]="Suboptimal"),1,"")</f>
        <v/>
      </c>
      <c r="AG108" s="4">
        <f>IF(AND(AC108="Optimal",AD108&lt;&gt;AA108,Table1[[#This Row],[Example]]&lt;&gt;"R001",Table1[[#This Row],[Example]]&lt;&gt;"R002"),AD108-AA108,)</f>
        <v>0</v>
      </c>
      <c r="AH108" s="5" t="s">
        <v>25</v>
      </c>
      <c r="AI108" s="2">
        <v>264</v>
      </c>
      <c r="AJ108" s="2">
        <v>0.272675</v>
      </c>
      <c r="AK108" s="2" t="str">
        <f>IF(AND(Table1[[#This Row],[Cplex MD Cost]]=Table1[[#This Row],[ORTools FZN2 Cost]],Table1[[#This Row],[ORTools FZN2 State]]="Optimal",Table1[[#This Row],[Cplex MD State]]="Suboptimal"),1,"")</f>
        <v/>
      </c>
      <c r="AL108" s="4">
        <f>IF(AND(AH108="Optimal",AI108&lt;&gt;AA108,Table1[[#This Row],[Example]]&lt;&gt;"R001",Table1[[#This Row],[Example]]&lt;&gt;"R002"),AI108-AA108,)</f>
        <v>0</v>
      </c>
      <c r="AM108" s="39" t="s">
        <v>25</v>
      </c>
      <c r="AN108" s="39">
        <v>264</v>
      </c>
      <c r="AO108" s="2">
        <v>8.2906800000000003E-2</v>
      </c>
      <c r="AP10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8" s="4" t="str">
        <f>IF(AND(Table1[[#This Row],[Cplex MI Cost]]=Table1[[#This Row],[ORTools FZN2 Cost]],Table1[[#This Row],[ORTools FZN2 State]]="Optimal",Table1[[#This Row],[Cplex MI State]]="Suboptimal"),1,"")</f>
        <v/>
      </c>
      <c r="AR108" s="12" t="s">
        <v>26</v>
      </c>
      <c r="AS108" s="12">
        <v>264</v>
      </c>
      <c r="AT108" s="12">
        <v>0.1845029</v>
      </c>
      <c r="AU108" s="12">
        <f>IF(AND(Table1[[#This Row],[Z3 SMT2-1 Maxres Cost]]=Table1[[#This Row],[ORTools FZN2 Cost]],Table1[[#This Row],[ORTools FZN2 State]]="Optimal"),1,"")</f>
        <v>1</v>
      </c>
      <c r="AV108" s="12" t="s">
        <v>26</v>
      </c>
      <c r="AW108" s="12">
        <v>264</v>
      </c>
      <c r="AX108" s="12">
        <v>0.19722229999999999</v>
      </c>
      <c r="AY108" s="12">
        <f>IF(AND(Table1[[#This Row],[Z3 SMT2-1 PdMaxres Cost]]=Table1[[#This Row],[ORTools FZN2 Cost]],Table1[[#This Row],[ORTools FZN2 State]]="Optimal"),1,"")</f>
        <v>1</v>
      </c>
      <c r="AZ108" s="12" t="s">
        <v>26</v>
      </c>
      <c r="BA108" s="12">
        <v>264</v>
      </c>
      <c r="BB108" s="12">
        <v>0.2273944</v>
      </c>
      <c r="BC108" s="12">
        <f>IF(AND(Table1[[#This Row],[Z3 SMT2-1 WMax Cost]]=Table1[[#This Row],[ORTools FZN2 Cost]],Table1[[#This Row],[ORTools FZN2 State]]="Optimal"),1,"")</f>
        <v>1</v>
      </c>
      <c r="BD108" s="12" t="s">
        <v>26</v>
      </c>
      <c r="BE108" s="12">
        <v>264</v>
      </c>
      <c r="BF108" s="12">
        <v>0.18337339999999999</v>
      </c>
      <c r="BG108" s="12">
        <f>IF(AND(Table1[[#This Row],[Z3 SMT2-2 Maxres Cost]]=Table1[[#This Row],[ORTools FZN2 Cost]],Table1[[#This Row],[ORTools FZN2 State]]="Optimal"),1,"")</f>
        <v>1</v>
      </c>
      <c r="BH108" s="12" t="s">
        <v>26</v>
      </c>
      <c r="BI108" s="12">
        <v>264</v>
      </c>
      <c r="BJ108" s="12">
        <v>0.17181440000000001</v>
      </c>
      <c r="BK108" s="12">
        <f>IF(AND(Table1[[#This Row],[Z3 SMT2-2 PdMaxres Cost]]=Table1[[#This Row],[ORTools FZN2 Cost]],Table1[[#This Row],[ORTools FZN2 State]]="Optimal"),1,"")</f>
        <v>1</v>
      </c>
      <c r="BL108" s="12" t="s">
        <v>26</v>
      </c>
      <c r="BM108" s="12">
        <v>264</v>
      </c>
      <c r="BN108" s="12">
        <v>0.20416480000000001</v>
      </c>
      <c r="BO108" s="11">
        <f>IF(AND(Table1[[#This Row],[Z3 SMT2-2 PdMaxres Cost]]=Table1[[#This Row],[ORTools FZN2 Cost]],Table1[[#This Row],[ORTools FZN2 State]]="Optimal"),1,"")</f>
        <v>1</v>
      </c>
      <c r="BP108" s="5" t="s">
        <v>25</v>
      </c>
      <c r="BQ108" s="2">
        <v>264</v>
      </c>
      <c r="BR108" s="2">
        <v>0.19456970000000001</v>
      </c>
      <c r="BS108" s="2" t="str">
        <f>IF(AND(Table1[[#This Row],[Gurobi MB Cost]]=Table1[[#This Row],[ORTools FZN2 Cost]],Table1[[#This Row],[ORTools FZN2 State]]="Optimal",Table1[[#This Row],[Gurobi MB State]]="Suboptimal"),1,"")</f>
        <v/>
      </c>
      <c r="BT10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8" s="5" t="s">
        <v>25</v>
      </c>
      <c r="BV108" s="2">
        <v>264</v>
      </c>
      <c r="BW108" s="2">
        <v>0.31735409999999997</v>
      </c>
      <c r="BX108" s="2" t="str">
        <f>IF(AND(Table1[[#This Row],[Gurobi MD Cost]]=Table1[[#This Row],[ORTools FZN2 Cost]],Table1[[#This Row],[ORTools FZN2 State]]="Optimal",Table1[[#This Row],[Gurobi MD State]]="Suboptimal"),1,"")</f>
        <v/>
      </c>
      <c r="BY10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8" s="5" t="s">
        <v>25</v>
      </c>
      <c r="CA108" s="2">
        <v>264</v>
      </c>
      <c r="CB108" s="2">
        <v>0.22819900000000001</v>
      </c>
      <c r="CC108" s="2" t="str">
        <f>IF(AND(Table1[[#This Row],[Gurobi MI Cost]]=Table1[[#This Row],[ORTools FZN2 Cost]],Table1[[#This Row],[ORTools FZN2 State]]="Optimal",Table1[[#This Row],[Gurobi MI State]]="Suboptimal"),1,"")</f>
        <v/>
      </c>
      <c r="CD10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8" s="39" t="s">
        <v>25</v>
      </c>
      <c r="CF108" s="2">
        <v>264</v>
      </c>
      <c r="CG108" s="39">
        <v>5.1009558000000004</v>
      </c>
      <c r="CH108" s="39" t="s">
        <v>25</v>
      </c>
      <c r="CI108" s="39">
        <v>264</v>
      </c>
      <c r="CJ108" s="2">
        <v>5.1487990000000003</v>
      </c>
      <c r="CK108" s="5" t="s">
        <v>25</v>
      </c>
      <c r="CL108" s="2">
        <v>264</v>
      </c>
      <c r="CM108" s="2">
        <v>4.3999999999868998E-2</v>
      </c>
      <c r="CN108" s="5" t="s">
        <v>25</v>
      </c>
      <c r="CO108" s="2">
        <v>264</v>
      </c>
      <c r="CP108" s="2">
        <v>0.58805450000000004</v>
      </c>
      <c r="CQ108" s="5" t="s">
        <v>25</v>
      </c>
      <c r="CR108" s="2">
        <v>264</v>
      </c>
      <c r="CS108" s="2">
        <v>0.1060354</v>
      </c>
      <c r="CT108" s="6" t="s">
        <v>25</v>
      </c>
      <c r="CU108" s="4">
        <v>264</v>
      </c>
      <c r="CV108" s="4">
        <v>0.13436319999999999</v>
      </c>
      <c r="CW108" s="39" t="s">
        <v>25</v>
      </c>
      <c r="CX108" s="39">
        <v>264</v>
      </c>
      <c r="CY108" s="2">
        <v>0.1048</v>
      </c>
      <c r="CZ108" s="2" t="str">
        <f>IF(AND(Table1[[#This Row],[Cplex MZ1 Cost]]=Table1[[#This Row],[ORTools FZN2 Cost]],Table1[[#This Row],[ORTools FZN2 State]]="Optimal",Table1[[#This Row],[Cplex MZ1 State]]="Suboptimal"),1,"")</f>
        <v/>
      </c>
      <c r="DA108" s="5" t="s">
        <v>25</v>
      </c>
      <c r="DB108" s="2">
        <v>264</v>
      </c>
      <c r="DC108" s="2">
        <v>0.1065</v>
      </c>
      <c r="DD108" s="2" t="str">
        <f>IF(AND(Table1[[#This Row],[Cplex MZ2 Cost]]=Table1[[#This Row],[ORTools FZN2 Cost]],Table1[[#This Row],[ORTools FZN2 State]]="Optimal",Table1[[#This Row],[Cplex MZ2 State]]="Suboptimal"),1,"")</f>
        <v/>
      </c>
      <c r="DE108" s="39" t="s">
        <v>25</v>
      </c>
      <c r="DF108" s="39">
        <v>264</v>
      </c>
      <c r="DG108" s="2">
        <v>0.2651</v>
      </c>
      <c r="DH108" s="2" t="str">
        <f>IF(AND(Table1[[#This Row],[Gurobi MZ1 Cost]]=Table1[[#This Row],[ORTools FZN2 Cost]],Table1[[#This Row],[ORTools FZN2 State]]="Optimal",Table1[[#This Row],[Gurobi MZ1 State]]="Suboptimal"),1,"")</f>
        <v/>
      </c>
      <c r="DI108" s="5" t="s">
        <v>25</v>
      </c>
      <c r="DJ108" s="2">
        <v>264</v>
      </c>
      <c r="DK108" s="2">
        <v>0.1817</v>
      </c>
      <c r="DL108" s="4" t="str">
        <f>IF(AND(Table1[[#This Row],[Gurobi MZ2 Cost]]=Table1[[#This Row],[ORTools FZN2 Cost]],Table1[[#This Row],[ORTools FZN2 State]]="Optimal",Table1[[#This Row],[Gurobi MZ2 State]]="Suboptimal"),1,"")</f>
        <v/>
      </c>
      <c r="DM108" s="39" t="s">
        <v>25</v>
      </c>
      <c r="DN108" s="39">
        <v>264</v>
      </c>
      <c r="DO108" s="65">
        <v>4.6000000000276403E-2</v>
      </c>
      <c r="DP108" s="4" t="str">
        <f>IF(AND(Table1[[#This Row],[Cplex MC nonDual Cost]]=Table1[[#This Row],[ORTools FZN2 Cost]],Table1[[#This Row],[ORTools FZN2 State]]="Optimal",Table1[[#This Row],[Cplex MC nonDual State]]="Suboptimal"),1,"")</f>
        <v/>
      </c>
      <c r="DQ108" s="5" t="s">
        <v>25</v>
      </c>
      <c r="DR108" s="2">
        <v>264</v>
      </c>
      <c r="DS108" s="2">
        <v>8.5300000000000001E-2</v>
      </c>
      <c r="DT108" s="2" t="str">
        <f>IF(AND(Table1[[#This Row],[Cplex MIP DM''z Cost]]=Table1[[#This Row],[ORTools FZN2 Cost]],Table1[[#This Row],[ORTools FZN2 State]]="Optimal",Table1[[#This Row],[Cplex MIP DM''z  State]]="Suboptimal"),1,"")</f>
        <v/>
      </c>
      <c r="DU10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8" s="5" t="s">
        <v>25</v>
      </c>
      <c r="DW108" s="2">
        <v>264</v>
      </c>
      <c r="DX108" s="2">
        <v>0.1915</v>
      </c>
      <c r="DY108" s="4" t="str">
        <f>IF(AND(Table1[[#This Row],[Gurobi DM''z  Cost]]=Table1[[#This Row],[ORTools FZN2 Cost]],Table1[[#This Row],[ORTools FZN2 State]]="Optimal",Table1[[#This Row],[Gurobi DM''z  State]]="Suboptimal"),1,"")</f>
        <v/>
      </c>
      <c r="DZ10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09" spans="1:130" ht="15.75" x14ac:dyDescent="0.25">
      <c r="A109" s="47" t="s">
        <v>135</v>
      </c>
      <c r="B109" s="5">
        <v>6</v>
      </c>
      <c r="C109" s="2">
        <v>3</v>
      </c>
      <c r="D109" s="5">
        <v>2</v>
      </c>
      <c r="E109" s="2">
        <v>3</v>
      </c>
      <c r="F109" s="5">
        <v>1</v>
      </c>
      <c r="G109" s="2">
        <v>0</v>
      </c>
      <c r="H109" s="4">
        <f t="shared" si="1"/>
        <v>0</v>
      </c>
      <c r="I109" s="4">
        <f>Table1[[#This Row],[B]]+Table1[[#This Row],[Atomic Constraints]]+Table1[[#This Row],[Soft Atomic Constraints]]+Table1[[#This Row],[Disjunctive Constraints]]+Table1[[#This Row],[Direct Successors]]</f>
        <v>9</v>
      </c>
      <c r="J109" s="5" t="s">
        <v>25</v>
      </c>
      <c r="K109" s="2">
        <v>1</v>
      </c>
      <c r="L109" s="2">
        <v>0.61109000000000002</v>
      </c>
      <c r="M109" s="2" t="str">
        <f>IF(AND(Table1[[#This Row],[Chuffed MZ1 Cost]]=Table1[[#This Row],[ORTools FZN2 Cost]],Table1[[#This Row],[ORTools FZN2 State]]="Optimal",Table1[[#This Row],[Chuffed MZ1 State]]="Suboptimal"),1,"")</f>
        <v/>
      </c>
      <c r="N109" s="5" t="s">
        <v>25</v>
      </c>
      <c r="O109" s="2">
        <v>1</v>
      </c>
      <c r="P109" s="2">
        <v>0.56000760000000005</v>
      </c>
      <c r="Q109" s="2" t="str">
        <f>IF(AND(Table1[[#This Row],[Chuffed MZ2 Cost]]=Table1[[#This Row],[ORTools FZN2 Cost]],Table1[[#This Row],[ORTools FZN2 State]]="Optimal",Table1[[#This Row],[Chuffed MZ2 State]]="Suboptimal"),1,"")</f>
        <v/>
      </c>
      <c r="R109" s="5" t="s">
        <v>25</v>
      </c>
      <c r="S109" s="2">
        <v>1</v>
      </c>
      <c r="T109" s="2">
        <v>4.10000000010768E-2</v>
      </c>
      <c r="U109" s="2"/>
      <c r="V109" s="5" t="s">
        <v>25</v>
      </c>
      <c r="W109" s="2">
        <v>1</v>
      </c>
      <c r="X109" s="2">
        <v>9.0919600000000003E-2</v>
      </c>
      <c r="Y109" s="2" t="str">
        <f>IF(AND(Table1[[#This Row],[ORTools FZN1 Cost]]=Table1[[#This Row],[ORTools FZN2 Cost]],Table1[[#This Row],[ORTools FZN2 State]]="Optimal",Table1[[#This Row],[ORTools FZN1 State]]="Suboptimal"),1,"")</f>
        <v/>
      </c>
      <c r="Z109" s="5" t="s">
        <v>25</v>
      </c>
      <c r="AA109" s="2">
        <v>1</v>
      </c>
      <c r="AB109" s="2">
        <v>8.1769599999999998E-2</v>
      </c>
      <c r="AC109" s="39" t="s">
        <v>25</v>
      </c>
      <c r="AD109" s="39">
        <v>1</v>
      </c>
      <c r="AE109" s="2">
        <v>5.6191400000000002E-2</v>
      </c>
      <c r="AF109" s="2" t="str">
        <f>IF(AND(Table1[[#This Row],[Cplex MB Cost]]=Table1[[#This Row],[ORTools FZN2 Cost]],Table1[[#This Row],[ORTools FZN2 State]]="Optimal",Table1[[#This Row],[Cplex MB State]]="Suboptimal"),1,"")</f>
        <v/>
      </c>
      <c r="AG109" s="4">
        <f>IF(AND(AC109="Optimal",AD109&lt;&gt;AA109,Table1[[#This Row],[Example]]&lt;&gt;"R001",Table1[[#This Row],[Example]]&lt;&gt;"R002"),AD109-AA109,)</f>
        <v>0</v>
      </c>
      <c r="AH109" s="5" t="s">
        <v>25</v>
      </c>
      <c r="AI109" s="2">
        <v>1</v>
      </c>
      <c r="AJ109" s="2">
        <v>0.1158416</v>
      </c>
      <c r="AK109" s="2" t="str">
        <f>IF(AND(Table1[[#This Row],[Cplex MD Cost]]=Table1[[#This Row],[ORTools FZN2 Cost]],Table1[[#This Row],[ORTools FZN2 State]]="Optimal",Table1[[#This Row],[Cplex MD State]]="Suboptimal"),1,"")</f>
        <v/>
      </c>
      <c r="AL109" s="4">
        <f>IF(AND(AH109="Optimal",AI109&lt;&gt;AA109,Table1[[#This Row],[Example]]&lt;&gt;"R001",Table1[[#This Row],[Example]]&lt;&gt;"R002"),AI109-AA109,)</f>
        <v>0</v>
      </c>
      <c r="AM109" s="39" t="s">
        <v>25</v>
      </c>
      <c r="AN109" s="39">
        <v>1</v>
      </c>
      <c r="AO109" s="2">
        <v>5.9767300000000002E-2</v>
      </c>
      <c r="AP10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09" s="2" t="str">
        <f>IF(AND(Table1[[#This Row],[Cplex MI Cost]]=Table1[[#This Row],[ORTools FZN2 Cost]],Table1[[#This Row],[ORTools FZN2 State]]="Optimal",Table1[[#This Row],[Cplex MI State]]="Suboptimal"),1,"")</f>
        <v/>
      </c>
      <c r="AR109" s="12" t="s">
        <v>26</v>
      </c>
      <c r="AS109" s="12">
        <v>1</v>
      </c>
      <c r="AT109" s="12">
        <v>0.15191489999999999</v>
      </c>
      <c r="AU109" s="12">
        <f>IF(AND(Table1[[#This Row],[Z3 SMT2-1 Maxres Cost]]=Table1[[#This Row],[ORTools FZN2 Cost]],Table1[[#This Row],[ORTools FZN2 State]]="Optimal"),1,"")</f>
        <v>1</v>
      </c>
      <c r="AV109" s="12" t="s">
        <v>26</v>
      </c>
      <c r="AW109" s="12">
        <v>1</v>
      </c>
      <c r="AX109" s="12">
        <v>0.16454679999999999</v>
      </c>
      <c r="AY109" s="12">
        <f>IF(AND(Table1[[#This Row],[Z3 SMT2-1 PdMaxres Cost]]=Table1[[#This Row],[ORTools FZN2 Cost]],Table1[[#This Row],[ORTools FZN2 State]]="Optimal"),1,"")</f>
        <v>1</v>
      </c>
      <c r="AZ109" s="12" t="s">
        <v>26</v>
      </c>
      <c r="BA109" s="12">
        <v>1</v>
      </c>
      <c r="BB109" s="12">
        <v>0.198043</v>
      </c>
      <c r="BC109" s="12">
        <f>IF(AND(Table1[[#This Row],[Z3 SMT2-1 WMax Cost]]=Table1[[#This Row],[ORTools FZN2 Cost]],Table1[[#This Row],[ORTools FZN2 State]]="Optimal"),1,"")</f>
        <v>1</v>
      </c>
      <c r="BD109" s="12" t="s">
        <v>26</v>
      </c>
      <c r="BE109" s="12">
        <v>1</v>
      </c>
      <c r="BF109" s="12">
        <v>0.15172730000000001</v>
      </c>
      <c r="BG109" s="12">
        <f>IF(AND(Table1[[#This Row],[Z3 SMT2-2 Maxres Cost]]=Table1[[#This Row],[ORTools FZN2 Cost]],Table1[[#This Row],[ORTools FZN2 State]]="Optimal"),1,"")</f>
        <v>1</v>
      </c>
      <c r="BH109" s="12" t="s">
        <v>26</v>
      </c>
      <c r="BI109" s="12">
        <v>1</v>
      </c>
      <c r="BJ109" s="12">
        <v>0.1458535</v>
      </c>
      <c r="BK109" s="12">
        <f>IF(AND(Table1[[#This Row],[Z3 SMT2-2 PdMaxres Cost]]=Table1[[#This Row],[ORTools FZN2 Cost]],Table1[[#This Row],[ORTools FZN2 State]]="Optimal"),1,"")</f>
        <v>1</v>
      </c>
      <c r="BL109" s="12" t="s">
        <v>26</v>
      </c>
      <c r="BM109" s="12">
        <v>1</v>
      </c>
      <c r="BN109" s="12">
        <v>0.17132420000000001</v>
      </c>
      <c r="BO109" s="11">
        <f>IF(AND(Table1[[#This Row],[Z3 SMT2-2 PdMaxres Cost]]=Table1[[#This Row],[ORTools FZN2 Cost]],Table1[[#This Row],[ORTools FZN2 State]]="Optimal"),1,"")</f>
        <v>1</v>
      </c>
      <c r="BP109" s="5" t="s">
        <v>25</v>
      </c>
      <c r="BQ109" s="2">
        <v>1</v>
      </c>
      <c r="BR109" s="2">
        <v>4.6590899999999998E-2</v>
      </c>
      <c r="BS109" s="2" t="str">
        <f>IF(AND(Table1[[#This Row],[Gurobi MB Cost]]=Table1[[#This Row],[ORTools FZN2 Cost]],Table1[[#This Row],[ORTools FZN2 State]]="Optimal",Table1[[#This Row],[Gurobi MB State]]="Suboptimal"),1,"")</f>
        <v/>
      </c>
      <c r="BT10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09" s="5" t="s">
        <v>25</v>
      </c>
      <c r="BV109" s="2">
        <v>1</v>
      </c>
      <c r="BW109" s="2">
        <v>0.2417773</v>
      </c>
      <c r="BX109" s="2" t="str">
        <f>IF(AND(Table1[[#This Row],[Gurobi MD Cost]]=Table1[[#This Row],[ORTools FZN2 Cost]],Table1[[#This Row],[ORTools FZN2 State]]="Optimal",Table1[[#This Row],[Gurobi MD State]]="Suboptimal"),1,"")</f>
        <v/>
      </c>
      <c r="BY10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09" s="5" t="s">
        <v>25</v>
      </c>
      <c r="CA109" s="2">
        <v>1</v>
      </c>
      <c r="CB109" s="2">
        <v>4.4748299999999998E-2</v>
      </c>
      <c r="CC109" s="2" t="str">
        <f>IF(AND(Table1[[#This Row],[Gurobi MI Cost]]=Table1[[#This Row],[ORTools FZN2 Cost]],Table1[[#This Row],[ORTools FZN2 State]]="Optimal",Table1[[#This Row],[Gurobi MI State]]="Suboptimal"),1,"")</f>
        <v/>
      </c>
      <c r="CD10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09" s="39" t="s">
        <v>25</v>
      </c>
      <c r="CF109" s="2">
        <v>1</v>
      </c>
      <c r="CG109" s="39">
        <v>5.1491692000000002</v>
      </c>
      <c r="CH109" s="39" t="s">
        <v>25</v>
      </c>
      <c r="CI109" s="39">
        <v>1</v>
      </c>
      <c r="CJ109" s="2">
        <v>5.0847483000000002</v>
      </c>
      <c r="CK109" s="5" t="s">
        <v>25</v>
      </c>
      <c r="CL109" s="2">
        <v>1</v>
      </c>
      <c r="CM109" s="2">
        <v>3.9999999999054098E-2</v>
      </c>
      <c r="CN109" s="5" t="s">
        <v>25</v>
      </c>
      <c r="CO109" s="2">
        <v>1</v>
      </c>
      <c r="CP109" s="2">
        <v>0.55429589999999995</v>
      </c>
      <c r="CQ109" s="5" t="s">
        <v>25</v>
      </c>
      <c r="CR109" s="2">
        <v>1</v>
      </c>
      <c r="CS109" s="2">
        <v>0.1082386</v>
      </c>
      <c r="CT109" s="6" t="s">
        <v>25</v>
      </c>
      <c r="CU109" s="4">
        <v>1</v>
      </c>
      <c r="CV109" s="4">
        <v>0.13222</v>
      </c>
      <c r="CW109" s="39" t="s">
        <v>25</v>
      </c>
      <c r="CX109" s="39">
        <v>1</v>
      </c>
      <c r="CY109" s="2">
        <v>5.4899999999999997E-2</v>
      </c>
      <c r="CZ109" s="2" t="str">
        <f>IF(AND(Table1[[#This Row],[Cplex MZ1 Cost]]=Table1[[#This Row],[ORTools FZN2 Cost]],Table1[[#This Row],[ORTools FZN2 State]]="Optimal",Table1[[#This Row],[Cplex MZ1 State]]="Suboptimal"),1,"")</f>
        <v/>
      </c>
      <c r="DA109" s="5" t="s">
        <v>25</v>
      </c>
      <c r="DB109" s="2">
        <v>1</v>
      </c>
      <c r="DC109" s="2">
        <v>2.4500000000000001E-2</v>
      </c>
      <c r="DD109" s="2" t="str">
        <f>IF(AND(Table1[[#This Row],[Cplex MZ2 Cost]]=Table1[[#This Row],[ORTools FZN2 Cost]],Table1[[#This Row],[ORTools FZN2 State]]="Optimal",Table1[[#This Row],[Cplex MZ2 State]]="Suboptimal"),1,"")</f>
        <v/>
      </c>
      <c r="DE109" s="39" t="s">
        <v>25</v>
      </c>
      <c r="DF109" s="39">
        <v>1</v>
      </c>
      <c r="DG109" s="2">
        <v>2.3E-2</v>
      </c>
      <c r="DH109" s="2" t="str">
        <f>IF(AND(Table1[[#This Row],[Gurobi MZ1 Cost]]=Table1[[#This Row],[ORTools FZN2 Cost]],Table1[[#This Row],[ORTools FZN2 State]]="Optimal",Table1[[#This Row],[Gurobi MZ1 State]]="Suboptimal"),1,"")</f>
        <v/>
      </c>
      <c r="DI109" s="5" t="s">
        <v>25</v>
      </c>
      <c r="DJ109" s="2">
        <v>1</v>
      </c>
      <c r="DK109" s="2">
        <v>5.8900000000000001E-2</v>
      </c>
      <c r="DL109" s="4" t="str">
        <f>IF(AND(Table1[[#This Row],[Gurobi MZ2 Cost]]=Table1[[#This Row],[ORTools FZN2 Cost]],Table1[[#This Row],[ORTools FZN2 State]]="Optimal",Table1[[#This Row],[Gurobi MZ2 State]]="Suboptimal"),1,"")</f>
        <v/>
      </c>
      <c r="DM109" s="39" t="s">
        <v>25</v>
      </c>
      <c r="DN109" s="39">
        <v>1</v>
      </c>
      <c r="DO109" s="65">
        <v>3.9999999999054098E-2</v>
      </c>
      <c r="DP109" s="4" t="str">
        <f>IF(AND(Table1[[#This Row],[Cplex MC nonDual Cost]]=Table1[[#This Row],[ORTools FZN2 Cost]],Table1[[#This Row],[ORTools FZN2 State]]="Optimal",Table1[[#This Row],[Cplex MC nonDual State]]="Suboptimal"),1,"")</f>
        <v/>
      </c>
      <c r="DQ109" s="5" t="s">
        <v>25</v>
      </c>
      <c r="DR109" s="2">
        <v>1</v>
      </c>
      <c r="DS109" s="2">
        <v>7.1599999999999997E-2</v>
      </c>
      <c r="DT109" s="2" t="str">
        <f>IF(AND(Table1[[#This Row],[Cplex MIP DM''z Cost]]=Table1[[#This Row],[ORTools FZN2 Cost]],Table1[[#This Row],[ORTools FZN2 State]]="Optimal",Table1[[#This Row],[Cplex MIP DM''z  State]]="Suboptimal"),1,"")</f>
        <v/>
      </c>
      <c r="DU10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09" s="5" t="s">
        <v>25</v>
      </c>
      <c r="DW109" s="2">
        <v>1</v>
      </c>
      <c r="DX109" s="2">
        <v>4.0500000000000001E-2</v>
      </c>
      <c r="DY109" s="4" t="str">
        <f>IF(AND(Table1[[#This Row],[Gurobi DM''z  Cost]]=Table1[[#This Row],[ORTools FZN2 Cost]],Table1[[#This Row],[ORTools FZN2 State]]="Optimal",Table1[[#This Row],[Gurobi DM''z  State]]="Suboptimal"),1,"")</f>
        <v/>
      </c>
      <c r="DZ10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0" spans="1:130" ht="15.75" x14ac:dyDescent="0.25">
      <c r="A110" s="46" t="s">
        <v>136</v>
      </c>
      <c r="B110" s="5">
        <v>12</v>
      </c>
      <c r="C110" s="2">
        <v>6</v>
      </c>
      <c r="D110" s="5">
        <v>8</v>
      </c>
      <c r="E110" s="2">
        <v>9</v>
      </c>
      <c r="F110" s="5">
        <v>6</v>
      </c>
      <c r="G110" s="2">
        <v>0</v>
      </c>
      <c r="H110" s="4">
        <f t="shared" si="1"/>
        <v>0</v>
      </c>
      <c r="I110" s="4">
        <f>Table1[[#This Row],[B]]+Table1[[#This Row],[Atomic Constraints]]+Table1[[#This Row],[Soft Atomic Constraints]]+Table1[[#This Row],[Disjunctive Constraints]]+Table1[[#This Row],[Direct Successors]]</f>
        <v>29</v>
      </c>
      <c r="J110" s="5" t="s">
        <v>25</v>
      </c>
      <c r="K110" s="2">
        <v>5</v>
      </c>
      <c r="L110" s="2">
        <v>0.69037789999999999</v>
      </c>
      <c r="M110" s="2" t="str">
        <f>IF(AND(Table1[[#This Row],[Chuffed MZ1 Cost]]=Table1[[#This Row],[ORTools FZN2 Cost]],Table1[[#This Row],[ORTools FZN2 State]]="Optimal",Table1[[#This Row],[Chuffed MZ1 State]]="Suboptimal"),1,"")</f>
        <v/>
      </c>
      <c r="N110" s="5" t="s">
        <v>25</v>
      </c>
      <c r="O110" s="2">
        <v>5</v>
      </c>
      <c r="P110" s="2">
        <v>0.65728140000000002</v>
      </c>
      <c r="Q110" s="2" t="str">
        <f>IF(AND(Table1[[#This Row],[Chuffed MZ2 Cost]]=Table1[[#This Row],[ORTools FZN2 Cost]],Table1[[#This Row],[ORTools FZN2 State]]="Optimal",Table1[[#This Row],[Chuffed MZ2 State]]="Suboptimal"),1,"")</f>
        <v/>
      </c>
      <c r="R110" s="6" t="s">
        <v>25</v>
      </c>
      <c r="S110" s="4">
        <v>5</v>
      </c>
      <c r="T110" s="4">
        <v>6.6000000000713002E-2</v>
      </c>
      <c r="U110" s="4"/>
      <c r="V110" s="5" t="s">
        <v>25</v>
      </c>
      <c r="W110" s="2">
        <v>5</v>
      </c>
      <c r="X110" s="2">
        <v>0.1837367</v>
      </c>
      <c r="Y110" s="2" t="str">
        <f>IF(AND(Table1[[#This Row],[ORTools FZN1 Cost]]=Table1[[#This Row],[ORTools FZN2 Cost]],Table1[[#This Row],[ORTools FZN2 State]]="Optimal",Table1[[#This Row],[ORTools FZN1 State]]="Suboptimal"),1,"")</f>
        <v/>
      </c>
      <c r="Z110" s="5" t="s">
        <v>25</v>
      </c>
      <c r="AA110" s="2">
        <v>5</v>
      </c>
      <c r="AB110" s="2">
        <v>0.21140410000000001</v>
      </c>
      <c r="AC110" s="39" t="s">
        <v>25</v>
      </c>
      <c r="AD110" s="39">
        <v>5</v>
      </c>
      <c r="AE110" s="2">
        <v>0.38947280000000001</v>
      </c>
      <c r="AF110" s="2" t="str">
        <f>IF(AND(Table1[[#This Row],[Cplex MB Cost]]=Table1[[#This Row],[ORTools FZN2 Cost]],Table1[[#This Row],[ORTools FZN2 State]]="Optimal",Table1[[#This Row],[Cplex MB State]]="Suboptimal"),1,"")</f>
        <v/>
      </c>
      <c r="AG110" s="4">
        <f>IF(AND(AC110="Optimal",AD110&lt;&gt;AA110,Table1[[#This Row],[Example]]&lt;&gt;"R001",Table1[[#This Row],[Example]]&lt;&gt;"R002"),AD110-AA110,)</f>
        <v>0</v>
      </c>
      <c r="AH110" s="5" t="s">
        <v>25</v>
      </c>
      <c r="AI110" s="2">
        <v>5</v>
      </c>
      <c r="AJ110" s="2">
        <v>2.0038667999999999</v>
      </c>
      <c r="AK110" s="2" t="str">
        <f>IF(AND(Table1[[#This Row],[Cplex MD Cost]]=Table1[[#This Row],[ORTools FZN2 Cost]],Table1[[#This Row],[ORTools FZN2 State]]="Optimal",Table1[[#This Row],[Cplex MD State]]="Suboptimal"),1,"")</f>
        <v/>
      </c>
      <c r="AL110" s="4">
        <f>IF(AND(AH110="Optimal",AI110&lt;&gt;AA110,Table1[[#This Row],[Example]]&lt;&gt;"R001",Table1[[#This Row],[Example]]&lt;&gt;"R002"),AI110-AA110,)</f>
        <v>0</v>
      </c>
      <c r="AM110" s="39" t="s">
        <v>25</v>
      </c>
      <c r="AN110" s="39">
        <v>5</v>
      </c>
      <c r="AO110" s="2">
        <v>0.20391590000000001</v>
      </c>
      <c r="AP11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0" s="4" t="str">
        <f>IF(AND(Table1[[#This Row],[Cplex MI Cost]]=Table1[[#This Row],[ORTools FZN2 Cost]],Table1[[#This Row],[ORTools FZN2 State]]="Optimal",Table1[[#This Row],[Cplex MI State]]="Suboptimal"),1,"")</f>
        <v/>
      </c>
      <c r="AR110" s="12" t="s">
        <v>26</v>
      </c>
      <c r="AS110" s="12">
        <v>5</v>
      </c>
      <c r="AT110" s="12">
        <v>1.4749264</v>
      </c>
      <c r="AU110" s="12">
        <f>IF(AND(Table1[[#This Row],[Z3 SMT2-1 Maxres Cost]]=Table1[[#This Row],[ORTools FZN2 Cost]],Table1[[#This Row],[ORTools FZN2 State]]="Optimal"),1,"")</f>
        <v>1</v>
      </c>
      <c r="AV110" s="12" t="s">
        <v>26</v>
      </c>
      <c r="AW110" s="12">
        <v>5</v>
      </c>
      <c r="AX110" s="12">
        <v>1.4806162</v>
      </c>
      <c r="AY110" s="12">
        <f>IF(AND(Table1[[#This Row],[Z3 SMT2-1 PdMaxres Cost]]=Table1[[#This Row],[ORTools FZN2 Cost]],Table1[[#This Row],[ORTools FZN2 State]]="Optimal"),1,"")</f>
        <v>1</v>
      </c>
      <c r="AZ110" s="12" t="s">
        <v>26</v>
      </c>
      <c r="BA110" s="12">
        <v>5</v>
      </c>
      <c r="BB110" s="12">
        <v>1.7152094</v>
      </c>
      <c r="BC110" s="12">
        <f>IF(AND(Table1[[#This Row],[Z3 SMT2-1 WMax Cost]]=Table1[[#This Row],[ORTools FZN2 Cost]],Table1[[#This Row],[ORTools FZN2 State]]="Optimal"),1,"")</f>
        <v>1</v>
      </c>
      <c r="BD110" s="12" t="s">
        <v>26</v>
      </c>
      <c r="BE110" s="12">
        <v>5</v>
      </c>
      <c r="BF110" s="12">
        <v>1.1844505999999999</v>
      </c>
      <c r="BG110" s="12">
        <f>IF(AND(Table1[[#This Row],[Z3 SMT2-2 Maxres Cost]]=Table1[[#This Row],[ORTools FZN2 Cost]],Table1[[#This Row],[ORTools FZN2 State]]="Optimal"),1,"")</f>
        <v>1</v>
      </c>
      <c r="BH110" s="12" t="s">
        <v>26</v>
      </c>
      <c r="BI110" s="12">
        <v>5</v>
      </c>
      <c r="BJ110" s="12">
        <v>1.1651674000000001</v>
      </c>
      <c r="BK110" s="12">
        <f>IF(AND(Table1[[#This Row],[Z3 SMT2-2 PdMaxres Cost]]=Table1[[#This Row],[ORTools FZN2 Cost]],Table1[[#This Row],[ORTools FZN2 State]]="Optimal"),1,"")</f>
        <v>1</v>
      </c>
      <c r="BL110" s="12" t="s">
        <v>26</v>
      </c>
      <c r="BM110" s="12">
        <v>5</v>
      </c>
      <c r="BN110" s="12">
        <v>1.1978930999999999</v>
      </c>
      <c r="BO110" s="11">
        <f>IF(AND(Table1[[#This Row],[Z3 SMT2-2 PdMaxres Cost]]=Table1[[#This Row],[ORTools FZN2 Cost]],Table1[[#This Row],[ORTools FZN2 State]]="Optimal"),1,"")</f>
        <v>1</v>
      </c>
      <c r="BP110" s="5" t="s">
        <v>25</v>
      </c>
      <c r="BQ110" s="2">
        <v>5</v>
      </c>
      <c r="BR110" s="2">
        <v>0.5363812</v>
      </c>
      <c r="BS110" s="2" t="str">
        <f>IF(AND(Table1[[#This Row],[Gurobi MB Cost]]=Table1[[#This Row],[ORTools FZN2 Cost]],Table1[[#This Row],[ORTools FZN2 State]]="Optimal",Table1[[#This Row],[Gurobi MB State]]="Suboptimal"),1,"")</f>
        <v/>
      </c>
      <c r="BT11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0" s="5" t="s">
        <v>25</v>
      </c>
      <c r="BV110" s="2">
        <v>5</v>
      </c>
      <c r="BW110" s="2">
        <v>2.1709059000000002</v>
      </c>
      <c r="BX110" s="2" t="str">
        <f>IF(AND(Table1[[#This Row],[Gurobi MD Cost]]=Table1[[#This Row],[ORTools FZN2 Cost]],Table1[[#This Row],[ORTools FZN2 State]]="Optimal",Table1[[#This Row],[Gurobi MD State]]="Suboptimal"),1,"")</f>
        <v/>
      </c>
      <c r="BY11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0" s="5" t="s">
        <v>25</v>
      </c>
      <c r="CA110" s="2">
        <v>5</v>
      </c>
      <c r="CB110" s="2">
        <v>0.75589399999999995</v>
      </c>
      <c r="CC110" s="2" t="str">
        <f>IF(AND(Table1[[#This Row],[Gurobi MI Cost]]=Table1[[#This Row],[ORTools FZN2 Cost]],Table1[[#This Row],[ORTools FZN2 State]]="Optimal",Table1[[#This Row],[Gurobi MI State]]="Suboptimal"),1,"")</f>
        <v/>
      </c>
      <c r="CD11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0" s="39" t="s">
        <v>25</v>
      </c>
      <c r="CF110" s="2">
        <v>5</v>
      </c>
      <c r="CG110" s="39">
        <v>110.4160584</v>
      </c>
      <c r="CH110" s="39" t="s">
        <v>25</v>
      </c>
      <c r="CI110" s="39">
        <v>5</v>
      </c>
      <c r="CJ110" s="2">
        <v>110.4092857</v>
      </c>
      <c r="CK110" s="5" t="s">
        <v>25</v>
      </c>
      <c r="CL110" s="2">
        <v>5</v>
      </c>
      <c r="CM110" s="2">
        <v>7.0999999999912702E-2</v>
      </c>
      <c r="CN110" s="5" t="s">
        <v>25</v>
      </c>
      <c r="CO110" s="2">
        <v>5</v>
      </c>
      <c r="CP110" s="2">
        <v>0.63954290000000003</v>
      </c>
      <c r="CQ110" s="5" t="s">
        <v>25</v>
      </c>
      <c r="CR110" s="2">
        <v>5</v>
      </c>
      <c r="CS110" s="2">
        <v>0.35712080000000002</v>
      </c>
      <c r="CT110" s="6" t="s">
        <v>25</v>
      </c>
      <c r="CU110" s="4">
        <v>5</v>
      </c>
      <c r="CV110" s="4">
        <v>0.44372080000000003</v>
      </c>
      <c r="CW110" s="39" t="s">
        <v>25</v>
      </c>
      <c r="CX110" s="39">
        <v>5</v>
      </c>
      <c r="CY110" s="2">
        <v>0.67579999999999996</v>
      </c>
      <c r="CZ110" s="2" t="str">
        <f>IF(AND(Table1[[#This Row],[Cplex MZ1 Cost]]=Table1[[#This Row],[ORTools FZN2 Cost]],Table1[[#This Row],[ORTools FZN2 State]]="Optimal",Table1[[#This Row],[Cplex MZ1 State]]="Suboptimal"),1,"")</f>
        <v/>
      </c>
      <c r="DA110" s="5" t="s">
        <v>25</v>
      </c>
      <c r="DB110" s="2">
        <v>5</v>
      </c>
      <c r="DC110" s="2">
        <v>0.79790000000000005</v>
      </c>
      <c r="DD110" s="2" t="str">
        <f>IF(AND(Table1[[#This Row],[Cplex MZ2 Cost]]=Table1[[#This Row],[ORTools FZN2 Cost]],Table1[[#This Row],[ORTools FZN2 State]]="Optimal",Table1[[#This Row],[Cplex MZ2 State]]="Suboptimal"),1,"")</f>
        <v/>
      </c>
      <c r="DE110" s="39" t="s">
        <v>25</v>
      </c>
      <c r="DF110" s="39">
        <v>5</v>
      </c>
      <c r="DG110" s="2">
        <v>1.0590999999999999</v>
      </c>
      <c r="DH110" s="2" t="str">
        <f>IF(AND(Table1[[#This Row],[Gurobi MZ1 Cost]]=Table1[[#This Row],[ORTools FZN2 Cost]],Table1[[#This Row],[ORTools FZN2 State]]="Optimal",Table1[[#This Row],[Gurobi MZ1 State]]="Suboptimal"),1,"")</f>
        <v/>
      </c>
      <c r="DI110" s="5" t="s">
        <v>25</v>
      </c>
      <c r="DJ110" s="2">
        <v>5</v>
      </c>
      <c r="DK110" s="2">
        <v>0.82889999999999997</v>
      </c>
      <c r="DL110" s="4" t="str">
        <f>IF(AND(Table1[[#This Row],[Gurobi MZ2 Cost]]=Table1[[#This Row],[ORTools FZN2 Cost]],Table1[[#This Row],[ORTools FZN2 State]]="Optimal",Table1[[#This Row],[Gurobi MZ2 State]]="Suboptimal"),1,"")</f>
        <v/>
      </c>
      <c r="DM110" s="39" t="s">
        <v>25</v>
      </c>
      <c r="DN110" s="39">
        <v>5</v>
      </c>
      <c r="DO110" s="65">
        <v>6.3000000000101794E-2</v>
      </c>
      <c r="DP110" s="4" t="str">
        <f>IF(AND(Table1[[#This Row],[Cplex MC nonDual Cost]]=Table1[[#This Row],[ORTools FZN2 Cost]],Table1[[#This Row],[ORTools FZN2 State]]="Optimal",Table1[[#This Row],[Cplex MC nonDual State]]="Suboptimal"),1,"")</f>
        <v/>
      </c>
      <c r="DQ110" s="5" t="s">
        <v>25</v>
      </c>
      <c r="DR110" s="2">
        <v>5</v>
      </c>
      <c r="DS110" s="2">
        <v>0.62670000000000003</v>
      </c>
      <c r="DT110" s="2" t="str">
        <f>IF(AND(Table1[[#This Row],[Cplex MIP DM''z Cost]]=Table1[[#This Row],[ORTools FZN2 Cost]],Table1[[#This Row],[ORTools FZN2 State]]="Optimal",Table1[[#This Row],[Cplex MIP DM''z  State]]="Suboptimal"),1,"")</f>
        <v/>
      </c>
      <c r="DU11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0" s="5" t="s">
        <v>25</v>
      </c>
      <c r="DW110" s="2">
        <v>5</v>
      </c>
      <c r="DX110" s="2">
        <v>0.9758</v>
      </c>
      <c r="DY110" s="4" t="str">
        <f>IF(AND(Table1[[#This Row],[Gurobi DM''z  Cost]]=Table1[[#This Row],[ORTools FZN2 Cost]],Table1[[#This Row],[ORTools FZN2 State]]="Optimal",Table1[[#This Row],[Gurobi DM''z  State]]="Suboptimal"),1,"")</f>
        <v/>
      </c>
      <c r="DZ11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1" spans="1:130" ht="15.75" x14ac:dyDescent="0.25">
      <c r="A111" s="47" t="s">
        <v>137</v>
      </c>
      <c r="B111" s="5">
        <v>40</v>
      </c>
      <c r="C111" s="2">
        <v>20</v>
      </c>
      <c r="D111" s="5">
        <v>118</v>
      </c>
      <c r="E111" s="2">
        <v>28</v>
      </c>
      <c r="F111" s="5">
        <v>17</v>
      </c>
      <c r="G111" s="2">
        <v>0</v>
      </c>
      <c r="H111" s="4">
        <f t="shared" si="1"/>
        <v>0</v>
      </c>
      <c r="I111" s="4">
        <f>Table1[[#This Row],[B]]+Table1[[#This Row],[Atomic Constraints]]+Table1[[#This Row],[Soft Atomic Constraints]]+Table1[[#This Row],[Disjunctive Constraints]]+Table1[[#This Row],[Direct Successors]]</f>
        <v>183</v>
      </c>
      <c r="J111" s="5" t="s">
        <v>25</v>
      </c>
      <c r="K111" s="2">
        <v>6</v>
      </c>
      <c r="L111" s="2">
        <v>26.315946400000001</v>
      </c>
      <c r="M111" s="2" t="str">
        <f>IF(AND(Table1[[#This Row],[Chuffed MZ1 Cost]]=Table1[[#This Row],[ORTools FZN2 Cost]],Table1[[#This Row],[ORTools FZN2 State]]="Optimal",Table1[[#This Row],[Chuffed MZ1 State]]="Suboptimal"),1,"")</f>
        <v/>
      </c>
      <c r="N111" s="5" t="s">
        <v>25</v>
      </c>
      <c r="O111" s="2">
        <v>6</v>
      </c>
      <c r="P111" s="2">
        <v>14.397403499999999</v>
      </c>
      <c r="Q111" s="2" t="str">
        <f>IF(AND(Table1[[#This Row],[Chuffed MZ2 Cost]]=Table1[[#This Row],[ORTools FZN2 Cost]],Table1[[#This Row],[ORTools FZN2 State]]="Optimal",Table1[[#This Row],[Chuffed MZ2 State]]="Suboptimal"),1,"")</f>
        <v/>
      </c>
      <c r="R111" s="6" t="s">
        <v>26</v>
      </c>
      <c r="S111" s="4">
        <v>6</v>
      </c>
      <c r="T111" s="4">
        <v>300.02200000000101</v>
      </c>
      <c r="U111" s="4"/>
      <c r="V111" s="5" t="s">
        <v>25</v>
      </c>
      <c r="W111" s="2">
        <v>6</v>
      </c>
      <c r="X111" s="2">
        <v>7.5457735000000001</v>
      </c>
      <c r="Y111" s="2" t="str">
        <f>IF(AND(Table1[[#This Row],[ORTools FZN1 Cost]]=Table1[[#This Row],[ORTools FZN2 Cost]],Table1[[#This Row],[ORTools FZN2 State]]="Optimal",Table1[[#This Row],[ORTools FZN1 State]]="Suboptimal"),1,"")</f>
        <v/>
      </c>
      <c r="Z111" s="5" t="s">
        <v>25</v>
      </c>
      <c r="AA111" s="2">
        <v>6</v>
      </c>
      <c r="AB111" s="2">
        <v>13.497937200000001</v>
      </c>
      <c r="AC111" s="39" t="s">
        <v>25</v>
      </c>
      <c r="AD111" s="39">
        <v>6</v>
      </c>
      <c r="AE111" s="2">
        <v>81.803851300000005</v>
      </c>
      <c r="AF111" s="2" t="str">
        <f>IF(AND(Table1[[#This Row],[Cplex MB Cost]]=Table1[[#This Row],[ORTools FZN2 Cost]],Table1[[#This Row],[ORTools FZN2 State]]="Optimal",Table1[[#This Row],[Cplex MB State]]="Suboptimal"),1,"")</f>
        <v/>
      </c>
      <c r="AG111" s="4">
        <f>IF(AND(AC111="Optimal",AD111&lt;&gt;AA111,Table1[[#This Row],[Example]]&lt;&gt;"R001",Table1[[#This Row],[Example]]&lt;&gt;"R002"),AD111-AA111,)</f>
        <v>0</v>
      </c>
      <c r="AH111" s="5" t="s">
        <v>26</v>
      </c>
      <c r="AI111" s="2">
        <v>966931</v>
      </c>
      <c r="AJ111" s="2">
        <v>300.36415770000002</v>
      </c>
      <c r="AK111" s="2" t="str">
        <f>IF(AND(Table1[[#This Row],[Cplex MD Cost]]=Table1[[#This Row],[ORTools FZN2 Cost]],Table1[[#This Row],[ORTools FZN2 State]]="Optimal",Table1[[#This Row],[Cplex MD State]]="Suboptimal"),1,"")</f>
        <v/>
      </c>
      <c r="AL111" s="4">
        <f>IF(AND(AH111="Optimal",AI111&lt;&gt;AA111,Table1[[#This Row],[Example]]&lt;&gt;"R001",Table1[[#This Row],[Example]]&lt;&gt;"R002"),AI111-AA111,)</f>
        <v>0</v>
      </c>
      <c r="AM111" s="39" t="s">
        <v>25</v>
      </c>
      <c r="AN111" s="39">
        <v>6</v>
      </c>
      <c r="AO111" s="2">
        <v>19.3072999</v>
      </c>
      <c r="AP11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1" s="4" t="str">
        <f>IF(AND(Table1[[#This Row],[Cplex MI Cost]]=Table1[[#This Row],[ORTools FZN2 Cost]],Table1[[#This Row],[ORTools FZN2 State]]="Optimal",Table1[[#This Row],[Cplex MI State]]="Suboptimal"),1,"")</f>
        <v/>
      </c>
      <c r="AR111" s="5" t="s">
        <v>42</v>
      </c>
      <c r="AS111" s="2">
        <v>-65641</v>
      </c>
      <c r="AT111" s="2">
        <v>300.0407755</v>
      </c>
      <c r="AU111" s="2" t="str">
        <f>IF(AND(Table1[[#This Row],[Z3 SMT2-1 Maxres Cost]]=Table1[[#This Row],[ORTools FZN2 Cost]],Table1[[#This Row],[ORTools FZN2 State]]="Optimal"),1,"")</f>
        <v/>
      </c>
      <c r="AV111" s="39" t="s">
        <v>42</v>
      </c>
      <c r="AW111" s="39">
        <v>-65641</v>
      </c>
      <c r="AX111" s="2">
        <v>300.04765190000001</v>
      </c>
      <c r="AY111" s="2" t="str">
        <f>IF(AND(Table1[[#This Row],[Z3 SMT2-1 PdMaxres Cost]]=Table1[[#This Row],[ORTools FZN2 Cost]],Table1[[#This Row],[ORTools FZN2 State]]="Optimal"),1,"")</f>
        <v/>
      </c>
      <c r="AZ111" s="5" t="s">
        <v>42</v>
      </c>
      <c r="BA111" s="2">
        <v>-65641</v>
      </c>
      <c r="BB111" s="39">
        <v>300.04715679999998</v>
      </c>
      <c r="BC111" s="39" t="str">
        <f>IF(AND(Table1[[#This Row],[Z3 SMT2-1 WMax Cost]]=Table1[[#This Row],[ORTools FZN2 Cost]],Table1[[#This Row],[ORTools FZN2 State]]="Optimal"),1,"")</f>
        <v/>
      </c>
      <c r="BD111" s="39" t="s">
        <v>42</v>
      </c>
      <c r="BE111" s="39">
        <v>-65641</v>
      </c>
      <c r="BF111" s="2">
        <v>300.05554139999998</v>
      </c>
      <c r="BG111" s="2" t="str">
        <f>IF(AND(Table1[[#This Row],[Z3 SMT2-2 Maxres Cost]]=Table1[[#This Row],[ORTools FZN2 Cost]],Table1[[#This Row],[ORTools FZN2 State]]="Optimal"),1,"")</f>
        <v/>
      </c>
      <c r="BH111" s="5" t="s">
        <v>42</v>
      </c>
      <c r="BI111" s="2">
        <v>-65641</v>
      </c>
      <c r="BJ111" s="39">
        <v>300.04409950000002</v>
      </c>
      <c r="BK111" s="39" t="str">
        <f>IF(AND(Table1[[#This Row],[Z3 SMT2-2 PdMaxres Cost]]=Table1[[#This Row],[ORTools FZN2 Cost]],Table1[[#This Row],[ORTools FZN2 State]]="Optimal"),1,"")</f>
        <v/>
      </c>
      <c r="BL111" s="39" t="s">
        <v>42</v>
      </c>
      <c r="BM111" s="39">
        <v>-65641</v>
      </c>
      <c r="BN111" s="2">
        <v>300.04422039999997</v>
      </c>
      <c r="BO111" s="4" t="str">
        <f>IF(AND(Table1[[#This Row],[Z3 SMT2-2 PdMaxres Cost]]=Table1[[#This Row],[ORTools FZN2 Cost]],Table1[[#This Row],[ORTools FZN2 State]]="Optimal"),1,"")</f>
        <v/>
      </c>
      <c r="BP111" s="5" t="s">
        <v>25</v>
      </c>
      <c r="BQ111" s="2">
        <v>6</v>
      </c>
      <c r="BR111" s="2">
        <v>31.288926799999999</v>
      </c>
      <c r="BS111" s="2" t="str">
        <f>IF(AND(Table1[[#This Row],[Gurobi MB Cost]]=Table1[[#This Row],[ORTools FZN2 Cost]],Table1[[#This Row],[ORTools FZN2 State]]="Optimal",Table1[[#This Row],[Gurobi MB State]]="Suboptimal"),1,"")</f>
        <v/>
      </c>
      <c r="BT11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1" s="5" t="s">
        <v>42</v>
      </c>
      <c r="BV111" s="2">
        <v>-65641</v>
      </c>
      <c r="BW111" s="2">
        <v>300.09219530000001</v>
      </c>
      <c r="BX111" s="2" t="str">
        <f>IF(AND(Table1[[#This Row],[Gurobi MD Cost]]=Table1[[#This Row],[ORTools FZN2 Cost]],Table1[[#This Row],[ORTools FZN2 State]]="Optimal",Table1[[#This Row],[Gurobi MD State]]="Suboptimal"),1,"")</f>
        <v/>
      </c>
      <c r="BY11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1" s="5" t="s">
        <v>25</v>
      </c>
      <c r="CA111" s="2">
        <v>6</v>
      </c>
      <c r="CB111" s="2">
        <v>60.816646599999999</v>
      </c>
      <c r="CC111" s="2" t="str">
        <f>IF(AND(Table1[[#This Row],[Gurobi MI Cost]]=Table1[[#This Row],[ORTools FZN2 Cost]],Table1[[#This Row],[ORTools FZN2 State]]="Optimal",Table1[[#This Row],[Gurobi MI State]]="Suboptimal"),1,"")</f>
        <v/>
      </c>
      <c r="CD11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1" s="39" t="s">
        <v>42</v>
      </c>
      <c r="CF111" s="2">
        <v>-65641</v>
      </c>
      <c r="CG111" s="39">
        <v>306.13779160000001</v>
      </c>
      <c r="CH111" s="39" t="s">
        <v>42</v>
      </c>
      <c r="CI111" s="39">
        <v>-65641</v>
      </c>
      <c r="CJ111" s="2">
        <v>306.15594659999999</v>
      </c>
      <c r="CK111" s="5" t="s">
        <v>25</v>
      </c>
      <c r="CL111" s="2">
        <v>6</v>
      </c>
      <c r="CM111" s="2">
        <v>132.62700000000001</v>
      </c>
      <c r="CN111" s="5" t="s">
        <v>26</v>
      </c>
      <c r="CO111" s="2">
        <v>1165929</v>
      </c>
      <c r="CP111" s="2">
        <v>301.46266789999999</v>
      </c>
      <c r="CQ111" s="5" t="s">
        <v>25</v>
      </c>
      <c r="CR111" s="2">
        <v>6</v>
      </c>
      <c r="CS111" s="2">
        <v>16.410712499999999</v>
      </c>
      <c r="CT111" s="6" t="s">
        <v>25</v>
      </c>
      <c r="CU111" s="4">
        <v>6</v>
      </c>
      <c r="CV111" s="4">
        <v>10.8409154</v>
      </c>
      <c r="CW111" s="39" t="s">
        <v>26</v>
      </c>
      <c r="CX111" s="39">
        <v>389452</v>
      </c>
      <c r="CY111" s="2">
        <v>300.00799999999998</v>
      </c>
      <c r="CZ111" s="2" t="str">
        <f>IF(AND(Table1[[#This Row],[Cplex MZ1 Cost]]=Table1[[#This Row],[ORTools FZN2 Cost]],Table1[[#This Row],[ORTools FZN2 State]]="Optimal",Table1[[#This Row],[Cplex MZ1 State]]="Suboptimal"),1,"")</f>
        <v/>
      </c>
      <c r="DA111" s="5" t="s">
        <v>26</v>
      </c>
      <c r="DB111" s="2">
        <v>519053</v>
      </c>
      <c r="DC111" s="2">
        <v>300.02210000000002</v>
      </c>
      <c r="DD111" s="2" t="str">
        <f>IF(AND(Table1[[#This Row],[Cplex MZ2 Cost]]=Table1[[#This Row],[ORTools FZN2 Cost]],Table1[[#This Row],[ORTools FZN2 State]]="Optimal",Table1[[#This Row],[Cplex MZ2 State]]="Suboptimal"),1,"")</f>
        <v/>
      </c>
      <c r="DE111" s="39" t="s">
        <v>26</v>
      </c>
      <c r="DF111" s="39">
        <v>323411</v>
      </c>
      <c r="DG111" s="2">
        <v>300.01</v>
      </c>
      <c r="DH111" s="2" t="str">
        <f>IF(AND(Table1[[#This Row],[Gurobi MZ1 Cost]]=Table1[[#This Row],[ORTools FZN2 Cost]],Table1[[#This Row],[ORTools FZN2 State]]="Optimal",Table1[[#This Row],[Gurobi MZ1 State]]="Suboptimal"),1,"")</f>
        <v/>
      </c>
      <c r="DI111" s="5" t="s">
        <v>26</v>
      </c>
      <c r="DJ111" s="2">
        <v>387410</v>
      </c>
      <c r="DK111" s="2">
        <v>300.00900000000001</v>
      </c>
      <c r="DL111" s="4" t="str">
        <f>IF(AND(Table1[[#This Row],[Gurobi MZ2 Cost]]=Table1[[#This Row],[ORTools FZN2 Cost]],Table1[[#This Row],[ORTools FZN2 State]]="Optimal",Table1[[#This Row],[Gurobi MZ2 State]]="Suboptimal"),1,"")</f>
        <v/>
      </c>
      <c r="DM111" s="39" t="s">
        <v>26</v>
      </c>
      <c r="DN111" s="12">
        <v>6</v>
      </c>
      <c r="DO111" s="69">
        <v>300.02800000000002</v>
      </c>
      <c r="DP111" s="11">
        <f>IF(AND(Table1[[#This Row],[Cplex MC nonDual Cost]]=Table1[[#This Row],[ORTools FZN2 Cost]],Table1[[#This Row],[ORTools FZN2 State]]="Optimal",Table1[[#This Row],[Cplex MC nonDual State]]="Suboptimal"),1,"")</f>
        <v>1</v>
      </c>
      <c r="DQ111" s="5" t="s">
        <v>26</v>
      </c>
      <c r="DR111" s="2">
        <v>259814</v>
      </c>
      <c r="DS111" s="2">
        <v>300.01150000000001</v>
      </c>
      <c r="DT111" s="2" t="str">
        <f>IF(AND(Table1[[#This Row],[Cplex MIP DM''z Cost]]=Table1[[#This Row],[ORTools FZN2 Cost]],Table1[[#This Row],[ORTools FZN2 State]]="Optimal",Table1[[#This Row],[Cplex MIP DM''z  State]]="Suboptimal"),1,"")</f>
        <v/>
      </c>
      <c r="DU11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1" s="5" t="s">
        <v>26</v>
      </c>
      <c r="DW111" s="2">
        <v>645289</v>
      </c>
      <c r="DX111" s="2">
        <v>300.0009</v>
      </c>
      <c r="DY111" s="4" t="str">
        <f>IF(AND(Table1[[#This Row],[Gurobi DM''z  Cost]]=Table1[[#This Row],[ORTools FZN2 Cost]],Table1[[#This Row],[ORTools FZN2 State]]="Optimal",Table1[[#This Row],[Gurobi DM''z  State]]="Suboptimal"),1,"")</f>
        <v/>
      </c>
      <c r="DZ11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2" spans="1:130" ht="15.75" x14ac:dyDescent="0.25">
      <c r="A112" s="46" t="s">
        <v>138</v>
      </c>
      <c r="B112" s="5">
        <v>12</v>
      </c>
      <c r="C112" s="2">
        <v>6</v>
      </c>
      <c r="D112" s="5">
        <v>12</v>
      </c>
      <c r="E112" s="2">
        <v>8</v>
      </c>
      <c r="F112" s="5">
        <v>4</v>
      </c>
      <c r="G112" s="2">
        <v>0</v>
      </c>
      <c r="H112" s="4">
        <f t="shared" si="1"/>
        <v>0</v>
      </c>
      <c r="I112" s="4">
        <f>Table1[[#This Row],[B]]+Table1[[#This Row],[Atomic Constraints]]+Table1[[#This Row],[Soft Atomic Constraints]]+Table1[[#This Row],[Disjunctive Constraints]]+Table1[[#This Row],[Direct Successors]]</f>
        <v>30</v>
      </c>
      <c r="J112" s="5" t="s">
        <v>25</v>
      </c>
      <c r="K112" s="2">
        <v>3637</v>
      </c>
      <c r="L112" s="2">
        <v>0.74181050000000004</v>
      </c>
      <c r="M112" s="2" t="str">
        <f>IF(AND(Table1[[#This Row],[Chuffed MZ1 Cost]]=Table1[[#This Row],[ORTools FZN2 Cost]],Table1[[#This Row],[ORTools FZN2 State]]="Optimal",Table1[[#This Row],[Chuffed MZ1 State]]="Suboptimal"),1,"")</f>
        <v/>
      </c>
      <c r="N112" s="5" t="s">
        <v>25</v>
      </c>
      <c r="O112" s="2">
        <v>3637</v>
      </c>
      <c r="P112" s="2">
        <v>0.70283019999999996</v>
      </c>
      <c r="Q112" s="2" t="str">
        <f>IF(AND(Table1[[#This Row],[Chuffed MZ2 Cost]]=Table1[[#This Row],[ORTools FZN2 Cost]],Table1[[#This Row],[ORTools FZN2 State]]="Optimal",Table1[[#This Row],[Chuffed MZ2 State]]="Suboptimal"),1,"")</f>
        <v/>
      </c>
      <c r="R112" s="6" t="s">
        <v>25</v>
      </c>
      <c r="S112" s="4">
        <v>3637</v>
      </c>
      <c r="T112" s="4">
        <v>7.7999999999519801E-2</v>
      </c>
      <c r="U112" s="4"/>
      <c r="V112" s="5" t="s">
        <v>25</v>
      </c>
      <c r="W112" s="2">
        <v>3637</v>
      </c>
      <c r="X112" s="2">
        <v>0.20587130000000001</v>
      </c>
      <c r="Y112" s="2" t="str">
        <f>IF(AND(Table1[[#This Row],[ORTools FZN1 Cost]]=Table1[[#This Row],[ORTools FZN2 Cost]],Table1[[#This Row],[ORTools FZN2 State]]="Optimal",Table1[[#This Row],[ORTools FZN1 State]]="Suboptimal"),1,"")</f>
        <v/>
      </c>
      <c r="Z112" s="5" t="s">
        <v>25</v>
      </c>
      <c r="AA112" s="2">
        <v>3637</v>
      </c>
      <c r="AB112" s="2">
        <v>0.20158309999999999</v>
      </c>
      <c r="AC112" s="39" t="s">
        <v>25</v>
      </c>
      <c r="AD112" s="39">
        <v>3637</v>
      </c>
      <c r="AE112" s="2">
        <v>0.46083039999999997</v>
      </c>
      <c r="AF112" s="2" t="str">
        <f>IF(AND(Table1[[#This Row],[Cplex MB Cost]]=Table1[[#This Row],[ORTools FZN2 Cost]],Table1[[#This Row],[ORTools FZN2 State]]="Optimal",Table1[[#This Row],[Cplex MB State]]="Suboptimal"),1,"")</f>
        <v/>
      </c>
      <c r="AG112" s="4">
        <f>IF(AND(AC112="Optimal",AD112&lt;&gt;AA112,Table1[[#This Row],[Example]]&lt;&gt;"R001",Table1[[#This Row],[Example]]&lt;&gt;"R002"),AD112-AA112,)</f>
        <v>0</v>
      </c>
      <c r="AH112" s="5" t="s">
        <v>25</v>
      </c>
      <c r="AI112" s="2">
        <v>3637</v>
      </c>
      <c r="AJ112" s="2">
        <v>3.3164981999999998</v>
      </c>
      <c r="AK112" s="2" t="str">
        <f>IF(AND(Table1[[#This Row],[Cplex MD Cost]]=Table1[[#This Row],[ORTools FZN2 Cost]],Table1[[#This Row],[ORTools FZN2 State]]="Optimal",Table1[[#This Row],[Cplex MD State]]="Suboptimal"),1,"")</f>
        <v/>
      </c>
      <c r="AL112" s="4">
        <f>IF(AND(AH112="Optimal",AI112&lt;&gt;AA112,Table1[[#This Row],[Example]]&lt;&gt;"R001",Table1[[#This Row],[Example]]&lt;&gt;"R002"),AI112-AA112,)</f>
        <v>0</v>
      </c>
      <c r="AM112" s="39" t="s">
        <v>25</v>
      </c>
      <c r="AN112" s="39">
        <v>3637</v>
      </c>
      <c r="AO112" s="2">
        <v>0.56941569999999997</v>
      </c>
      <c r="AP11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2" s="4" t="str">
        <f>IF(AND(Table1[[#This Row],[Cplex MI Cost]]=Table1[[#This Row],[ORTools FZN2 Cost]],Table1[[#This Row],[ORTools FZN2 State]]="Optimal",Table1[[#This Row],[Cplex MI State]]="Suboptimal"),1,"")</f>
        <v/>
      </c>
      <c r="AR112" s="12" t="s">
        <v>26</v>
      </c>
      <c r="AS112" s="12">
        <v>3637</v>
      </c>
      <c r="AT112" s="12">
        <v>1.4902679999999999</v>
      </c>
      <c r="AU112" s="12">
        <f>IF(AND(Table1[[#This Row],[Z3 SMT2-1 Maxres Cost]]=Table1[[#This Row],[ORTools FZN2 Cost]],Table1[[#This Row],[ORTools FZN2 State]]="Optimal"),1,"")</f>
        <v>1</v>
      </c>
      <c r="AV112" s="12" t="s">
        <v>26</v>
      </c>
      <c r="AW112" s="12">
        <v>3637</v>
      </c>
      <c r="AX112" s="12">
        <v>1.4762299000000001</v>
      </c>
      <c r="AY112" s="12">
        <f>IF(AND(Table1[[#This Row],[Z3 SMT2-1 PdMaxres Cost]]=Table1[[#This Row],[ORTools FZN2 Cost]],Table1[[#This Row],[ORTools FZN2 State]]="Optimal"),1,"")</f>
        <v>1</v>
      </c>
      <c r="AZ112" s="12" t="s">
        <v>26</v>
      </c>
      <c r="BA112" s="12">
        <v>3637</v>
      </c>
      <c r="BB112" s="12">
        <v>1.5916125999999999</v>
      </c>
      <c r="BC112" s="12">
        <f>IF(AND(Table1[[#This Row],[Z3 SMT2-1 WMax Cost]]=Table1[[#This Row],[ORTools FZN2 Cost]],Table1[[#This Row],[ORTools FZN2 State]]="Optimal"),1,"")</f>
        <v>1</v>
      </c>
      <c r="BD112" s="12" t="s">
        <v>26</v>
      </c>
      <c r="BE112" s="12">
        <v>3637</v>
      </c>
      <c r="BF112" s="12">
        <v>1.4884358</v>
      </c>
      <c r="BG112" s="12">
        <f>IF(AND(Table1[[#This Row],[Z3 SMT2-2 Maxres Cost]]=Table1[[#This Row],[ORTools FZN2 Cost]],Table1[[#This Row],[ORTools FZN2 State]]="Optimal"),1,"")</f>
        <v>1</v>
      </c>
      <c r="BH112" s="12" t="s">
        <v>26</v>
      </c>
      <c r="BI112" s="12">
        <v>3637</v>
      </c>
      <c r="BJ112" s="12">
        <v>1.4082167000000001</v>
      </c>
      <c r="BK112" s="12">
        <f>IF(AND(Table1[[#This Row],[Z3 SMT2-2 PdMaxres Cost]]=Table1[[#This Row],[ORTools FZN2 Cost]],Table1[[#This Row],[ORTools FZN2 State]]="Optimal"),1,"")</f>
        <v>1</v>
      </c>
      <c r="BL112" s="12" t="s">
        <v>26</v>
      </c>
      <c r="BM112" s="12">
        <v>3637</v>
      </c>
      <c r="BN112" s="12">
        <v>1.4514374999999999</v>
      </c>
      <c r="BO112" s="11">
        <f>IF(AND(Table1[[#This Row],[Z3 SMT2-2 PdMaxres Cost]]=Table1[[#This Row],[ORTools FZN2 Cost]],Table1[[#This Row],[ORTools FZN2 State]]="Optimal"),1,"")</f>
        <v>1</v>
      </c>
      <c r="BP112" s="5" t="s">
        <v>25</v>
      </c>
      <c r="BQ112" s="2">
        <v>3637</v>
      </c>
      <c r="BR112" s="2">
        <v>0.63563179999999997</v>
      </c>
      <c r="BS112" s="2" t="str">
        <f>IF(AND(Table1[[#This Row],[Gurobi MB Cost]]=Table1[[#This Row],[ORTools FZN2 Cost]],Table1[[#This Row],[ORTools FZN2 State]]="Optimal",Table1[[#This Row],[Gurobi MB State]]="Suboptimal"),1,"")</f>
        <v/>
      </c>
      <c r="BT11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2" s="5" t="s">
        <v>25</v>
      </c>
      <c r="BV112" s="2">
        <v>3637</v>
      </c>
      <c r="BW112" s="2">
        <v>2.7640980000000002</v>
      </c>
      <c r="BX112" s="2" t="str">
        <f>IF(AND(Table1[[#This Row],[Gurobi MD Cost]]=Table1[[#This Row],[ORTools FZN2 Cost]],Table1[[#This Row],[ORTools FZN2 State]]="Optimal",Table1[[#This Row],[Gurobi MD State]]="Suboptimal"),1,"")</f>
        <v/>
      </c>
      <c r="BY11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2" s="5" t="s">
        <v>25</v>
      </c>
      <c r="CA112" s="2">
        <v>3637</v>
      </c>
      <c r="CB112" s="2">
        <v>0.66636919999999999</v>
      </c>
      <c r="CC112" s="2" t="str">
        <f>IF(AND(Table1[[#This Row],[Gurobi MI Cost]]=Table1[[#This Row],[ORTools FZN2 Cost]],Table1[[#This Row],[ORTools FZN2 State]]="Optimal",Table1[[#This Row],[Gurobi MI State]]="Suboptimal"),1,"")</f>
        <v/>
      </c>
      <c r="CD11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2" s="39" t="s">
        <v>25</v>
      </c>
      <c r="CF112" s="2">
        <v>3637</v>
      </c>
      <c r="CG112" s="39">
        <v>65.381054399999996</v>
      </c>
      <c r="CH112" s="39" t="s">
        <v>25</v>
      </c>
      <c r="CI112" s="39">
        <v>3637</v>
      </c>
      <c r="CJ112" s="2">
        <v>60.2672685</v>
      </c>
      <c r="CK112" s="5" t="s">
        <v>25</v>
      </c>
      <c r="CL112" s="2">
        <v>3637</v>
      </c>
      <c r="CM112" s="2">
        <v>8.8999999999941806E-2</v>
      </c>
      <c r="CN112" s="5" t="s">
        <v>25</v>
      </c>
      <c r="CO112" s="2">
        <v>3637</v>
      </c>
      <c r="CP112" s="2">
        <v>0.70644450000000003</v>
      </c>
      <c r="CQ112" s="5" t="s">
        <v>25</v>
      </c>
      <c r="CR112" s="2">
        <v>3637</v>
      </c>
      <c r="CS112" s="2">
        <v>0.36194470000000001</v>
      </c>
      <c r="CT112" s="6" t="s">
        <v>25</v>
      </c>
      <c r="CU112" s="4">
        <v>3637</v>
      </c>
      <c r="CV112" s="4">
        <v>0.43872610000000001</v>
      </c>
      <c r="CW112" s="39" t="s">
        <v>25</v>
      </c>
      <c r="CX112" s="39">
        <v>3637</v>
      </c>
      <c r="CY112" s="2">
        <v>1.6757</v>
      </c>
      <c r="CZ112" s="2" t="str">
        <f>IF(AND(Table1[[#This Row],[Cplex MZ1 Cost]]=Table1[[#This Row],[ORTools FZN2 Cost]],Table1[[#This Row],[ORTools FZN2 State]]="Optimal",Table1[[#This Row],[Cplex MZ1 State]]="Suboptimal"),1,"")</f>
        <v/>
      </c>
      <c r="DA112" s="5" t="s">
        <v>25</v>
      </c>
      <c r="DB112" s="2">
        <v>3637</v>
      </c>
      <c r="DC112" s="2">
        <v>1.0920000000000001</v>
      </c>
      <c r="DD112" s="2" t="str">
        <f>IF(AND(Table1[[#This Row],[Cplex MZ2 Cost]]=Table1[[#This Row],[ORTools FZN2 Cost]],Table1[[#This Row],[ORTools FZN2 State]]="Optimal",Table1[[#This Row],[Cplex MZ2 State]]="Suboptimal"),1,"")</f>
        <v/>
      </c>
      <c r="DE112" s="39" t="s">
        <v>25</v>
      </c>
      <c r="DF112" s="39">
        <v>3637</v>
      </c>
      <c r="DG112" s="2">
        <v>6.2347000000000001</v>
      </c>
      <c r="DH112" s="2" t="str">
        <f>IF(AND(Table1[[#This Row],[Gurobi MZ1 Cost]]=Table1[[#This Row],[ORTools FZN2 Cost]],Table1[[#This Row],[ORTools FZN2 State]]="Optimal",Table1[[#This Row],[Gurobi MZ1 State]]="Suboptimal"),1,"")</f>
        <v/>
      </c>
      <c r="DI112" s="5" t="s">
        <v>25</v>
      </c>
      <c r="DJ112" s="2">
        <v>3637</v>
      </c>
      <c r="DK112" s="2">
        <v>3.0621</v>
      </c>
      <c r="DL112" s="4" t="str">
        <f>IF(AND(Table1[[#This Row],[Gurobi MZ2 Cost]]=Table1[[#This Row],[ORTools FZN2 Cost]],Table1[[#This Row],[ORTools FZN2 State]]="Optimal",Table1[[#This Row],[Gurobi MZ2 State]]="Suboptimal"),1,"")</f>
        <v/>
      </c>
      <c r="DM112" s="39" t="s">
        <v>25</v>
      </c>
      <c r="DN112" s="39">
        <v>3637</v>
      </c>
      <c r="DO112" s="65">
        <v>0.21199999999953401</v>
      </c>
      <c r="DP112" s="4" t="str">
        <f>IF(AND(Table1[[#This Row],[Cplex MC nonDual Cost]]=Table1[[#This Row],[ORTools FZN2 Cost]],Table1[[#This Row],[ORTools FZN2 State]]="Optimal",Table1[[#This Row],[Cplex MC nonDual State]]="Suboptimal"),1,"")</f>
        <v/>
      </c>
      <c r="DQ112" s="5" t="s">
        <v>25</v>
      </c>
      <c r="DR112" s="2">
        <v>3637</v>
      </c>
      <c r="DS112" s="2">
        <v>0.94179999999999997</v>
      </c>
      <c r="DT112" s="2" t="str">
        <f>IF(AND(Table1[[#This Row],[Cplex MIP DM''z Cost]]=Table1[[#This Row],[ORTools FZN2 Cost]],Table1[[#This Row],[ORTools FZN2 State]]="Optimal",Table1[[#This Row],[Cplex MIP DM''z  State]]="Suboptimal"),1,"")</f>
        <v/>
      </c>
      <c r="DU11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2" s="5" t="s">
        <v>25</v>
      </c>
      <c r="DW112" s="2">
        <v>3637</v>
      </c>
      <c r="DX112" s="2">
        <v>3.3317000000000001</v>
      </c>
      <c r="DY112" s="4" t="str">
        <f>IF(AND(Table1[[#This Row],[Gurobi DM''z  Cost]]=Table1[[#This Row],[ORTools FZN2 Cost]],Table1[[#This Row],[ORTools FZN2 State]]="Optimal",Table1[[#This Row],[Gurobi DM''z  State]]="Suboptimal"),1,"")</f>
        <v/>
      </c>
      <c r="DZ11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3" spans="1:130" ht="15.75" x14ac:dyDescent="0.25">
      <c r="A113" s="47" t="s">
        <v>139</v>
      </c>
      <c r="B113" s="5">
        <v>40</v>
      </c>
      <c r="C113" s="2">
        <v>20</v>
      </c>
      <c r="D113" s="5">
        <v>139</v>
      </c>
      <c r="E113" s="2">
        <v>22</v>
      </c>
      <c r="F113" s="5">
        <v>23</v>
      </c>
      <c r="G113" s="2">
        <v>0</v>
      </c>
      <c r="H113" s="4">
        <f t="shared" si="1"/>
        <v>0</v>
      </c>
      <c r="I113" s="4">
        <f>Table1[[#This Row],[B]]+Table1[[#This Row],[Atomic Constraints]]+Table1[[#This Row],[Soft Atomic Constraints]]+Table1[[#This Row],[Disjunctive Constraints]]+Table1[[#This Row],[Direct Successors]]</f>
        <v>204</v>
      </c>
      <c r="J113" s="5" t="s">
        <v>25</v>
      </c>
      <c r="K113" s="2">
        <v>65685</v>
      </c>
      <c r="L113" s="2">
        <v>145.37128960000001</v>
      </c>
      <c r="M113" s="2" t="str">
        <f>IF(AND(Table1[[#This Row],[Chuffed MZ1 Cost]]=Table1[[#This Row],[ORTools FZN2 Cost]],Table1[[#This Row],[ORTools FZN2 State]]="Optimal",Table1[[#This Row],[Chuffed MZ1 State]]="Suboptimal"),1,"")</f>
        <v/>
      </c>
      <c r="N113" s="5" t="s">
        <v>25</v>
      </c>
      <c r="O113" s="2">
        <v>65685</v>
      </c>
      <c r="P113" s="2">
        <v>161.37653169999999</v>
      </c>
      <c r="Q113" s="2" t="str">
        <f>IF(AND(Table1[[#This Row],[Chuffed MZ2 Cost]]=Table1[[#This Row],[ORTools FZN2 Cost]],Table1[[#This Row],[ORTools FZN2 State]]="Optimal",Table1[[#This Row],[Chuffed MZ2 State]]="Suboptimal"),1,"")</f>
        <v/>
      </c>
      <c r="R113" s="6" t="s">
        <v>25</v>
      </c>
      <c r="S113" s="4">
        <v>65685</v>
      </c>
      <c r="T113" s="4">
        <v>52.209999999999098</v>
      </c>
      <c r="U113" s="4"/>
      <c r="V113" s="5" t="s">
        <v>25</v>
      </c>
      <c r="W113" s="2">
        <v>65685</v>
      </c>
      <c r="X113" s="2">
        <v>9.7714716999999993</v>
      </c>
      <c r="Y113" s="2" t="str">
        <f>IF(AND(Table1[[#This Row],[ORTools FZN1 Cost]]=Table1[[#This Row],[ORTools FZN2 Cost]],Table1[[#This Row],[ORTools FZN2 State]]="Optimal",Table1[[#This Row],[ORTools FZN1 State]]="Suboptimal"),1,"")</f>
        <v/>
      </c>
      <c r="Z113" s="5" t="s">
        <v>25</v>
      </c>
      <c r="AA113" s="2">
        <v>65685</v>
      </c>
      <c r="AB113" s="2">
        <v>17.984188400000001</v>
      </c>
      <c r="AC113" s="12" t="s">
        <v>26</v>
      </c>
      <c r="AD113" s="12">
        <v>65685</v>
      </c>
      <c r="AE113" s="12">
        <v>300.08185630000003</v>
      </c>
      <c r="AF113" s="2">
        <f>IF(AND(Table1[[#This Row],[Cplex MB Cost]]=Table1[[#This Row],[ORTools FZN2 Cost]],Table1[[#This Row],[ORTools FZN2 State]]="Optimal",Table1[[#This Row],[Cplex MB State]]="Suboptimal"),1,"")</f>
        <v>1</v>
      </c>
      <c r="AG113" s="4">
        <f>IF(AND(AC113="Optimal",AD113&lt;&gt;AA113,Table1[[#This Row],[Example]]&lt;&gt;"R001",Table1[[#This Row],[Example]]&lt;&gt;"R002"),AD113-AA113,)</f>
        <v>0</v>
      </c>
      <c r="AH113" s="5" t="s">
        <v>26</v>
      </c>
      <c r="AI113" s="2">
        <v>1098088</v>
      </c>
      <c r="AJ113" s="2">
        <v>300.32244939999998</v>
      </c>
      <c r="AK113" s="2" t="str">
        <f>IF(AND(Table1[[#This Row],[Cplex MD Cost]]=Table1[[#This Row],[ORTools FZN2 Cost]],Table1[[#This Row],[ORTools FZN2 State]]="Optimal",Table1[[#This Row],[Cplex MD State]]="Suboptimal"),1,"")</f>
        <v/>
      </c>
      <c r="AL113" s="4">
        <f>IF(AND(AH113="Optimal",AI113&lt;&gt;AA113,Table1[[#This Row],[Example]]&lt;&gt;"R001",Table1[[#This Row],[Example]]&lt;&gt;"R002"),AI113-AA113,)</f>
        <v>0</v>
      </c>
      <c r="AM113" s="39" t="s">
        <v>26</v>
      </c>
      <c r="AN113" s="39">
        <v>65686</v>
      </c>
      <c r="AO113" s="2">
        <v>300.08492949999999</v>
      </c>
      <c r="AP11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3" s="4" t="str">
        <f>IF(AND(Table1[[#This Row],[Cplex MI Cost]]=Table1[[#This Row],[ORTools FZN2 Cost]],Table1[[#This Row],[ORTools FZN2 State]]="Optimal",Table1[[#This Row],[Cplex MI State]]="Suboptimal"),1,"")</f>
        <v/>
      </c>
      <c r="AR113" s="5" t="s">
        <v>42</v>
      </c>
      <c r="AS113" s="2">
        <v>-65641</v>
      </c>
      <c r="AT113" s="2">
        <v>300.0494928</v>
      </c>
      <c r="AU113" s="2" t="str">
        <f>IF(AND(Table1[[#This Row],[Z3 SMT2-1 Maxres Cost]]=Table1[[#This Row],[ORTools FZN2 Cost]],Table1[[#This Row],[ORTools FZN2 State]]="Optimal"),1,"")</f>
        <v/>
      </c>
      <c r="AV113" s="39" t="s">
        <v>42</v>
      </c>
      <c r="AW113" s="39">
        <v>-65641</v>
      </c>
      <c r="AX113" s="2">
        <v>300.04907459999998</v>
      </c>
      <c r="AY113" s="2" t="str">
        <f>IF(AND(Table1[[#This Row],[Z3 SMT2-1 PdMaxres Cost]]=Table1[[#This Row],[ORTools FZN2 Cost]],Table1[[#This Row],[ORTools FZN2 State]]="Optimal"),1,"")</f>
        <v/>
      </c>
      <c r="AZ113" s="5" t="s">
        <v>42</v>
      </c>
      <c r="BA113" s="2">
        <v>-65641</v>
      </c>
      <c r="BB113" s="39">
        <v>300.05168149999997</v>
      </c>
      <c r="BC113" s="39" t="str">
        <f>IF(AND(Table1[[#This Row],[Z3 SMT2-1 WMax Cost]]=Table1[[#This Row],[ORTools FZN2 Cost]],Table1[[#This Row],[ORTools FZN2 State]]="Optimal"),1,"")</f>
        <v/>
      </c>
      <c r="BD113" s="39" t="s">
        <v>42</v>
      </c>
      <c r="BE113" s="39">
        <v>-65641</v>
      </c>
      <c r="BF113" s="2">
        <v>300.0632119</v>
      </c>
      <c r="BG113" s="2" t="str">
        <f>IF(AND(Table1[[#This Row],[Z3 SMT2-2 Maxres Cost]]=Table1[[#This Row],[ORTools FZN2 Cost]],Table1[[#This Row],[ORTools FZN2 State]]="Optimal"),1,"")</f>
        <v/>
      </c>
      <c r="BH113" s="5" t="s">
        <v>42</v>
      </c>
      <c r="BI113" s="2">
        <v>-65641</v>
      </c>
      <c r="BJ113" s="39">
        <v>300.04816529999999</v>
      </c>
      <c r="BK113" s="39" t="str">
        <f>IF(AND(Table1[[#This Row],[Z3 SMT2-2 PdMaxres Cost]]=Table1[[#This Row],[ORTools FZN2 Cost]],Table1[[#This Row],[ORTools FZN2 State]]="Optimal"),1,"")</f>
        <v/>
      </c>
      <c r="BL113" s="39" t="s">
        <v>42</v>
      </c>
      <c r="BM113" s="39">
        <v>-65641</v>
      </c>
      <c r="BN113" s="2">
        <v>300.0397486</v>
      </c>
      <c r="BO113" s="4" t="str">
        <f>IF(AND(Table1[[#This Row],[Z3 SMT2-2 PdMaxres Cost]]=Table1[[#This Row],[ORTools FZN2 Cost]],Table1[[#This Row],[ORTools FZN2 State]]="Optimal"),1,"")</f>
        <v/>
      </c>
      <c r="BP113" s="5" t="s">
        <v>25</v>
      </c>
      <c r="BQ113" s="2">
        <v>65685</v>
      </c>
      <c r="BR113" s="2">
        <v>130.76494550000001</v>
      </c>
      <c r="BS113" s="2" t="str">
        <f>IF(AND(Table1[[#This Row],[Gurobi MB Cost]]=Table1[[#This Row],[ORTools FZN2 Cost]],Table1[[#This Row],[ORTools FZN2 State]]="Optimal",Table1[[#This Row],[Gurobi MB State]]="Suboptimal"),1,"")</f>
        <v/>
      </c>
      <c r="BT11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3" s="5" t="s">
        <v>26</v>
      </c>
      <c r="BV113" s="2">
        <v>130288</v>
      </c>
      <c r="BW113" s="2">
        <v>300.09508590000002</v>
      </c>
      <c r="BX113" s="2" t="str">
        <f>IF(AND(Table1[[#This Row],[Gurobi MD Cost]]=Table1[[#This Row],[ORTools FZN2 Cost]],Table1[[#This Row],[ORTools FZN2 State]]="Optimal",Table1[[#This Row],[Gurobi MD State]]="Suboptimal"),1,"")</f>
        <v/>
      </c>
      <c r="BY11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3" s="5" t="s">
        <v>25</v>
      </c>
      <c r="CA113" s="2">
        <v>65685</v>
      </c>
      <c r="CB113" s="2">
        <v>126.8705255</v>
      </c>
      <c r="CC113" s="2" t="str">
        <f>IF(AND(Table1[[#This Row],[Gurobi MI Cost]]=Table1[[#This Row],[ORTools FZN2 Cost]],Table1[[#This Row],[ORTools FZN2 State]]="Optimal",Table1[[#This Row],[Gurobi MI State]]="Suboptimal"),1,"")</f>
        <v/>
      </c>
      <c r="CD11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3" s="39" t="s">
        <v>42</v>
      </c>
      <c r="CF113" s="2">
        <v>-65641</v>
      </c>
      <c r="CG113" s="39">
        <v>306.18566729999998</v>
      </c>
      <c r="CH113" s="39" t="s">
        <v>42</v>
      </c>
      <c r="CI113" s="39">
        <v>-65641</v>
      </c>
      <c r="CJ113" s="2">
        <v>306.16056370000001</v>
      </c>
      <c r="CK113" s="5" t="s">
        <v>25</v>
      </c>
      <c r="CL113" s="2">
        <v>65685</v>
      </c>
      <c r="CM113" s="2">
        <v>5.03399999999783</v>
      </c>
      <c r="CN113" s="5" t="s">
        <v>25</v>
      </c>
      <c r="CO113" s="2">
        <v>65685</v>
      </c>
      <c r="CP113" s="2">
        <v>291.17771809999999</v>
      </c>
      <c r="CQ113" s="5" t="s">
        <v>25</v>
      </c>
      <c r="CR113" s="2">
        <v>65685</v>
      </c>
      <c r="CS113" s="2">
        <v>15.909974500000001</v>
      </c>
      <c r="CT113" s="6" t="s">
        <v>25</v>
      </c>
      <c r="CU113" s="4">
        <v>65685</v>
      </c>
      <c r="CV113" s="4">
        <v>12.287642</v>
      </c>
      <c r="CW113" s="39" t="s">
        <v>26</v>
      </c>
      <c r="CX113" s="39">
        <v>193688</v>
      </c>
      <c r="CY113" s="2">
        <v>300.01839999999999</v>
      </c>
      <c r="CZ113" s="2" t="str">
        <f>IF(AND(Table1[[#This Row],[Cplex MZ1 Cost]]=Table1[[#This Row],[ORTools FZN2 Cost]],Table1[[#This Row],[ORTools FZN2 State]]="Optimal",Table1[[#This Row],[Cplex MZ1 State]]="Suboptimal"),1,"")</f>
        <v/>
      </c>
      <c r="DA113" s="12" t="s">
        <v>26</v>
      </c>
      <c r="DB113" s="12">
        <v>65685</v>
      </c>
      <c r="DC113" s="12">
        <v>300.02199999999999</v>
      </c>
      <c r="DD113" s="12">
        <f>IF(AND(Table1[[#This Row],[Cplex MZ2 Cost]]=Table1[[#This Row],[ORTools FZN2 Cost]],Table1[[#This Row],[ORTools FZN2 State]]="Optimal",Table1[[#This Row],[Cplex MZ2 State]]="Suboptimal"),1,"")</f>
        <v>1</v>
      </c>
      <c r="DE113" s="39" t="s">
        <v>26</v>
      </c>
      <c r="DF113" s="39">
        <v>65686</v>
      </c>
      <c r="DG113" s="2">
        <v>300.00389999999999</v>
      </c>
      <c r="DH113" s="2" t="str">
        <f>IF(AND(Table1[[#This Row],[Gurobi MZ1 Cost]]=Table1[[#This Row],[ORTools FZN2 Cost]],Table1[[#This Row],[ORTools FZN2 State]]="Optimal",Table1[[#This Row],[Gurobi MZ1 State]]="Suboptimal"),1,"")</f>
        <v/>
      </c>
      <c r="DI113" s="5" t="s">
        <v>26</v>
      </c>
      <c r="DJ113" s="2">
        <v>323528</v>
      </c>
      <c r="DK113" s="2">
        <v>300.00540000000001</v>
      </c>
      <c r="DL113" s="4" t="str">
        <f>IF(AND(Table1[[#This Row],[Gurobi MZ2 Cost]]=Table1[[#This Row],[ORTools FZN2 Cost]],Table1[[#This Row],[ORTools FZN2 State]]="Optimal",Table1[[#This Row],[Gurobi MZ2 State]]="Suboptimal"),1,"")</f>
        <v/>
      </c>
      <c r="DM113" s="39" t="s">
        <v>25</v>
      </c>
      <c r="DN113" s="39">
        <v>65685</v>
      </c>
      <c r="DO113" s="65">
        <v>16.045000000000002</v>
      </c>
      <c r="DP113" s="4" t="str">
        <f>IF(AND(Table1[[#This Row],[Cplex MC nonDual Cost]]=Table1[[#This Row],[ORTools FZN2 Cost]],Table1[[#This Row],[ORTools FZN2 State]]="Optimal",Table1[[#This Row],[Cplex MC nonDual State]]="Suboptimal"),1,"")</f>
        <v/>
      </c>
      <c r="DQ113" s="5" t="s">
        <v>26</v>
      </c>
      <c r="DR113" s="2">
        <v>65685</v>
      </c>
      <c r="DS113" s="2">
        <v>300.12689999999998</v>
      </c>
      <c r="DT113" s="2">
        <f>IF(AND(Table1[[#This Row],[Cplex MIP DM''z Cost]]=Table1[[#This Row],[ORTools FZN2 Cost]],Table1[[#This Row],[ORTools FZN2 State]]="Optimal",Table1[[#This Row],[Cplex MIP DM''z  State]]="Suboptimal"),1,"")</f>
        <v>1</v>
      </c>
      <c r="DU11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3" s="5" t="s">
        <v>26</v>
      </c>
      <c r="DW113" s="2">
        <v>65687</v>
      </c>
      <c r="DX113" s="2">
        <v>300.05239999999998</v>
      </c>
      <c r="DY113" s="4" t="str">
        <f>IF(AND(Table1[[#This Row],[Gurobi DM''z  Cost]]=Table1[[#This Row],[ORTools FZN2 Cost]],Table1[[#This Row],[ORTools FZN2 State]]="Optimal",Table1[[#This Row],[Gurobi DM''z  State]]="Suboptimal"),1,"")</f>
        <v/>
      </c>
      <c r="DZ11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4" spans="1:130" ht="15.75" x14ac:dyDescent="0.25">
      <c r="A114" s="46" t="s">
        <v>140</v>
      </c>
      <c r="B114" s="5">
        <v>40</v>
      </c>
      <c r="C114" s="2">
        <v>20</v>
      </c>
      <c r="D114" s="5">
        <v>117</v>
      </c>
      <c r="E114" s="2">
        <v>28</v>
      </c>
      <c r="F114" s="5">
        <v>19</v>
      </c>
      <c r="G114" s="2">
        <v>0</v>
      </c>
      <c r="H114" s="4">
        <f t="shared" si="1"/>
        <v>0</v>
      </c>
      <c r="I114" s="4">
        <f>Table1[[#This Row],[B]]+Table1[[#This Row],[Atomic Constraints]]+Table1[[#This Row],[Soft Atomic Constraints]]+Table1[[#This Row],[Disjunctive Constraints]]+Table1[[#This Row],[Direct Successors]]</f>
        <v>184</v>
      </c>
      <c r="J114" s="5" t="s">
        <v>25</v>
      </c>
      <c r="K114" s="2">
        <v>6</v>
      </c>
      <c r="L114" s="2">
        <v>48.877701500000001</v>
      </c>
      <c r="M114" s="2" t="str">
        <f>IF(AND(Table1[[#This Row],[Chuffed MZ1 Cost]]=Table1[[#This Row],[ORTools FZN2 Cost]],Table1[[#This Row],[ORTools FZN2 State]]="Optimal",Table1[[#This Row],[Chuffed MZ1 State]]="Suboptimal"),1,"")</f>
        <v/>
      </c>
      <c r="N114" s="5" t="s">
        <v>25</v>
      </c>
      <c r="O114" s="2">
        <v>6</v>
      </c>
      <c r="P114" s="2">
        <v>120.5346828</v>
      </c>
      <c r="Q114" s="2" t="str">
        <f>IF(AND(Table1[[#This Row],[Chuffed MZ2 Cost]]=Table1[[#This Row],[ORTools FZN2 Cost]],Table1[[#This Row],[ORTools FZN2 State]]="Optimal",Table1[[#This Row],[Chuffed MZ2 State]]="Suboptimal"),1,"")</f>
        <v/>
      </c>
      <c r="R114" s="11" t="s">
        <v>26</v>
      </c>
      <c r="S114" s="11">
        <v>6</v>
      </c>
      <c r="T114" s="11">
        <v>300.02300000000099</v>
      </c>
      <c r="U114" s="11">
        <v>1</v>
      </c>
      <c r="V114" s="5" t="s">
        <v>25</v>
      </c>
      <c r="W114" s="2">
        <v>6</v>
      </c>
      <c r="X114" s="2">
        <v>10.8565816</v>
      </c>
      <c r="Y114" s="2" t="str">
        <f>IF(AND(Table1[[#This Row],[ORTools FZN1 Cost]]=Table1[[#This Row],[ORTools FZN2 Cost]],Table1[[#This Row],[ORTools FZN2 State]]="Optimal",Table1[[#This Row],[ORTools FZN1 State]]="Suboptimal"),1,"")</f>
        <v/>
      </c>
      <c r="Z114" s="5" t="s">
        <v>25</v>
      </c>
      <c r="AA114" s="2">
        <v>6</v>
      </c>
      <c r="AB114" s="2">
        <v>11.469133100000001</v>
      </c>
      <c r="AC114" s="39" t="s">
        <v>25</v>
      </c>
      <c r="AD114" s="39">
        <v>6</v>
      </c>
      <c r="AE114" s="2">
        <v>25.989197300000001</v>
      </c>
      <c r="AF114" s="2" t="str">
        <f>IF(AND(Table1[[#This Row],[Cplex MB Cost]]=Table1[[#This Row],[ORTools FZN2 Cost]],Table1[[#This Row],[ORTools FZN2 State]]="Optimal",Table1[[#This Row],[Cplex MB State]]="Suboptimal"),1,"")</f>
        <v/>
      </c>
      <c r="AG114" s="4">
        <f>IF(AND(AC114="Optimal",AD114&lt;&gt;AA114,Table1[[#This Row],[Example]]&lt;&gt;"R001",Table1[[#This Row],[Example]]&lt;&gt;"R002"),AD114-AA114,)</f>
        <v>0</v>
      </c>
      <c r="AH114" s="5" t="s">
        <v>26</v>
      </c>
      <c r="AI114" s="2">
        <v>709294</v>
      </c>
      <c r="AJ114" s="2">
        <v>300.52326060000001</v>
      </c>
      <c r="AK114" s="2" t="str">
        <f>IF(AND(Table1[[#This Row],[Cplex MD Cost]]=Table1[[#This Row],[ORTools FZN2 Cost]],Table1[[#This Row],[ORTools FZN2 State]]="Optimal",Table1[[#This Row],[Cplex MD State]]="Suboptimal"),1,"")</f>
        <v/>
      </c>
      <c r="AL114" s="4">
        <f>IF(AND(AH114="Optimal",AI114&lt;&gt;AA114,Table1[[#This Row],[Example]]&lt;&gt;"R001",Table1[[#This Row],[Example]]&lt;&gt;"R002"),AI114-AA114,)</f>
        <v>0</v>
      </c>
      <c r="AM114" s="39" t="s">
        <v>25</v>
      </c>
      <c r="AN114" s="39">
        <v>6</v>
      </c>
      <c r="AO114" s="2">
        <v>14.247882600000001</v>
      </c>
      <c r="AP11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4" s="4" t="str">
        <f>IF(AND(Table1[[#This Row],[Cplex MI Cost]]=Table1[[#This Row],[ORTools FZN2 Cost]],Table1[[#This Row],[ORTools FZN2 State]]="Optimal",Table1[[#This Row],[Cplex MI State]]="Suboptimal"),1,"")</f>
        <v/>
      </c>
      <c r="AR114" s="5" t="s">
        <v>42</v>
      </c>
      <c r="AS114" s="2">
        <v>-65641</v>
      </c>
      <c r="AT114" s="2">
        <v>300.03815459999998</v>
      </c>
      <c r="AU114" s="2" t="str">
        <f>IF(AND(Table1[[#This Row],[Z3 SMT2-1 Maxres Cost]]=Table1[[#This Row],[ORTools FZN2 Cost]],Table1[[#This Row],[ORTools FZN2 State]]="Optimal"),1,"")</f>
        <v/>
      </c>
      <c r="AV114" s="39" t="s">
        <v>42</v>
      </c>
      <c r="AW114" s="39">
        <v>-65641</v>
      </c>
      <c r="AX114" s="2">
        <v>300.04448559999997</v>
      </c>
      <c r="AY114" s="2" t="str">
        <f>IF(AND(Table1[[#This Row],[Z3 SMT2-1 PdMaxres Cost]]=Table1[[#This Row],[ORTools FZN2 Cost]],Table1[[#This Row],[ORTools FZN2 State]]="Optimal"),1,"")</f>
        <v/>
      </c>
      <c r="AZ114" s="5" t="s">
        <v>42</v>
      </c>
      <c r="BA114" s="2">
        <v>-65641</v>
      </c>
      <c r="BB114" s="39">
        <v>300.16204720000002</v>
      </c>
      <c r="BC114" s="39" t="str">
        <f>IF(AND(Table1[[#This Row],[Z3 SMT2-1 WMax Cost]]=Table1[[#This Row],[ORTools FZN2 Cost]],Table1[[#This Row],[ORTools FZN2 State]]="Optimal"),1,"")</f>
        <v/>
      </c>
      <c r="BD114" s="39" t="s">
        <v>42</v>
      </c>
      <c r="BE114" s="39">
        <v>-65641</v>
      </c>
      <c r="BF114" s="2">
        <v>300.04632279999998</v>
      </c>
      <c r="BG114" s="2" t="str">
        <f>IF(AND(Table1[[#This Row],[Z3 SMT2-2 Maxres Cost]]=Table1[[#This Row],[ORTools FZN2 Cost]],Table1[[#This Row],[ORTools FZN2 State]]="Optimal"),1,"")</f>
        <v/>
      </c>
      <c r="BH114" s="5" t="s">
        <v>42</v>
      </c>
      <c r="BI114" s="2">
        <v>-65641</v>
      </c>
      <c r="BJ114" s="39">
        <v>300.05201770000002</v>
      </c>
      <c r="BK114" s="39" t="str">
        <f>IF(AND(Table1[[#This Row],[Z3 SMT2-2 PdMaxres Cost]]=Table1[[#This Row],[ORTools FZN2 Cost]],Table1[[#This Row],[ORTools FZN2 State]]="Optimal"),1,"")</f>
        <v/>
      </c>
      <c r="BL114" s="39" t="s">
        <v>42</v>
      </c>
      <c r="BM114" s="39">
        <v>-65641</v>
      </c>
      <c r="BN114" s="2">
        <v>300.0524982</v>
      </c>
      <c r="BO114" s="4" t="str">
        <f>IF(AND(Table1[[#This Row],[Z3 SMT2-2 PdMaxres Cost]]=Table1[[#This Row],[ORTools FZN2 Cost]],Table1[[#This Row],[ORTools FZN2 State]]="Optimal"),1,"")</f>
        <v/>
      </c>
      <c r="BP114" s="5" t="s">
        <v>25</v>
      </c>
      <c r="BQ114" s="2">
        <v>6</v>
      </c>
      <c r="BR114" s="2">
        <v>71.660407699999993</v>
      </c>
      <c r="BS114" s="2" t="str">
        <f>IF(AND(Table1[[#This Row],[Gurobi MB Cost]]=Table1[[#This Row],[ORTools FZN2 Cost]],Table1[[#This Row],[ORTools FZN2 State]]="Optimal",Table1[[#This Row],[Gurobi MB State]]="Suboptimal"),1,"")</f>
        <v/>
      </c>
      <c r="BT11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4" s="5" t="s">
        <v>26</v>
      </c>
      <c r="BV114" s="2">
        <v>129849</v>
      </c>
      <c r="BW114" s="2">
        <v>300.21023200000002</v>
      </c>
      <c r="BX114" s="2" t="str">
        <f>IF(AND(Table1[[#This Row],[Gurobi MD Cost]]=Table1[[#This Row],[ORTools FZN2 Cost]],Table1[[#This Row],[ORTools FZN2 State]]="Optimal",Table1[[#This Row],[Gurobi MD State]]="Suboptimal"),1,"")</f>
        <v/>
      </c>
      <c r="BY11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4" s="5" t="s">
        <v>25</v>
      </c>
      <c r="CA114" s="2">
        <v>6</v>
      </c>
      <c r="CB114" s="2">
        <v>65.096323400000003</v>
      </c>
      <c r="CC114" s="2" t="str">
        <f>IF(AND(Table1[[#This Row],[Gurobi MI Cost]]=Table1[[#This Row],[ORTools FZN2 Cost]],Table1[[#This Row],[ORTools FZN2 State]]="Optimal",Table1[[#This Row],[Gurobi MI State]]="Suboptimal"),1,"")</f>
        <v/>
      </c>
      <c r="CD11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4" s="39" t="s">
        <v>42</v>
      </c>
      <c r="CF114" s="2">
        <v>-65641</v>
      </c>
      <c r="CG114" s="39">
        <v>306.18375170000002</v>
      </c>
      <c r="CH114" s="39" t="s">
        <v>42</v>
      </c>
      <c r="CI114" s="39">
        <v>-65641</v>
      </c>
      <c r="CJ114" s="2">
        <v>306.0713538</v>
      </c>
      <c r="CK114" s="5" t="s">
        <v>26</v>
      </c>
      <c r="CL114" s="2">
        <v>6</v>
      </c>
      <c r="CM114" s="2">
        <v>300.072</v>
      </c>
      <c r="CN114" s="5" t="s">
        <v>26</v>
      </c>
      <c r="CO114" s="2">
        <v>387735</v>
      </c>
      <c r="CP114" s="2">
        <v>301.54215879999998</v>
      </c>
      <c r="CQ114" s="5" t="s">
        <v>25</v>
      </c>
      <c r="CR114" s="2">
        <v>6</v>
      </c>
      <c r="CS114" s="2">
        <v>12.0505257</v>
      </c>
      <c r="CT114" s="6" t="s">
        <v>25</v>
      </c>
      <c r="CU114" s="4">
        <v>6</v>
      </c>
      <c r="CV114" s="4">
        <v>10.8323961</v>
      </c>
      <c r="CW114" s="39" t="s">
        <v>26</v>
      </c>
      <c r="CX114" s="39">
        <v>65686</v>
      </c>
      <c r="CY114" s="2">
        <v>300.02249999999998</v>
      </c>
      <c r="CZ114" s="2" t="str">
        <f>IF(AND(Table1[[#This Row],[Cplex MZ1 Cost]]=Table1[[#This Row],[ORTools FZN2 Cost]],Table1[[#This Row],[ORTools FZN2 State]]="Optimal",Table1[[#This Row],[Cplex MZ1 State]]="Suboptimal"),1,"")</f>
        <v/>
      </c>
      <c r="DA114" s="12" t="s">
        <v>26</v>
      </c>
      <c r="DB114" s="12">
        <v>6</v>
      </c>
      <c r="DC114" s="12">
        <v>300.01209999999998</v>
      </c>
      <c r="DD114" s="12">
        <f>IF(AND(Table1[[#This Row],[Cplex MZ2 Cost]]=Table1[[#This Row],[ORTools FZN2 Cost]],Table1[[#This Row],[ORTools FZN2 State]]="Optimal",Table1[[#This Row],[Cplex MZ2 State]]="Suboptimal"),1,"")</f>
        <v>1</v>
      </c>
      <c r="DE114" s="39" t="s">
        <v>26</v>
      </c>
      <c r="DF114" s="39">
        <v>325490</v>
      </c>
      <c r="DG114" s="2">
        <v>300.02890000000002</v>
      </c>
      <c r="DH114" s="2" t="str">
        <f>IF(AND(Table1[[#This Row],[Gurobi MZ1 Cost]]=Table1[[#This Row],[ORTools FZN2 Cost]],Table1[[#This Row],[ORTools FZN2 State]]="Optimal",Table1[[#This Row],[Gurobi MZ1 State]]="Suboptimal"),1,"")</f>
        <v/>
      </c>
      <c r="DI114" s="5" t="s">
        <v>26</v>
      </c>
      <c r="DJ114" s="2">
        <v>195325</v>
      </c>
      <c r="DK114" s="2">
        <v>300.00760000000002</v>
      </c>
      <c r="DL114" s="4" t="str">
        <f>IF(AND(Table1[[#This Row],[Gurobi MZ2 Cost]]=Table1[[#This Row],[ORTools FZN2 Cost]],Table1[[#This Row],[ORTools FZN2 State]]="Optimal",Table1[[#This Row],[Gurobi MZ2 State]]="Suboptimal"),1,"")</f>
        <v/>
      </c>
      <c r="DM114" s="39" t="s">
        <v>26</v>
      </c>
      <c r="DN114" s="12">
        <v>6</v>
      </c>
      <c r="DO114" s="69">
        <v>300.02000000000402</v>
      </c>
      <c r="DP114" s="11">
        <f>IF(AND(Table1[[#This Row],[Cplex MC nonDual Cost]]=Table1[[#This Row],[ORTools FZN2 Cost]],Table1[[#This Row],[ORTools FZN2 State]]="Optimal",Table1[[#This Row],[Cplex MC nonDual State]]="Suboptimal"),1,"")</f>
        <v>1</v>
      </c>
      <c r="DQ114" s="5" t="s">
        <v>26</v>
      </c>
      <c r="DR114" s="2">
        <v>259489</v>
      </c>
      <c r="DS114" s="2">
        <v>300.02280000000002</v>
      </c>
      <c r="DT114" s="2" t="str">
        <f>IF(AND(Table1[[#This Row],[Cplex MIP DM''z Cost]]=Table1[[#This Row],[ORTools FZN2 Cost]],Table1[[#This Row],[ORTools FZN2 State]]="Optimal",Table1[[#This Row],[Cplex MIP DM''z  State]]="Suboptimal"),1,"")</f>
        <v/>
      </c>
      <c r="DU11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4" s="5" t="s">
        <v>26</v>
      </c>
      <c r="DW114" s="2">
        <v>323812</v>
      </c>
      <c r="DX114" s="2">
        <v>300.02120000000002</v>
      </c>
      <c r="DY114" s="4" t="str">
        <f>IF(AND(Table1[[#This Row],[Gurobi DM''z  Cost]]=Table1[[#This Row],[ORTools FZN2 Cost]],Table1[[#This Row],[ORTools FZN2 State]]="Optimal",Table1[[#This Row],[Gurobi DM''z  State]]="Suboptimal"),1,"")</f>
        <v/>
      </c>
      <c r="DZ11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5" spans="1:130" ht="15.75" x14ac:dyDescent="0.25">
      <c r="A115" s="47" t="s">
        <v>141</v>
      </c>
      <c r="B115" s="5">
        <v>40</v>
      </c>
      <c r="C115" s="2">
        <v>20</v>
      </c>
      <c r="D115" s="5">
        <v>117</v>
      </c>
      <c r="E115" s="2">
        <v>28</v>
      </c>
      <c r="F115" s="5">
        <v>19</v>
      </c>
      <c r="G115" s="2">
        <v>0</v>
      </c>
      <c r="H115" s="4">
        <f t="shared" si="1"/>
        <v>0</v>
      </c>
      <c r="I115" s="4">
        <f>Table1[[#This Row],[B]]+Table1[[#This Row],[Atomic Constraints]]+Table1[[#This Row],[Soft Atomic Constraints]]+Table1[[#This Row],[Disjunctive Constraints]]+Table1[[#This Row],[Direct Successors]]</f>
        <v>184</v>
      </c>
      <c r="J115" s="5" t="s">
        <v>25</v>
      </c>
      <c r="K115" s="2">
        <v>6</v>
      </c>
      <c r="L115" s="2">
        <v>42.508497300000002</v>
      </c>
      <c r="M115" s="2" t="str">
        <f>IF(AND(Table1[[#This Row],[Chuffed MZ1 Cost]]=Table1[[#This Row],[ORTools FZN2 Cost]],Table1[[#This Row],[ORTools FZN2 State]]="Optimal",Table1[[#This Row],[Chuffed MZ1 State]]="Suboptimal"),1,"")</f>
        <v/>
      </c>
      <c r="N115" s="5" t="s">
        <v>25</v>
      </c>
      <c r="O115" s="2">
        <v>6</v>
      </c>
      <c r="P115" s="2">
        <v>119.17518870000001</v>
      </c>
      <c r="Q115" s="2" t="str">
        <f>IF(AND(Table1[[#This Row],[Chuffed MZ2 Cost]]=Table1[[#This Row],[ORTools FZN2 Cost]],Table1[[#This Row],[ORTools FZN2 State]]="Optimal",Table1[[#This Row],[Chuffed MZ2 State]]="Suboptimal"),1,"")</f>
        <v/>
      </c>
      <c r="R115" s="11" t="s">
        <v>26</v>
      </c>
      <c r="S115" s="11">
        <v>6</v>
      </c>
      <c r="T115" s="11">
        <v>300.00799999999998</v>
      </c>
      <c r="U115" s="11">
        <v>1</v>
      </c>
      <c r="V115" s="5" t="s">
        <v>25</v>
      </c>
      <c r="W115" s="2">
        <v>6</v>
      </c>
      <c r="X115" s="2">
        <v>16.698920399999999</v>
      </c>
      <c r="Y115" s="2" t="str">
        <f>IF(AND(Table1[[#This Row],[ORTools FZN1 Cost]]=Table1[[#This Row],[ORTools FZN2 Cost]],Table1[[#This Row],[ORTools FZN2 State]]="Optimal",Table1[[#This Row],[ORTools FZN1 State]]="Suboptimal"),1,"")</f>
        <v/>
      </c>
      <c r="Z115" s="5" t="s">
        <v>25</v>
      </c>
      <c r="AA115" s="2">
        <v>6</v>
      </c>
      <c r="AB115" s="2">
        <v>11.4758709</v>
      </c>
      <c r="AC115" s="39" t="s">
        <v>25</v>
      </c>
      <c r="AD115" s="39">
        <v>6</v>
      </c>
      <c r="AE115" s="2">
        <v>26.148909</v>
      </c>
      <c r="AF115" s="2" t="str">
        <f>IF(AND(Table1[[#This Row],[Cplex MB Cost]]=Table1[[#This Row],[ORTools FZN2 Cost]],Table1[[#This Row],[ORTools FZN2 State]]="Optimal",Table1[[#This Row],[Cplex MB State]]="Suboptimal"),1,"")</f>
        <v/>
      </c>
      <c r="AG115" s="4">
        <f>IF(AND(AC115="Optimal",AD115&lt;&gt;AA115,Table1[[#This Row],[Example]]&lt;&gt;"R001",Table1[[#This Row],[Example]]&lt;&gt;"R002"),AD115-AA115,)</f>
        <v>0</v>
      </c>
      <c r="AH115" s="5" t="s">
        <v>26</v>
      </c>
      <c r="AI115" s="2">
        <v>643649</v>
      </c>
      <c r="AJ115" s="2">
        <v>300.45718360000001</v>
      </c>
      <c r="AK115" s="2" t="str">
        <f>IF(AND(Table1[[#This Row],[Cplex MD Cost]]=Table1[[#This Row],[ORTools FZN2 Cost]],Table1[[#This Row],[ORTools FZN2 State]]="Optimal",Table1[[#This Row],[Cplex MD State]]="Suboptimal"),1,"")</f>
        <v/>
      </c>
      <c r="AL115" s="2">
        <f>IF(AND(AH115="Optimal",AI115&lt;&gt;AA115,Table1[[#This Row],[Example]]&lt;&gt;"R001",Table1[[#This Row],[Example]]&lt;&gt;"R002"),AI115-AA115,)</f>
        <v>0</v>
      </c>
      <c r="AM115" s="39" t="s">
        <v>25</v>
      </c>
      <c r="AN115" s="39">
        <v>6</v>
      </c>
      <c r="AO115" s="2">
        <v>31.805495499999999</v>
      </c>
      <c r="AP11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5" s="2" t="str">
        <f>IF(AND(Table1[[#This Row],[Cplex MI Cost]]=Table1[[#This Row],[ORTools FZN2 Cost]],Table1[[#This Row],[ORTools FZN2 State]]="Optimal",Table1[[#This Row],[Cplex MI State]]="Suboptimal"),1,"")</f>
        <v/>
      </c>
      <c r="AR115" s="5" t="s">
        <v>42</v>
      </c>
      <c r="AS115" s="2">
        <v>-65641</v>
      </c>
      <c r="AT115" s="2">
        <v>300.04307729999999</v>
      </c>
      <c r="AU115" s="2" t="str">
        <f>IF(AND(Table1[[#This Row],[Z3 SMT2-1 Maxres Cost]]=Table1[[#This Row],[ORTools FZN2 Cost]],Table1[[#This Row],[ORTools FZN2 State]]="Optimal"),1,"")</f>
        <v/>
      </c>
      <c r="AV115" s="39" t="s">
        <v>42</v>
      </c>
      <c r="AW115" s="39">
        <v>-65641</v>
      </c>
      <c r="AX115" s="2">
        <v>300.04538300000002</v>
      </c>
      <c r="AY115" s="2" t="str">
        <f>IF(AND(Table1[[#This Row],[Z3 SMT2-1 PdMaxres Cost]]=Table1[[#This Row],[ORTools FZN2 Cost]],Table1[[#This Row],[ORTools FZN2 State]]="Optimal"),1,"")</f>
        <v/>
      </c>
      <c r="AZ115" s="5" t="s">
        <v>42</v>
      </c>
      <c r="BA115" s="2">
        <v>-65641</v>
      </c>
      <c r="BB115" s="39">
        <v>300.05782929999998</v>
      </c>
      <c r="BC115" s="39" t="str">
        <f>IF(AND(Table1[[#This Row],[Z3 SMT2-1 WMax Cost]]=Table1[[#This Row],[ORTools FZN2 Cost]],Table1[[#This Row],[ORTools FZN2 State]]="Optimal"),1,"")</f>
        <v/>
      </c>
      <c r="BD115" s="39" t="s">
        <v>42</v>
      </c>
      <c r="BE115" s="39">
        <v>-65641</v>
      </c>
      <c r="BF115" s="2">
        <v>300.03585770000001</v>
      </c>
      <c r="BG115" s="2" t="str">
        <f>IF(AND(Table1[[#This Row],[Z3 SMT2-2 Maxres Cost]]=Table1[[#This Row],[ORTools FZN2 Cost]],Table1[[#This Row],[ORTools FZN2 State]]="Optimal"),1,"")</f>
        <v/>
      </c>
      <c r="BH115" s="5" t="s">
        <v>42</v>
      </c>
      <c r="BI115" s="2">
        <v>-65641</v>
      </c>
      <c r="BJ115" s="39">
        <v>300.04859219999997</v>
      </c>
      <c r="BK115" s="39" t="str">
        <f>IF(AND(Table1[[#This Row],[Z3 SMT2-2 PdMaxres Cost]]=Table1[[#This Row],[ORTools FZN2 Cost]],Table1[[#This Row],[ORTools FZN2 State]]="Optimal"),1,"")</f>
        <v/>
      </c>
      <c r="BL115" s="39" t="s">
        <v>42</v>
      </c>
      <c r="BM115" s="39">
        <v>-65641</v>
      </c>
      <c r="BN115" s="2">
        <v>300.05042500000002</v>
      </c>
      <c r="BO115" s="4" t="str">
        <f>IF(AND(Table1[[#This Row],[Z3 SMT2-2 PdMaxres Cost]]=Table1[[#This Row],[ORTools FZN2 Cost]],Table1[[#This Row],[ORTools FZN2 State]]="Optimal"),1,"")</f>
        <v/>
      </c>
      <c r="BP115" s="5" t="s">
        <v>25</v>
      </c>
      <c r="BQ115" s="2">
        <v>6</v>
      </c>
      <c r="BR115" s="2">
        <v>71.817165500000002</v>
      </c>
      <c r="BS115" s="2" t="str">
        <f>IF(AND(Table1[[#This Row],[Gurobi MB Cost]]=Table1[[#This Row],[ORTools FZN2 Cost]],Table1[[#This Row],[ORTools FZN2 State]]="Optimal",Table1[[#This Row],[Gurobi MB State]]="Suboptimal"),1,"")</f>
        <v/>
      </c>
      <c r="BT11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5" s="5" t="s">
        <v>26</v>
      </c>
      <c r="BV115" s="2">
        <v>129849</v>
      </c>
      <c r="BW115" s="2">
        <v>300.19042200000001</v>
      </c>
      <c r="BX115" s="2" t="str">
        <f>IF(AND(Table1[[#This Row],[Gurobi MD Cost]]=Table1[[#This Row],[ORTools FZN2 Cost]],Table1[[#This Row],[ORTools FZN2 State]]="Optimal",Table1[[#This Row],[Gurobi MD State]]="Suboptimal"),1,"")</f>
        <v/>
      </c>
      <c r="BY11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5" s="5" t="s">
        <v>25</v>
      </c>
      <c r="CA115" s="2">
        <v>6</v>
      </c>
      <c r="CB115" s="2">
        <v>66.3221487</v>
      </c>
      <c r="CC115" s="2" t="str">
        <f>IF(AND(Table1[[#This Row],[Gurobi MI Cost]]=Table1[[#This Row],[ORTools FZN2 Cost]],Table1[[#This Row],[ORTools FZN2 State]]="Optimal",Table1[[#This Row],[Gurobi MI State]]="Suboptimal"),1,"")</f>
        <v/>
      </c>
      <c r="CD11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5" s="39" t="s">
        <v>42</v>
      </c>
      <c r="CF115" s="2">
        <v>-65641</v>
      </c>
      <c r="CG115" s="39">
        <v>306.22254020000003</v>
      </c>
      <c r="CH115" s="39" t="s">
        <v>42</v>
      </c>
      <c r="CI115" s="39">
        <v>-65641</v>
      </c>
      <c r="CJ115" s="2">
        <v>306.16985629999999</v>
      </c>
      <c r="CK115" s="5" t="s">
        <v>26</v>
      </c>
      <c r="CL115" s="2">
        <v>6</v>
      </c>
      <c r="CM115" s="2">
        <v>300.05500000000001</v>
      </c>
      <c r="CN115" s="5" t="s">
        <v>26</v>
      </c>
      <c r="CO115" s="2">
        <v>387735</v>
      </c>
      <c r="CP115" s="2">
        <v>301.52505459999998</v>
      </c>
      <c r="CQ115" s="5" t="s">
        <v>25</v>
      </c>
      <c r="CR115" s="2">
        <v>6</v>
      </c>
      <c r="CS115" s="2">
        <v>16.048195</v>
      </c>
      <c r="CT115" s="6" t="s">
        <v>25</v>
      </c>
      <c r="CU115" s="4">
        <v>6</v>
      </c>
      <c r="CV115" s="4">
        <v>10.8429676</v>
      </c>
      <c r="CW115" s="39" t="s">
        <v>26</v>
      </c>
      <c r="CX115" s="39">
        <v>195568</v>
      </c>
      <c r="CY115" s="2">
        <v>300.01819999999998</v>
      </c>
      <c r="CZ115" s="2" t="str">
        <f>IF(AND(Table1[[#This Row],[Cplex MZ1 Cost]]=Table1[[#This Row],[ORTools FZN2 Cost]],Table1[[#This Row],[ORTools FZN2 State]]="Optimal",Table1[[#This Row],[Cplex MZ1 State]]="Suboptimal"),1,"")</f>
        <v/>
      </c>
      <c r="DA115" s="12" t="s">
        <v>26</v>
      </c>
      <c r="DB115" s="12">
        <v>6</v>
      </c>
      <c r="DC115" s="12">
        <v>300.00900000000001</v>
      </c>
      <c r="DD115" s="12">
        <f>IF(AND(Table1[[#This Row],[Cplex MZ2 Cost]]=Table1[[#This Row],[ORTools FZN2 Cost]],Table1[[#This Row],[ORTools FZN2 State]]="Optimal",Table1[[#This Row],[Cplex MZ2 State]]="Suboptimal"),1,"")</f>
        <v>1</v>
      </c>
      <c r="DE115" s="39" t="s">
        <v>26</v>
      </c>
      <c r="DF115" s="39">
        <v>774769</v>
      </c>
      <c r="DG115" s="2">
        <v>300.05360000000002</v>
      </c>
      <c r="DH115" s="2" t="str">
        <f>IF(AND(Table1[[#This Row],[Gurobi MZ1 Cost]]=Table1[[#This Row],[ORTools FZN2 Cost]],Table1[[#This Row],[ORTools FZN2 State]]="Optimal",Table1[[#This Row],[Gurobi MZ1 State]]="Suboptimal"),1,"")</f>
        <v/>
      </c>
      <c r="DI115" s="5" t="s">
        <v>26</v>
      </c>
      <c r="DJ115" s="2">
        <v>195325</v>
      </c>
      <c r="DK115" s="2">
        <v>300.0163</v>
      </c>
      <c r="DL115" s="4" t="str">
        <f>IF(AND(Table1[[#This Row],[Gurobi MZ2 Cost]]=Table1[[#This Row],[ORTools FZN2 Cost]],Table1[[#This Row],[ORTools FZN2 State]]="Optimal",Table1[[#This Row],[Gurobi MZ2 State]]="Suboptimal"),1,"")</f>
        <v/>
      </c>
      <c r="DM115" s="39" t="s">
        <v>26</v>
      </c>
      <c r="DN115" s="12">
        <v>6</v>
      </c>
      <c r="DO115" s="69">
        <v>300.03699999999998</v>
      </c>
      <c r="DP115" s="11">
        <f>IF(AND(Table1[[#This Row],[Cplex MC nonDual Cost]]=Table1[[#This Row],[ORTools FZN2 Cost]],Table1[[#This Row],[ORTools FZN2 State]]="Optimal",Table1[[#This Row],[Cplex MC nonDual State]]="Suboptimal"),1,"")</f>
        <v>1</v>
      </c>
      <c r="DQ115" s="5" t="s">
        <v>26</v>
      </c>
      <c r="DR115" s="2">
        <v>7</v>
      </c>
      <c r="DS115" s="2">
        <v>300.01949999999999</v>
      </c>
      <c r="DT115" s="2" t="str">
        <f>IF(AND(Table1[[#This Row],[Cplex MIP DM''z Cost]]=Table1[[#This Row],[ORTools FZN2 Cost]],Table1[[#This Row],[ORTools FZN2 State]]="Optimal",Table1[[#This Row],[Cplex MIP DM''z  State]]="Suboptimal"),1,"")</f>
        <v/>
      </c>
      <c r="DU11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5" s="5" t="s">
        <v>26</v>
      </c>
      <c r="DW115" s="2">
        <v>12</v>
      </c>
      <c r="DX115" s="2">
        <v>299.99959999999999</v>
      </c>
      <c r="DY115" s="4" t="str">
        <f>IF(AND(Table1[[#This Row],[Gurobi DM''z  Cost]]=Table1[[#This Row],[ORTools FZN2 Cost]],Table1[[#This Row],[ORTools FZN2 State]]="Optimal",Table1[[#This Row],[Gurobi DM''z  State]]="Suboptimal"),1,"")</f>
        <v/>
      </c>
      <c r="DZ11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6" spans="1:130" ht="15.75" x14ac:dyDescent="0.25">
      <c r="A116" s="46" t="s">
        <v>142</v>
      </c>
      <c r="B116" s="5">
        <v>10</v>
      </c>
      <c r="C116" s="2">
        <v>3</v>
      </c>
      <c r="D116" s="5">
        <v>4</v>
      </c>
      <c r="E116" s="2">
        <v>7</v>
      </c>
      <c r="F116" s="5">
        <v>1</v>
      </c>
      <c r="G116" s="2">
        <v>0</v>
      </c>
      <c r="H116" s="4">
        <f t="shared" si="1"/>
        <v>4</v>
      </c>
      <c r="I116" s="4">
        <f>Table1[[#This Row],[B]]+Table1[[#This Row],[Atomic Constraints]]+Table1[[#This Row],[Soft Atomic Constraints]]+Table1[[#This Row],[Disjunctive Constraints]]+Table1[[#This Row],[Direct Successors]]</f>
        <v>15</v>
      </c>
      <c r="J116" s="5" t="s">
        <v>25</v>
      </c>
      <c r="K116" s="2">
        <v>1</v>
      </c>
      <c r="L116" s="2">
        <v>0.58385480000000001</v>
      </c>
      <c r="M116" s="2" t="str">
        <f>IF(AND(Table1[[#This Row],[Chuffed MZ1 Cost]]=Table1[[#This Row],[ORTools FZN2 Cost]],Table1[[#This Row],[ORTools FZN2 State]]="Optimal",Table1[[#This Row],[Chuffed MZ1 State]]="Suboptimal"),1,"")</f>
        <v/>
      </c>
      <c r="N116" s="5" t="s">
        <v>25</v>
      </c>
      <c r="O116" s="2">
        <v>1</v>
      </c>
      <c r="P116" s="2">
        <v>0.57957630000000004</v>
      </c>
      <c r="Q116" s="2" t="str">
        <f>IF(AND(Table1[[#This Row],[Chuffed MZ2 Cost]]=Table1[[#This Row],[ORTools FZN2 Cost]],Table1[[#This Row],[ORTools FZN2 State]]="Optimal",Table1[[#This Row],[Chuffed MZ2 State]]="Suboptimal"),1,"")</f>
        <v/>
      </c>
      <c r="R116" s="6" t="s">
        <v>25</v>
      </c>
      <c r="S116" s="4">
        <v>1</v>
      </c>
      <c r="T116" s="4">
        <v>4.60000000002765E-2</v>
      </c>
      <c r="U116" s="4"/>
      <c r="V116" s="5" t="s">
        <v>25</v>
      </c>
      <c r="W116" s="2">
        <v>1</v>
      </c>
      <c r="X116" s="2">
        <v>9.4519900000000004E-2</v>
      </c>
      <c r="Y116" s="2" t="str">
        <f>IF(AND(Table1[[#This Row],[ORTools FZN1 Cost]]=Table1[[#This Row],[ORTools FZN2 Cost]],Table1[[#This Row],[ORTools FZN2 State]]="Optimal",Table1[[#This Row],[ORTools FZN1 State]]="Suboptimal"),1,"")</f>
        <v/>
      </c>
      <c r="Z116" s="5" t="s">
        <v>25</v>
      </c>
      <c r="AA116" s="2">
        <v>1</v>
      </c>
      <c r="AB116" s="2">
        <v>0.1007753</v>
      </c>
      <c r="AC116" s="39" t="s">
        <v>25</v>
      </c>
      <c r="AD116" s="39">
        <v>1</v>
      </c>
      <c r="AE116" s="2">
        <v>9.6959699999999996E-2</v>
      </c>
      <c r="AF116" s="2" t="str">
        <f>IF(AND(Table1[[#This Row],[Cplex MB Cost]]=Table1[[#This Row],[ORTools FZN2 Cost]],Table1[[#This Row],[ORTools FZN2 State]]="Optimal",Table1[[#This Row],[Cplex MB State]]="Suboptimal"),1,"")</f>
        <v/>
      </c>
      <c r="AG116" s="4">
        <f>IF(AND(AC116="Optimal",AD116&lt;&gt;AA116,Table1[[#This Row],[Example]]&lt;&gt;"R001",Table1[[#This Row],[Example]]&lt;&gt;"R002"),AD116-AA116,)</f>
        <v>0</v>
      </c>
      <c r="AH116" s="5" t="s">
        <v>25</v>
      </c>
      <c r="AI116" s="2">
        <v>1</v>
      </c>
      <c r="AJ116" s="2">
        <v>0.38365579999999999</v>
      </c>
      <c r="AK116" s="2" t="str">
        <f>IF(AND(Table1[[#This Row],[Cplex MD Cost]]=Table1[[#This Row],[ORTools FZN2 Cost]],Table1[[#This Row],[ORTools FZN2 State]]="Optimal",Table1[[#This Row],[Cplex MD State]]="Suboptimal"),1,"")</f>
        <v/>
      </c>
      <c r="AL116" s="4">
        <f>IF(AND(AH116="Optimal",AI116&lt;&gt;AA116,Table1[[#This Row],[Example]]&lt;&gt;"R001",Table1[[#This Row],[Example]]&lt;&gt;"R002"),AI116-AA116,)</f>
        <v>0</v>
      </c>
      <c r="AM116" s="39" t="s">
        <v>25</v>
      </c>
      <c r="AN116" s="39">
        <v>1</v>
      </c>
      <c r="AO116" s="2">
        <v>9.9912000000000001E-2</v>
      </c>
      <c r="AP11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6" s="4" t="str">
        <f>IF(AND(Table1[[#This Row],[Cplex MI Cost]]=Table1[[#This Row],[ORTools FZN2 Cost]],Table1[[#This Row],[ORTools FZN2 State]]="Optimal",Table1[[#This Row],[Cplex MI State]]="Suboptimal"),1,"")</f>
        <v/>
      </c>
      <c r="AR116" s="12" t="s">
        <v>26</v>
      </c>
      <c r="AS116" s="12">
        <v>1</v>
      </c>
      <c r="AT116" s="12">
        <v>0.31580839999999999</v>
      </c>
      <c r="AU116" s="12">
        <f>IF(AND(Table1[[#This Row],[Z3 SMT2-1 Maxres Cost]]=Table1[[#This Row],[ORTools FZN2 Cost]],Table1[[#This Row],[ORTools FZN2 State]]="Optimal"),1,"")</f>
        <v>1</v>
      </c>
      <c r="AV116" s="12" t="s">
        <v>26</v>
      </c>
      <c r="AW116" s="12">
        <v>1</v>
      </c>
      <c r="AX116" s="12">
        <v>0.32939089999999999</v>
      </c>
      <c r="AY116" s="12">
        <f>IF(AND(Table1[[#This Row],[Z3 SMT2-1 PdMaxres Cost]]=Table1[[#This Row],[ORTools FZN2 Cost]],Table1[[#This Row],[ORTools FZN2 State]]="Optimal"),1,"")</f>
        <v>1</v>
      </c>
      <c r="AZ116" s="12" t="s">
        <v>26</v>
      </c>
      <c r="BA116" s="12">
        <v>1</v>
      </c>
      <c r="BB116" s="12">
        <v>0.41892689999999999</v>
      </c>
      <c r="BC116" s="12">
        <f>IF(AND(Table1[[#This Row],[Z3 SMT2-1 WMax Cost]]=Table1[[#This Row],[ORTools FZN2 Cost]],Table1[[#This Row],[ORTools FZN2 State]]="Optimal"),1,"")</f>
        <v>1</v>
      </c>
      <c r="BD116" s="12" t="s">
        <v>26</v>
      </c>
      <c r="BE116" s="12">
        <v>1</v>
      </c>
      <c r="BF116" s="12">
        <v>0.28831560000000001</v>
      </c>
      <c r="BG116" s="12">
        <f>IF(AND(Table1[[#This Row],[Z3 SMT2-2 Maxres Cost]]=Table1[[#This Row],[ORTools FZN2 Cost]],Table1[[#This Row],[ORTools FZN2 State]]="Optimal"),1,"")</f>
        <v>1</v>
      </c>
      <c r="BH116" s="12" t="s">
        <v>26</v>
      </c>
      <c r="BI116" s="12">
        <v>1</v>
      </c>
      <c r="BJ116" s="12">
        <v>0.26360850000000002</v>
      </c>
      <c r="BK116" s="12">
        <f>IF(AND(Table1[[#This Row],[Z3 SMT2-2 PdMaxres Cost]]=Table1[[#This Row],[ORTools FZN2 Cost]],Table1[[#This Row],[ORTools FZN2 State]]="Optimal"),1,"")</f>
        <v>1</v>
      </c>
      <c r="BL116" s="12" t="s">
        <v>26</v>
      </c>
      <c r="BM116" s="12">
        <v>1</v>
      </c>
      <c r="BN116" s="12">
        <v>0.2971702</v>
      </c>
      <c r="BO116" s="11">
        <f>IF(AND(Table1[[#This Row],[Z3 SMT2-2 PdMaxres Cost]]=Table1[[#This Row],[ORTools FZN2 Cost]],Table1[[#This Row],[ORTools FZN2 State]]="Optimal"),1,"")</f>
        <v>1</v>
      </c>
      <c r="BP116" s="5" t="s">
        <v>25</v>
      </c>
      <c r="BQ116" s="2">
        <v>1</v>
      </c>
      <c r="BR116" s="2">
        <v>0.17626620000000001</v>
      </c>
      <c r="BS116" s="2" t="str">
        <f>IF(AND(Table1[[#This Row],[Gurobi MB Cost]]=Table1[[#This Row],[ORTools FZN2 Cost]],Table1[[#This Row],[ORTools FZN2 State]]="Optimal",Table1[[#This Row],[Gurobi MB State]]="Suboptimal"),1,"")</f>
        <v/>
      </c>
      <c r="BT11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6" s="5" t="s">
        <v>25</v>
      </c>
      <c r="BV116" s="2">
        <v>1</v>
      </c>
      <c r="BW116" s="2">
        <v>0.4073618</v>
      </c>
      <c r="BX116" s="2" t="str">
        <f>IF(AND(Table1[[#This Row],[Gurobi MD Cost]]=Table1[[#This Row],[ORTools FZN2 Cost]],Table1[[#This Row],[ORTools FZN2 State]]="Optimal",Table1[[#This Row],[Gurobi MD State]]="Suboptimal"),1,"")</f>
        <v/>
      </c>
      <c r="BY11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6" s="5" t="s">
        <v>25</v>
      </c>
      <c r="CA116" s="2">
        <v>1</v>
      </c>
      <c r="CB116" s="2">
        <v>0.1798129</v>
      </c>
      <c r="CC116" s="2" t="str">
        <f>IF(AND(Table1[[#This Row],[Gurobi MI Cost]]=Table1[[#This Row],[ORTools FZN2 Cost]],Table1[[#This Row],[ORTools FZN2 State]]="Optimal",Table1[[#This Row],[Gurobi MI State]]="Suboptimal"),1,"")</f>
        <v/>
      </c>
      <c r="CD11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6" s="39" t="s">
        <v>25</v>
      </c>
      <c r="CF116" s="2">
        <v>1</v>
      </c>
      <c r="CG116" s="39">
        <v>45.233866200000001</v>
      </c>
      <c r="CH116" s="39" t="s">
        <v>25</v>
      </c>
      <c r="CI116" s="39">
        <v>1</v>
      </c>
      <c r="CJ116" s="2">
        <v>45.190241</v>
      </c>
      <c r="CK116" s="5" t="s">
        <v>25</v>
      </c>
      <c r="CL116" s="2">
        <v>1</v>
      </c>
      <c r="CM116" s="2">
        <v>4.7000000000480199E-2</v>
      </c>
      <c r="CN116" s="5" t="s">
        <v>25</v>
      </c>
      <c r="CO116" s="2">
        <v>1</v>
      </c>
      <c r="CP116" s="2">
        <v>0.58715200000000001</v>
      </c>
      <c r="CQ116" s="5" t="s">
        <v>25</v>
      </c>
      <c r="CR116" s="2">
        <v>1</v>
      </c>
      <c r="CS116" s="2">
        <v>0.16141249999999999</v>
      </c>
      <c r="CT116" s="6" t="s">
        <v>25</v>
      </c>
      <c r="CU116" s="4">
        <v>1</v>
      </c>
      <c r="CV116" s="4">
        <v>0.19753560000000001</v>
      </c>
      <c r="CW116" s="39" t="s">
        <v>25</v>
      </c>
      <c r="CX116" s="39">
        <v>1</v>
      </c>
      <c r="CY116" s="2">
        <v>0.12939999999999999</v>
      </c>
      <c r="CZ116" s="2" t="str">
        <f>IF(AND(Table1[[#This Row],[Cplex MZ1 Cost]]=Table1[[#This Row],[ORTools FZN2 Cost]],Table1[[#This Row],[ORTools FZN2 State]]="Optimal",Table1[[#This Row],[Cplex MZ1 State]]="Suboptimal"),1,"")</f>
        <v/>
      </c>
      <c r="DA116" s="5" t="s">
        <v>25</v>
      </c>
      <c r="DB116" s="2">
        <v>1</v>
      </c>
      <c r="DC116" s="2">
        <v>0.19650000000000001</v>
      </c>
      <c r="DD116" s="2" t="str">
        <f>IF(AND(Table1[[#This Row],[Cplex MZ2 Cost]]=Table1[[#This Row],[ORTools FZN2 Cost]],Table1[[#This Row],[ORTools FZN2 State]]="Optimal",Table1[[#This Row],[Cplex MZ2 State]]="Suboptimal"),1,"")</f>
        <v/>
      </c>
      <c r="DE116" s="39" t="s">
        <v>25</v>
      </c>
      <c r="DF116" s="39">
        <v>1</v>
      </c>
      <c r="DG116" s="2">
        <v>0.43840000000000001</v>
      </c>
      <c r="DH116" s="2" t="str">
        <f>IF(AND(Table1[[#This Row],[Gurobi MZ1 Cost]]=Table1[[#This Row],[ORTools FZN2 Cost]],Table1[[#This Row],[ORTools FZN2 State]]="Optimal",Table1[[#This Row],[Gurobi MZ1 State]]="Suboptimal"),1,"")</f>
        <v/>
      </c>
      <c r="DI116" s="5" t="s">
        <v>25</v>
      </c>
      <c r="DJ116" s="2">
        <v>1</v>
      </c>
      <c r="DK116" s="2">
        <v>0.1454</v>
      </c>
      <c r="DL116" s="4" t="str">
        <f>IF(AND(Table1[[#This Row],[Gurobi MZ2 Cost]]=Table1[[#This Row],[ORTools FZN2 Cost]],Table1[[#This Row],[ORTools FZN2 State]]="Optimal",Table1[[#This Row],[Gurobi MZ2 State]]="Suboptimal"),1,"")</f>
        <v/>
      </c>
      <c r="DM116" s="39" t="s">
        <v>25</v>
      </c>
      <c r="DN116" s="39">
        <v>1</v>
      </c>
      <c r="DO116" s="65">
        <v>6.5999999998893999E-2</v>
      </c>
      <c r="DP116" s="4" t="str">
        <f>IF(AND(Table1[[#This Row],[Cplex MC nonDual Cost]]=Table1[[#This Row],[ORTools FZN2 Cost]],Table1[[#This Row],[ORTools FZN2 State]]="Optimal",Table1[[#This Row],[Cplex MC nonDual State]]="Suboptimal"),1,"")</f>
        <v/>
      </c>
      <c r="DQ116" s="5" t="s">
        <v>25</v>
      </c>
      <c r="DR116" s="2">
        <v>1</v>
      </c>
      <c r="DS116" s="2">
        <v>9.4600000000000004E-2</v>
      </c>
      <c r="DT116" s="2" t="str">
        <f>IF(AND(Table1[[#This Row],[Cplex MIP DM''z Cost]]=Table1[[#This Row],[ORTools FZN2 Cost]],Table1[[#This Row],[ORTools FZN2 State]]="Optimal",Table1[[#This Row],[Cplex MIP DM''z  State]]="Suboptimal"),1,"")</f>
        <v/>
      </c>
      <c r="DU11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6" s="5" t="s">
        <v>25</v>
      </c>
      <c r="DW116" s="2">
        <v>1</v>
      </c>
      <c r="DX116" s="2">
        <v>0.80659999999999998</v>
      </c>
      <c r="DY116" s="4" t="str">
        <f>IF(AND(Table1[[#This Row],[Gurobi DM''z  Cost]]=Table1[[#This Row],[ORTools FZN2 Cost]],Table1[[#This Row],[ORTools FZN2 State]]="Optimal",Table1[[#This Row],[Gurobi DM''z  State]]="Suboptimal"),1,"")</f>
        <v/>
      </c>
      <c r="DZ11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7" spans="1:130" ht="15.75" x14ac:dyDescent="0.25">
      <c r="A117" s="47" t="s">
        <v>143</v>
      </c>
      <c r="B117" s="5">
        <v>52</v>
      </c>
      <c r="C117" s="2">
        <v>25</v>
      </c>
      <c r="D117" s="5">
        <v>300</v>
      </c>
      <c r="E117" s="2">
        <v>36</v>
      </c>
      <c r="F117" s="5">
        <v>39</v>
      </c>
      <c r="G117" s="2">
        <v>0</v>
      </c>
      <c r="H117" s="4">
        <f t="shared" si="1"/>
        <v>2</v>
      </c>
      <c r="I117" s="4">
        <f>Table1[[#This Row],[B]]+Table1[[#This Row],[Atomic Constraints]]+Table1[[#This Row],[Soft Atomic Constraints]]+Table1[[#This Row],[Disjunctive Constraints]]+Table1[[#This Row],[Direct Successors]]</f>
        <v>400</v>
      </c>
      <c r="J117" s="5" t="s">
        <v>26</v>
      </c>
      <c r="K117" s="2">
        <v>2557533</v>
      </c>
      <c r="L117" s="2">
        <v>301.97902269999997</v>
      </c>
      <c r="M117" s="2" t="str">
        <f>IF(AND(Table1[[#This Row],[Chuffed MZ1 Cost]]=Table1[[#This Row],[ORTools FZN2 Cost]],Table1[[#This Row],[ORTools FZN2 State]]="Optimal",Table1[[#This Row],[Chuffed MZ1 State]]="Suboptimal"),1,"")</f>
        <v/>
      </c>
      <c r="N117" s="5" t="s">
        <v>26</v>
      </c>
      <c r="O117" s="2">
        <v>2548694</v>
      </c>
      <c r="P117" s="2">
        <v>301.95796730000001</v>
      </c>
      <c r="Q117" s="2" t="str">
        <f>IF(AND(Table1[[#This Row],[Chuffed MZ2 Cost]]=Table1[[#This Row],[ORTools FZN2 Cost]],Table1[[#This Row],[ORTools FZN2 State]]="Optimal",Table1[[#This Row],[Chuffed MZ2 State]]="Suboptimal"),1,"")</f>
        <v/>
      </c>
      <c r="R117" s="11" t="s">
        <v>26</v>
      </c>
      <c r="S117" s="11">
        <v>424793</v>
      </c>
      <c r="T117" s="11">
        <v>300.08800000000002</v>
      </c>
      <c r="U117" s="11">
        <v>1</v>
      </c>
      <c r="V117" s="5" t="s">
        <v>25</v>
      </c>
      <c r="W117" s="2">
        <v>424793</v>
      </c>
      <c r="X117" s="2">
        <v>33.245419099999999</v>
      </c>
      <c r="Y117" s="2" t="str">
        <f>IF(AND(Table1[[#This Row],[ORTools FZN1 Cost]]=Table1[[#This Row],[ORTools FZN2 Cost]],Table1[[#This Row],[ORTools FZN2 State]]="Optimal",Table1[[#This Row],[ORTools FZN1 State]]="Suboptimal"),1,"")</f>
        <v/>
      </c>
      <c r="Z117" s="5" t="s">
        <v>25</v>
      </c>
      <c r="AA117" s="2">
        <v>424793</v>
      </c>
      <c r="AB117" s="2">
        <v>27.742831599999999</v>
      </c>
      <c r="AC117" s="39" t="s">
        <v>42</v>
      </c>
      <c r="AD117" s="39">
        <v>-143365</v>
      </c>
      <c r="AE117" s="2">
        <v>300.14868710000002</v>
      </c>
      <c r="AF117" s="2" t="str">
        <f>IF(AND(Table1[[#This Row],[Cplex MB Cost]]=Table1[[#This Row],[ORTools FZN2 Cost]],Table1[[#This Row],[ORTools FZN2 State]]="Optimal",Table1[[#This Row],[Cplex MB State]]="Suboptimal"),1,"")</f>
        <v/>
      </c>
      <c r="AG117" s="4">
        <f>IF(AND(AC117="Optimal",AD117&lt;&gt;AA117,Table1[[#This Row],[Example]]&lt;&gt;"R001",Table1[[#This Row],[Example]]&lt;&gt;"R002"),AD117-AA117,)</f>
        <v>0</v>
      </c>
      <c r="AH117" s="5" t="s">
        <v>42</v>
      </c>
      <c r="AI117" s="2">
        <v>-143365</v>
      </c>
      <c r="AJ117" s="2">
        <v>300.1345877</v>
      </c>
      <c r="AK117" s="2" t="str">
        <f>IF(AND(Table1[[#This Row],[Cplex MD Cost]]=Table1[[#This Row],[ORTools FZN2 Cost]],Table1[[#This Row],[ORTools FZN2 State]]="Optimal",Table1[[#This Row],[Cplex MD State]]="Suboptimal"),1,"")</f>
        <v/>
      </c>
      <c r="AL117" s="4">
        <f>IF(AND(AH117="Optimal",AI117&lt;&gt;AA117,Table1[[#This Row],[Example]]&lt;&gt;"R001",Table1[[#This Row],[Example]]&lt;&gt;"R002"),AI117-AA117,)</f>
        <v>0</v>
      </c>
      <c r="AM117" s="39" t="s">
        <v>26</v>
      </c>
      <c r="AN117" s="39">
        <v>1980061</v>
      </c>
      <c r="AO117" s="2">
        <v>300.09568860000002</v>
      </c>
      <c r="AP11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7" s="4" t="str">
        <f>IF(AND(Table1[[#This Row],[Cplex MI Cost]]=Table1[[#This Row],[ORTools FZN2 Cost]],Table1[[#This Row],[ORTools FZN2 State]]="Optimal",Table1[[#This Row],[Cplex MI State]]="Suboptimal"),1,"")</f>
        <v/>
      </c>
      <c r="AR117" s="5" t="s">
        <v>42</v>
      </c>
      <c r="AS117" s="2">
        <v>-143365</v>
      </c>
      <c r="AT117" s="2">
        <v>300.0550528</v>
      </c>
      <c r="AU117" s="2" t="str">
        <f>IF(AND(Table1[[#This Row],[Z3 SMT2-1 Maxres Cost]]=Table1[[#This Row],[ORTools FZN2 Cost]],Table1[[#This Row],[ORTools FZN2 State]]="Optimal"),1,"")</f>
        <v/>
      </c>
      <c r="AV117" s="39" t="s">
        <v>42</v>
      </c>
      <c r="AW117" s="39">
        <v>-143365</v>
      </c>
      <c r="AX117" s="2">
        <v>300.05751129999999</v>
      </c>
      <c r="AY117" s="2" t="str">
        <f>IF(AND(Table1[[#This Row],[Z3 SMT2-1 PdMaxres Cost]]=Table1[[#This Row],[ORTools FZN2 Cost]],Table1[[#This Row],[ORTools FZN2 State]]="Optimal"),1,"")</f>
        <v/>
      </c>
      <c r="AZ117" s="5" t="s">
        <v>42</v>
      </c>
      <c r="BA117" s="2">
        <v>-143365</v>
      </c>
      <c r="BB117" s="39">
        <v>300.06343520000001</v>
      </c>
      <c r="BC117" s="39" t="str">
        <f>IF(AND(Table1[[#This Row],[Z3 SMT2-1 WMax Cost]]=Table1[[#This Row],[ORTools FZN2 Cost]],Table1[[#This Row],[ORTools FZN2 State]]="Optimal"),1,"")</f>
        <v/>
      </c>
      <c r="BD117" s="39" t="s">
        <v>42</v>
      </c>
      <c r="BE117" s="39">
        <v>-143365</v>
      </c>
      <c r="BF117" s="2">
        <v>300.05055720000001</v>
      </c>
      <c r="BG117" s="2" t="str">
        <f>IF(AND(Table1[[#This Row],[Z3 SMT2-2 Maxres Cost]]=Table1[[#This Row],[ORTools FZN2 Cost]],Table1[[#This Row],[ORTools FZN2 State]]="Optimal"),1,"")</f>
        <v/>
      </c>
      <c r="BH117" s="5" t="s">
        <v>42</v>
      </c>
      <c r="BI117" s="2">
        <v>-143365</v>
      </c>
      <c r="BJ117" s="39">
        <v>300.04989280000001</v>
      </c>
      <c r="BK117" s="39" t="str">
        <f>IF(AND(Table1[[#This Row],[Z3 SMT2-2 PdMaxres Cost]]=Table1[[#This Row],[ORTools FZN2 Cost]],Table1[[#This Row],[ORTools FZN2 State]]="Optimal"),1,"")</f>
        <v/>
      </c>
      <c r="BL117" s="39" t="s">
        <v>42</v>
      </c>
      <c r="BM117" s="39">
        <v>-143365</v>
      </c>
      <c r="BN117" s="2">
        <v>300.05348670000001</v>
      </c>
      <c r="BO117" s="4" t="str">
        <f>IF(AND(Table1[[#This Row],[Z3 SMT2-2 PdMaxres Cost]]=Table1[[#This Row],[ORTools FZN2 Cost]],Table1[[#This Row],[ORTools FZN2 State]]="Optimal"),1,"")</f>
        <v/>
      </c>
      <c r="BP117" s="5" t="s">
        <v>42</v>
      </c>
      <c r="BQ117" s="2">
        <v>-143365</v>
      </c>
      <c r="BR117" s="2">
        <v>300.1117453</v>
      </c>
      <c r="BS117" s="2" t="str">
        <f>IF(AND(Table1[[#This Row],[Gurobi MB Cost]]=Table1[[#This Row],[ORTools FZN2 Cost]],Table1[[#This Row],[ORTools FZN2 State]]="Optimal",Table1[[#This Row],[Gurobi MB State]]="Suboptimal"),1,"")</f>
        <v/>
      </c>
      <c r="BT11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7" s="5" t="s">
        <v>42</v>
      </c>
      <c r="BV117" s="2">
        <v>-143365</v>
      </c>
      <c r="BW117" s="2">
        <v>300.18569430000002</v>
      </c>
      <c r="BX117" s="2" t="str">
        <f>IF(AND(Table1[[#This Row],[Gurobi MD Cost]]=Table1[[#This Row],[ORTools FZN2 Cost]],Table1[[#This Row],[ORTools FZN2 State]]="Optimal",Table1[[#This Row],[Gurobi MD State]]="Suboptimal"),1,"")</f>
        <v/>
      </c>
      <c r="BY11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7" s="5" t="s">
        <v>26</v>
      </c>
      <c r="CA117" s="2">
        <v>1561050</v>
      </c>
      <c r="CB117" s="2">
        <v>300.27085169999998</v>
      </c>
      <c r="CC117" s="2" t="str">
        <f>IF(AND(Table1[[#This Row],[Gurobi MI Cost]]=Table1[[#This Row],[ORTools FZN2 Cost]],Table1[[#This Row],[ORTools FZN2 State]]="Optimal",Table1[[#This Row],[Gurobi MI State]]="Suboptimal"),1,"")</f>
        <v/>
      </c>
      <c r="CD11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7" s="39" t="s">
        <v>42</v>
      </c>
      <c r="CF117" s="2">
        <v>-143365</v>
      </c>
      <c r="CG117" s="39">
        <v>306.15542499999998</v>
      </c>
      <c r="CH117" s="39" t="s">
        <v>42</v>
      </c>
      <c r="CI117" s="39">
        <v>-143365</v>
      </c>
      <c r="CJ117" s="2">
        <v>306.10392389999998</v>
      </c>
      <c r="CK117" s="5" t="s">
        <v>26</v>
      </c>
      <c r="CL117" s="2">
        <v>424793</v>
      </c>
      <c r="CM117" s="2">
        <v>300.11599999999999</v>
      </c>
      <c r="CN117" s="5" t="s">
        <v>26</v>
      </c>
      <c r="CO117" s="2">
        <v>2140490</v>
      </c>
      <c r="CP117" s="2">
        <v>301.98007469999999</v>
      </c>
      <c r="CQ117" s="5" t="s">
        <v>25</v>
      </c>
      <c r="CR117" s="2">
        <v>424793</v>
      </c>
      <c r="CS117" s="2">
        <v>48.648621400000003</v>
      </c>
      <c r="CT117" s="6" t="s">
        <v>25</v>
      </c>
      <c r="CU117" s="4">
        <v>424793</v>
      </c>
      <c r="CV117" s="4">
        <v>24.8238603</v>
      </c>
      <c r="CW117" s="39" t="s">
        <v>26</v>
      </c>
      <c r="CX117" s="39">
        <v>1555331</v>
      </c>
      <c r="CY117" s="2">
        <v>300.01089999999999</v>
      </c>
      <c r="CZ117" s="2" t="str">
        <f>IF(AND(Table1[[#This Row],[Cplex MZ1 Cost]]=Table1[[#This Row],[ORTools FZN2 Cost]],Table1[[#This Row],[ORTools FZN2 State]]="Optimal",Table1[[#This Row],[Cplex MZ1 State]]="Suboptimal"),1,"")</f>
        <v/>
      </c>
      <c r="DA117" s="5" t="s">
        <v>26</v>
      </c>
      <c r="DB117" s="2">
        <v>1276765</v>
      </c>
      <c r="DC117" s="2">
        <v>300.01260000000002</v>
      </c>
      <c r="DD117" s="2" t="str">
        <f>IF(AND(Table1[[#This Row],[Cplex MZ2 Cost]]=Table1[[#This Row],[ORTools FZN2 Cost]],Table1[[#This Row],[ORTools FZN2 State]]="Optimal",Table1[[#This Row],[Cplex MZ2 State]]="Suboptimal"),1,"")</f>
        <v/>
      </c>
      <c r="DE117" s="39" t="s">
        <v>42</v>
      </c>
      <c r="DF117" s="39"/>
      <c r="DG117" s="2">
        <v>300.0027</v>
      </c>
      <c r="DH117" s="2" t="str">
        <f>IF(AND(Table1[[#This Row],[Gurobi MZ1 Cost]]=Table1[[#This Row],[ORTools FZN2 Cost]],Table1[[#This Row],[ORTools FZN2 State]]="Optimal",Table1[[#This Row],[Gurobi MZ1 State]]="Suboptimal"),1,"")</f>
        <v/>
      </c>
      <c r="DI117" s="5" t="s">
        <v>42</v>
      </c>
      <c r="DJ117" s="2"/>
      <c r="DK117" s="2">
        <v>300.00439999999998</v>
      </c>
      <c r="DL117" s="4" t="str">
        <f>IF(AND(Table1[[#This Row],[Gurobi MZ2 Cost]]=Table1[[#This Row],[ORTools FZN2 Cost]],Table1[[#This Row],[ORTools FZN2 State]]="Optimal",Table1[[#This Row],[Gurobi MZ2 State]]="Suboptimal"),1,"")</f>
        <v/>
      </c>
      <c r="DM117" s="39" t="s">
        <v>26</v>
      </c>
      <c r="DN117" s="12">
        <v>424793</v>
      </c>
      <c r="DO117" s="69">
        <v>300.13700000000199</v>
      </c>
      <c r="DP117" s="11">
        <f>IF(AND(Table1[[#This Row],[Cplex MC nonDual Cost]]=Table1[[#This Row],[ORTools FZN2 Cost]],Table1[[#This Row],[ORTools FZN2 State]]="Optimal",Table1[[#This Row],[Cplex MC nonDual State]]="Suboptimal"),1,"")</f>
        <v>1</v>
      </c>
      <c r="DQ117" s="5" t="s">
        <v>26</v>
      </c>
      <c r="DR117" s="2">
        <v>1133399</v>
      </c>
      <c r="DS117" s="2">
        <v>300.01499999999999</v>
      </c>
      <c r="DT117" s="2" t="str">
        <f>IF(AND(Table1[[#This Row],[Cplex MIP DM''z Cost]]=Table1[[#This Row],[ORTools FZN2 Cost]],Table1[[#This Row],[ORTools FZN2 State]]="Optimal",Table1[[#This Row],[Cplex MIP DM''z  State]]="Suboptimal"),1,"")</f>
        <v/>
      </c>
      <c r="DU11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7" s="5" t="s">
        <v>42</v>
      </c>
      <c r="DW117" s="2"/>
      <c r="DX117" s="2">
        <v>300.00909999999999</v>
      </c>
      <c r="DY117" s="4" t="str">
        <f>IF(AND(Table1[[#This Row],[Gurobi DM''z  Cost]]=Table1[[#This Row],[ORTools FZN2 Cost]],Table1[[#This Row],[ORTools FZN2 State]]="Optimal",Table1[[#This Row],[Gurobi DM''z  State]]="Suboptimal"),1,"")</f>
        <v/>
      </c>
      <c r="DZ11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8" spans="1:130" ht="15.75" x14ac:dyDescent="0.25">
      <c r="A118" s="46" t="s">
        <v>144</v>
      </c>
      <c r="B118" s="5">
        <v>10</v>
      </c>
      <c r="C118" s="2">
        <v>3</v>
      </c>
      <c r="D118" s="5">
        <v>4</v>
      </c>
      <c r="E118" s="2">
        <v>7</v>
      </c>
      <c r="F118" s="5">
        <v>1</v>
      </c>
      <c r="G118" s="2">
        <v>0</v>
      </c>
      <c r="H118" s="4">
        <f t="shared" si="1"/>
        <v>4</v>
      </c>
      <c r="I118" s="4">
        <f>Table1[[#This Row],[B]]+Table1[[#This Row],[Atomic Constraints]]+Table1[[#This Row],[Soft Atomic Constraints]]+Table1[[#This Row],[Disjunctive Constraints]]+Table1[[#This Row],[Direct Successors]]</f>
        <v>15</v>
      </c>
      <c r="J118" s="5" t="s">
        <v>25</v>
      </c>
      <c r="K118" s="2">
        <v>1</v>
      </c>
      <c r="L118" s="2">
        <v>0.6141818</v>
      </c>
      <c r="M118" s="2" t="str">
        <f>IF(AND(Table1[[#This Row],[Chuffed MZ1 Cost]]=Table1[[#This Row],[ORTools FZN2 Cost]],Table1[[#This Row],[ORTools FZN2 State]]="Optimal",Table1[[#This Row],[Chuffed MZ1 State]]="Suboptimal"),1,"")</f>
        <v/>
      </c>
      <c r="N118" s="5" t="s">
        <v>25</v>
      </c>
      <c r="O118" s="2">
        <v>1</v>
      </c>
      <c r="P118" s="2">
        <v>0.60016460000000005</v>
      </c>
      <c r="Q118" s="2" t="str">
        <f>IF(AND(Table1[[#This Row],[Chuffed MZ2 Cost]]=Table1[[#This Row],[ORTools FZN2 Cost]],Table1[[#This Row],[ORTools FZN2 State]]="Optimal",Table1[[#This Row],[Chuffed MZ2 State]]="Suboptimal"),1,"")</f>
        <v/>
      </c>
      <c r="R118" s="6" t="s">
        <v>25</v>
      </c>
      <c r="S118" s="4">
        <v>1</v>
      </c>
      <c r="T118" s="4">
        <v>4.8000000000683898E-2</v>
      </c>
      <c r="U118" s="4"/>
      <c r="V118" s="5" t="s">
        <v>25</v>
      </c>
      <c r="W118" s="2">
        <v>1</v>
      </c>
      <c r="X118" s="2">
        <v>9.8652599999999993E-2</v>
      </c>
      <c r="Y118" s="2" t="str">
        <f>IF(AND(Table1[[#This Row],[ORTools FZN1 Cost]]=Table1[[#This Row],[ORTools FZN2 Cost]],Table1[[#This Row],[ORTools FZN2 State]]="Optimal",Table1[[#This Row],[ORTools FZN1 State]]="Suboptimal"),1,"")</f>
        <v/>
      </c>
      <c r="Z118" s="5" t="s">
        <v>25</v>
      </c>
      <c r="AA118" s="2">
        <v>1</v>
      </c>
      <c r="AB118" s="2">
        <v>9.4435500000000006E-2</v>
      </c>
      <c r="AC118" s="39" t="s">
        <v>25</v>
      </c>
      <c r="AD118" s="39">
        <v>1</v>
      </c>
      <c r="AE118" s="2">
        <v>0.1278223</v>
      </c>
      <c r="AF118" s="2" t="str">
        <f>IF(AND(Table1[[#This Row],[Cplex MB Cost]]=Table1[[#This Row],[ORTools FZN2 Cost]],Table1[[#This Row],[ORTools FZN2 State]]="Optimal",Table1[[#This Row],[Cplex MB State]]="Suboptimal"),1,"")</f>
        <v/>
      </c>
      <c r="AG118" s="4">
        <f>IF(AND(AC118="Optimal",AD118&lt;&gt;AA118,Table1[[#This Row],[Example]]&lt;&gt;"R001",Table1[[#This Row],[Example]]&lt;&gt;"R002"),AD118-AA118,)</f>
        <v>0</v>
      </c>
      <c r="AH118" s="5" t="s">
        <v>25</v>
      </c>
      <c r="AI118" s="2">
        <v>1</v>
      </c>
      <c r="AJ118" s="2">
        <v>0.41446889999999997</v>
      </c>
      <c r="AK118" s="2" t="str">
        <f>IF(AND(Table1[[#This Row],[Cplex MD Cost]]=Table1[[#This Row],[ORTools FZN2 Cost]],Table1[[#This Row],[ORTools FZN2 State]]="Optimal",Table1[[#This Row],[Cplex MD State]]="Suboptimal"),1,"")</f>
        <v/>
      </c>
      <c r="AL118" s="4">
        <f>IF(AND(AH118="Optimal",AI118&lt;&gt;AA118,Table1[[#This Row],[Example]]&lt;&gt;"R001",Table1[[#This Row],[Example]]&lt;&gt;"R002"),AI118-AA118,)</f>
        <v>0</v>
      </c>
      <c r="AM118" s="39" t="s">
        <v>25</v>
      </c>
      <c r="AN118" s="39">
        <v>1</v>
      </c>
      <c r="AO118" s="2">
        <v>8.8746699999999998E-2</v>
      </c>
      <c r="AP11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8" s="4" t="str">
        <f>IF(AND(Table1[[#This Row],[Cplex MI Cost]]=Table1[[#This Row],[ORTools FZN2 Cost]],Table1[[#This Row],[ORTools FZN2 State]]="Optimal",Table1[[#This Row],[Cplex MI State]]="Suboptimal"),1,"")</f>
        <v/>
      </c>
      <c r="AR118" s="12" t="s">
        <v>26</v>
      </c>
      <c r="AS118" s="12">
        <v>1</v>
      </c>
      <c r="AT118" s="12">
        <v>0.38989819999999997</v>
      </c>
      <c r="AU118" s="12">
        <f>IF(AND(Table1[[#This Row],[Z3 SMT2-1 Maxres Cost]]=Table1[[#This Row],[ORTools FZN2 Cost]],Table1[[#This Row],[ORTools FZN2 State]]="Optimal"),1,"")</f>
        <v>1</v>
      </c>
      <c r="AV118" s="12" t="s">
        <v>26</v>
      </c>
      <c r="AW118" s="12">
        <v>1</v>
      </c>
      <c r="AX118" s="12">
        <v>0.40007949999999998</v>
      </c>
      <c r="AY118" s="12">
        <f>IF(AND(Table1[[#This Row],[Z3 SMT2-1 PdMaxres Cost]]=Table1[[#This Row],[ORTools FZN2 Cost]],Table1[[#This Row],[ORTools FZN2 State]]="Optimal"),1,"")</f>
        <v>1</v>
      </c>
      <c r="AZ118" s="12" t="s">
        <v>26</v>
      </c>
      <c r="BA118" s="12">
        <v>1</v>
      </c>
      <c r="BB118" s="12">
        <v>0.4605321</v>
      </c>
      <c r="BC118" s="12">
        <f>IF(AND(Table1[[#This Row],[Z3 SMT2-1 WMax Cost]]=Table1[[#This Row],[ORTools FZN2 Cost]],Table1[[#This Row],[ORTools FZN2 State]]="Optimal"),1,"")</f>
        <v>1</v>
      </c>
      <c r="BD118" s="12" t="s">
        <v>26</v>
      </c>
      <c r="BE118" s="12">
        <v>1</v>
      </c>
      <c r="BF118" s="12">
        <v>0.4099604</v>
      </c>
      <c r="BG118" s="12">
        <f>IF(AND(Table1[[#This Row],[Z3 SMT2-2 Maxres Cost]]=Table1[[#This Row],[ORTools FZN2 Cost]],Table1[[#This Row],[ORTools FZN2 State]]="Optimal"),1,"")</f>
        <v>1</v>
      </c>
      <c r="BH118" s="12" t="s">
        <v>26</v>
      </c>
      <c r="BI118" s="12">
        <v>1</v>
      </c>
      <c r="BJ118" s="12">
        <v>0.37151909999999999</v>
      </c>
      <c r="BK118" s="12">
        <f>IF(AND(Table1[[#This Row],[Z3 SMT2-2 PdMaxres Cost]]=Table1[[#This Row],[ORTools FZN2 Cost]],Table1[[#This Row],[ORTools FZN2 State]]="Optimal"),1,"")</f>
        <v>1</v>
      </c>
      <c r="BL118" s="12" t="s">
        <v>26</v>
      </c>
      <c r="BM118" s="12">
        <v>1</v>
      </c>
      <c r="BN118" s="12">
        <v>0.43047669999999999</v>
      </c>
      <c r="BO118" s="11">
        <f>IF(AND(Table1[[#This Row],[Z3 SMT2-2 PdMaxres Cost]]=Table1[[#This Row],[ORTools FZN2 Cost]],Table1[[#This Row],[ORTools FZN2 State]]="Optimal"),1,"")</f>
        <v>1</v>
      </c>
      <c r="BP118" s="5" t="s">
        <v>25</v>
      </c>
      <c r="BQ118" s="2">
        <v>1</v>
      </c>
      <c r="BR118" s="2">
        <v>9.3262100000000001E-2</v>
      </c>
      <c r="BS118" s="2" t="str">
        <f>IF(AND(Table1[[#This Row],[Gurobi MB Cost]]=Table1[[#This Row],[ORTools FZN2 Cost]],Table1[[#This Row],[ORTools FZN2 State]]="Optimal",Table1[[#This Row],[Gurobi MB State]]="Suboptimal"),1,"")</f>
        <v/>
      </c>
      <c r="BT11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8" s="5" t="s">
        <v>25</v>
      </c>
      <c r="BV118" s="2">
        <v>1</v>
      </c>
      <c r="BW118" s="2">
        <v>0.28757120000000003</v>
      </c>
      <c r="BX118" s="2" t="str">
        <f>IF(AND(Table1[[#This Row],[Gurobi MD Cost]]=Table1[[#This Row],[ORTools FZN2 Cost]],Table1[[#This Row],[ORTools FZN2 State]]="Optimal",Table1[[#This Row],[Gurobi MD State]]="Suboptimal"),1,"")</f>
        <v/>
      </c>
      <c r="BY11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8" s="5" t="s">
        <v>25</v>
      </c>
      <c r="CA118" s="2">
        <v>1</v>
      </c>
      <c r="CB118" s="2">
        <v>0.1040706</v>
      </c>
      <c r="CC118" s="2" t="str">
        <f>IF(AND(Table1[[#This Row],[Gurobi MI Cost]]=Table1[[#This Row],[ORTools FZN2 Cost]],Table1[[#This Row],[ORTools FZN2 State]]="Optimal",Table1[[#This Row],[Gurobi MI State]]="Suboptimal"),1,"")</f>
        <v/>
      </c>
      <c r="CD11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8" s="39" t="s">
        <v>25</v>
      </c>
      <c r="CF118" s="2">
        <v>1</v>
      </c>
      <c r="CG118" s="39">
        <v>15.113967600000001</v>
      </c>
      <c r="CH118" s="39" t="s">
        <v>25</v>
      </c>
      <c r="CI118" s="39">
        <v>1</v>
      </c>
      <c r="CJ118" s="2">
        <v>15.207689200000001</v>
      </c>
      <c r="CK118" s="5" t="s">
        <v>25</v>
      </c>
      <c r="CL118" s="2">
        <v>1</v>
      </c>
      <c r="CM118" s="2">
        <v>5.4000000000087298E-2</v>
      </c>
      <c r="CN118" s="5" t="s">
        <v>25</v>
      </c>
      <c r="CO118" s="2">
        <v>1</v>
      </c>
      <c r="CP118" s="2">
        <v>0.58973019999999998</v>
      </c>
      <c r="CQ118" s="5" t="s">
        <v>25</v>
      </c>
      <c r="CR118" s="2">
        <v>1</v>
      </c>
      <c r="CS118" s="2">
        <v>0.16186490000000001</v>
      </c>
      <c r="CT118" s="6" t="s">
        <v>25</v>
      </c>
      <c r="CU118" s="4">
        <v>1</v>
      </c>
      <c r="CV118" s="4">
        <v>0.19730049999999999</v>
      </c>
      <c r="CW118" s="39" t="s">
        <v>25</v>
      </c>
      <c r="CX118" s="39">
        <v>1</v>
      </c>
      <c r="CY118" s="2">
        <v>0.14349999999999999</v>
      </c>
      <c r="CZ118" s="2" t="str">
        <f>IF(AND(Table1[[#This Row],[Cplex MZ1 Cost]]=Table1[[#This Row],[ORTools FZN2 Cost]],Table1[[#This Row],[ORTools FZN2 State]]="Optimal",Table1[[#This Row],[Cplex MZ1 State]]="Suboptimal"),1,"")</f>
        <v/>
      </c>
      <c r="DA118" s="5" t="s">
        <v>25</v>
      </c>
      <c r="DB118" s="2">
        <v>1</v>
      </c>
      <c r="DC118" s="2">
        <v>0.2404</v>
      </c>
      <c r="DD118" s="2" t="str">
        <f>IF(AND(Table1[[#This Row],[Cplex MZ2 Cost]]=Table1[[#This Row],[ORTools FZN2 Cost]],Table1[[#This Row],[ORTools FZN2 State]]="Optimal",Table1[[#This Row],[Cplex MZ2 State]]="Suboptimal"),1,"")</f>
        <v/>
      </c>
      <c r="DE118" s="39" t="s">
        <v>25</v>
      </c>
      <c r="DF118" s="39">
        <v>1</v>
      </c>
      <c r="DG118" s="2">
        <v>0.38569999999999999</v>
      </c>
      <c r="DH118" s="2" t="str">
        <f>IF(AND(Table1[[#This Row],[Gurobi MZ1 Cost]]=Table1[[#This Row],[ORTools FZN2 Cost]],Table1[[#This Row],[ORTools FZN2 State]]="Optimal",Table1[[#This Row],[Gurobi MZ1 State]]="Suboptimal"),1,"")</f>
        <v/>
      </c>
      <c r="DI118" s="5" t="s">
        <v>25</v>
      </c>
      <c r="DJ118" s="2">
        <v>1</v>
      </c>
      <c r="DK118" s="2">
        <v>0.126</v>
      </c>
      <c r="DL118" s="4" t="str">
        <f>IF(AND(Table1[[#This Row],[Gurobi MZ2 Cost]]=Table1[[#This Row],[ORTools FZN2 Cost]],Table1[[#This Row],[ORTools FZN2 State]]="Optimal",Table1[[#This Row],[Gurobi MZ2 State]]="Suboptimal"),1,"")</f>
        <v/>
      </c>
      <c r="DM118" s="39" t="s">
        <v>25</v>
      </c>
      <c r="DN118" s="39">
        <v>1</v>
      </c>
      <c r="DO118" s="65">
        <v>6.4000000002124496E-2</v>
      </c>
      <c r="DP118" s="4" t="str">
        <f>IF(AND(Table1[[#This Row],[Cplex MC nonDual Cost]]=Table1[[#This Row],[ORTools FZN2 Cost]],Table1[[#This Row],[ORTools FZN2 State]]="Optimal",Table1[[#This Row],[Cplex MC nonDual State]]="Suboptimal"),1,"")</f>
        <v/>
      </c>
      <c r="DQ118" s="5" t="s">
        <v>25</v>
      </c>
      <c r="DR118" s="2">
        <v>1</v>
      </c>
      <c r="DS118" s="2">
        <v>0.13739999999999999</v>
      </c>
      <c r="DT118" s="2" t="str">
        <f>IF(AND(Table1[[#This Row],[Cplex MIP DM''z Cost]]=Table1[[#This Row],[ORTools FZN2 Cost]],Table1[[#This Row],[ORTools FZN2 State]]="Optimal",Table1[[#This Row],[Cplex MIP DM''z  State]]="Suboptimal"),1,"")</f>
        <v/>
      </c>
      <c r="DU11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8" s="5" t="s">
        <v>25</v>
      </c>
      <c r="DW118" s="2">
        <v>1</v>
      </c>
      <c r="DX118" s="2">
        <v>0.11559999999999999</v>
      </c>
      <c r="DY118" s="4" t="str">
        <f>IF(AND(Table1[[#This Row],[Gurobi DM''z  Cost]]=Table1[[#This Row],[ORTools FZN2 Cost]],Table1[[#This Row],[ORTools FZN2 State]]="Optimal",Table1[[#This Row],[Gurobi DM''z  State]]="Suboptimal"),1,"")</f>
        <v/>
      </c>
      <c r="DZ11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19" spans="1:130" ht="15.75" x14ac:dyDescent="0.25">
      <c r="A119" s="47" t="s">
        <v>145</v>
      </c>
      <c r="B119" s="5">
        <v>52</v>
      </c>
      <c r="C119" s="2">
        <v>25</v>
      </c>
      <c r="D119" s="5">
        <v>334</v>
      </c>
      <c r="E119" s="2">
        <v>40</v>
      </c>
      <c r="F119" s="5">
        <v>50</v>
      </c>
      <c r="G119" s="2">
        <v>0</v>
      </c>
      <c r="H119" s="4">
        <f t="shared" si="1"/>
        <v>2</v>
      </c>
      <c r="I119" s="4">
        <f>Table1[[#This Row],[B]]+Table1[[#This Row],[Atomic Constraints]]+Table1[[#This Row],[Soft Atomic Constraints]]+Table1[[#This Row],[Disjunctive Constraints]]+Table1[[#This Row],[Direct Successors]]</f>
        <v>449</v>
      </c>
      <c r="J119" s="5" t="s">
        <v>26</v>
      </c>
      <c r="K119" s="2">
        <v>2553836</v>
      </c>
      <c r="L119" s="2">
        <v>301.9733281</v>
      </c>
      <c r="M119" s="2" t="str">
        <f>IF(AND(Table1[[#This Row],[Chuffed MZ1 Cost]]=Table1[[#This Row],[ORTools FZN2 Cost]],Table1[[#This Row],[ORTools FZN2 State]]="Optimal",Table1[[#This Row],[Chuffed MZ1 State]]="Suboptimal"),1,"")</f>
        <v/>
      </c>
      <c r="N119" s="5" t="s">
        <v>26</v>
      </c>
      <c r="O119" s="2">
        <v>2276373</v>
      </c>
      <c r="P119" s="2">
        <v>301.98940670000002</v>
      </c>
      <c r="Q119" s="2" t="str">
        <f>IF(AND(Table1[[#This Row],[Chuffed MZ2 Cost]]=Table1[[#This Row],[ORTools FZN2 Cost]],Table1[[#This Row],[ORTools FZN2 State]]="Optimal",Table1[[#This Row],[Chuffed MZ2 State]]="Suboptimal"),1,"")</f>
        <v/>
      </c>
      <c r="R119" s="11" t="s">
        <v>26</v>
      </c>
      <c r="S119" s="11">
        <v>143534</v>
      </c>
      <c r="T119" s="11">
        <v>300.08399999999898</v>
      </c>
      <c r="U119" s="11">
        <v>1</v>
      </c>
      <c r="V119" s="5" t="s">
        <v>25</v>
      </c>
      <c r="W119" s="2">
        <v>143534</v>
      </c>
      <c r="X119" s="2">
        <v>23.156185600000001</v>
      </c>
      <c r="Y119" s="2" t="str">
        <f>IF(AND(Table1[[#This Row],[ORTools FZN1 Cost]]=Table1[[#This Row],[ORTools FZN2 Cost]],Table1[[#This Row],[ORTools FZN2 State]]="Optimal",Table1[[#This Row],[ORTools FZN1 State]]="Suboptimal"),1,"")</f>
        <v/>
      </c>
      <c r="Z119" s="5" t="s">
        <v>25</v>
      </c>
      <c r="AA119" s="2">
        <v>143534</v>
      </c>
      <c r="AB119" s="2">
        <v>27.009502399999999</v>
      </c>
      <c r="AC119" s="12" t="s">
        <v>26</v>
      </c>
      <c r="AD119" s="12">
        <v>143534</v>
      </c>
      <c r="AE119" s="12">
        <v>300.14518379999998</v>
      </c>
      <c r="AF119" s="2">
        <f>IF(AND(Table1[[#This Row],[Cplex MB Cost]]=Table1[[#This Row],[ORTools FZN2 Cost]],Table1[[#This Row],[ORTools FZN2 State]]="Optimal",Table1[[#This Row],[Cplex MB State]]="Suboptimal"),1,"")</f>
        <v>1</v>
      </c>
      <c r="AG119" s="4">
        <f>IF(AND(AC119="Optimal",AD119&lt;&gt;AA119,Table1[[#This Row],[Example]]&lt;&gt;"R001",Table1[[#This Row],[Example]]&lt;&gt;"R002"),AD119-AA119,)</f>
        <v>0</v>
      </c>
      <c r="AH119" s="5" t="s">
        <v>42</v>
      </c>
      <c r="AI119" s="2">
        <v>-143365</v>
      </c>
      <c r="AJ119" s="2">
        <v>315.19345870000001</v>
      </c>
      <c r="AK119" s="2" t="str">
        <f>IF(AND(Table1[[#This Row],[Cplex MD Cost]]=Table1[[#This Row],[ORTools FZN2 Cost]],Table1[[#This Row],[ORTools FZN2 State]]="Optimal",Table1[[#This Row],[Cplex MD State]]="Suboptimal"),1,"")</f>
        <v/>
      </c>
      <c r="AL119" s="4">
        <f>IF(AND(AH119="Optimal",AI119&lt;&gt;AA119,Table1[[#This Row],[Example]]&lt;&gt;"R001",Table1[[#This Row],[Example]]&lt;&gt;"R002"),AI119-AA119,)</f>
        <v>0</v>
      </c>
      <c r="AM119" s="39" t="s">
        <v>26</v>
      </c>
      <c r="AN119" s="39">
        <v>1558089</v>
      </c>
      <c r="AO119" s="2">
        <v>300.10163899999998</v>
      </c>
      <c r="AP11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19" s="4" t="str">
        <f>IF(AND(Table1[[#This Row],[Cplex MI Cost]]=Table1[[#This Row],[ORTools FZN2 Cost]],Table1[[#This Row],[ORTools FZN2 State]]="Optimal",Table1[[#This Row],[Cplex MI State]]="Suboptimal"),1,"")</f>
        <v/>
      </c>
      <c r="AR119" s="5" t="s">
        <v>42</v>
      </c>
      <c r="AS119" s="2">
        <v>-143365</v>
      </c>
      <c r="AT119" s="2">
        <v>300.06217939999999</v>
      </c>
      <c r="AU119" s="2" t="str">
        <f>IF(AND(Table1[[#This Row],[Z3 SMT2-1 Maxres Cost]]=Table1[[#This Row],[ORTools FZN2 Cost]],Table1[[#This Row],[ORTools FZN2 State]]="Optimal"),1,"")</f>
        <v/>
      </c>
      <c r="AV119" s="39" t="s">
        <v>42</v>
      </c>
      <c r="AW119" s="39">
        <v>-143365</v>
      </c>
      <c r="AX119" s="2">
        <v>300.04979639999999</v>
      </c>
      <c r="AY119" s="2" t="str">
        <f>IF(AND(Table1[[#This Row],[Z3 SMT2-1 PdMaxres Cost]]=Table1[[#This Row],[ORTools FZN2 Cost]],Table1[[#This Row],[ORTools FZN2 State]]="Optimal"),1,"")</f>
        <v/>
      </c>
      <c r="AZ119" s="5" t="s">
        <v>42</v>
      </c>
      <c r="BA119" s="2">
        <v>-143365</v>
      </c>
      <c r="BB119" s="39">
        <v>300.14135110000001</v>
      </c>
      <c r="BC119" s="39" t="str">
        <f>IF(AND(Table1[[#This Row],[Z3 SMT2-1 WMax Cost]]=Table1[[#This Row],[ORTools FZN2 Cost]],Table1[[#This Row],[ORTools FZN2 State]]="Optimal"),1,"")</f>
        <v/>
      </c>
      <c r="BD119" s="39" t="s">
        <v>42</v>
      </c>
      <c r="BE119" s="39">
        <v>-143365</v>
      </c>
      <c r="BF119" s="2">
        <v>300.04756259999999</v>
      </c>
      <c r="BG119" s="2" t="str">
        <f>IF(AND(Table1[[#This Row],[Z3 SMT2-2 Maxres Cost]]=Table1[[#This Row],[ORTools FZN2 Cost]],Table1[[#This Row],[ORTools FZN2 State]]="Optimal"),1,"")</f>
        <v/>
      </c>
      <c r="BH119" s="5" t="s">
        <v>42</v>
      </c>
      <c r="BI119" s="2">
        <v>-143365</v>
      </c>
      <c r="BJ119" s="39">
        <v>300.04455469999999</v>
      </c>
      <c r="BK119" s="39" t="str">
        <f>IF(AND(Table1[[#This Row],[Z3 SMT2-2 PdMaxres Cost]]=Table1[[#This Row],[ORTools FZN2 Cost]],Table1[[#This Row],[ORTools FZN2 State]]="Optimal"),1,"")</f>
        <v/>
      </c>
      <c r="BL119" s="39" t="s">
        <v>42</v>
      </c>
      <c r="BM119" s="39">
        <v>-143365</v>
      </c>
      <c r="BN119" s="2">
        <v>300.0504646</v>
      </c>
      <c r="BO119" s="4" t="str">
        <f>IF(AND(Table1[[#This Row],[Z3 SMT2-2 PdMaxres Cost]]=Table1[[#This Row],[ORTools FZN2 Cost]],Table1[[#This Row],[ORTools FZN2 State]]="Optimal"),1,"")</f>
        <v/>
      </c>
      <c r="BP119" s="5" t="s">
        <v>42</v>
      </c>
      <c r="BQ119" s="2">
        <v>-143365</v>
      </c>
      <c r="BR119" s="2">
        <v>300.14515970000002</v>
      </c>
      <c r="BS119" s="2" t="str">
        <f>IF(AND(Table1[[#This Row],[Gurobi MB Cost]]=Table1[[#This Row],[ORTools FZN2 Cost]],Table1[[#This Row],[ORTools FZN2 State]]="Optimal",Table1[[#This Row],[Gurobi MB State]]="Suboptimal"),1,"")</f>
        <v/>
      </c>
      <c r="BT11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19" s="5" t="s">
        <v>42</v>
      </c>
      <c r="BV119" s="2">
        <v>-143365</v>
      </c>
      <c r="BW119" s="2">
        <v>300.13338270000003</v>
      </c>
      <c r="BX119" s="2" t="str">
        <f>IF(AND(Table1[[#This Row],[Gurobi MD Cost]]=Table1[[#This Row],[ORTools FZN2 Cost]],Table1[[#This Row],[ORTools FZN2 State]]="Optimal",Table1[[#This Row],[Gurobi MD State]]="Suboptimal"),1,"")</f>
        <v/>
      </c>
      <c r="BY11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19" s="5" t="s">
        <v>26</v>
      </c>
      <c r="CA119" s="2">
        <v>1991252</v>
      </c>
      <c r="CB119" s="2">
        <v>301.40870009999998</v>
      </c>
      <c r="CC119" s="2" t="str">
        <f>IF(AND(Table1[[#This Row],[Gurobi MI Cost]]=Table1[[#This Row],[ORTools FZN2 Cost]],Table1[[#This Row],[ORTools FZN2 State]]="Optimal",Table1[[#This Row],[Gurobi MI State]]="Suboptimal"),1,"")</f>
        <v/>
      </c>
      <c r="CD11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19" s="39" t="s">
        <v>42</v>
      </c>
      <c r="CF119" s="2">
        <v>-143365</v>
      </c>
      <c r="CG119" s="39">
        <v>306.09355019999998</v>
      </c>
      <c r="CH119" s="39" t="s">
        <v>42</v>
      </c>
      <c r="CI119" s="39">
        <v>-143365</v>
      </c>
      <c r="CJ119" s="2">
        <v>306.21441909999999</v>
      </c>
      <c r="CK119" s="5" t="s">
        <v>25</v>
      </c>
      <c r="CL119" s="2">
        <v>143534</v>
      </c>
      <c r="CM119" s="2">
        <v>62.909999999999897</v>
      </c>
      <c r="CN119" s="5" t="s">
        <v>26</v>
      </c>
      <c r="CO119" s="2">
        <v>2854777</v>
      </c>
      <c r="CP119" s="2">
        <v>301.95837990000001</v>
      </c>
      <c r="CQ119" s="5" t="s">
        <v>25</v>
      </c>
      <c r="CR119" s="2">
        <v>143534</v>
      </c>
      <c r="CS119" s="2">
        <v>34.855177500000003</v>
      </c>
      <c r="CT119" s="6" t="s">
        <v>25</v>
      </c>
      <c r="CU119" s="4">
        <v>143534</v>
      </c>
      <c r="CV119" s="4">
        <v>25.828339400000001</v>
      </c>
      <c r="CW119" s="39" t="s">
        <v>26</v>
      </c>
      <c r="CX119" s="39">
        <v>2829389</v>
      </c>
      <c r="CY119" s="2">
        <v>300.02140000000003</v>
      </c>
      <c r="CZ119" s="2" t="str">
        <f>IF(AND(Table1[[#This Row],[Cplex MZ1 Cost]]=Table1[[#This Row],[ORTools FZN2 Cost]],Table1[[#This Row],[ORTools FZN2 State]]="Optimal",Table1[[#This Row],[Cplex MZ1 State]]="Suboptimal"),1,"")</f>
        <v/>
      </c>
      <c r="DA119" s="5" t="s">
        <v>26</v>
      </c>
      <c r="DB119" s="2">
        <v>714389</v>
      </c>
      <c r="DC119" s="2">
        <v>300.01580000000001</v>
      </c>
      <c r="DD119" s="2" t="str">
        <f>IF(AND(Table1[[#This Row],[Cplex MZ2 Cost]]=Table1[[#This Row],[ORTools FZN2 Cost]],Table1[[#This Row],[ORTools FZN2 State]]="Optimal",Table1[[#This Row],[Cplex MZ2 State]]="Suboptimal"),1,"")</f>
        <v/>
      </c>
      <c r="DE119" s="39" t="s">
        <v>42</v>
      </c>
      <c r="DF119" s="39"/>
      <c r="DG119" s="2">
        <v>300.00459999999998</v>
      </c>
      <c r="DH119" s="2" t="str">
        <f>IF(AND(Table1[[#This Row],[Gurobi MZ1 Cost]]=Table1[[#This Row],[ORTools FZN2 Cost]],Table1[[#This Row],[ORTools FZN2 State]]="Optimal",Table1[[#This Row],[Gurobi MZ1 State]]="Suboptimal"),1,"")</f>
        <v/>
      </c>
      <c r="DI119" s="5" t="s">
        <v>42</v>
      </c>
      <c r="DJ119" s="2"/>
      <c r="DK119" s="2">
        <v>300.00830000000002</v>
      </c>
      <c r="DL119" s="4" t="str">
        <f>IF(AND(Table1[[#This Row],[Gurobi MZ2 Cost]]=Table1[[#This Row],[ORTools FZN2 Cost]],Table1[[#This Row],[ORTools FZN2 State]]="Optimal",Table1[[#This Row],[Gurobi MZ2 State]]="Suboptimal"),1,"")</f>
        <v/>
      </c>
      <c r="DM119" s="39" t="s">
        <v>25</v>
      </c>
      <c r="DN119" s="39">
        <v>143534</v>
      </c>
      <c r="DO119" s="65">
        <v>201.90499999999801</v>
      </c>
      <c r="DP119" s="4" t="str">
        <f>IF(AND(Table1[[#This Row],[Cplex MC nonDual Cost]]=Table1[[#This Row],[ORTools FZN2 Cost]],Table1[[#This Row],[ORTools FZN2 State]]="Optimal",Table1[[#This Row],[Cplex MC nonDual State]]="Suboptimal"),1,"")</f>
        <v/>
      </c>
      <c r="DQ119" s="5" t="s">
        <v>42</v>
      </c>
      <c r="DR119" s="2"/>
      <c r="DS119" s="2">
        <v>300.01089999999999</v>
      </c>
      <c r="DT119" s="2" t="str">
        <f>IF(AND(Table1[[#This Row],[Cplex MIP DM''z Cost]]=Table1[[#This Row],[ORTools FZN2 Cost]],Table1[[#This Row],[ORTools FZN2 State]]="Optimal",Table1[[#This Row],[Cplex MIP DM''z  State]]="Suboptimal"),1,"")</f>
        <v/>
      </c>
      <c r="DU11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19" s="5" t="s">
        <v>42</v>
      </c>
      <c r="DW119" s="2"/>
      <c r="DX119" s="2">
        <v>300.01350000000002</v>
      </c>
      <c r="DY119" s="4" t="str">
        <f>IF(AND(Table1[[#This Row],[Gurobi DM''z  Cost]]=Table1[[#This Row],[ORTools FZN2 Cost]],Table1[[#This Row],[ORTools FZN2 State]]="Optimal",Table1[[#This Row],[Gurobi DM''z  State]]="Suboptimal"),1,"")</f>
        <v/>
      </c>
      <c r="DZ11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0" spans="1:130" ht="15.75" x14ac:dyDescent="0.25">
      <c r="A120" s="46" t="s">
        <v>146</v>
      </c>
      <c r="B120" s="5">
        <v>52</v>
      </c>
      <c r="C120" s="2">
        <v>25</v>
      </c>
      <c r="D120" s="5">
        <v>301</v>
      </c>
      <c r="E120" s="2">
        <v>36</v>
      </c>
      <c r="F120" s="5">
        <v>48</v>
      </c>
      <c r="G120" s="2">
        <v>0</v>
      </c>
      <c r="H120" s="4">
        <f t="shared" si="1"/>
        <v>2</v>
      </c>
      <c r="I120" s="4">
        <f>Table1[[#This Row],[B]]+Table1[[#This Row],[Atomic Constraints]]+Table1[[#This Row],[Soft Atomic Constraints]]+Table1[[#This Row],[Disjunctive Constraints]]+Table1[[#This Row],[Direct Successors]]</f>
        <v>410</v>
      </c>
      <c r="J120" s="5" t="s">
        <v>26</v>
      </c>
      <c r="K120" s="2">
        <v>2837921</v>
      </c>
      <c r="L120" s="2">
        <v>302.00093800000002</v>
      </c>
      <c r="M120" s="2" t="str">
        <f>IF(AND(Table1[[#This Row],[Chuffed MZ1 Cost]]=Table1[[#This Row],[ORTools FZN2 Cost]],Table1[[#This Row],[ORTools FZN2 State]]="Optimal",Table1[[#This Row],[Chuffed MZ1 State]]="Suboptimal"),1,"")</f>
        <v/>
      </c>
      <c r="N120" s="5" t="s">
        <v>26</v>
      </c>
      <c r="O120" s="2">
        <v>2132175</v>
      </c>
      <c r="P120" s="2">
        <v>302.02186610000001</v>
      </c>
      <c r="Q120" s="2" t="str">
        <f>IF(AND(Table1[[#This Row],[Chuffed MZ2 Cost]]=Table1[[#This Row],[ORTools FZN2 Cost]],Table1[[#This Row],[ORTools FZN2 State]]="Optimal",Table1[[#This Row],[Chuffed MZ2 State]]="Suboptimal"),1,"")</f>
        <v/>
      </c>
      <c r="R120" s="11" t="s">
        <v>26</v>
      </c>
      <c r="S120" s="11">
        <v>424793</v>
      </c>
      <c r="T120" s="11">
        <v>300.11500000000001</v>
      </c>
      <c r="U120" s="11">
        <v>1</v>
      </c>
      <c r="V120" s="5" t="s">
        <v>25</v>
      </c>
      <c r="W120" s="2">
        <v>424793</v>
      </c>
      <c r="X120" s="2">
        <v>20.1948297</v>
      </c>
      <c r="Y120" s="2" t="str">
        <f>IF(AND(Table1[[#This Row],[ORTools FZN1 Cost]]=Table1[[#This Row],[ORTools FZN2 Cost]],Table1[[#This Row],[ORTools FZN2 State]]="Optimal",Table1[[#This Row],[ORTools FZN1 State]]="Suboptimal"),1,"")</f>
        <v/>
      </c>
      <c r="Z120" s="5" t="s">
        <v>25</v>
      </c>
      <c r="AA120" s="2">
        <v>424793</v>
      </c>
      <c r="AB120" s="2">
        <v>24.066699499999999</v>
      </c>
      <c r="AC120" s="39" t="s">
        <v>42</v>
      </c>
      <c r="AD120" s="39">
        <v>-143365</v>
      </c>
      <c r="AE120" s="2">
        <v>300.10299379999998</v>
      </c>
      <c r="AF120" s="2" t="str">
        <f>IF(AND(Table1[[#This Row],[Cplex MB Cost]]=Table1[[#This Row],[ORTools FZN2 Cost]],Table1[[#This Row],[ORTools FZN2 State]]="Optimal",Table1[[#This Row],[Cplex MB State]]="Suboptimal"),1,"")</f>
        <v/>
      </c>
      <c r="AG120" s="4">
        <f>IF(AND(AC120="Optimal",AD120&lt;&gt;AA120,Table1[[#This Row],[Example]]&lt;&gt;"R001",Table1[[#This Row],[Example]]&lt;&gt;"R002"),AD120-AA120,)</f>
        <v>0</v>
      </c>
      <c r="AH120" s="5" t="s">
        <v>42</v>
      </c>
      <c r="AI120" s="2">
        <v>-143365</v>
      </c>
      <c r="AJ120" s="2">
        <v>300.22348240000002</v>
      </c>
      <c r="AK120" s="2" t="str">
        <f>IF(AND(Table1[[#This Row],[Cplex MD Cost]]=Table1[[#This Row],[ORTools FZN2 Cost]],Table1[[#This Row],[ORTools FZN2 State]]="Optimal",Table1[[#This Row],[Cplex MD State]]="Suboptimal"),1,"")</f>
        <v/>
      </c>
      <c r="AL120" s="4">
        <f>IF(AND(AH120="Optimal",AI120&lt;&gt;AA120,Table1[[#This Row],[Example]]&lt;&gt;"R001",Table1[[#This Row],[Example]]&lt;&gt;"R002"),AI120-AA120,)</f>
        <v>0</v>
      </c>
      <c r="AM120" s="39" t="s">
        <v>26</v>
      </c>
      <c r="AN120" s="39">
        <v>1273853</v>
      </c>
      <c r="AO120" s="2">
        <v>300.09221889999998</v>
      </c>
      <c r="AP12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0" s="4" t="str">
        <f>IF(AND(Table1[[#This Row],[Cplex MI Cost]]=Table1[[#This Row],[ORTools FZN2 Cost]],Table1[[#This Row],[ORTools FZN2 State]]="Optimal",Table1[[#This Row],[Cplex MI State]]="Suboptimal"),1,"")</f>
        <v/>
      </c>
      <c r="AR120" s="5" t="s">
        <v>42</v>
      </c>
      <c r="AS120" s="2">
        <v>-143365</v>
      </c>
      <c r="AT120" s="2">
        <v>300.04656269999998</v>
      </c>
      <c r="AU120" s="2" t="str">
        <f>IF(AND(Table1[[#This Row],[Z3 SMT2-1 Maxres Cost]]=Table1[[#This Row],[ORTools FZN2 Cost]],Table1[[#This Row],[ORTools FZN2 State]]="Optimal"),1,"")</f>
        <v/>
      </c>
      <c r="AV120" s="39" t="s">
        <v>42</v>
      </c>
      <c r="AW120" s="39">
        <v>-143365</v>
      </c>
      <c r="AX120" s="2">
        <v>300.04609470000003</v>
      </c>
      <c r="AY120" s="2" t="str">
        <f>IF(AND(Table1[[#This Row],[Z3 SMT2-1 PdMaxres Cost]]=Table1[[#This Row],[ORTools FZN2 Cost]],Table1[[#This Row],[ORTools FZN2 State]]="Optimal"),1,"")</f>
        <v/>
      </c>
      <c r="AZ120" s="5" t="s">
        <v>42</v>
      </c>
      <c r="BA120" s="2">
        <v>-143365</v>
      </c>
      <c r="BB120" s="39">
        <v>300.09577789999997</v>
      </c>
      <c r="BC120" s="39" t="str">
        <f>IF(AND(Table1[[#This Row],[Z3 SMT2-1 WMax Cost]]=Table1[[#This Row],[ORTools FZN2 Cost]],Table1[[#This Row],[ORTools FZN2 State]]="Optimal"),1,"")</f>
        <v/>
      </c>
      <c r="BD120" s="39" t="s">
        <v>42</v>
      </c>
      <c r="BE120" s="39">
        <v>-143365</v>
      </c>
      <c r="BF120" s="2">
        <v>300.04439559999997</v>
      </c>
      <c r="BG120" s="2" t="str">
        <f>IF(AND(Table1[[#This Row],[Z3 SMT2-2 Maxres Cost]]=Table1[[#This Row],[ORTools FZN2 Cost]],Table1[[#This Row],[ORTools FZN2 State]]="Optimal"),1,"")</f>
        <v/>
      </c>
      <c r="BH120" s="5" t="s">
        <v>42</v>
      </c>
      <c r="BI120" s="2">
        <v>-143365</v>
      </c>
      <c r="BJ120" s="39">
        <v>300.06014069999998</v>
      </c>
      <c r="BK120" s="39" t="str">
        <f>IF(AND(Table1[[#This Row],[Z3 SMT2-2 PdMaxres Cost]]=Table1[[#This Row],[ORTools FZN2 Cost]],Table1[[#This Row],[ORTools FZN2 State]]="Optimal"),1,"")</f>
        <v/>
      </c>
      <c r="BL120" s="39" t="s">
        <v>42</v>
      </c>
      <c r="BM120" s="39">
        <v>-143365</v>
      </c>
      <c r="BN120" s="2">
        <v>300.04215829999998</v>
      </c>
      <c r="BO120" s="4" t="str">
        <f>IF(AND(Table1[[#This Row],[Z3 SMT2-2 PdMaxres Cost]]=Table1[[#This Row],[ORTools FZN2 Cost]],Table1[[#This Row],[ORTools FZN2 State]]="Optimal"),1,"")</f>
        <v/>
      </c>
      <c r="BP120" s="5" t="s">
        <v>42</v>
      </c>
      <c r="BQ120" s="2">
        <v>-143365</v>
      </c>
      <c r="BR120" s="2">
        <v>300.09739039999999</v>
      </c>
      <c r="BS120" s="2" t="str">
        <f>IF(AND(Table1[[#This Row],[Gurobi MB Cost]]=Table1[[#This Row],[ORTools FZN2 Cost]],Table1[[#This Row],[ORTools FZN2 State]]="Optimal",Table1[[#This Row],[Gurobi MB State]]="Suboptimal"),1,"")</f>
        <v/>
      </c>
      <c r="BT12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0" s="5" t="s">
        <v>42</v>
      </c>
      <c r="BV120" s="2">
        <v>-143365</v>
      </c>
      <c r="BW120" s="2">
        <v>300.11030269999998</v>
      </c>
      <c r="BX120" s="2" t="str">
        <f>IF(AND(Table1[[#This Row],[Gurobi MD Cost]]=Table1[[#This Row],[ORTools FZN2 Cost]],Table1[[#This Row],[ORTools FZN2 State]]="Optimal",Table1[[#This Row],[Gurobi MD State]]="Suboptimal"),1,"")</f>
        <v/>
      </c>
      <c r="BY12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0" s="5" t="s">
        <v>26</v>
      </c>
      <c r="CA120" s="2">
        <v>424793</v>
      </c>
      <c r="CB120" s="2">
        <v>300.03790600000002</v>
      </c>
      <c r="CC120" s="2">
        <f>IF(AND(Table1[[#This Row],[Gurobi MI Cost]]=Table1[[#This Row],[ORTools FZN2 Cost]],Table1[[#This Row],[ORTools FZN2 State]]="Optimal",Table1[[#This Row],[Gurobi MI State]]="Suboptimal"),1,"")</f>
        <v>1</v>
      </c>
      <c r="CD12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0" s="39" t="s">
        <v>42</v>
      </c>
      <c r="CF120" s="2">
        <v>-143365</v>
      </c>
      <c r="CG120" s="39">
        <v>306.11274079999998</v>
      </c>
      <c r="CH120" s="39" t="s">
        <v>42</v>
      </c>
      <c r="CI120" s="39">
        <v>-143365</v>
      </c>
      <c r="CJ120" s="2">
        <v>306.13603990000001</v>
      </c>
      <c r="CK120" s="5" t="s">
        <v>26</v>
      </c>
      <c r="CL120" s="2">
        <v>424793</v>
      </c>
      <c r="CM120" s="2">
        <v>300.03399999999999</v>
      </c>
      <c r="CN120" s="5" t="s">
        <v>26</v>
      </c>
      <c r="CO120" s="2">
        <v>2267471</v>
      </c>
      <c r="CP120" s="2">
        <v>301.99791349999998</v>
      </c>
      <c r="CQ120" s="5" t="s">
        <v>25</v>
      </c>
      <c r="CR120" s="2">
        <v>424793</v>
      </c>
      <c r="CS120" s="2">
        <v>38.598870400000003</v>
      </c>
      <c r="CT120" s="6" t="s">
        <v>25</v>
      </c>
      <c r="CU120" s="4">
        <v>424793</v>
      </c>
      <c r="CV120" s="4">
        <v>23.335130800000002</v>
      </c>
      <c r="CW120" s="39" t="s">
        <v>26</v>
      </c>
      <c r="CX120" s="39">
        <v>2553674</v>
      </c>
      <c r="CY120" s="2">
        <v>300.00830000000002</v>
      </c>
      <c r="CZ120" s="2" t="str">
        <f>IF(AND(Table1[[#This Row],[Cplex MZ1 Cost]]=Table1[[#This Row],[ORTools FZN2 Cost]],Table1[[#This Row],[ORTools FZN2 State]]="Optimal",Table1[[#This Row],[Cplex MZ1 State]]="Suboptimal"),1,"")</f>
        <v/>
      </c>
      <c r="DA120" s="5" t="s">
        <v>26</v>
      </c>
      <c r="DB120" s="2">
        <v>1840134</v>
      </c>
      <c r="DC120" s="2">
        <v>300.01909999999998</v>
      </c>
      <c r="DD120" s="2" t="str">
        <f>IF(AND(Table1[[#This Row],[Cplex MZ2 Cost]]=Table1[[#This Row],[ORTools FZN2 Cost]],Table1[[#This Row],[ORTools FZN2 State]]="Optimal",Table1[[#This Row],[Cplex MZ2 State]]="Suboptimal"),1,"")</f>
        <v/>
      </c>
      <c r="DE120" s="39" t="s">
        <v>42</v>
      </c>
      <c r="DF120" s="39"/>
      <c r="DG120" s="2">
        <v>300.00409999999999</v>
      </c>
      <c r="DH120" s="2" t="str">
        <f>IF(AND(Table1[[#This Row],[Gurobi MZ1 Cost]]=Table1[[#This Row],[ORTools FZN2 Cost]],Table1[[#This Row],[ORTools FZN2 State]]="Optimal",Table1[[#This Row],[Gurobi MZ1 State]]="Suboptimal"),1,"")</f>
        <v/>
      </c>
      <c r="DI120" s="5" t="s">
        <v>42</v>
      </c>
      <c r="DJ120" s="2"/>
      <c r="DK120" s="2">
        <v>300.00869999999998</v>
      </c>
      <c r="DL120" s="4" t="str">
        <f>IF(AND(Table1[[#This Row],[Gurobi MZ2 Cost]]=Table1[[#This Row],[ORTools FZN2 Cost]],Table1[[#This Row],[ORTools FZN2 State]]="Optimal",Table1[[#This Row],[Gurobi MZ2 State]]="Suboptimal"),1,"")</f>
        <v/>
      </c>
      <c r="DM120" s="39" t="s">
        <v>26</v>
      </c>
      <c r="DN120" s="12">
        <v>424793</v>
      </c>
      <c r="DO120" s="69">
        <v>300.08099999999803</v>
      </c>
      <c r="DP120" s="11">
        <f>IF(AND(Table1[[#This Row],[Cplex MC nonDual Cost]]=Table1[[#This Row],[ORTools FZN2 Cost]],Table1[[#This Row],[ORTools FZN2 State]]="Optimal",Table1[[#This Row],[Cplex MC nonDual State]]="Suboptimal"),1,"")</f>
        <v>1</v>
      </c>
      <c r="DQ120" s="5" t="s">
        <v>26</v>
      </c>
      <c r="DR120" s="2">
        <v>2128732</v>
      </c>
      <c r="DS120" s="2">
        <v>300.024</v>
      </c>
      <c r="DT120" s="2" t="str">
        <f>IF(AND(Table1[[#This Row],[Cplex MIP DM''z Cost]]=Table1[[#This Row],[ORTools FZN2 Cost]],Table1[[#This Row],[ORTools FZN2 State]]="Optimal",Table1[[#This Row],[Cplex MIP DM''z  State]]="Suboptimal"),1,"")</f>
        <v/>
      </c>
      <c r="DU12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0" s="5" t="s">
        <v>42</v>
      </c>
      <c r="DW120" s="2"/>
      <c r="DX120" s="2">
        <v>300.00479999999999</v>
      </c>
      <c r="DY120" s="4" t="str">
        <f>IF(AND(Table1[[#This Row],[Gurobi DM''z  Cost]]=Table1[[#This Row],[ORTools FZN2 Cost]],Table1[[#This Row],[ORTools FZN2 State]]="Optimal",Table1[[#This Row],[Gurobi DM''z  State]]="Suboptimal"),1,"")</f>
        <v/>
      </c>
      <c r="DZ12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1" spans="1:130" ht="15.75" x14ac:dyDescent="0.25">
      <c r="A121" s="47" t="s">
        <v>147</v>
      </c>
      <c r="B121" s="5">
        <v>52</v>
      </c>
      <c r="C121" s="2">
        <v>25</v>
      </c>
      <c r="D121" s="5">
        <v>336</v>
      </c>
      <c r="E121" s="2">
        <v>40</v>
      </c>
      <c r="F121" s="5">
        <v>49</v>
      </c>
      <c r="G121" s="2">
        <v>0</v>
      </c>
      <c r="H121" s="4">
        <f t="shared" si="1"/>
        <v>2</v>
      </c>
      <c r="I121" s="4">
        <f>Table1[[#This Row],[B]]+Table1[[#This Row],[Atomic Constraints]]+Table1[[#This Row],[Soft Atomic Constraints]]+Table1[[#This Row],[Disjunctive Constraints]]+Table1[[#This Row],[Direct Successors]]</f>
        <v>450</v>
      </c>
      <c r="J121" s="5" t="s">
        <v>26</v>
      </c>
      <c r="K121" s="2">
        <v>2554831</v>
      </c>
      <c r="L121" s="2">
        <v>301.99997239999999</v>
      </c>
      <c r="M121" s="2" t="str">
        <f>IF(AND(Table1[[#This Row],[Chuffed MZ1 Cost]]=Table1[[#This Row],[ORTools FZN2 Cost]],Table1[[#This Row],[ORTools FZN2 State]]="Optimal",Table1[[#This Row],[Chuffed MZ1 State]]="Suboptimal"),1,"")</f>
        <v/>
      </c>
      <c r="N121" s="5" t="s">
        <v>26</v>
      </c>
      <c r="O121" s="2">
        <v>2123644</v>
      </c>
      <c r="P121" s="2">
        <v>301.99582659999999</v>
      </c>
      <c r="Q121" s="2" t="str">
        <f>IF(AND(Table1[[#This Row],[Chuffed MZ2 Cost]]=Table1[[#This Row],[ORTools FZN2 Cost]],Table1[[#This Row],[ORTools FZN2 State]]="Optimal",Table1[[#This Row],[Chuffed MZ2 State]]="Suboptimal"),1,"")</f>
        <v/>
      </c>
      <c r="R121" s="11" t="s">
        <v>26</v>
      </c>
      <c r="S121" s="11">
        <v>143534</v>
      </c>
      <c r="T121" s="11">
        <v>300.09299999999899</v>
      </c>
      <c r="U121" s="11">
        <v>1</v>
      </c>
      <c r="V121" s="5" t="s">
        <v>25</v>
      </c>
      <c r="W121" s="2">
        <v>143534</v>
      </c>
      <c r="X121" s="2">
        <v>27.107543700000001</v>
      </c>
      <c r="Y121" s="2" t="str">
        <f>IF(AND(Table1[[#This Row],[ORTools FZN1 Cost]]=Table1[[#This Row],[ORTools FZN2 Cost]],Table1[[#This Row],[ORTools FZN2 State]]="Optimal",Table1[[#This Row],[ORTools FZN1 State]]="Suboptimal"),1,"")</f>
        <v/>
      </c>
      <c r="Z121" s="5" t="s">
        <v>25</v>
      </c>
      <c r="AA121" s="2">
        <v>143534</v>
      </c>
      <c r="AB121" s="2">
        <v>19.940705099999999</v>
      </c>
      <c r="AC121" s="12" t="s">
        <v>26</v>
      </c>
      <c r="AD121" s="12">
        <v>143534</v>
      </c>
      <c r="AE121" s="12">
        <v>300.13979210000002</v>
      </c>
      <c r="AF121" s="2">
        <f>IF(AND(Table1[[#This Row],[Cplex MB Cost]]=Table1[[#This Row],[ORTools FZN2 Cost]],Table1[[#This Row],[ORTools FZN2 State]]="Optimal",Table1[[#This Row],[Cplex MB State]]="Suboptimal"),1,"")</f>
        <v>1</v>
      </c>
      <c r="AG121" s="4">
        <f>IF(AND(AC121="Optimal",AD121&lt;&gt;AA121,Table1[[#This Row],[Example]]&lt;&gt;"R001",Table1[[#This Row],[Example]]&lt;&gt;"R002"),AD121-AA121,)</f>
        <v>0</v>
      </c>
      <c r="AH121" s="5" t="s">
        <v>42</v>
      </c>
      <c r="AI121" s="2">
        <v>-143365</v>
      </c>
      <c r="AJ121" s="2">
        <v>300.1959708</v>
      </c>
      <c r="AK121" s="2" t="str">
        <f>IF(AND(Table1[[#This Row],[Cplex MD Cost]]=Table1[[#This Row],[ORTools FZN2 Cost]],Table1[[#This Row],[ORTools FZN2 State]]="Optimal",Table1[[#This Row],[Cplex MD State]]="Suboptimal"),1,"")</f>
        <v/>
      </c>
      <c r="AL121" s="4">
        <f>IF(AND(AH121="Optimal",AI121&lt;&gt;AA121,Table1[[#This Row],[Example]]&lt;&gt;"R001",Table1[[#This Row],[Example]]&lt;&gt;"R002"),AI121-AA121,)</f>
        <v>0</v>
      </c>
      <c r="AM121" s="39" t="s">
        <v>26</v>
      </c>
      <c r="AN121" s="39">
        <v>1420136</v>
      </c>
      <c r="AO121" s="2">
        <v>300.11188499999997</v>
      </c>
      <c r="AP12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1" s="4" t="str">
        <f>IF(AND(Table1[[#This Row],[Cplex MI Cost]]=Table1[[#This Row],[ORTools FZN2 Cost]],Table1[[#This Row],[ORTools FZN2 State]]="Optimal",Table1[[#This Row],[Cplex MI State]]="Suboptimal"),1,"")</f>
        <v/>
      </c>
      <c r="AR121" s="5" t="s">
        <v>42</v>
      </c>
      <c r="AS121" s="2">
        <v>-143365</v>
      </c>
      <c r="AT121" s="2">
        <v>300.05481200000003</v>
      </c>
      <c r="AU121" s="2" t="str">
        <f>IF(AND(Table1[[#This Row],[Z3 SMT2-1 Maxres Cost]]=Table1[[#This Row],[ORTools FZN2 Cost]],Table1[[#This Row],[ORTools FZN2 State]]="Optimal"),1,"")</f>
        <v/>
      </c>
      <c r="AV121" s="39" t="s">
        <v>42</v>
      </c>
      <c r="AW121" s="39">
        <v>-143365</v>
      </c>
      <c r="AX121" s="2">
        <v>300.05161129999999</v>
      </c>
      <c r="AY121" s="2" t="str">
        <f>IF(AND(Table1[[#This Row],[Z3 SMT2-1 PdMaxres Cost]]=Table1[[#This Row],[ORTools FZN2 Cost]],Table1[[#This Row],[ORTools FZN2 State]]="Optimal"),1,"")</f>
        <v/>
      </c>
      <c r="AZ121" s="5" t="s">
        <v>42</v>
      </c>
      <c r="BA121" s="2">
        <v>-143365</v>
      </c>
      <c r="BB121" s="39">
        <v>300.05822519999998</v>
      </c>
      <c r="BC121" s="39" t="str">
        <f>IF(AND(Table1[[#This Row],[Z3 SMT2-1 WMax Cost]]=Table1[[#This Row],[ORTools FZN2 Cost]],Table1[[#This Row],[ORTools FZN2 State]]="Optimal"),1,"")</f>
        <v/>
      </c>
      <c r="BD121" s="39" t="s">
        <v>42</v>
      </c>
      <c r="BE121" s="39">
        <v>-143365</v>
      </c>
      <c r="BF121" s="2">
        <v>300.04672099999999</v>
      </c>
      <c r="BG121" s="2" t="str">
        <f>IF(AND(Table1[[#This Row],[Z3 SMT2-2 Maxres Cost]]=Table1[[#This Row],[ORTools FZN2 Cost]],Table1[[#This Row],[ORTools FZN2 State]]="Optimal"),1,"")</f>
        <v/>
      </c>
      <c r="BH121" s="5" t="s">
        <v>42</v>
      </c>
      <c r="BI121" s="2">
        <v>-143365</v>
      </c>
      <c r="BJ121" s="39">
        <v>300.05568419999997</v>
      </c>
      <c r="BK121" s="39" t="str">
        <f>IF(AND(Table1[[#This Row],[Z3 SMT2-2 PdMaxres Cost]]=Table1[[#This Row],[ORTools FZN2 Cost]],Table1[[#This Row],[ORTools FZN2 State]]="Optimal"),1,"")</f>
        <v/>
      </c>
      <c r="BL121" s="39" t="s">
        <v>42</v>
      </c>
      <c r="BM121" s="39">
        <v>-143365</v>
      </c>
      <c r="BN121" s="2">
        <v>300.06043599999998</v>
      </c>
      <c r="BO121" s="4" t="str">
        <f>IF(AND(Table1[[#This Row],[Z3 SMT2-2 PdMaxres Cost]]=Table1[[#This Row],[ORTools FZN2 Cost]],Table1[[#This Row],[ORTools FZN2 State]]="Optimal"),1,"")</f>
        <v/>
      </c>
      <c r="BP121" s="5" t="s">
        <v>26</v>
      </c>
      <c r="BQ121" s="2">
        <v>1845654</v>
      </c>
      <c r="BR121" s="2">
        <v>300.18161629999997</v>
      </c>
      <c r="BS121" s="2" t="str">
        <f>IF(AND(Table1[[#This Row],[Gurobi MB Cost]]=Table1[[#This Row],[ORTools FZN2 Cost]],Table1[[#This Row],[ORTools FZN2 State]]="Optimal",Table1[[#This Row],[Gurobi MB State]]="Suboptimal"),1,"")</f>
        <v/>
      </c>
      <c r="BT12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1" s="5" t="s">
        <v>42</v>
      </c>
      <c r="BV121" s="2">
        <v>-143365</v>
      </c>
      <c r="BW121" s="2">
        <v>300.16241250000002</v>
      </c>
      <c r="BX121" s="2" t="str">
        <f>IF(AND(Table1[[#This Row],[Gurobi MD Cost]]=Table1[[#This Row],[ORTools FZN2 Cost]],Table1[[#This Row],[ORTools FZN2 State]]="Optimal",Table1[[#This Row],[Gurobi MD State]]="Suboptimal"),1,"")</f>
        <v/>
      </c>
      <c r="BY12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1" s="5" t="s">
        <v>42</v>
      </c>
      <c r="CA121" s="2">
        <v>-143365</v>
      </c>
      <c r="CB121" s="2">
        <v>300.1339519</v>
      </c>
      <c r="CC121" s="2" t="str">
        <f>IF(AND(Table1[[#This Row],[Gurobi MI Cost]]=Table1[[#This Row],[ORTools FZN2 Cost]],Table1[[#This Row],[ORTools FZN2 State]]="Optimal",Table1[[#This Row],[Gurobi MI State]]="Suboptimal"),1,"")</f>
        <v/>
      </c>
      <c r="CD12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1" s="39" t="s">
        <v>42</v>
      </c>
      <c r="CF121" s="2">
        <v>-143365</v>
      </c>
      <c r="CG121" s="39">
        <v>306.10254300000003</v>
      </c>
      <c r="CH121" s="39" t="s">
        <v>42</v>
      </c>
      <c r="CI121" s="39">
        <v>-143365</v>
      </c>
      <c r="CJ121" s="2">
        <v>306.10968939999998</v>
      </c>
      <c r="CK121" s="5" t="s">
        <v>26</v>
      </c>
      <c r="CL121" s="2">
        <v>143534</v>
      </c>
      <c r="CM121" s="2">
        <v>300.11900000000099</v>
      </c>
      <c r="CN121" s="5" t="s">
        <v>26</v>
      </c>
      <c r="CO121" s="2">
        <v>2843898</v>
      </c>
      <c r="CP121" s="2">
        <v>302.0054672</v>
      </c>
      <c r="CQ121" s="5" t="s">
        <v>25</v>
      </c>
      <c r="CR121" s="2">
        <v>143534</v>
      </c>
      <c r="CS121" s="2">
        <v>36.6074099</v>
      </c>
      <c r="CT121" s="6" t="s">
        <v>25</v>
      </c>
      <c r="CU121" s="4">
        <v>143534</v>
      </c>
      <c r="CV121" s="4">
        <v>24.094599899999999</v>
      </c>
      <c r="CW121" s="39" t="s">
        <v>26</v>
      </c>
      <c r="CX121" s="39">
        <v>2123486</v>
      </c>
      <c r="CY121" s="2">
        <v>300.0093</v>
      </c>
      <c r="CZ121" s="2" t="str">
        <f>IF(AND(Table1[[#This Row],[Cplex MZ1 Cost]]=Table1[[#This Row],[ORTools FZN2 Cost]],Table1[[#This Row],[ORTools FZN2 State]]="Optimal",Table1[[#This Row],[Cplex MZ1 State]]="Suboptimal"),1,"")</f>
        <v/>
      </c>
      <c r="DA121" s="5" t="s">
        <v>26</v>
      </c>
      <c r="DB121" s="2">
        <v>427506</v>
      </c>
      <c r="DC121" s="2">
        <v>300.0224</v>
      </c>
      <c r="DD121" s="2" t="str">
        <f>IF(AND(Table1[[#This Row],[Cplex MZ2 Cost]]=Table1[[#This Row],[ORTools FZN2 Cost]],Table1[[#This Row],[ORTools FZN2 State]]="Optimal",Table1[[#This Row],[Cplex MZ2 State]]="Suboptimal"),1,"")</f>
        <v/>
      </c>
      <c r="DE121" s="39" t="s">
        <v>42</v>
      </c>
      <c r="DF121" s="39"/>
      <c r="DG121" s="2">
        <v>300.1574</v>
      </c>
      <c r="DH121" s="2" t="str">
        <f>IF(AND(Table1[[#This Row],[Gurobi MZ1 Cost]]=Table1[[#This Row],[ORTools FZN2 Cost]],Table1[[#This Row],[ORTools FZN2 State]]="Optimal",Table1[[#This Row],[Gurobi MZ1 State]]="Suboptimal"),1,"")</f>
        <v/>
      </c>
      <c r="DI121" s="5" t="s">
        <v>42</v>
      </c>
      <c r="DJ121" s="2"/>
      <c r="DK121" s="2">
        <v>300.00549999999998</v>
      </c>
      <c r="DL121" s="4" t="str">
        <f>IF(AND(Table1[[#This Row],[Gurobi MZ2 Cost]]=Table1[[#This Row],[ORTools FZN2 Cost]],Table1[[#This Row],[ORTools FZN2 State]]="Optimal",Table1[[#This Row],[Gurobi MZ2 State]]="Suboptimal"),1,"")</f>
        <v/>
      </c>
      <c r="DM121" s="39" t="s">
        <v>25</v>
      </c>
      <c r="DN121" s="39">
        <v>143534</v>
      </c>
      <c r="DO121" s="65">
        <v>187.82499999999999</v>
      </c>
      <c r="DP121" s="4" t="str">
        <f>IF(AND(Table1[[#This Row],[Cplex MC nonDual Cost]]=Table1[[#This Row],[ORTools FZN2 Cost]],Table1[[#This Row],[ORTools FZN2 State]]="Optimal",Table1[[#This Row],[Cplex MC nonDual State]]="Suboptimal"),1,"")</f>
        <v/>
      </c>
      <c r="DQ121" s="5" t="s">
        <v>26</v>
      </c>
      <c r="DR121" s="2">
        <v>1555286</v>
      </c>
      <c r="DS121" s="2">
        <v>300.03219999999999</v>
      </c>
      <c r="DT121" s="2" t="str">
        <f>IF(AND(Table1[[#This Row],[Cplex MIP DM''z Cost]]=Table1[[#This Row],[ORTools FZN2 Cost]],Table1[[#This Row],[ORTools FZN2 State]]="Optimal",Table1[[#This Row],[Cplex MIP DM''z  State]]="Suboptimal"),1,"")</f>
        <v/>
      </c>
      <c r="DU12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1" s="5" t="s">
        <v>42</v>
      </c>
      <c r="DW121" s="2"/>
      <c r="DX121" s="2">
        <v>300.01220000000001</v>
      </c>
      <c r="DY121" s="4" t="str">
        <f>IF(AND(Table1[[#This Row],[Gurobi DM''z  Cost]]=Table1[[#This Row],[ORTools FZN2 Cost]],Table1[[#This Row],[ORTools FZN2 State]]="Optimal",Table1[[#This Row],[Gurobi DM''z  State]]="Suboptimal"),1,"")</f>
        <v/>
      </c>
      <c r="DZ12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2" spans="1:130" ht="15.75" x14ac:dyDescent="0.25">
      <c r="A122" s="46" t="s">
        <v>148</v>
      </c>
      <c r="B122" s="5">
        <v>40</v>
      </c>
      <c r="C122" s="2">
        <v>20</v>
      </c>
      <c r="D122" s="5">
        <v>136</v>
      </c>
      <c r="E122" s="2">
        <v>22</v>
      </c>
      <c r="F122" s="5">
        <v>30</v>
      </c>
      <c r="G122" s="2">
        <v>0</v>
      </c>
      <c r="H122" s="4">
        <f t="shared" si="1"/>
        <v>0</v>
      </c>
      <c r="I122" s="4">
        <f>Table1[[#This Row],[B]]+Table1[[#This Row],[Atomic Constraints]]+Table1[[#This Row],[Soft Atomic Constraints]]+Table1[[#This Row],[Disjunctive Constraints]]+Table1[[#This Row],[Direct Successors]]</f>
        <v>208</v>
      </c>
      <c r="J122" s="5" t="s">
        <v>25</v>
      </c>
      <c r="K122" s="2">
        <v>65685</v>
      </c>
      <c r="L122" s="2">
        <v>130.12716979999999</v>
      </c>
      <c r="M122" s="2" t="str">
        <f>IF(AND(Table1[[#This Row],[Chuffed MZ1 Cost]]=Table1[[#This Row],[ORTools FZN2 Cost]],Table1[[#This Row],[ORTools FZN2 State]]="Optimal",Table1[[#This Row],[Chuffed MZ1 State]]="Suboptimal"),1,"")</f>
        <v/>
      </c>
      <c r="N122" s="5" t="s">
        <v>25</v>
      </c>
      <c r="O122" s="2">
        <v>65685</v>
      </c>
      <c r="P122" s="2">
        <v>149.4739941</v>
      </c>
      <c r="Q122" s="2" t="str">
        <f>IF(AND(Table1[[#This Row],[Chuffed MZ2 Cost]]=Table1[[#This Row],[ORTools FZN2 Cost]],Table1[[#This Row],[ORTools FZN2 State]]="Optimal",Table1[[#This Row],[Chuffed MZ2 State]]="Suboptimal"),1,"")</f>
        <v/>
      </c>
      <c r="R122" s="6" t="s">
        <v>25</v>
      </c>
      <c r="S122" s="4">
        <v>65685</v>
      </c>
      <c r="T122" s="4">
        <v>169.134000000002</v>
      </c>
      <c r="U122" s="4"/>
      <c r="V122" s="5" t="s">
        <v>25</v>
      </c>
      <c r="W122" s="2">
        <v>65685</v>
      </c>
      <c r="X122" s="2">
        <v>9.4292406999999994</v>
      </c>
      <c r="Y122" s="2" t="str">
        <f>IF(AND(Table1[[#This Row],[ORTools FZN1 Cost]]=Table1[[#This Row],[ORTools FZN2 Cost]],Table1[[#This Row],[ORTools FZN2 State]]="Optimal",Table1[[#This Row],[ORTools FZN1 State]]="Suboptimal"),1,"")</f>
        <v/>
      </c>
      <c r="Z122" s="5" t="s">
        <v>25</v>
      </c>
      <c r="AA122" s="2">
        <v>65685</v>
      </c>
      <c r="AB122" s="2">
        <v>7.0092910000000002</v>
      </c>
      <c r="AC122" s="39" t="s">
        <v>25</v>
      </c>
      <c r="AD122" s="39">
        <v>65685</v>
      </c>
      <c r="AE122" s="2">
        <v>41.751957699999998</v>
      </c>
      <c r="AF122" s="2" t="str">
        <f>IF(AND(Table1[[#This Row],[Cplex MB Cost]]=Table1[[#This Row],[ORTools FZN2 Cost]],Table1[[#This Row],[ORTools FZN2 State]]="Optimal",Table1[[#This Row],[Cplex MB State]]="Suboptimal"),1,"")</f>
        <v/>
      </c>
      <c r="AG122" s="4">
        <f>IF(AND(AC122="Optimal",AD122&lt;&gt;AA122,Table1[[#This Row],[Example]]&lt;&gt;"R001",Table1[[#This Row],[Example]]&lt;&gt;"R002"),AD122-AA122,)</f>
        <v>0</v>
      </c>
      <c r="AH122" s="5" t="s">
        <v>26</v>
      </c>
      <c r="AI122" s="2">
        <v>1162452</v>
      </c>
      <c r="AJ122" s="2">
        <v>301.59615020000001</v>
      </c>
      <c r="AK122" s="2" t="str">
        <f>IF(AND(Table1[[#This Row],[Cplex MD Cost]]=Table1[[#This Row],[ORTools FZN2 Cost]],Table1[[#This Row],[ORTools FZN2 State]]="Optimal",Table1[[#This Row],[Cplex MD State]]="Suboptimal"),1,"")</f>
        <v/>
      </c>
      <c r="AL122" s="4">
        <f>IF(AND(AH122="Optimal",AI122&lt;&gt;AA122,Table1[[#This Row],[Example]]&lt;&gt;"R001",Table1[[#This Row],[Example]]&lt;&gt;"R002"),AI122-AA122,)</f>
        <v>0</v>
      </c>
      <c r="AM122" s="39" t="s">
        <v>26</v>
      </c>
      <c r="AN122" s="39">
        <v>257845</v>
      </c>
      <c r="AO122" s="2">
        <v>300.06438539999999</v>
      </c>
      <c r="AP12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2" s="4" t="str">
        <f>IF(AND(Table1[[#This Row],[Cplex MI Cost]]=Table1[[#This Row],[ORTools FZN2 Cost]],Table1[[#This Row],[ORTools FZN2 State]]="Optimal",Table1[[#This Row],[Cplex MI State]]="Suboptimal"),1,"")</f>
        <v/>
      </c>
      <c r="AR122" s="5" t="s">
        <v>42</v>
      </c>
      <c r="AS122" s="2">
        <v>-65641</v>
      </c>
      <c r="AT122" s="2">
        <v>300.041156</v>
      </c>
      <c r="AU122" s="2" t="str">
        <f>IF(AND(Table1[[#This Row],[Z3 SMT2-1 Maxres Cost]]=Table1[[#This Row],[ORTools FZN2 Cost]],Table1[[#This Row],[ORTools FZN2 State]]="Optimal"),1,"")</f>
        <v/>
      </c>
      <c r="AV122" s="39" t="s">
        <v>42</v>
      </c>
      <c r="AW122" s="39">
        <v>-65641</v>
      </c>
      <c r="AX122" s="2">
        <v>300.05280649999997</v>
      </c>
      <c r="AY122" s="2" t="str">
        <f>IF(AND(Table1[[#This Row],[Z3 SMT2-1 PdMaxres Cost]]=Table1[[#This Row],[ORTools FZN2 Cost]],Table1[[#This Row],[ORTools FZN2 State]]="Optimal"),1,"")</f>
        <v/>
      </c>
      <c r="AZ122" s="5" t="s">
        <v>42</v>
      </c>
      <c r="BA122" s="2">
        <v>-65641</v>
      </c>
      <c r="BB122" s="39">
        <v>300.03734309999999</v>
      </c>
      <c r="BC122" s="39" t="str">
        <f>IF(AND(Table1[[#This Row],[Z3 SMT2-1 WMax Cost]]=Table1[[#This Row],[ORTools FZN2 Cost]],Table1[[#This Row],[ORTools FZN2 State]]="Optimal"),1,"")</f>
        <v/>
      </c>
      <c r="BD122" s="39" t="s">
        <v>42</v>
      </c>
      <c r="BE122" s="39">
        <v>-65641</v>
      </c>
      <c r="BF122" s="2">
        <v>300.04450539999999</v>
      </c>
      <c r="BG122" s="2" t="str">
        <f>IF(AND(Table1[[#This Row],[Z3 SMT2-2 Maxres Cost]]=Table1[[#This Row],[ORTools FZN2 Cost]],Table1[[#This Row],[ORTools FZN2 State]]="Optimal"),1,"")</f>
        <v/>
      </c>
      <c r="BH122" s="5" t="s">
        <v>42</v>
      </c>
      <c r="BI122" s="2">
        <v>-65641</v>
      </c>
      <c r="BJ122" s="39">
        <v>300.04444180000002</v>
      </c>
      <c r="BK122" s="39" t="str">
        <f>IF(AND(Table1[[#This Row],[Z3 SMT2-2 PdMaxres Cost]]=Table1[[#This Row],[ORTools FZN2 Cost]],Table1[[#This Row],[ORTools FZN2 State]]="Optimal"),1,"")</f>
        <v/>
      </c>
      <c r="BL122" s="39" t="s">
        <v>42</v>
      </c>
      <c r="BM122" s="39">
        <v>-65641</v>
      </c>
      <c r="BN122" s="2">
        <v>300.04273339999997</v>
      </c>
      <c r="BO122" s="4" t="str">
        <f>IF(AND(Table1[[#This Row],[Z3 SMT2-2 PdMaxres Cost]]=Table1[[#This Row],[ORTools FZN2 Cost]],Table1[[#This Row],[ORTools FZN2 State]]="Optimal"),1,"")</f>
        <v/>
      </c>
      <c r="BP122" s="5" t="s">
        <v>25</v>
      </c>
      <c r="BQ122" s="2">
        <v>65685</v>
      </c>
      <c r="BR122" s="2">
        <v>45.531026099999998</v>
      </c>
      <c r="BS122" s="2" t="str">
        <f>IF(AND(Table1[[#This Row],[Gurobi MB Cost]]=Table1[[#This Row],[ORTools FZN2 Cost]],Table1[[#This Row],[ORTools FZN2 State]]="Optimal",Table1[[#This Row],[Gurobi MB State]]="Suboptimal"),1,"")</f>
        <v/>
      </c>
      <c r="BT12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2" s="5" t="s">
        <v>26</v>
      </c>
      <c r="BV122" s="2">
        <v>713324</v>
      </c>
      <c r="BW122" s="2">
        <v>300.08496220000001</v>
      </c>
      <c r="BX122" s="2" t="str">
        <f>IF(AND(Table1[[#This Row],[Gurobi MD Cost]]=Table1[[#This Row],[ORTools FZN2 Cost]],Table1[[#This Row],[ORTools FZN2 State]]="Optimal",Table1[[#This Row],[Gurobi MD State]]="Suboptimal"),1,"")</f>
        <v/>
      </c>
      <c r="BY12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2" s="5" t="s">
        <v>25</v>
      </c>
      <c r="CA122" s="2">
        <v>65685</v>
      </c>
      <c r="CB122" s="2">
        <v>42.856252499999997</v>
      </c>
      <c r="CC122" s="2" t="str">
        <f>IF(AND(Table1[[#This Row],[Gurobi MI Cost]]=Table1[[#This Row],[ORTools FZN2 Cost]],Table1[[#This Row],[ORTools FZN2 State]]="Optimal",Table1[[#This Row],[Gurobi MI State]]="Suboptimal"),1,"")</f>
        <v/>
      </c>
      <c r="CD12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2" s="39" t="s">
        <v>42</v>
      </c>
      <c r="CF122" s="2">
        <v>-65641</v>
      </c>
      <c r="CG122" s="39">
        <v>305.9580254</v>
      </c>
      <c r="CH122" s="39" t="s">
        <v>42</v>
      </c>
      <c r="CI122" s="39">
        <v>-65641</v>
      </c>
      <c r="CJ122" s="2">
        <v>306.06800500000003</v>
      </c>
      <c r="CK122" s="5" t="s">
        <v>25</v>
      </c>
      <c r="CL122" s="2">
        <v>65685</v>
      </c>
      <c r="CM122" s="2">
        <v>31.947999999998501</v>
      </c>
      <c r="CN122" s="5" t="s">
        <v>26</v>
      </c>
      <c r="CO122" s="2">
        <v>650655</v>
      </c>
      <c r="CP122" s="2">
        <v>301.5208336</v>
      </c>
      <c r="CQ122" s="5" t="s">
        <v>25</v>
      </c>
      <c r="CR122" s="2">
        <v>65685</v>
      </c>
      <c r="CS122" s="2">
        <v>15.8328141</v>
      </c>
      <c r="CT122" s="6" t="s">
        <v>25</v>
      </c>
      <c r="CU122" s="4">
        <v>65685</v>
      </c>
      <c r="CV122" s="4">
        <v>11.050732699999999</v>
      </c>
      <c r="CW122" s="39" t="s">
        <v>26</v>
      </c>
      <c r="CX122" s="39">
        <v>65769</v>
      </c>
      <c r="CY122" s="2">
        <v>300.02</v>
      </c>
      <c r="CZ122" s="2" t="str">
        <f>IF(AND(Table1[[#This Row],[Cplex MZ1 Cost]]=Table1[[#This Row],[ORTools FZN2 Cost]],Table1[[#This Row],[ORTools FZN2 State]]="Optimal",Table1[[#This Row],[Cplex MZ1 State]]="Suboptimal"),1,"")</f>
        <v/>
      </c>
      <c r="DA122" s="12" t="s">
        <v>26</v>
      </c>
      <c r="DB122" s="12">
        <v>65685</v>
      </c>
      <c r="DC122" s="12">
        <v>300.0145</v>
      </c>
      <c r="DD122" s="12">
        <f>IF(AND(Table1[[#This Row],[Cplex MZ2 Cost]]=Table1[[#This Row],[ORTools FZN2 Cost]],Table1[[#This Row],[ORTools FZN2 State]]="Optimal",Table1[[#This Row],[Cplex MZ2 State]]="Suboptimal"),1,"")</f>
        <v>1</v>
      </c>
      <c r="DE122" s="39" t="s">
        <v>26</v>
      </c>
      <c r="DF122" s="39">
        <v>65768</v>
      </c>
      <c r="DG122" s="2">
        <v>300.00569999999999</v>
      </c>
      <c r="DH122" s="2" t="str">
        <f>IF(AND(Table1[[#This Row],[Gurobi MZ1 Cost]]=Table1[[#This Row],[ORTools FZN2 Cost]],Table1[[#This Row],[ORTools FZN2 State]]="Optimal",Table1[[#This Row],[Gurobi MZ1 State]]="Suboptimal"),1,"")</f>
        <v/>
      </c>
      <c r="DI122" s="5" t="s">
        <v>26</v>
      </c>
      <c r="DJ122" s="2">
        <v>387408</v>
      </c>
      <c r="DK122" s="2">
        <v>300.00510000000003</v>
      </c>
      <c r="DL122" s="4" t="str">
        <f>IF(AND(Table1[[#This Row],[Gurobi MZ2 Cost]]=Table1[[#This Row],[ORTools FZN2 Cost]],Table1[[#This Row],[ORTools FZN2 State]]="Optimal",Table1[[#This Row],[Gurobi MZ2 State]]="Suboptimal"),1,"")</f>
        <v/>
      </c>
      <c r="DM122" s="39" t="s">
        <v>25</v>
      </c>
      <c r="DN122" s="39">
        <v>65685</v>
      </c>
      <c r="DO122" s="65">
        <v>13.866000000001801</v>
      </c>
      <c r="DP122" s="4" t="str">
        <f>IF(AND(Table1[[#This Row],[Cplex MC nonDual Cost]]=Table1[[#This Row],[ORTools FZN2 Cost]],Table1[[#This Row],[ORTools FZN2 State]]="Optimal",Table1[[#This Row],[Cplex MC nonDual State]]="Suboptimal"),1,"")</f>
        <v/>
      </c>
      <c r="DQ122" s="5" t="s">
        <v>26</v>
      </c>
      <c r="DR122" s="2">
        <v>65686</v>
      </c>
      <c r="DS122" s="2">
        <v>300.01350000000002</v>
      </c>
      <c r="DT122" s="2" t="str">
        <f>IF(AND(Table1[[#This Row],[Cplex MIP DM''z Cost]]=Table1[[#This Row],[ORTools FZN2 Cost]],Table1[[#This Row],[ORTools FZN2 State]]="Optimal",Table1[[#This Row],[Cplex MIP DM''z  State]]="Suboptimal"),1,"")</f>
        <v/>
      </c>
      <c r="DU12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2" s="5" t="s">
        <v>26</v>
      </c>
      <c r="DW122" s="2">
        <v>65688</v>
      </c>
      <c r="DX122" s="2">
        <v>300.01609999999999</v>
      </c>
      <c r="DY122" s="4" t="str">
        <f>IF(AND(Table1[[#This Row],[Gurobi DM''z  Cost]]=Table1[[#This Row],[ORTools FZN2 Cost]],Table1[[#This Row],[ORTools FZN2 State]]="Optimal",Table1[[#This Row],[Gurobi DM''z  State]]="Suboptimal"),1,"")</f>
        <v/>
      </c>
      <c r="DZ12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3" spans="1:130" ht="15.75" x14ac:dyDescent="0.25">
      <c r="A123" s="47" t="s">
        <v>149</v>
      </c>
      <c r="B123" s="5">
        <v>45</v>
      </c>
      <c r="C123" s="2">
        <v>20</v>
      </c>
      <c r="D123" s="5">
        <v>258</v>
      </c>
      <c r="E123" s="2">
        <v>35</v>
      </c>
      <c r="F123" s="5">
        <v>41</v>
      </c>
      <c r="G123" s="2">
        <v>0</v>
      </c>
      <c r="H123" s="4">
        <f t="shared" si="1"/>
        <v>5</v>
      </c>
      <c r="I123" s="4">
        <f>Table1[[#This Row],[B]]+Table1[[#This Row],[Atomic Constraints]]+Table1[[#This Row],[Soft Atomic Constraints]]+Table1[[#This Row],[Disjunctive Constraints]]+Table1[[#This Row],[Direct Successors]]</f>
        <v>354</v>
      </c>
      <c r="J123" s="5" t="s">
        <v>25</v>
      </c>
      <c r="K123" s="2">
        <v>10</v>
      </c>
      <c r="L123" s="2">
        <v>175.9469593</v>
      </c>
      <c r="M123" s="2" t="str">
        <f>IF(AND(Table1[[#This Row],[Chuffed MZ1 Cost]]=Table1[[#This Row],[ORTools FZN2 Cost]],Table1[[#This Row],[ORTools FZN2 State]]="Optimal",Table1[[#This Row],[Chuffed MZ1 State]]="Suboptimal"),1,"")</f>
        <v/>
      </c>
      <c r="N123" s="5" t="s">
        <v>26</v>
      </c>
      <c r="O123" s="2">
        <v>187712</v>
      </c>
      <c r="P123" s="2">
        <v>301.59035110000002</v>
      </c>
      <c r="Q123" s="2" t="str">
        <f>IF(AND(Table1[[#This Row],[Chuffed MZ2 Cost]]=Table1[[#This Row],[ORTools FZN2 Cost]],Table1[[#This Row],[ORTools FZN2 State]]="Optimal",Table1[[#This Row],[Chuffed MZ2 State]]="Suboptimal"),1,"")</f>
        <v/>
      </c>
      <c r="R123" s="11" t="s">
        <v>26</v>
      </c>
      <c r="S123" s="11">
        <v>10</v>
      </c>
      <c r="T123" s="11">
        <v>300.05099999999902</v>
      </c>
      <c r="U123" s="11">
        <v>1</v>
      </c>
      <c r="V123" s="5" t="s">
        <v>25</v>
      </c>
      <c r="W123" s="2">
        <v>10</v>
      </c>
      <c r="X123" s="2">
        <v>8.5763134000000001</v>
      </c>
      <c r="Y123" s="2" t="str">
        <f>IF(AND(Table1[[#This Row],[ORTools FZN1 Cost]]=Table1[[#This Row],[ORTools FZN2 Cost]],Table1[[#This Row],[ORTools FZN2 State]]="Optimal",Table1[[#This Row],[ORTools FZN1 State]]="Suboptimal"),1,"")</f>
        <v/>
      </c>
      <c r="Z123" s="5" t="s">
        <v>25</v>
      </c>
      <c r="AA123" s="2">
        <v>10</v>
      </c>
      <c r="AB123" s="2">
        <v>6.3036816</v>
      </c>
      <c r="AC123" s="39" t="s">
        <v>25</v>
      </c>
      <c r="AD123" s="39">
        <v>10</v>
      </c>
      <c r="AE123" s="2">
        <v>50.705207000000001</v>
      </c>
      <c r="AF123" s="2" t="str">
        <f>IF(AND(Table1[[#This Row],[Cplex MB Cost]]=Table1[[#This Row],[ORTools FZN2 Cost]],Table1[[#This Row],[ORTools FZN2 State]]="Optimal",Table1[[#This Row],[Cplex MB State]]="Suboptimal"),1,"")</f>
        <v/>
      </c>
      <c r="AG123" s="4">
        <f>IF(AND(AC123="Optimal",AD123&lt;&gt;AA123,Table1[[#This Row],[Example]]&lt;&gt;"R001",Table1[[#This Row],[Example]]&lt;&gt;"R002"),AD123-AA123,)</f>
        <v>0</v>
      </c>
      <c r="AH123" s="5" t="s">
        <v>42</v>
      </c>
      <c r="AI123" s="2">
        <v>-93196</v>
      </c>
      <c r="AJ123" s="2">
        <v>300.33304120000003</v>
      </c>
      <c r="AK123" s="2" t="str">
        <f>IF(AND(Table1[[#This Row],[Cplex MD Cost]]=Table1[[#This Row],[ORTools FZN2 Cost]],Table1[[#This Row],[ORTools FZN2 State]]="Optimal",Table1[[#This Row],[Cplex MD State]]="Suboptimal"),1,"")</f>
        <v/>
      </c>
      <c r="AL123" s="4">
        <f>IF(AND(AH123="Optimal",AI123&lt;&gt;AA123,Table1[[#This Row],[Example]]&lt;&gt;"R001",Table1[[#This Row],[Example]]&lt;&gt;"R002"),AI123-AA123,)</f>
        <v>0</v>
      </c>
      <c r="AM123" s="39" t="s">
        <v>25</v>
      </c>
      <c r="AN123" s="39">
        <v>10</v>
      </c>
      <c r="AO123" s="2">
        <v>7.9147553000000004</v>
      </c>
      <c r="AP12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3" s="4" t="str">
        <f>IF(AND(Table1[[#This Row],[Cplex MI Cost]]=Table1[[#This Row],[ORTools FZN2 Cost]],Table1[[#This Row],[ORTools FZN2 State]]="Optimal",Table1[[#This Row],[Cplex MI State]]="Suboptimal"),1,"")</f>
        <v/>
      </c>
      <c r="AR123" s="5" t="s">
        <v>42</v>
      </c>
      <c r="AS123" s="2">
        <v>-93196</v>
      </c>
      <c r="AT123" s="2">
        <v>300.04591929999998</v>
      </c>
      <c r="AU123" s="2" t="str">
        <f>IF(AND(Table1[[#This Row],[Z3 SMT2-1 Maxres Cost]]=Table1[[#This Row],[ORTools FZN2 Cost]],Table1[[#This Row],[ORTools FZN2 State]]="Optimal"),1,"")</f>
        <v/>
      </c>
      <c r="AV123" s="39" t="s">
        <v>42</v>
      </c>
      <c r="AW123" s="39">
        <v>-93196</v>
      </c>
      <c r="AX123" s="2">
        <v>300.0510195</v>
      </c>
      <c r="AY123" s="2" t="str">
        <f>IF(AND(Table1[[#This Row],[Z3 SMT2-1 PdMaxres Cost]]=Table1[[#This Row],[ORTools FZN2 Cost]],Table1[[#This Row],[ORTools FZN2 State]]="Optimal"),1,"")</f>
        <v/>
      </c>
      <c r="AZ123" s="5" t="s">
        <v>42</v>
      </c>
      <c r="BA123" s="2">
        <v>-93196</v>
      </c>
      <c r="BB123" s="39">
        <v>300.05275710000001</v>
      </c>
      <c r="BC123" s="39" t="str">
        <f>IF(AND(Table1[[#This Row],[Z3 SMT2-1 WMax Cost]]=Table1[[#This Row],[ORTools FZN2 Cost]],Table1[[#This Row],[ORTools FZN2 State]]="Optimal"),1,"")</f>
        <v/>
      </c>
      <c r="BD123" s="39" t="s">
        <v>42</v>
      </c>
      <c r="BE123" s="39">
        <v>-93196</v>
      </c>
      <c r="BF123" s="2">
        <v>300.05455439999997</v>
      </c>
      <c r="BG123" s="2" t="str">
        <f>IF(AND(Table1[[#This Row],[Z3 SMT2-2 Maxres Cost]]=Table1[[#This Row],[ORTools FZN2 Cost]],Table1[[#This Row],[ORTools FZN2 State]]="Optimal"),1,"")</f>
        <v/>
      </c>
      <c r="BH123" s="5" t="s">
        <v>42</v>
      </c>
      <c r="BI123" s="2">
        <v>-93196</v>
      </c>
      <c r="BJ123" s="39">
        <v>300.05201149999999</v>
      </c>
      <c r="BK123" s="39" t="str">
        <f>IF(AND(Table1[[#This Row],[Z3 SMT2-2 PdMaxres Cost]]=Table1[[#This Row],[ORTools FZN2 Cost]],Table1[[#This Row],[ORTools FZN2 State]]="Optimal"),1,"")</f>
        <v/>
      </c>
      <c r="BL123" s="39" t="s">
        <v>42</v>
      </c>
      <c r="BM123" s="39">
        <v>-93196</v>
      </c>
      <c r="BN123" s="2">
        <v>300.0544112</v>
      </c>
      <c r="BO123" s="4" t="str">
        <f>IF(AND(Table1[[#This Row],[Z3 SMT2-2 PdMaxres Cost]]=Table1[[#This Row],[ORTools FZN2 Cost]],Table1[[#This Row],[ORTools FZN2 State]]="Optimal"),1,"")</f>
        <v/>
      </c>
      <c r="BP123" s="5" t="s">
        <v>25</v>
      </c>
      <c r="BQ123" s="2">
        <v>10</v>
      </c>
      <c r="BR123" s="2">
        <v>131.3660792</v>
      </c>
      <c r="BS123" s="2" t="str">
        <f>IF(AND(Table1[[#This Row],[Gurobi MB Cost]]=Table1[[#This Row],[ORTools FZN2 Cost]],Table1[[#This Row],[ORTools FZN2 State]]="Optimal",Table1[[#This Row],[Gurobi MB State]]="Suboptimal"),1,"")</f>
        <v/>
      </c>
      <c r="BT12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3" s="5" t="s">
        <v>42</v>
      </c>
      <c r="BV123" s="2">
        <v>-93196</v>
      </c>
      <c r="BW123" s="2">
        <v>300.0684943</v>
      </c>
      <c r="BX123" s="2" t="str">
        <f>IF(AND(Table1[[#This Row],[Gurobi MD Cost]]=Table1[[#This Row],[ORTools FZN2 Cost]],Table1[[#This Row],[ORTools FZN2 State]]="Optimal",Table1[[#This Row],[Gurobi MD State]]="Suboptimal"),1,"")</f>
        <v/>
      </c>
      <c r="BY12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3" s="5" t="s">
        <v>25</v>
      </c>
      <c r="CA123" s="2">
        <v>10</v>
      </c>
      <c r="CB123" s="2">
        <v>73.770430700000006</v>
      </c>
      <c r="CC123" s="2" t="str">
        <f>IF(AND(Table1[[#This Row],[Gurobi MI Cost]]=Table1[[#This Row],[ORTools FZN2 Cost]],Table1[[#This Row],[ORTools FZN2 State]]="Optimal",Table1[[#This Row],[Gurobi MI State]]="Suboptimal"),1,"")</f>
        <v/>
      </c>
      <c r="CD12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3" s="39" t="s">
        <v>42</v>
      </c>
      <c r="CF123" s="2">
        <v>-93196</v>
      </c>
      <c r="CG123" s="39">
        <v>306.16486659999998</v>
      </c>
      <c r="CH123" s="39" t="s">
        <v>42</v>
      </c>
      <c r="CI123" s="39">
        <v>-93196</v>
      </c>
      <c r="CJ123" s="2">
        <v>306.04937999999999</v>
      </c>
      <c r="CK123" s="5" t="s">
        <v>26</v>
      </c>
      <c r="CL123" s="2">
        <v>10</v>
      </c>
      <c r="CM123" s="2">
        <v>300.02300000000099</v>
      </c>
      <c r="CN123" s="5" t="s">
        <v>26</v>
      </c>
      <c r="CO123" s="2">
        <v>1293097</v>
      </c>
      <c r="CP123" s="2">
        <v>301.51297019999998</v>
      </c>
      <c r="CQ123" s="5" t="s">
        <v>25</v>
      </c>
      <c r="CR123" s="2">
        <v>10</v>
      </c>
      <c r="CS123" s="2">
        <v>16.0231654</v>
      </c>
      <c r="CT123" s="6" t="s">
        <v>25</v>
      </c>
      <c r="CU123" s="4">
        <v>10</v>
      </c>
      <c r="CV123" s="4">
        <v>14.434948800000001</v>
      </c>
      <c r="CW123" s="39" t="s">
        <v>26</v>
      </c>
      <c r="CX123" s="12">
        <v>10</v>
      </c>
      <c r="CY123" s="12">
        <v>300.01870000000002</v>
      </c>
      <c r="CZ123" s="12">
        <f>IF(AND(Table1[[#This Row],[Cplex MZ1 Cost]]=Table1[[#This Row],[ORTools FZN2 Cost]],Table1[[#This Row],[ORTools FZN2 State]]="Optimal",Table1[[#This Row],[Cplex MZ1 State]]="Suboptimal"),1,"")</f>
        <v>1</v>
      </c>
      <c r="DA123" s="12" t="s">
        <v>26</v>
      </c>
      <c r="DB123" s="12">
        <v>10</v>
      </c>
      <c r="DC123" s="12">
        <v>300.01280000000003</v>
      </c>
      <c r="DD123" s="12">
        <f>IF(AND(Table1[[#This Row],[Cplex MZ2 Cost]]=Table1[[#This Row],[ORTools FZN2 Cost]],Table1[[#This Row],[ORTools FZN2 State]]="Optimal",Table1[[#This Row],[Cplex MZ2 State]]="Suboptimal"),1,"")</f>
        <v>1</v>
      </c>
      <c r="DE123" s="39" t="s">
        <v>26</v>
      </c>
      <c r="DF123" s="39">
        <v>366763</v>
      </c>
      <c r="DG123" s="2">
        <v>300.00830000000002</v>
      </c>
      <c r="DH123" s="2" t="str">
        <f>IF(AND(Table1[[#This Row],[Gurobi MZ1 Cost]]=Table1[[#This Row],[ORTools FZN2 Cost]],Table1[[#This Row],[ORTools FZN2 State]]="Optimal",Table1[[#This Row],[Gurobi MZ1 State]]="Suboptimal"),1,"")</f>
        <v/>
      </c>
      <c r="DI123" s="5" t="s">
        <v>26</v>
      </c>
      <c r="DJ123" s="2">
        <v>460186</v>
      </c>
      <c r="DK123" s="2">
        <v>300.00850000000003</v>
      </c>
      <c r="DL123" s="4" t="str">
        <f>IF(AND(Table1[[#This Row],[Gurobi MZ2 Cost]]=Table1[[#This Row],[ORTools FZN2 Cost]],Table1[[#This Row],[ORTools FZN2 State]]="Optimal",Table1[[#This Row],[Gurobi MZ2 State]]="Suboptimal"),1,"")</f>
        <v/>
      </c>
      <c r="DM123" s="39" t="s">
        <v>26</v>
      </c>
      <c r="DN123" s="12">
        <v>10</v>
      </c>
      <c r="DO123" s="69">
        <v>300.01000000000198</v>
      </c>
      <c r="DP123" s="11">
        <f>IF(AND(Table1[[#This Row],[Cplex MC nonDual Cost]]=Table1[[#This Row],[ORTools FZN2 Cost]],Table1[[#This Row],[ORTools FZN2 State]]="Optimal",Table1[[#This Row],[Cplex MC nonDual State]]="Suboptimal"),1,"")</f>
        <v>1</v>
      </c>
      <c r="DQ123" s="5" t="s">
        <v>26</v>
      </c>
      <c r="DR123" s="2">
        <v>10</v>
      </c>
      <c r="DS123" s="2">
        <v>300.01190000000003</v>
      </c>
      <c r="DT123" s="2">
        <f>IF(AND(Table1[[#This Row],[Cplex MIP DM''z Cost]]=Table1[[#This Row],[ORTools FZN2 Cost]],Table1[[#This Row],[ORTools FZN2 State]]="Optimal",Table1[[#This Row],[Cplex MIP DM''z  State]]="Suboptimal"),1,"")</f>
        <v>1</v>
      </c>
      <c r="DU12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3" s="5" t="s">
        <v>26</v>
      </c>
      <c r="DW123" s="2">
        <v>93565</v>
      </c>
      <c r="DX123" s="2">
        <v>300.00970000000001</v>
      </c>
      <c r="DY123" s="4" t="str">
        <f>IF(AND(Table1[[#This Row],[Gurobi DM''z  Cost]]=Table1[[#This Row],[ORTools FZN2 Cost]],Table1[[#This Row],[ORTools FZN2 State]]="Optimal",Table1[[#This Row],[Gurobi DM''z  State]]="Suboptimal"),1,"")</f>
        <v/>
      </c>
      <c r="DZ12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4" spans="1:130" ht="15.75" x14ac:dyDescent="0.25">
      <c r="A124" s="46" t="s">
        <v>150</v>
      </c>
      <c r="B124" s="5">
        <v>45</v>
      </c>
      <c r="C124" s="2">
        <v>20</v>
      </c>
      <c r="D124" s="5">
        <v>201</v>
      </c>
      <c r="E124" s="2">
        <v>31</v>
      </c>
      <c r="F124" s="5">
        <v>35</v>
      </c>
      <c r="G124" s="2">
        <v>0</v>
      </c>
      <c r="H124" s="4">
        <f t="shared" si="1"/>
        <v>5</v>
      </c>
      <c r="I124" s="4">
        <f>Table1[[#This Row],[B]]+Table1[[#This Row],[Atomic Constraints]]+Table1[[#This Row],[Soft Atomic Constraints]]+Table1[[#This Row],[Disjunctive Constraints]]+Table1[[#This Row],[Direct Successors]]</f>
        <v>287</v>
      </c>
      <c r="J124" s="5" t="s">
        <v>25</v>
      </c>
      <c r="K124" s="2">
        <v>184503</v>
      </c>
      <c r="L124" s="2">
        <v>284.92555220000003</v>
      </c>
      <c r="M124" s="2" t="str">
        <f>IF(AND(Table1[[#This Row],[Chuffed MZ1 Cost]]=Table1[[#This Row],[ORTools FZN2 Cost]],Table1[[#This Row],[ORTools FZN2 State]]="Optimal",Table1[[#This Row],[Chuffed MZ1 State]]="Suboptimal"),1,"")</f>
        <v/>
      </c>
      <c r="N124" s="5" t="s">
        <v>26</v>
      </c>
      <c r="O124" s="2">
        <v>368781</v>
      </c>
      <c r="P124" s="2">
        <v>301.59804630000002</v>
      </c>
      <c r="Q124" s="2" t="str">
        <f>IF(AND(Table1[[#This Row],[Chuffed MZ2 Cost]]=Table1[[#This Row],[ORTools FZN2 Cost]],Table1[[#This Row],[ORTools FZN2 State]]="Optimal",Table1[[#This Row],[Chuffed MZ2 State]]="Suboptimal"),1,"")</f>
        <v/>
      </c>
      <c r="R124" s="5" t="s">
        <v>25</v>
      </c>
      <c r="S124" s="2">
        <v>184503</v>
      </c>
      <c r="T124" s="2">
        <v>53.125</v>
      </c>
      <c r="U124" s="2"/>
      <c r="V124" s="5" t="s">
        <v>25</v>
      </c>
      <c r="W124" s="2">
        <v>184503</v>
      </c>
      <c r="X124" s="2">
        <v>9.8869299000000002</v>
      </c>
      <c r="Y124" s="2" t="str">
        <f>IF(AND(Table1[[#This Row],[ORTools FZN1 Cost]]=Table1[[#This Row],[ORTools FZN2 Cost]],Table1[[#This Row],[ORTools FZN2 State]]="Optimal",Table1[[#This Row],[ORTools FZN1 State]]="Suboptimal"),1,"")</f>
        <v/>
      </c>
      <c r="Z124" s="5" t="s">
        <v>25</v>
      </c>
      <c r="AA124" s="2">
        <v>184503</v>
      </c>
      <c r="AB124" s="2">
        <v>10.913460199999999</v>
      </c>
      <c r="AC124" s="39" t="s">
        <v>26</v>
      </c>
      <c r="AD124" s="39">
        <v>186530</v>
      </c>
      <c r="AE124" s="2">
        <v>300.09871370000002</v>
      </c>
      <c r="AF124" s="2" t="str">
        <f>IF(AND(Table1[[#This Row],[Cplex MB Cost]]=Table1[[#This Row],[ORTools FZN2 Cost]],Table1[[#This Row],[ORTools FZN2 State]]="Optimal",Table1[[#This Row],[Cplex MB State]]="Suboptimal"),1,"")</f>
        <v/>
      </c>
      <c r="AG124" s="4">
        <f>IF(AND(AC124="Optimal",AD124&lt;&gt;AA124,Table1[[#This Row],[Example]]&lt;&gt;"R001",Table1[[#This Row],[Example]]&lt;&gt;"R002"),AD124-AA124,)</f>
        <v>0</v>
      </c>
      <c r="AH124" s="5" t="s">
        <v>26</v>
      </c>
      <c r="AI124" s="2">
        <v>1672208</v>
      </c>
      <c r="AJ124" s="2">
        <v>302.84561530000002</v>
      </c>
      <c r="AK124" s="2" t="str">
        <f>IF(AND(Table1[[#This Row],[Cplex MD Cost]]=Table1[[#This Row],[ORTools FZN2 Cost]],Table1[[#This Row],[ORTools FZN2 State]]="Optimal",Table1[[#This Row],[Cplex MD State]]="Suboptimal"),1,"")</f>
        <v/>
      </c>
      <c r="AL124" s="4">
        <f>IF(AND(AH124="Optimal",AI124&lt;&gt;AA124,Table1[[#This Row],[Example]]&lt;&gt;"R001",Table1[[#This Row],[Example]]&lt;&gt;"R002"),AI124-AA124,)</f>
        <v>0</v>
      </c>
      <c r="AM124" s="39" t="s">
        <v>26</v>
      </c>
      <c r="AN124" s="39">
        <v>184503</v>
      </c>
      <c r="AO124" s="2">
        <v>300.09449649999999</v>
      </c>
      <c r="AP12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4" s="4">
        <f>IF(AND(Table1[[#This Row],[Cplex MI Cost]]=Table1[[#This Row],[ORTools FZN2 Cost]],Table1[[#This Row],[ORTools FZN2 State]]="Optimal",Table1[[#This Row],[Cplex MI State]]="Suboptimal"),1,"")</f>
        <v>1</v>
      </c>
      <c r="AR124" s="5" t="s">
        <v>42</v>
      </c>
      <c r="AS124" s="2">
        <v>-93196</v>
      </c>
      <c r="AT124" s="2">
        <v>300.03715699999998</v>
      </c>
      <c r="AU124" s="2" t="str">
        <f>IF(AND(Table1[[#This Row],[Z3 SMT2-1 Maxres Cost]]=Table1[[#This Row],[ORTools FZN2 Cost]],Table1[[#This Row],[ORTools FZN2 State]]="Optimal"),1,"")</f>
        <v/>
      </c>
      <c r="AV124" s="39" t="s">
        <v>42</v>
      </c>
      <c r="AW124" s="39">
        <v>-93196</v>
      </c>
      <c r="AX124" s="2">
        <v>300.04564879999998</v>
      </c>
      <c r="AY124" s="2" t="str">
        <f>IF(AND(Table1[[#This Row],[Z3 SMT2-1 PdMaxres Cost]]=Table1[[#This Row],[ORTools FZN2 Cost]],Table1[[#This Row],[ORTools FZN2 State]]="Optimal"),1,"")</f>
        <v/>
      </c>
      <c r="AZ124" s="5" t="s">
        <v>42</v>
      </c>
      <c r="BA124" s="2">
        <v>-93196</v>
      </c>
      <c r="BB124" s="39">
        <v>300.05130389999999</v>
      </c>
      <c r="BC124" s="39" t="str">
        <f>IF(AND(Table1[[#This Row],[Z3 SMT2-1 WMax Cost]]=Table1[[#This Row],[ORTools FZN2 Cost]],Table1[[#This Row],[ORTools FZN2 State]]="Optimal"),1,"")</f>
        <v/>
      </c>
      <c r="BD124" s="39" t="s">
        <v>42</v>
      </c>
      <c r="BE124" s="39">
        <v>-93196</v>
      </c>
      <c r="BF124" s="2">
        <v>300.03813129999997</v>
      </c>
      <c r="BG124" s="2" t="str">
        <f>IF(AND(Table1[[#This Row],[Z3 SMT2-2 Maxres Cost]]=Table1[[#This Row],[ORTools FZN2 Cost]],Table1[[#This Row],[ORTools FZN2 State]]="Optimal"),1,"")</f>
        <v/>
      </c>
      <c r="BH124" s="5" t="s">
        <v>42</v>
      </c>
      <c r="BI124" s="2">
        <v>-93196</v>
      </c>
      <c r="BJ124" s="39">
        <v>300.07131989999999</v>
      </c>
      <c r="BK124" s="39" t="str">
        <f>IF(AND(Table1[[#This Row],[Z3 SMT2-2 PdMaxres Cost]]=Table1[[#This Row],[ORTools FZN2 Cost]],Table1[[#This Row],[ORTools FZN2 State]]="Optimal"),1,"")</f>
        <v/>
      </c>
      <c r="BL124" s="39" t="s">
        <v>42</v>
      </c>
      <c r="BM124" s="39">
        <v>-93196</v>
      </c>
      <c r="BN124" s="2">
        <v>300.04297559999998</v>
      </c>
      <c r="BO124" s="4" t="str">
        <f>IF(AND(Table1[[#This Row],[Z3 SMT2-2 PdMaxres Cost]]=Table1[[#This Row],[ORTools FZN2 Cost]],Table1[[#This Row],[ORTools FZN2 State]]="Optimal"),1,"")</f>
        <v/>
      </c>
      <c r="BP124" s="5" t="s">
        <v>26</v>
      </c>
      <c r="BQ124" s="2">
        <v>1382409</v>
      </c>
      <c r="BR124" s="2">
        <v>300.1837074</v>
      </c>
      <c r="BS124" s="2" t="str">
        <f>IF(AND(Table1[[#This Row],[Gurobi MB Cost]]=Table1[[#This Row],[ORTools FZN2 Cost]],Table1[[#This Row],[ORTools FZN2 State]]="Optimal",Table1[[#This Row],[Gurobi MB State]]="Suboptimal"),1,"")</f>
        <v/>
      </c>
      <c r="BT12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4" s="5" t="s">
        <v>26</v>
      </c>
      <c r="BV124" s="2">
        <v>186709</v>
      </c>
      <c r="BW124" s="2">
        <v>300.11046920000001</v>
      </c>
      <c r="BX124" s="2" t="str">
        <f>IF(AND(Table1[[#This Row],[Gurobi MD Cost]]=Table1[[#This Row],[ORTools FZN2 Cost]],Table1[[#This Row],[ORTools FZN2 State]]="Optimal",Table1[[#This Row],[Gurobi MD State]]="Suboptimal"),1,"")</f>
        <v/>
      </c>
      <c r="BY12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4" s="5" t="s">
        <v>26</v>
      </c>
      <c r="CA124" s="2">
        <v>186530</v>
      </c>
      <c r="CB124" s="2">
        <v>300.16399139999999</v>
      </c>
      <c r="CC124" s="2" t="str">
        <f>IF(AND(Table1[[#This Row],[Gurobi MI Cost]]=Table1[[#This Row],[ORTools FZN2 Cost]],Table1[[#This Row],[ORTools FZN2 State]]="Optimal",Table1[[#This Row],[Gurobi MI State]]="Suboptimal"),1,"")</f>
        <v/>
      </c>
      <c r="CD12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4" s="39" t="s">
        <v>42</v>
      </c>
      <c r="CF124" s="2">
        <v>-93196</v>
      </c>
      <c r="CG124" s="39">
        <v>306.04290909999997</v>
      </c>
      <c r="CH124" s="39" t="s">
        <v>42</v>
      </c>
      <c r="CI124" s="39">
        <v>-93196</v>
      </c>
      <c r="CJ124" s="2">
        <v>306.11533709999998</v>
      </c>
      <c r="CK124" s="5" t="s">
        <v>25</v>
      </c>
      <c r="CL124" s="2">
        <v>184503</v>
      </c>
      <c r="CM124" s="2">
        <v>54.032999999999397</v>
      </c>
      <c r="CN124" s="5" t="s">
        <v>26</v>
      </c>
      <c r="CO124" s="2">
        <v>648510</v>
      </c>
      <c r="CP124" s="2">
        <v>301.5282838</v>
      </c>
      <c r="CQ124" s="5" t="s">
        <v>25</v>
      </c>
      <c r="CR124" s="2">
        <v>184503</v>
      </c>
      <c r="CS124" s="2">
        <v>18.411172700000002</v>
      </c>
      <c r="CT124" s="6" t="s">
        <v>25</v>
      </c>
      <c r="CU124" s="4">
        <v>184503</v>
      </c>
      <c r="CV124" s="4">
        <v>14.3643289</v>
      </c>
      <c r="CW124" s="39" t="s">
        <v>26</v>
      </c>
      <c r="CX124" s="39">
        <v>1108407</v>
      </c>
      <c r="CY124" s="2">
        <v>300.00540000000001</v>
      </c>
      <c r="CZ124" s="2" t="str">
        <f>IF(AND(Table1[[#This Row],[Cplex MZ1 Cost]]=Table1[[#This Row],[ORTools FZN2 Cost]],Table1[[#This Row],[ORTools FZN2 State]]="Optimal",Table1[[#This Row],[Cplex MZ1 State]]="Suboptimal"),1,"")</f>
        <v/>
      </c>
      <c r="DA124" s="5" t="s">
        <v>26</v>
      </c>
      <c r="DB124" s="2">
        <v>733687</v>
      </c>
      <c r="DC124" s="2">
        <v>300.01620000000003</v>
      </c>
      <c r="DD124" s="2" t="str">
        <f>IF(AND(Table1[[#This Row],[Cplex MZ2 Cost]]=Table1[[#This Row],[ORTools FZN2 Cost]],Table1[[#This Row],[ORTools FZN2 State]]="Optimal",Table1[[#This Row],[Cplex MZ2 State]]="Suboptimal"),1,"")</f>
        <v/>
      </c>
      <c r="DE124" s="39" t="s">
        <v>26</v>
      </c>
      <c r="DF124" s="39">
        <v>1197728</v>
      </c>
      <c r="DG124" s="2">
        <v>300.00479999999999</v>
      </c>
      <c r="DH124" s="2" t="str">
        <f>IF(AND(Table1[[#This Row],[Gurobi MZ1 Cost]]=Table1[[#This Row],[ORTools FZN2 Cost]],Table1[[#This Row],[ORTools FZN2 State]]="Optimal",Table1[[#This Row],[Gurobi MZ1 State]]="Suboptimal"),1,"")</f>
        <v/>
      </c>
      <c r="DI124" s="5" t="s">
        <v>26</v>
      </c>
      <c r="DJ124" s="2">
        <v>735759</v>
      </c>
      <c r="DK124" s="2">
        <v>300.00549999999998</v>
      </c>
      <c r="DL124" s="4" t="str">
        <f>IF(AND(Table1[[#This Row],[Gurobi MZ2 Cost]]=Table1[[#This Row],[ORTools FZN2 Cost]],Table1[[#This Row],[ORTools FZN2 State]]="Optimal",Table1[[#This Row],[Gurobi MZ2 State]]="Suboptimal"),1,"")</f>
        <v/>
      </c>
      <c r="DM124" s="39" t="s">
        <v>25</v>
      </c>
      <c r="DN124" s="39">
        <v>184503</v>
      </c>
      <c r="DO124" s="65">
        <v>127.43699999999799</v>
      </c>
      <c r="DP124" s="4" t="str">
        <f>IF(AND(Table1[[#This Row],[Cplex MC nonDual Cost]]=Table1[[#This Row],[ORTools FZN2 Cost]],Table1[[#This Row],[ORTools FZN2 State]]="Optimal",Table1[[#This Row],[Cplex MC nonDual State]]="Suboptimal"),1,"")</f>
        <v/>
      </c>
      <c r="DQ124" s="5" t="s">
        <v>26</v>
      </c>
      <c r="DR124" s="2">
        <v>922104</v>
      </c>
      <c r="DS124" s="2">
        <v>300.01339999999999</v>
      </c>
      <c r="DT124" s="2" t="str">
        <f>IF(AND(Table1[[#This Row],[Cplex MIP DM''z Cost]]=Table1[[#This Row],[ORTools FZN2 Cost]],Table1[[#This Row],[ORTools FZN2 State]]="Optimal",Table1[[#This Row],[Cplex MIP DM''z  State]]="Suboptimal"),1,"")</f>
        <v/>
      </c>
      <c r="DU12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4" s="5" t="s">
        <v>26</v>
      </c>
      <c r="DW124" s="2">
        <v>922149</v>
      </c>
      <c r="DX124" s="2">
        <v>300.02670000000001</v>
      </c>
      <c r="DY124" s="4" t="str">
        <f>IF(AND(Table1[[#This Row],[Gurobi DM''z  Cost]]=Table1[[#This Row],[ORTools FZN2 Cost]],Table1[[#This Row],[ORTools FZN2 State]]="Optimal",Table1[[#This Row],[Gurobi DM''z  State]]="Suboptimal"),1,"")</f>
        <v/>
      </c>
      <c r="DZ12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5" spans="1:130" ht="15.75" x14ac:dyDescent="0.25">
      <c r="A125" s="47" t="s">
        <v>151</v>
      </c>
      <c r="B125" s="5">
        <v>45</v>
      </c>
      <c r="C125" s="2">
        <v>20</v>
      </c>
      <c r="D125" s="5">
        <v>257</v>
      </c>
      <c r="E125" s="2">
        <v>35</v>
      </c>
      <c r="F125" s="5">
        <v>43</v>
      </c>
      <c r="G125" s="2">
        <v>0</v>
      </c>
      <c r="H125" s="4">
        <f t="shared" si="1"/>
        <v>5</v>
      </c>
      <c r="I125" s="4">
        <f>Table1[[#This Row],[B]]+Table1[[#This Row],[Atomic Constraints]]+Table1[[#This Row],[Soft Atomic Constraints]]+Table1[[#This Row],[Disjunctive Constraints]]+Table1[[#This Row],[Direct Successors]]</f>
        <v>355</v>
      </c>
      <c r="J125" s="5" t="s">
        <v>25</v>
      </c>
      <c r="K125" s="2">
        <v>10</v>
      </c>
      <c r="L125" s="2">
        <v>206.79590289999999</v>
      </c>
      <c r="M125" s="2" t="str">
        <f>IF(AND(Table1[[#This Row],[Chuffed MZ1 Cost]]=Table1[[#This Row],[ORTools FZN2 Cost]],Table1[[#This Row],[ORTools FZN2 State]]="Optimal",Table1[[#This Row],[Chuffed MZ1 State]]="Suboptimal"),1,"")</f>
        <v/>
      </c>
      <c r="N125" s="5" t="s">
        <v>26</v>
      </c>
      <c r="O125" s="2">
        <v>93750</v>
      </c>
      <c r="P125" s="2">
        <v>301.58355119999999</v>
      </c>
      <c r="Q125" s="2" t="str">
        <f>IF(AND(Table1[[#This Row],[Chuffed MZ2 Cost]]=Table1[[#This Row],[ORTools FZN2 Cost]],Table1[[#This Row],[ORTools FZN2 State]]="Optimal",Table1[[#This Row],[Chuffed MZ2 State]]="Suboptimal"),1,"")</f>
        <v/>
      </c>
      <c r="R125" s="11" t="s">
        <v>26</v>
      </c>
      <c r="S125" s="11">
        <v>10</v>
      </c>
      <c r="T125" s="11">
        <v>300.04400000000197</v>
      </c>
      <c r="U125" s="11">
        <v>1</v>
      </c>
      <c r="V125" s="5" t="s">
        <v>25</v>
      </c>
      <c r="W125" s="2">
        <v>10</v>
      </c>
      <c r="X125" s="2">
        <v>8.4860968999999997</v>
      </c>
      <c r="Y125" s="2" t="str">
        <f>IF(AND(Table1[[#This Row],[ORTools FZN1 Cost]]=Table1[[#This Row],[ORTools FZN2 Cost]],Table1[[#This Row],[ORTools FZN2 State]]="Optimal",Table1[[#This Row],[ORTools FZN1 State]]="Suboptimal"),1,"")</f>
        <v/>
      </c>
      <c r="Z125" s="5" t="s">
        <v>25</v>
      </c>
      <c r="AA125" s="2">
        <v>10</v>
      </c>
      <c r="AB125" s="2">
        <v>9.3436579000000002</v>
      </c>
      <c r="AC125" s="39" t="s">
        <v>25</v>
      </c>
      <c r="AD125" s="39">
        <v>10</v>
      </c>
      <c r="AE125" s="2">
        <v>108.63345409999999</v>
      </c>
      <c r="AF125" s="2" t="str">
        <f>IF(AND(Table1[[#This Row],[Cplex MB Cost]]=Table1[[#This Row],[ORTools FZN2 Cost]],Table1[[#This Row],[ORTools FZN2 State]]="Optimal",Table1[[#This Row],[Cplex MB State]]="Suboptimal"),1,"")</f>
        <v/>
      </c>
      <c r="AG125" s="4">
        <f>IF(AND(AC125="Optimal",AD125&lt;&gt;AA125,Table1[[#This Row],[Example]]&lt;&gt;"R001",Table1[[#This Row],[Example]]&lt;&gt;"R002"),AD125-AA125,)</f>
        <v>0</v>
      </c>
      <c r="AH125" s="5" t="s">
        <v>42</v>
      </c>
      <c r="AI125" s="2">
        <v>-93196</v>
      </c>
      <c r="AJ125" s="2">
        <v>300.43034549999999</v>
      </c>
      <c r="AK125" s="2" t="str">
        <f>IF(AND(Table1[[#This Row],[Cplex MD Cost]]=Table1[[#This Row],[ORTools FZN2 Cost]],Table1[[#This Row],[ORTools FZN2 State]]="Optimal",Table1[[#This Row],[Cplex MD State]]="Suboptimal"),1,"")</f>
        <v/>
      </c>
      <c r="AL125" s="2">
        <f>IF(AND(AH125="Optimal",AI125&lt;&gt;AA125,Table1[[#This Row],[Example]]&lt;&gt;"R001",Table1[[#This Row],[Example]]&lt;&gt;"R002"),AI125-AA125,)</f>
        <v>0</v>
      </c>
      <c r="AM125" s="39" t="s">
        <v>25</v>
      </c>
      <c r="AN125" s="39">
        <v>10</v>
      </c>
      <c r="AO125" s="2">
        <v>23.796657499999998</v>
      </c>
      <c r="AP12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5" s="2" t="str">
        <f>IF(AND(Table1[[#This Row],[Cplex MI Cost]]=Table1[[#This Row],[ORTools FZN2 Cost]],Table1[[#This Row],[ORTools FZN2 State]]="Optimal",Table1[[#This Row],[Cplex MI State]]="Suboptimal"),1,"")</f>
        <v/>
      </c>
      <c r="AR125" s="5" t="s">
        <v>42</v>
      </c>
      <c r="AS125" s="2">
        <v>-93196</v>
      </c>
      <c r="AT125" s="2">
        <v>300.05106819999997</v>
      </c>
      <c r="AU125" s="2" t="str">
        <f>IF(AND(Table1[[#This Row],[Z3 SMT2-1 Maxres Cost]]=Table1[[#This Row],[ORTools FZN2 Cost]],Table1[[#This Row],[ORTools FZN2 State]]="Optimal"),1,"")</f>
        <v/>
      </c>
      <c r="AV125" s="39" t="s">
        <v>42</v>
      </c>
      <c r="AW125" s="39">
        <v>-93196</v>
      </c>
      <c r="AX125" s="2">
        <v>300.04250109999998</v>
      </c>
      <c r="AY125" s="2" t="str">
        <f>IF(AND(Table1[[#This Row],[Z3 SMT2-1 PdMaxres Cost]]=Table1[[#This Row],[ORTools FZN2 Cost]],Table1[[#This Row],[ORTools FZN2 State]]="Optimal"),1,"")</f>
        <v/>
      </c>
      <c r="AZ125" s="5" t="s">
        <v>42</v>
      </c>
      <c r="BA125" s="2">
        <v>-93196</v>
      </c>
      <c r="BB125" s="39">
        <v>300.04155029999998</v>
      </c>
      <c r="BC125" s="39" t="str">
        <f>IF(AND(Table1[[#This Row],[Z3 SMT2-1 WMax Cost]]=Table1[[#This Row],[ORTools FZN2 Cost]],Table1[[#This Row],[ORTools FZN2 State]]="Optimal"),1,"")</f>
        <v/>
      </c>
      <c r="BD125" s="39" t="s">
        <v>42</v>
      </c>
      <c r="BE125" s="39">
        <v>-93196</v>
      </c>
      <c r="BF125" s="2">
        <v>300.04665490000002</v>
      </c>
      <c r="BG125" s="2" t="str">
        <f>IF(AND(Table1[[#This Row],[Z3 SMT2-2 Maxres Cost]]=Table1[[#This Row],[ORTools FZN2 Cost]],Table1[[#This Row],[ORTools FZN2 State]]="Optimal"),1,"")</f>
        <v/>
      </c>
      <c r="BH125" s="5" t="s">
        <v>42</v>
      </c>
      <c r="BI125" s="2">
        <v>-93196</v>
      </c>
      <c r="BJ125" s="39">
        <v>300.06248090000003</v>
      </c>
      <c r="BK125" s="39" t="str">
        <f>IF(AND(Table1[[#This Row],[Z3 SMT2-2 PdMaxres Cost]]=Table1[[#This Row],[ORTools FZN2 Cost]],Table1[[#This Row],[ORTools FZN2 State]]="Optimal"),1,"")</f>
        <v/>
      </c>
      <c r="BL125" s="39" t="s">
        <v>42</v>
      </c>
      <c r="BM125" s="39">
        <v>-93196</v>
      </c>
      <c r="BN125" s="2">
        <v>300.05458370000002</v>
      </c>
      <c r="BO125" s="4" t="str">
        <f>IF(AND(Table1[[#This Row],[Z3 SMT2-2 PdMaxres Cost]]=Table1[[#This Row],[ORTools FZN2 Cost]],Table1[[#This Row],[ORTools FZN2 State]]="Optimal"),1,"")</f>
        <v/>
      </c>
      <c r="BP125" s="5" t="s">
        <v>25</v>
      </c>
      <c r="BQ125" s="2">
        <v>10</v>
      </c>
      <c r="BR125" s="2">
        <v>98.451435799999999</v>
      </c>
      <c r="BS125" s="2" t="str">
        <f>IF(AND(Table1[[#This Row],[Gurobi MB Cost]]=Table1[[#This Row],[ORTools FZN2 Cost]],Table1[[#This Row],[ORTools FZN2 State]]="Optimal",Table1[[#This Row],[Gurobi MB State]]="Suboptimal"),1,"")</f>
        <v/>
      </c>
      <c r="BT12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5" s="5" t="s">
        <v>42</v>
      </c>
      <c r="BV125" s="2">
        <v>-93196</v>
      </c>
      <c r="BW125" s="2">
        <v>300.14179419999999</v>
      </c>
      <c r="BX125" s="2" t="str">
        <f>IF(AND(Table1[[#This Row],[Gurobi MD Cost]]=Table1[[#This Row],[ORTools FZN2 Cost]],Table1[[#This Row],[ORTools FZN2 State]]="Optimal",Table1[[#This Row],[Gurobi MD State]]="Suboptimal"),1,"")</f>
        <v/>
      </c>
      <c r="BY12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5" s="5" t="s">
        <v>25</v>
      </c>
      <c r="CA125" s="2">
        <v>10</v>
      </c>
      <c r="CB125" s="2">
        <v>107.3014591</v>
      </c>
      <c r="CC125" s="2" t="str">
        <f>IF(AND(Table1[[#This Row],[Gurobi MI Cost]]=Table1[[#This Row],[ORTools FZN2 Cost]],Table1[[#This Row],[ORTools FZN2 State]]="Optimal",Table1[[#This Row],[Gurobi MI State]]="Suboptimal"),1,"")</f>
        <v/>
      </c>
      <c r="CD12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5" s="39" t="s">
        <v>42</v>
      </c>
      <c r="CF125" s="2">
        <v>-93196</v>
      </c>
      <c r="CG125" s="39">
        <v>306.08698600000002</v>
      </c>
      <c r="CH125" s="39" t="s">
        <v>42</v>
      </c>
      <c r="CI125" s="39">
        <v>-93196</v>
      </c>
      <c r="CJ125" s="2">
        <v>306.10614190000001</v>
      </c>
      <c r="CK125" s="5" t="s">
        <v>26</v>
      </c>
      <c r="CL125" s="2">
        <v>10</v>
      </c>
      <c r="CM125" s="2">
        <v>300.01399999999899</v>
      </c>
      <c r="CN125" s="5" t="s">
        <v>26</v>
      </c>
      <c r="CO125" s="2">
        <v>1015123</v>
      </c>
      <c r="CP125" s="2">
        <v>301.5208275</v>
      </c>
      <c r="CQ125" s="5" t="s">
        <v>25</v>
      </c>
      <c r="CR125" s="2">
        <v>10</v>
      </c>
      <c r="CS125" s="2">
        <v>15.9713923</v>
      </c>
      <c r="CT125" s="6" t="s">
        <v>25</v>
      </c>
      <c r="CU125" s="4">
        <v>10</v>
      </c>
      <c r="CV125" s="4">
        <v>14.396266799999999</v>
      </c>
      <c r="CW125" s="39" t="s">
        <v>26</v>
      </c>
      <c r="CX125" s="39">
        <v>93252</v>
      </c>
      <c r="CY125" s="2">
        <v>300.00819999999999</v>
      </c>
      <c r="CZ125" s="2" t="str">
        <f>IF(AND(Table1[[#This Row],[Cplex MZ1 Cost]]=Table1[[#This Row],[ORTools FZN2 Cost]],Table1[[#This Row],[ORTools FZN2 State]]="Optimal",Table1[[#This Row],[Cplex MZ1 State]]="Suboptimal"),1,"")</f>
        <v/>
      </c>
      <c r="DA125" s="5" t="s">
        <v>26</v>
      </c>
      <c r="DB125" s="2">
        <v>12</v>
      </c>
      <c r="DC125" s="2">
        <v>300.0179</v>
      </c>
      <c r="DD125" s="2" t="str">
        <f>IF(AND(Table1[[#This Row],[Cplex MZ2 Cost]]=Table1[[#This Row],[ORTools FZN2 Cost]],Table1[[#This Row],[ORTools FZN2 State]]="Optimal",Table1[[#This Row],[Cplex MZ2 State]]="Suboptimal"),1,"")</f>
        <v/>
      </c>
      <c r="DE125" s="39" t="s">
        <v>26</v>
      </c>
      <c r="DF125" s="39">
        <v>369373</v>
      </c>
      <c r="DG125" s="2">
        <v>300.01049999999998</v>
      </c>
      <c r="DH125" s="2" t="str">
        <f>IF(AND(Table1[[#This Row],[Gurobi MZ1 Cost]]=Table1[[#This Row],[ORTools FZN2 Cost]],Table1[[#This Row],[ORTools FZN2 State]]="Optimal",Table1[[#This Row],[Gurobi MZ1 State]]="Suboptimal"),1,"")</f>
        <v/>
      </c>
      <c r="DI125" s="12" t="s">
        <v>26</v>
      </c>
      <c r="DJ125" s="12">
        <v>10</v>
      </c>
      <c r="DK125" s="12">
        <v>300.00670000000002</v>
      </c>
      <c r="DL125" s="11">
        <f>IF(AND(Table1[[#This Row],[Gurobi MZ2 Cost]]=Table1[[#This Row],[ORTools FZN2 Cost]],Table1[[#This Row],[ORTools FZN2 State]]="Optimal",Table1[[#This Row],[Gurobi MZ2 State]]="Suboptimal"),1,"")</f>
        <v>1</v>
      </c>
      <c r="DM125" s="39" t="s">
        <v>26</v>
      </c>
      <c r="DN125" s="12">
        <v>10</v>
      </c>
      <c r="DO125" s="69">
        <v>300.02199999999698</v>
      </c>
      <c r="DP125" s="11">
        <f>IF(AND(Table1[[#This Row],[Cplex MC nonDual Cost]]=Table1[[#This Row],[ORTools FZN2 Cost]],Table1[[#This Row],[ORTools FZN2 State]]="Optimal",Table1[[#This Row],[Cplex MC nonDual State]]="Suboptimal"),1,"")</f>
        <v>1</v>
      </c>
      <c r="DQ125" s="5" t="s">
        <v>26</v>
      </c>
      <c r="DR125" s="2">
        <v>93250</v>
      </c>
      <c r="DS125" s="2">
        <v>300.02539999999999</v>
      </c>
      <c r="DT125" s="2" t="str">
        <f>IF(AND(Table1[[#This Row],[Cplex MIP DM''z Cost]]=Table1[[#This Row],[ORTools FZN2 Cost]],Table1[[#This Row],[ORTools FZN2 State]]="Optimal",Table1[[#This Row],[Cplex MIP DM''z  State]]="Suboptimal"),1,"")</f>
        <v/>
      </c>
      <c r="DU12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5" s="5" t="s">
        <v>26</v>
      </c>
      <c r="DW125" s="2">
        <v>184376</v>
      </c>
      <c r="DX125" s="2">
        <v>300.02809999999999</v>
      </c>
      <c r="DY125" s="4" t="str">
        <f>IF(AND(Table1[[#This Row],[Gurobi DM''z  Cost]]=Table1[[#This Row],[ORTools FZN2 Cost]],Table1[[#This Row],[ORTools FZN2 State]]="Optimal",Table1[[#This Row],[Gurobi DM''z  State]]="Suboptimal"),1,"")</f>
        <v/>
      </c>
      <c r="DZ12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6" spans="1:130" ht="15.75" x14ac:dyDescent="0.25">
      <c r="A126" s="46" t="s">
        <v>152</v>
      </c>
      <c r="B126" s="5">
        <v>45</v>
      </c>
      <c r="C126" s="2">
        <v>20</v>
      </c>
      <c r="D126" s="5">
        <v>201</v>
      </c>
      <c r="E126" s="2">
        <v>31</v>
      </c>
      <c r="F126" s="5">
        <v>39</v>
      </c>
      <c r="G126" s="2">
        <v>0</v>
      </c>
      <c r="H126" s="4">
        <f t="shared" si="1"/>
        <v>5</v>
      </c>
      <c r="I126" s="4">
        <f>Table1[[#This Row],[B]]+Table1[[#This Row],[Atomic Constraints]]+Table1[[#This Row],[Soft Atomic Constraints]]+Table1[[#This Row],[Disjunctive Constraints]]+Table1[[#This Row],[Direct Successors]]</f>
        <v>291</v>
      </c>
      <c r="J126" s="5" t="s">
        <v>26</v>
      </c>
      <c r="K126" s="2">
        <v>369008</v>
      </c>
      <c r="L126" s="2">
        <v>301.5600627</v>
      </c>
      <c r="M126" s="2" t="str">
        <f>IF(AND(Table1[[#This Row],[Chuffed MZ1 Cost]]=Table1[[#This Row],[ORTools FZN2 Cost]],Table1[[#This Row],[ORTools FZN2 State]]="Optimal",Table1[[#This Row],[Chuffed MZ1 State]]="Suboptimal"),1,"")</f>
        <v/>
      </c>
      <c r="N126" s="5" t="s">
        <v>26</v>
      </c>
      <c r="O126" s="2">
        <v>277745</v>
      </c>
      <c r="P126" s="2">
        <v>301.56849319999998</v>
      </c>
      <c r="Q126" s="2" t="str">
        <f>IF(AND(Table1[[#This Row],[Chuffed MZ2 Cost]]=Table1[[#This Row],[ORTools FZN2 Cost]],Table1[[#This Row],[ORTools FZN2 State]]="Optimal",Table1[[#This Row],[Chuffed MZ2 State]]="Suboptimal"),1,"")</f>
        <v/>
      </c>
      <c r="R126" s="6" t="s">
        <v>25</v>
      </c>
      <c r="S126" s="4">
        <v>184503</v>
      </c>
      <c r="T126" s="4">
        <v>55.264999999999397</v>
      </c>
      <c r="U126" s="4"/>
      <c r="V126" s="5" t="s">
        <v>25</v>
      </c>
      <c r="W126" s="2">
        <v>184503</v>
      </c>
      <c r="X126" s="2">
        <v>10.482691000000001</v>
      </c>
      <c r="Y126" s="2" t="str">
        <f>IF(AND(Table1[[#This Row],[ORTools FZN1 Cost]]=Table1[[#This Row],[ORTools FZN2 Cost]],Table1[[#This Row],[ORTools FZN2 State]]="Optimal",Table1[[#This Row],[ORTools FZN1 State]]="Suboptimal"),1,"")</f>
        <v/>
      </c>
      <c r="Z126" s="5" t="s">
        <v>25</v>
      </c>
      <c r="AA126" s="2">
        <v>184503</v>
      </c>
      <c r="AB126" s="2">
        <v>7.7177652999999999</v>
      </c>
      <c r="AC126" s="39" t="s">
        <v>42</v>
      </c>
      <c r="AD126" s="39">
        <v>-93196</v>
      </c>
      <c r="AE126" s="2">
        <v>300.0967665</v>
      </c>
      <c r="AF126" s="2" t="str">
        <f>IF(AND(Table1[[#This Row],[Cplex MB Cost]]=Table1[[#This Row],[ORTools FZN2 Cost]],Table1[[#This Row],[ORTools FZN2 State]]="Optimal",Table1[[#This Row],[Cplex MB State]]="Suboptimal"),1,"")</f>
        <v/>
      </c>
      <c r="AG126" s="4">
        <f>IF(AND(AC126="Optimal",AD126&lt;&gt;AA126,Table1[[#This Row],[Example]]&lt;&gt;"R001",Table1[[#This Row],[Example]]&lt;&gt;"R002"),AD126-AA126,)</f>
        <v>0</v>
      </c>
      <c r="AH126" s="5" t="s">
        <v>42</v>
      </c>
      <c r="AI126" s="2">
        <v>-93196</v>
      </c>
      <c r="AJ126" s="2">
        <v>305.64107780000001</v>
      </c>
      <c r="AK126" s="2" t="str">
        <f>IF(AND(Table1[[#This Row],[Cplex MD Cost]]=Table1[[#This Row],[ORTools FZN2 Cost]],Table1[[#This Row],[ORTools FZN2 State]]="Optimal",Table1[[#This Row],[Cplex MD State]]="Suboptimal"),1,"")</f>
        <v/>
      </c>
      <c r="AL126" s="4">
        <f>IF(AND(AH126="Optimal",AI126&lt;&gt;AA126,Table1[[#This Row],[Example]]&lt;&gt;"R001",Table1[[#This Row],[Example]]&lt;&gt;"R002"),AI126-AA126,)</f>
        <v>0</v>
      </c>
      <c r="AM126" s="39" t="s">
        <v>26</v>
      </c>
      <c r="AN126" s="39">
        <v>366753</v>
      </c>
      <c r="AO126" s="2">
        <v>300.09440860000001</v>
      </c>
      <c r="AP126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6" s="2" t="str">
        <f>IF(AND(Table1[[#This Row],[Cplex MI Cost]]=Table1[[#This Row],[ORTools FZN2 Cost]],Table1[[#This Row],[ORTools FZN2 State]]="Optimal",Table1[[#This Row],[Cplex MI State]]="Suboptimal"),1,"")</f>
        <v/>
      </c>
      <c r="AR126" s="5" t="s">
        <v>42</v>
      </c>
      <c r="AS126" s="2">
        <v>-93196</v>
      </c>
      <c r="AT126" s="2">
        <v>300.05595629999999</v>
      </c>
      <c r="AU126" s="2" t="str">
        <f>IF(AND(Table1[[#This Row],[Z3 SMT2-1 Maxres Cost]]=Table1[[#This Row],[ORTools FZN2 Cost]],Table1[[#This Row],[ORTools FZN2 State]]="Optimal"),1,"")</f>
        <v/>
      </c>
      <c r="AV126" s="39" t="s">
        <v>42</v>
      </c>
      <c r="AW126" s="39">
        <v>-93196</v>
      </c>
      <c r="AX126" s="2">
        <v>300.05040059999999</v>
      </c>
      <c r="AY126" s="2" t="str">
        <f>IF(AND(Table1[[#This Row],[Z3 SMT2-1 PdMaxres Cost]]=Table1[[#This Row],[ORTools FZN2 Cost]],Table1[[#This Row],[ORTools FZN2 State]]="Optimal"),1,"")</f>
        <v/>
      </c>
      <c r="AZ126" s="5" t="s">
        <v>42</v>
      </c>
      <c r="BA126" s="2">
        <v>-93196</v>
      </c>
      <c r="BB126" s="39">
        <v>300.05340619999998</v>
      </c>
      <c r="BC126" s="39" t="str">
        <f>IF(AND(Table1[[#This Row],[Z3 SMT2-1 WMax Cost]]=Table1[[#This Row],[ORTools FZN2 Cost]],Table1[[#This Row],[ORTools FZN2 State]]="Optimal"),1,"")</f>
        <v/>
      </c>
      <c r="BD126" s="39" t="s">
        <v>42</v>
      </c>
      <c r="BE126" s="39">
        <v>-93196</v>
      </c>
      <c r="BF126" s="2">
        <v>300.05046850000002</v>
      </c>
      <c r="BG126" s="2" t="str">
        <f>IF(AND(Table1[[#This Row],[Z3 SMT2-2 Maxres Cost]]=Table1[[#This Row],[ORTools FZN2 Cost]],Table1[[#This Row],[ORTools FZN2 State]]="Optimal"),1,"")</f>
        <v/>
      </c>
      <c r="BH126" s="5" t="s">
        <v>42</v>
      </c>
      <c r="BI126" s="2">
        <v>-93196</v>
      </c>
      <c r="BJ126" s="39">
        <v>300.04196930000001</v>
      </c>
      <c r="BK126" s="39" t="str">
        <f>IF(AND(Table1[[#This Row],[Z3 SMT2-2 PdMaxres Cost]]=Table1[[#This Row],[ORTools FZN2 Cost]],Table1[[#This Row],[ORTools FZN2 State]]="Optimal"),1,"")</f>
        <v/>
      </c>
      <c r="BL126" s="39" t="s">
        <v>42</v>
      </c>
      <c r="BM126" s="39">
        <v>-93196</v>
      </c>
      <c r="BN126" s="2">
        <v>300.05080290000001</v>
      </c>
      <c r="BO126" s="4" t="str">
        <f>IF(AND(Table1[[#This Row],[Z3 SMT2-2 PdMaxres Cost]]=Table1[[#This Row],[ORTools FZN2 Cost]],Table1[[#This Row],[ORTools FZN2 State]]="Optimal"),1,"")</f>
        <v/>
      </c>
      <c r="BP126" s="5" t="s">
        <v>25</v>
      </c>
      <c r="BQ126" s="2">
        <v>184503</v>
      </c>
      <c r="BR126" s="2">
        <v>122.8399103</v>
      </c>
      <c r="BS126" s="2" t="str">
        <f>IF(AND(Table1[[#This Row],[Gurobi MB Cost]]=Table1[[#This Row],[ORTools FZN2 Cost]],Table1[[#This Row],[ORTools FZN2 State]]="Optimal",Table1[[#This Row],[Gurobi MB State]]="Suboptimal"),1,"")</f>
        <v/>
      </c>
      <c r="BT12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6" s="5" t="s">
        <v>26</v>
      </c>
      <c r="BV126" s="2">
        <v>460228</v>
      </c>
      <c r="BW126" s="2">
        <v>300.18532690000001</v>
      </c>
      <c r="BX126" s="2" t="str">
        <f>IF(AND(Table1[[#This Row],[Gurobi MD Cost]]=Table1[[#This Row],[ORTools FZN2 Cost]],Table1[[#This Row],[ORTools FZN2 State]]="Optimal",Table1[[#This Row],[Gurobi MD State]]="Suboptimal"),1,"")</f>
        <v/>
      </c>
      <c r="BY12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6" s="5" t="s">
        <v>25</v>
      </c>
      <c r="CA126" s="2">
        <v>184503</v>
      </c>
      <c r="CB126" s="2">
        <v>146.01640370000001</v>
      </c>
      <c r="CC126" s="2" t="str">
        <f>IF(AND(Table1[[#This Row],[Gurobi MI Cost]]=Table1[[#This Row],[ORTools FZN2 Cost]],Table1[[#This Row],[ORTools FZN2 State]]="Optimal",Table1[[#This Row],[Gurobi MI State]]="Suboptimal"),1,"")</f>
        <v/>
      </c>
      <c r="CD12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6" s="39" t="s">
        <v>42</v>
      </c>
      <c r="CF126" s="2">
        <v>-93196</v>
      </c>
      <c r="CG126" s="39">
        <v>306.04399410000002</v>
      </c>
      <c r="CH126" s="39" t="s">
        <v>42</v>
      </c>
      <c r="CI126" s="39">
        <v>-93196</v>
      </c>
      <c r="CJ126" s="2">
        <v>306.10716020000001</v>
      </c>
      <c r="CK126" s="5" t="s">
        <v>25</v>
      </c>
      <c r="CL126" s="2">
        <v>184503</v>
      </c>
      <c r="CM126" s="2">
        <v>52.018000000000001</v>
      </c>
      <c r="CN126" s="5" t="s">
        <v>26</v>
      </c>
      <c r="CO126" s="2">
        <v>1299845</v>
      </c>
      <c r="CP126" s="2">
        <v>301.5130532</v>
      </c>
      <c r="CQ126" s="5" t="s">
        <v>25</v>
      </c>
      <c r="CR126" s="2">
        <v>184503</v>
      </c>
      <c r="CS126" s="2">
        <v>18.092289000000001</v>
      </c>
      <c r="CT126" s="6" t="s">
        <v>25</v>
      </c>
      <c r="CU126" s="4">
        <v>184503</v>
      </c>
      <c r="CV126" s="4">
        <v>14.7040831</v>
      </c>
      <c r="CW126" s="39" t="s">
        <v>26</v>
      </c>
      <c r="CX126" s="39">
        <v>735626</v>
      </c>
      <c r="CY126" s="2">
        <v>300.01949999999999</v>
      </c>
      <c r="CZ126" s="2" t="str">
        <f>IF(AND(Table1[[#This Row],[Cplex MZ1 Cost]]=Table1[[#This Row],[ORTools FZN2 Cost]],Table1[[#This Row],[ORTools FZN2 State]]="Optimal",Table1[[#This Row],[Cplex MZ1 State]]="Suboptimal"),1,"")</f>
        <v/>
      </c>
      <c r="DA126" s="5" t="s">
        <v>26</v>
      </c>
      <c r="DB126" s="2">
        <v>558501</v>
      </c>
      <c r="DC126" s="2">
        <v>300.01620000000003</v>
      </c>
      <c r="DD126" s="2" t="str">
        <f>IF(AND(Table1[[#This Row],[Cplex MZ2 Cost]]=Table1[[#This Row],[ORTools FZN2 Cost]],Table1[[#This Row],[ORTools FZN2 State]]="Optimal",Table1[[#This Row],[Cplex MZ2 State]]="Suboptimal"),1,"")</f>
        <v/>
      </c>
      <c r="DE126" s="39" t="s">
        <v>26</v>
      </c>
      <c r="DF126" s="39">
        <v>186620</v>
      </c>
      <c r="DG126" s="2">
        <v>300.00709999999998</v>
      </c>
      <c r="DH126" s="2" t="str">
        <f>IF(AND(Table1[[#This Row],[Gurobi MZ1 Cost]]=Table1[[#This Row],[ORTools FZN2 Cost]],Table1[[#This Row],[ORTools FZN2 State]]="Optimal",Table1[[#This Row],[Gurobi MZ1 State]]="Suboptimal"),1,"")</f>
        <v/>
      </c>
      <c r="DI126" s="5" t="s">
        <v>26</v>
      </c>
      <c r="DJ126" s="2">
        <v>557647</v>
      </c>
      <c r="DK126" s="2">
        <v>300.03070000000002</v>
      </c>
      <c r="DL126" s="4" t="str">
        <f>IF(AND(Table1[[#This Row],[Gurobi MZ2 Cost]]=Table1[[#This Row],[ORTools FZN2 Cost]],Table1[[#This Row],[ORTools FZN2 State]]="Optimal",Table1[[#This Row],[Gurobi MZ2 State]]="Suboptimal"),1,"")</f>
        <v/>
      </c>
      <c r="DM126" s="39" t="s">
        <v>25</v>
      </c>
      <c r="DN126" s="39">
        <v>184503</v>
      </c>
      <c r="DO126" s="65">
        <v>100.185000000001</v>
      </c>
      <c r="DP126" s="4" t="str">
        <f>IF(AND(Table1[[#This Row],[Cplex MC nonDual Cost]]=Table1[[#This Row],[ORTools FZN2 Cost]],Table1[[#This Row],[ORTools FZN2 State]]="Optimal",Table1[[#This Row],[Cplex MC nonDual State]]="Suboptimal"),1,"")</f>
        <v/>
      </c>
      <c r="DQ126" s="5" t="s">
        <v>26</v>
      </c>
      <c r="DR126" s="2">
        <v>551302</v>
      </c>
      <c r="DS126" s="2">
        <v>300.00819999999999</v>
      </c>
      <c r="DT126" s="2" t="str">
        <f>IF(AND(Table1[[#This Row],[Cplex MIP DM''z Cost]]=Table1[[#This Row],[ORTools FZN2 Cost]],Table1[[#This Row],[ORTools FZN2 State]]="Optimal",Table1[[#This Row],[Cplex MIP DM''z  State]]="Suboptimal"),1,"")</f>
        <v/>
      </c>
      <c r="DU12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6" s="5" t="s">
        <v>26</v>
      </c>
      <c r="DW126" s="2">
        <v>372923</v>
      </c>
      <c r="DX126" s="2">
        <v>300.0104</v>
      </c>
      <c r="DY126" s="4" t="str">
        <f>IF(AND(Table1[[#This Row],[Gurobi DM''z  Cost]]=Table1[[#This Row],[ORTools FZN2 Cost]],Table1[[#This Row],[ORTools FZN2 State]]="Optimal",Table1[[#This Row],[Gurobi DM''z  State]]="Suboptimal"),1,"")</f>
        <v/>
      </c>
      <c r="DZ12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7" spans="1:130" ht="15.75" x14ac:dyDescent="0.25">
      <c r="A127" s="47" t="s">
        <v>153</v>
      </c>
      <c r="B127" s="5">
        <v>52</v>
      </c>
      <c r="C127" s="2">
        <v>25</v>
      </c>
      <c r="D127" s="5">
        <v>300</v>
      </c>
      <c r="E127" s="2">
        <v>36</v>
      </c>
      <c r="F127" s="5">
        <v>39</v>
      </c>
      <c r="G127" s="2">
        <v>0</v>
      </c>
      <c r="H127" s="4">
        <f t="shared" si="1"/>
        <v>2</v>
      </c>
      <c r="I127" s="4">
        <f>Table1[[#This Row],[B]]+Table1[[#This Row],[Atomic Constraints]]+Table1[[#This Row],[Soft Atomic Constraints]]+Table1[[#This Row],[Disjunctive Constraints]]+Table1[[#This Row],[Direct Successors]]</f>
        <v>400</v>
      </c>
      <c r="J127" s="5" t="s">
        <v>26</v>
      </c>
      <c r="K127" s="2">
        <v>2708649</v>
      </c>
      <c r="L127" s="2">
        <v>302.01749430000001</v>
      </c>
      <c r="M127" s="2" t="str">
        <f>IF(AND(Table1[[#This Row],[Chuffed MZ1 Cost]]=Table1[[#This Row],[ORTools FZN2 Cost]],Table1[[#This Row],[ORTools FZN2 State]]="Optimal",Table1[[#This Row],[Chuffed MZ1 State]]="Suboptimal"),1,"")</f>
        <v/>
      </c>
      <c r="N127" s="5" t="s">
        <v>26</v>
      </c>
      <c r="O127" s="2">
        <v>2137631</v>
      </c>
      <c r="P127" s="2">
        <v>302.1186199</v>
      </c>
      <c r="Q127" s="2" t="str">
        <f>IF(AND(Table1[[#This Row],[Chuffed MZ2 Cost]]=Table1[[#This Row],[ORTools FZN2 Cost]],Table1[[#This Row],[ORTools FZN2 State]]="Optimal",Table1[[#This Row],[Chuffed MZ2 State]]="Suboptimal"),1,"")</f>
        <v/>
      </c>
      <c r="R127" s="11" t="s">
        <v>26</v>
      </c>
      <c r="S127" s="11">
        <v>424793</v>
      </c>
      <c r="T127" s="11">
        <v>300.05700000000098</v>
      </c>
      <c r="U127" s="11">
        <v>1</v>
      </c>
      <c r="V127" s="5" t="s">
        <v>25</v>
      </c>
      <c r="W127" s="2">
        <v>424793</v>
      </c>
      <c r="X127" s="2">
        <v>31.561227899999999</v>
      </c>
      <c r="Y127" s="2" t="str">
        <f>IF(AND(Table1[[#This Row],[ORTools FZN1 Cost]]=Table1[[#This Row],[ORTools FZN2 Cost]],Table1[[#This Row],[ORTools FZN2 State]]="Optimal",Table1[[#This Row],[ORTools FZN1 State]]="Suboptimal"),1,"")</f>
        <v/>
      </c>
      <c r="Z127" s="5" t="s">
        <v>25</v>
      </c>
      <c r="AA127" s="2">
        <v>424793</v>
      </c>
      <c r="AB127" s="2">
        <v>26.0912437</v>
      </c>
      <c r="AC127" s="39" t="s">
        <v>42</v>
      </c>
      <c r="AD127" s="39">
        <v>-143365</v>
      </c>
      <c r="AE127" s="2">
        <v>300.13332800000001</v>
      </c>
      <c r="AF127" s="2" t="str">
        <f>IF(AND(Table1[[#This Row],[Cplex MB Cost]]=Table1[[#This Row],[ORTools FZN2 Cost]],Table1[[#This Row],[ORTools FZN2 State]]="Optimal",Table1[[#This Row],[Cplex MB State]]="Suboptimal"),1,"")</f>
        <v/>
      </c>
      <c r="AG127" s="4">
        <f>IF(AND(AC127="Optimal",AD127&lt;&gt;AA127,Table1[[#This Row],[Example]]&lt;&gt;"R001",Table1[[#This Row],[Example]]&lt;&gt;"R002"),AD127-AA127,)</f>
        <v>0</v>
      </c>
      <c r="AH127" s="5" t="s">
        <v>26</v>
      </c>
      <c r="AI127" s="2">
        <v>3270554</v>
      </c>
      <c r="AJ127" s="2">
        <v>300.2545844</v>
      </c>
      <c r="AK127" s="2" t="str">
        <f>IF(AND(Table1[[#This Row],[Cplex MD Cost]]=Table1[[#This Row],[ORTools FZN2 Cost]],Table1[[#This Row],[ORTools FZN2 State]]="Optimal",Table1[[#This Row],[Cplex MD State]]="Suboptimal"),1,"")</f>
        <v/>
      </c>
      <c r="AL127" s="2">
        <f>IF(AND(AH127="Optimal",AI127&lt;&gt;AA127,Table1[[#This Row],[Example]]&lt;&gt;"R001",Table1[[#This Row],[Example]]&lt;&gt;"R002"),AI127-AA127,)</f>
        <v>0</v>
      </c>
      <c r="AM127" s="39" t="s">
        <v>42</v>
      </c>
      <c r="AN127" s="39">
        <v>-143365</v>
      </c>
      <c r="AO127" s="2">
        <v>300.09722590000001</v>
      </c>
      <c r="AP12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7" s="2" t="str">
        <f>IF(AND(Table1[[#This Row],[Cplex MI Cost]]=Table1[[#This Row],[ORTools FZN2 Cost]],Table1[[#This Row],[ORTools FZN2 State]]="Optimal",Table1[[#This Row],[Cplex MI State]]="Suboptimal"),1,"")</f>
        <v/>
      </c>
      <c r="AR127" s="5" t="s">
        <v>42</v>
      </c>
      <c r="AS127" s="2">
        <v>-143365</v>
      </c>
      <c r="AT127" s="2">
        <v>300.05696360000002</v>
      </c>
      <c r="AU127" s="2" t="str">
        <f>IF(AND(Table1[[#This Row],[Z3 SMT2-1 Maxres Cost]]=Table1[[#This Row],[ORTools FZN2 Cost]],Table1[[#This Row],[ORTools FZN2 State]]="Optimal"),1,"")</f>
        <v/>
      </c>
      <c r="AV127" s="39" t="s">
        <v>42</v>
      </c>
      <c r="AW127" s="39">
        <v>-143365</v>
      </c>
      <c r="AX127" s="2">
        <v>300.04993489999998</v>
      </c>
      <c r="AY127" s="2" t="str">
        <f>IF(AND(Table1[[#This Row],[Z3 SMT2-1 PdMaxres Cost]]=Table1[[#This Row],[ORTools FZN2 Cost]],Table1[[#This Row],[ORTools FZN2 State]]="Optimal"),1,"")</f>
        <v/>
      </c>
      <c r="AZ127" s="5" t="s">
        <v>42</v>
      </c>
      <c r="BA127" s="2">
        <v>-143365</v>
      </c>
      <c r="BB127" s="39">
        <v>300.05228649999998</v>
      </c>
      <c r="BC127" s="39" t="str">
        <f>IF(AND(Table1[[#This Row],[Z3 SMT2-1 WMax Cost]]=Table1[[#This Row],[ORTools FZN2 Cost]],Table1[[#This Row],[ORTools FZN2 State]]="Optimal"),1,"")</f>
        <v/>
      </c>
      <c r="BD127" s="39" t="s">
        <v>42</v>
      </c>
      <c r="BE127" s="39">
        <v>-143365</v>
      </c>
      <c r="BF127" s="2">
        <v>300.05388620000002</v>
      </c>
      <c r="BG127" s="2" t="str">
        <f>IF(AND(Table1[[#This Row],[Z3 SMT2-2 Maxres Cost]]=Table1[[#This Row],[ORTools FZN2 Cost]],Table1[[#This Row],[ORTools FZN2 State]]="Optimal"),1,"")</f>
        <v/>
      </c>
      <c r="BH127" s="5" t="s">
        <v>42</v>
      </c>
      <c r="BI127" s="2">
        <v>-143365</v>
      </c>
      <c r="BJ127" s="39">
        <v>300.04758240000001</v>
      </c>
      <c r="BK127" s="39" t="str">
        <f>IF(AND(Table1[[#This Row],[Z3 SMT2-2 PdMaxres Cost]]=Table1[[#This Row],[ORTools FZN2 Cost]],Table1[[#This Row],[ORTools FZN2 State]]="Optimal"),1,"")</f>
        <v/>
      </c>
      <c r="BL127" s="39" t="s">
        <v>42</v>
      </c>
      <c r="BM127" s="39">
        <v>-143365</v>
      </c>
      <c r="BN127" s="2">
        <v>300.04609549999998</v>
      </c>
      <c r="BO127" s="4" t="str">
        <f>IF(AND(Table1[[#This Row],[Z3 SMT2-2 PdMaxres Cost]]=Table1[[#This Row],[ORTools FZN2 Cost]],Table1[[#This Row],[ORTools FZN2 State]]="Optimal"),1,"")</f>
        <v/>
      </c>
      <c r="BP127" s="5" t="s">
        <v>42</v>
      </c>
      <c r="BQ127" s="2">
        <v>-143365</v>
      </c>
      <c r="BR127" s="2">
        <v>300.15543350000002</v>
      </c>
      <c r="BS127" s="2" t="str">
        <f>IF(AND(Table1[[#This Row],[Gurobi MB Cost]]=Table1[[#This Row],[ORTools FZN2 Cost]],Table1[[#This Row],[ORTools FZN2 State]]="Optimal",Table1[[#This Row],[Gurobi MB State]]="Suboptimal"),1,"")</f>
        <v/>
      </c>
      <c r="BT12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7" s="5" t="s">
        <v>42</v>
      </c>
      <c r="BV127" s="2">
        <v>-143365</v>
      </c>
      <c r="BW127" s="2">
        <v>300.16232309999998</v>
      </c>
      <c r="BX127" s="2" t="str">
        <f>IF(AND(Table1[[#This Row],[Gurobi MD Cost]]=Table1[[#This Row],[ORTools FZN2 Cost]],Table1[[#This Row],[ORTools FZN2 State]]="Optimal",Table1[[#This Row],[Gurobi MD State]]="Suboptimal"),1,"")</f>
        <v/>
      </c>
      <c r="BY12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7" s="5" t="s">
        <v>26</v>
      </c>
      <c r="CA127" s="2">
        <v>1983189</v>
      </c>
      <c r="CB127" s="2">
        <v>300.27444759999997</v>
      </c>
      <c r="CC127" s="2" t="str">
        <f>IF(AND(Table1[[#This Row],[Gurobi MI Cost]]=Table1[[#This Row],[ORTools FZN2 Cost]],Table1[[#This Row],[ORTools FZN2 State]]="Optimal",Table1[[#This Row],[Gurobi MI State]]="Suboptimal"),1,"")</f>
        <v/>
      </c>
      <c r="CD12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7" s="39" t="s">
        <v>42</v>
      </c>
      <c r="CF127" s="2">
        <v>-143365</v>
      </c>
      <c r="CG127" s="39">
        <v>306.20041529999997</v>
      </c>
      <c r="CH127" s="39" t="s">
        <v>42</v>
      </c>
      <c r="CI127" s="39">
        <v>-143365</v>
      </c>
      <c r="CJ127" s="2">
        <v>306.09164240000001</v>
      </c>
      <c r="CK127" s="5" t="s">
        <v>26</v>
      </c>
      <c r="CL127" s="2">
        <v>424793</v>
      </c>
      <c r="CM127" s="2">
        <v>300.09000000000202</v>
      </c>
      <c r="CN127" s="5" t="s">
        <v>26</v>
      </c>
      <c r="CO127" s="2">
        <v>1704883</v>
      </c>
      <c r="CP127" s="2">
        <v>302.01500570000002</v>
      </c>
      <c r="CQ127" s="5" t="s">
        <v>25</v>
      </c>
      <c r="CR127" s="2">
        <v>424793</v>
      </c>
      <c r="CS127" s="2">
        <v>36.369983900000001</v>
      </c>
      <c r="CT127" s="6" t="s">
        <v>25</v>
      </c>
      <c r="CU127" s="4">
        <v>424793</v>
      </c>
      <c r="CV127" s="4">
        <v>23.834995800000002</v>
      </c>
      <c r="CW127" s="39" t="s">
        <v>26</v>
      </c>
      <c r="CX127" s="39">
        <v>2266847</v>
      </c>
      <c r="CY127" s="2">
        <v>300.036</v>
      </c>
      <c r="CZ127" s="2" t="str">
        <f>IF(AND(Table1[[#This Row],[Cplex MZ1 Cost]]=Table1[[#This Row],[ORTools FZN2 Cost]],Table1[[#This Row],[ORTools FZN2 State]]="Optimal",Table1[[#This Row],[Cplex MZ1 State]]="Suboptimal"),1,"")</f>
        <v/>
      </c>
      <c r="DA127" s="5" t="s">
        <v>26</v>
      </c>
      <c r="DB127" s="2">
        <v>1704256</v>
      </c>
      <c r="DC127" s="2">
        <v>300.00990000000002</v>
      </c>
      <c r="DD127" s="2" t="str">
        <f>IF(AND(Table1[[#This Row],[Cplex MZ2 Cost]]=Table1[[#This Row],[ORTools FZN2 Cost]],Table1[[#This Row],[ORTools FZN2 State]]="Optimal",Table1[[#This Row],[Cplex MZ2 State]]="Suboptimal"),1,"")</f>
        <v/>
      </c>
      <c r="DE127" s="39" t="s">
        <v>42</v>
      </c>
      <c r="DF127" s="39"/>
      <c r="DG127" s="2">
        <v>300.01220000000001</v>
      </c>
      <c r="DH127" s="2" t="str">
        <f>IF(AND(Table1[[#This Row],[Gurobi MZ1 Cost]]=Table1[[#This Row],[ORTools FZN2 Cost]],Table1[[#This Row],[ORTools FZN2 State]]="Optimal",Table1[[#This Row],[Gurobi MZ1 State]]="Suboptimal"),1,"")</f>
        <v/>
      </c>
      <c r="DI127" s="5" t="s">
        <v>42</v>
      </c>
      <c r="DJ127" s="2"/>
      <c r="DK127" s="2">
        <v>300.00490000000002</v>
      </c>
      <c r="DL127" s="4" t="str">
        <f>IF(AND(Table1[[#This Row],[Gurobi MZ2 Cost]]=Table1[[#This Row],[ORTools FZN2 Cost]],Table1[[#This Row],[ORTools FZN2 State]]="Optimal",Table1[[#This Row],[Gurobi MZ2 State]]="Suboptimal"),1,"")</f>
        <v/>
      </c>
      <c r="DM127" s="39" t="s">
        <v>26</v>
      </c>
      <c r="DN127" s="12">
        <v>424793</v>
      </c>
      <c r="DO127" s="69">
        <v>300.14199999999897</v>
      </c>
      <c r="DP127" s="11">
        <f>IF(AND(Table1[[#This Row],[Cplex MC nonDual Cost]]=Table1[[#This Row],[ORTools FZN2 Cost]],Table1[[#This Row],[ORTools FZN2 State]]="Optimal",Table1[[#This Row],[Cplex MC nonDual State]]="Suboptimal"),1,"")</f>
        <v>1</v>
      </c>
      <c r="DQ127" s="5" t="s">
        <v>26</v>
      </c>
      <c r="DR127" s="2">
        <v>1842159</v>
      </c>
      <c r="DS127" s="2">
        <v>300.02330000000001</v>
      </c>
      <c r="DT127" s="2" t="str">
        <f>IF(AND(Table1[[#This Row],[Cplex MIP DM''z Cost]]=Table1[[#This Row],[ORTools FZN2 Cost]],Table1[[#This Row],[ORTools FZN2 State]]="Optimal",Table1[[#This Row],[Cplex MIP DM''z  State]]="Suboptimal"),1,"")</f>
        <v/>
      </c>
      <c r="DU12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7" s="5" t="s">
        <v>42</v>
      </c>
      <c r="DW127" s="2"/>
      <c r="DX127" s="2">
        <v>300.01089999999999</v>
      </c>
      <c r="DY127" s="4" t="str">
        <f>IF(AND(Table1[[#This Row],[Gurobi DM''z  Cost]]=Table1[[#This Row],[ORTools FZN2 Cost]],Table1[[#This Row],[ORTools FZN2 State]]="Optimal",Table1[[#This Row],[Gurobi DM''z  State]]="Suboptimal"),1,"")</f>
        <v/>
      </c>
      <c r="DZ12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8" spans="1:130" ht="15.75" x14ac:dyDescent="0.25">
      <c r="A128" s="46" t="s">
        <v>154</v>
      </c>
      <c r="B128" s="5">
        <v>52</v>
      </c>
      <c r="C128" s="2">
        <v>25</v>
      </c>
      <c r="D128" s="5">
        <v>301</v>
      </c>
      <c r="E128" s="2">
        <v>36</v>
      </c>
      <c r="F128" s="5">
        <v>48</v>
      </c>
      <c r="G128" s="2">
        <v>0</v>
      </c>
      <c r="H128" s="4">
        <f t="shared" si="1"/>
        <v>2</v>
      </c>
      <c r="I128" s="4">
        <f>Table1[[#This Row],[B]]+Table1[[#This Row],[Atomic Constraints]]+Table1[[#This Row],[Soft Atomic Constraints]]+Table1[[#This Row],[Disjunctive Constraints]]+Table1[[#This Row],[Direct Successors]]</f>
        <v>410</v>
      </c>
      <c r="J128" s="5" t="s">
        <v>26</v>
      </c>
      <c r="K128" s="2">
        <v>2837921</v>
      </c>
      <c r="L128" s="2">
        <v>302.0268246</v>
      </c>
      <c r="M128" s="2" t="str">
        <f>IF(AND(Table1[[#This Row],[Chuffed MZ1 Cost]]=Table1[[#This Row],[ORTools FZN2 Cost]],Table1[[#This Row],[ORTools FZN2 State]]="Optimal",Table1[[#This Row],[Chuffed MZ1 State]]="Suboptimal"),1,"")</f>
        <v/>
      </c>
      <c r="N128" s="5" t="s">
        <v>26</v>
      </c>
      <c r="O128" s="2">
        <v>1558922</v>
      </c>
      <c r="P128" s="2">
        <v>302.07380330000001</v>
      </c>
      <c r="Q128" s="2" t="str">
        <f>IF(AND(Table1[[#This Row],[Chuffed MZ2 Cost]]=Table1[[#This Row],[ORTools FZN2 Cost]],Table1[[#This Row],[ORTools FZN2 State]]="Optimal",Table1[[#This Row],[Chuffed MZ2 State]]="Suboptimal"),1,"")</f>
        <v/>
      </c>
      <c r="R128" s="11" t="s">
        <v>26</v>
      </c>
      <c r="S128" s="11">
        <v>424793</v>
      </c>
      <c r="T128" s="11">
        <v>300.07700000000102</v>
      </c>
      <c r="U128" s="11">
        <v>1</v>
      </c>
      <c r="V128" s="5" t="s">
        <v>25</v>
      </c>
      <c r="W128" s="2">
        <v>424793</v>
      </c>
      <c r="X128" s="2">
        <v>29.465189899999999</v>
      </c>
      <c r="Y128" s="2" t="str">
        <f>IF(AND(Table1[[#This Row],[ORTools FZN1 Cost]]=Table1[[#This Row],[ORTools FZN2 Cost]],Table1[[#This Row],[ORTools FZN2 State]]="Optimal",Table1[[#This Row],[ORTools FZN1 State]]="Suboptimal"),1,"")</f>
        <v/>
      </c>
      <c r="Z128" s="5" t="s">
        <v>25</v>
      </c>
      <c r="AA128" s="2">
        <v>424793</v>
      </c>
      <c r="AB128" s="2">
        <v>21.326620299999998</v>
      </c>
      <c r="AC128" s="39" t="s">
        <v>42</v>
      </c>
      <c r="AD128" s="39">
        <v>-143365</v>
      </c>
      <c r="AE128" s="2">
        <v>300.12478290000001</v>
      </c>
      <c r="AF128" s="2" t="str">
        <f>IF(AND(Table1[[#This Row],[Cplex MB Cost]]=Table1[[#This Row],[ORTools FZN2 Cost]],Table1[[#This Row],[ORTools FZN2 State]]="Optimal",Table1[[#This Row],[Cplex MB State]]="Suboptimal"),1,"")</f>
        <v/>
      </c>
      <c r="AG128" s="4">
        <f>IF(AND(AC128="Optimal",AD128&lt;&gt;AA128,Table1[[#This Row],[Example]]&lt;&gt;"R001",Table1[[#This Row],[Example]]&lt;&gt;"R002"),AD128-AA128,)</f>
        <v>0</v>
      </c>
      <c r="AH128" s="5" t="s">
        <v>42</v>
      </c>
      <c r="AI128" s="2">
        <v>-143365</v>
      </c>
      <c r="AJ128" s="2">
        <v>300.42922770000001</v>
      </c>
      <c r="AK128" s="2" t="str">
        <f>IF(AND(Table1[[#This Row],[Cplex MD Cost]]=Table1[[#This Row],[ORTools FZN2 Cost]],Table1[[#This Row],[ORTools FZN2 State]]="Optimal",Table1[[#This Row],[Cplex MD State]]="Suboptimal"),1,"")</f>
        <v/>
      </c>
      <c r="AL128" s="4">
        <f>IF(AND(AH128="Optimal",AI128&lt;&gt;AA128,Table1[[#This Row],[Example]]&lt;&gt;"R001",Table1[[#This Row],[Example]]&lt;&gt;"R002"),AI128-AA128,)</f>
        <v>0</v>
      </c>
      <c r="AM128" s="39" t="s">
        <v>26</v>
      </c>
      <c r="AN128" s="39">
        <v>1130595</v>
      </c>
      <c r="AO128" s="2">
        <v>300.1160246</v>
      </c>
      <c r="AP12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8" s="4" t="str">
        <f>IF(AND(Table1[[#This Row],[Cplex MI Cost]]=Table1[[#This Row],[ORTools FZN2 Cost]],Table1[[#This Row],[ORTools FZN2 State]]="Optimal",Table1[[#This Row],[Cplex MI State]]="Suboptimal"),1,"")</f>
        <v/>
      </c>
      <c r="AR128" s="5" t="s">
        <v>42</v>
      </c>
      <c r="AS128" s="2">
        <v>-143365</v>
      </c>
      <c r="AT128" s="2">
        <v>300.05358360000002</v>
      </c>
      <c r="AU128" s="2" t="str">
        <f>IF(AND(Table1[[#This Row],[Z3 SMT2-1 Maxres Cost]]=Table1[[#This Row],[ORTools FZN2 Cost]],Table1[[#This Row],[ORTools FZN2 State]]="Optimal"),1,"")</f>
        <v/>
      </c>
      <c r="AV128" s="39" t="s">
        <v>42</v>
      </c>
      <c r="AW128" s="39">
        <v>-143365</v>
      </c>
      <c r="AX128" s="2">
        <v>300.0544653</v>
      </c>
      <c r="AY128" s="2" t="str">
        <f>IF(AND(Table1[[#This Row],[Z3 SMT2-1 PdMaxres Cost]]=Table1[[#This Row],[ORTools FZN2 Cost]],Table1[[#This Row],[ORTools FZN2 State]]="Optimal"),1,"")</f>
        <v/>
      </c>
      <c r="AZ128" s="5" t="s">
        <v>42</v>
      </c>
      <c r="BA128" s="2">
        <v>-143365</v>
      </c>
      <c r="BB128" s="39">
        <v>300.06224909999997</v>
      </c>
      <c r="BC128" s="39" t="str">
        <f>IF(AND(Table1[[#This Row],[Z3 SMT2-1 WMax Cost]]=Table1[[#This Row],[ORTools FZN2 Cost]],Table1[[#This Row],[ORTools FZN2 State]]="Optimal"),1,"")</f>
        <v/>
      </c>
      <c r="BD128" s="39" t="s">
        <v>42</v>
      </c>
      <c r="BE128" s="39">
        <v>-143365</v>
      </c>
      <c r="BF128" s="2">
        <v>300.04375700000003</v>
      </c>
      <c r="BG128" s="2" t="str">
        <f>IF(AND(Table1[[#This Row],[Z3 SMT2-2 Maxres Cost]]=Table1[[#This Row],[ORTools FZN2 Cost]],Table1[[#This Row],[ORTools FZN2 State]]="Optimal"),1,"")</f>
        <v/>
      </c>
      <c r="BH128" s="5" t="s">
        <v>42</v>
      </c>
      <c r="BI128" s="2">
        <v>-143365</v>
      </c>
      <c r="BJ128" s="39">
        <v>300.04563030000003</v>
      </c>
      <c r="BK128" s="39" t="str">
        <f>IF(AND(Table1[[#This Row],[Z3 SMT2-2 PdMaxres Cost]]=Table1[[#This Row],[ORTools FZN2 Cost]],Table1[[#This Row],[ORTools FZN2 State]]="Optimal"),1,"")</f>
        <v/>
      </c>
      <c r="BL128" s="39" t="s">
        <v>42</v>
      </c>
      <c r="BM128" s="39">
        <v>-143365</v>
      </c>
      <c r="BN128" s="2">
        <v>300.05863140000002</v>
      </c>
      <c r="BO128" s="4" t="str">
        <f>IF(AND(Table1[[#This Row],[Z3 SMT2-2 PdMaxres Cost]]=Table1[[#This Row],[ORTools FZN2 Cost]],Table1[[#This Row],[ORTools FZN2 State]]="Optimal"),1,"")</f>
        <v/>
      </c>
      <c r="BP128" s="5" t="s">
        <v>42</v>
      </c>
      <c r="BQ128" s="2">
        <v>-143365</v>
      </c>
      <c r="BR128" s="2">
        <v>300.10659750000002</v>
      </c>
      <c r="BS128" s="2" t="str">
        <f>IF(AND(Table1[[#This Row],[Gurobi MB Cost]]=Table1[[#This Row],[ORTools FZN2 Cost]],Table1[[#This Row],[ORTools FZN2 State]]="Optimal",Table1[[#This Row],[Gurobi MB State]]="Suboptimal"),1,"")</f>
        <v/>
      </c>
      <c r="BT12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8" s="5" t="s">
        <v>42</v>
      </c>
      <c r="BV128" s="2">
        <v>-143365</v>
      </c>
      <c r="BW128" s="2">
        <v>300.0900067</v>
      </c>
      <c r="BX128" s="2" t="str">
        <f>IF(AND(Table1[[#This Row],[Gurobi MD Cost]]=Table1[[#This Row],[ORTools FZN2 Cost]],Table1[[#This Row],[ORTools FZN2 State]]="Optimal",Table1[[#This Row],[Gurobi MD State]]="Suboptimal"),1,"")</f>
        <v/>
      </c>
      <c r="BY12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8" s="5" t="s">
        <v>26</v>
      </c>
      <c r="CA128" s="2">
        <v>424793</v>
      </c>
      <c r="CB128" s="2">
        <v>300.11222309999999</v>
      </c>
      <c r="CC128" s="2">
        <f>IF(AND(Table1[[#This Row],[Gurobi MI Cost]]=Table1[[#This Row],[ORTools FZN2 Cost]],Table1[[#This Row],[ORTools FZN2 State]]="Optimal",Table1[[#This Row],[Gurobi MI State]]="Suboptimal"),1,"")</f>
        <v>1</v>
      </c>
      <c r="CD12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8" s="39" t="s">
        <v>42</v>
      </c>
      <c r="CF128" s="2">
        <v>-143365</v>
      </c>
      <c r="CG128" s="39">
        <v>306.14292499999999</v>
      </c>
      <c r="CH128" s="39" t="s">
        <v>42</v>
      </c>
      <c r="CI128" s="39">
        <v>-143365</v>
      </c>
      <c r="CJ128" s="2">
        <v>306.11155489999999</v>
      </c>
      <c r="CK128" s="5" t="s">
        <v>26</v>
      </c>
      <c r="CL128" s="2">
        <v>424793</v>
      </c>
      <c r="CM128" s="2">
        <v>300.03699999999998</v>
      </c>
      <c r="CN128" s="5" t="s">
        <v>26</v>
      </c>
      <c r="CO128" s="2">
        <v>2703333</v>
      </c>
      <c r="CP128" s="2">
        <v>302.00267250000002</v>
      </c>
      <c r="CQ128" s="5" t="s">
        <v>25</v>
      </c>
      <c r="CR128" s="2">
        <v>424793</v>
      </c>
      <c r="CS128" s="2">
        <v>47.432977800000003</v>
      </c>
      <c r="CT128" s="6" t="s">
        <v>25</v>
      </c>
      <c r="CU128" s="4">
        <v>424793</v>
      </c>
      <c r="CV128" s="4">
        <v>24.029938399999999</v>
      </c>
      <c r="CW128" s="39" t="s">
        <v>26</v>
      </c>
      <c r="CX128" s="39">
        <v>2123482</v>
      </c>
      <c r="CY128" s="2">
        <v>300.00920000000002</v>
      </c>
      <c r="CZ128" s="2" t="str">
        <f>IF(AND(Table1[[#This Row],[Cplex MZ1 Cost]]=Table1[[#This Row],[ORTools FZN2 Cost]],Table1[[#This Row],[ORTools FZN2 State]]="Optimal",Table1[[#This Row],[Cplex MZ1 State]]="Suboptimal"),1,"")</f>
        <v/>
      </c>
      <c r="DA128" s="5" t="s">
        <v>26</v>
      </c>
      <c r="DB128" s="2">
        <v>1980222</v>
      </c>
      <c r="DC128" s="2">
        <v>300.02140000000003</v>
      </c>
      <c r="DD128" s="2" t="str">
        <f>IF(AND(Table1[[#This Row],[Cplex MZ2 Cost]]=Table1[[#This Row],[ORTools FZN2 Cost]],Table1[[#This Row],[ORTools FZN2 State]]="Optimal",Table1[[#This Row],[Cplex MZ2 State]]="Suboptimal"),1,"")</f>
        <v/>
      </c>
      <c r="DE128" s="39" t="s">
        <v>42</v>
      </c>
      <c r="DF128" s="39"/>
      <c r="DG128" s="2">
        <v>300.01459999999997</v>
      </c>
      <c r="DH128" s="2" t="str">
        <f>IF(AND(Table1[[#This Row],[Gurobi MZ1 Cost]]=Table1[[#This Row],[ORTools FZN2 Cost]],Table1[[#This Row],[ORTools FZN2 State]]="Optimal",Table1[[#This Row],[Gurobi MZ1 State]]="Suboptimal"),1,"")</f>
        <v/>
      </c>
      <c r="DI128" s="5" t="s">
        <v>42</v>
      </c>
      <c r="DJ128" s="2"/>
      <c r="DK128" s="2">
        <v>300.00290000000001</v>
      </c>
      <c r="DL128" s="4" t="str">
        <f>IF(AND(Table1[[#This Row],[Gurobi MZ2 Cost]]=Table1[[#This Row],[ORTools FZN2 Cost]],Table1[[#This Row],[ORTools FZN2 State]]="Optimal",Table1[[#This Row],[Gurobi MZ2 State]]="Suboptimal"),1,"")</f>
        <v/>
      </c>
      <c r="DM128" s="39" t="s">
        <v>26</v>
      </c>
      <c r="DN128" s="12">
        <v>424793</v>
      </c>
      <c r="DO128" s="69">
        <v>300.06499999999801</v>
      </c>
      <c r="DP128" s="11">
        <f>IF(AND(Table1[[#This Row],[Cplex MC nonDual Cost]]=Table1[[#This Row],[ORTools FZN2 Cost]],Table1[[#This Row],[ORTools FZN2 State]]="Optimal",Table1[[#This Row],[Cplex MC nonDual State]]="Suboptimal"),1,"")</f>
        <v>1</v>
      </c>
      <c r="DQ128" s="5" t="s">
        <v>26</v>
      </c>
      <c r="DR128" s="2">
        <v>1422943</v>
      </c>
      <c r="DS128" s="2">
        <v>300.0111</v>
      </c>
      <c r="DT128" s="2" t="str">
        <f>IF(AND(Table1[[#This Row],[Cplex MIP DM''z Cost]]=Table1[[#This Row],[ORTools FZN2 Cost]],Table1[[#This Row],[ORTools FZN2 State]]="Optimal",Table1[[#This Row],[Cplex MIP DM''z  State]]="Suboptimal"),1,"")</f>
        <v/>
      </c>
      <c r="DU12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8" s="5" t="s">
        <v>42</v>
      </c>
      <c r="DW128" s="2"/>
      <c r="DX128" s="2">
        <v>300.0806</v>
      </c>
      <c r="DY128" s="4" t="str">
        <f>IF(AND(Table1[[#This Row],[Gurobi DM''z  Cost]]=Table1[[#This Row],[ORTools FZN2 Cost]],Table1[[#This Row],[ORTools FZN2 State]]="Optimal",Table1[[#This Row],[Gurobi DM''z  State]]="Suboptimal"),1,"")</f>
        <v/>
      </c>
      <c r="DZ12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29" spans="1:130" ht="15.75" x14ac:dyDescent="0.25">
      <c r="A129" s="47" t="s">
        <v>155</v>
      </c>
      <c r="B129" s="5">
        <v>45</v>
      </c>
      <c r="C129" s="2">
        <v>20</v>
      </c>
      <c r="D129" s="5">
        <v>203</v>
      </c>
      <c r="E129" s="2">
        <v>31</v>
      </c>
      <c r="F129" s="5">
        <v>40</v>
      </c>
      <c r="G129" s="2">
        <v>0</v>
      </c>
      <c r="H129" s="4">
        <f t="shared" si="1"/>
        <v>5</v>
      </c>
      <c r="I129" s="4">
        <f>Table1[[#This Row],[B]]+Table1[[#This Row],[Atomic Constraints]]+Table1[[#This Row],[Soft Atomic Constraints]]+Table1[[#This Row],[Disjunctive Constraints]]+Table1[[#This Row],[Direct Successors]]</f>
        <v>294</v>
      </c>
      <c r="J129" s="5" t="s">
        <v>25</v>
      </c>
      <c r="K129" s="2">
        <v>184503</v>
      </c>
      <c r="L129" s="2">
        <v>275.05072869999998</v>
      </c>
      <c r="M129" s="2" t="str">
        <f>IF(AND(Table1[[#This Row],[Chuffed MZ1 Cost]]=Table1[[#This Row],[ORTools FZN2 Cost]],Table1[[#This Row],[ORTools FZN2 State]]="Optimal",Table1[[#This Row],[Chuffed MZ1 State]]="Suboptimal"),1,"")</f>
        <v/>
      </c>
      <c r="N129" s="5" t="s">
        <v>25</v>
      </c>
      <c r="O129" s="2">
        <v>184503</v>
      </c>
      <c r="P129" s="2">
        <v>277.51788759999999</v>
      </c>
      <c r="Q129" s="2" t="str">
        <f>IF(AND(Table1[[#This Row],[Chuffed MZ2 Cost]]=Table1[[#This Row],[ORTools FZN2 Cost]],Table1[[#This Row],[ORTools FZN2 State]]="Optimal",Table1[[#This Row],[Chuffed MZ2 State]]="Suboptimal"),1,"")</f>
        <v/>
      </c>
      <c r="R129" s="6" t="s">
        <v>25</v>
      </c>
      <c r="S129" s="4">
        <v>184503</v>
      </c>
      <c r="T129" s="4">
        <v>36.001000000000197</v>
      </c>
      <c r="U129" s="4"/>
      <c r="V129" s="5" t="s">
        <v>25</v>
      </c>
      <c r="W129" s="2">
        <v>184503</v>
      </c>
      <c r="X129" s="2">
        <v>7.5150369000000001</v>
      </c>
      <c r="Y129" s="2" t="str">
        <f>IF(AND(Table1[[#This Row],[ORTools FZN1 Cost]]=Table1[[#This Row],[ORTools FZN2 Cost]],Table1[[#This Row],[ORTools FZN2 State]]="Optimal",Table1[[#This Row],[ORTools FZN1 State]]="Suboptimal"),1,"")</f>
        <v/>
      </c>
      <c r="Z129" s="5" t="s">
        <v>25</v>
      </c>
      <c r="AA129" s="2">
        <v>184503</v>
      </c>
      <c r="AB129" s="2">
        <v>12.0416893</v>
      </c>
      <c r="AC129" s="39" t="s">
        <v>42</v>
      </c>
      <c r="AD129" s="39">
        <v>-93196</v>
      </c>
      <c r="AE129" s="2">
        <v>300.08899659999997</v>
      </c>
      <c r="AF129" s="2" t="str">
        <f>IF(AND(Table1[[#This Row],[Cplex MB Cost]]=Table1[[#This Row],[ORTools FZN2 Cost]],Table1[[#This Row],[ORTools FZN2 State]]="Optimal",Table1[[#This Row],[Cplex MB State]]="Suboptimal"),1,"")</f>
        <v/>
      </c>
      <c r="AG129" s="4">
        <f>IF(AND(AC129="Optimal",AD129&lt;&gt;AA129,Table1[[#This Row],[Example]]&lt;&gt;"R001",Table1[[#This Row],[Example]]&lt;&gt;"R002"),AD129-AA129,)</f>
        <v>0</v>
      </c>
      <c r="AH129" s="5" t="s">
        <v>26</v>
      </c>
      <c r="AI129" s="2">
        <v>1665729</v>
      </c>
      <c r="AJ129" s="2">
        <v>301.64232609999999</v>
      </c>
      <c r="AK129" s="2" t="str">
        <f>IF(AND(Table1[[#This Row],[Cplex MD Cost]]=Table1[[#This Row],[ORTools FZN2 Cost]],Table1[[#This Row],[ORTools FZN2 State]]="Optimal",Table1[[#This Row],[Cplex MD State]]="Suboptimal"),1,"")</f>
        <v/>
      </c>
      <c r="AL129" s="4">
        <f>IF(AND(AH129="Optimal",AI129&lt;&gt;AA129,Table1[[#This Row],[Example]]&lt;&gt;"R001",Table1[[#This Row],[Example]]&lt;&gt;"R002"),AI129-AA129,)</f>
        <v>0</v>
      </c>
      <c r="AM129" s="39" t="s">
        <v>25</v>
      </c>
      <c r="AN129" s="39">
        <v>184503</v>
      </c>
      <c r="AO129" s="2">
        <v>165.16678060000001</v>
      </c>
      <c r="AP12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29" s="2" t="str">
        <f>IF(AND(Table1[[#This Row],[Cplex MI Cost]]=Table1[[#This Row],[ORTools FZN2 Cost]],Table1[[#This Row],[ORTools FZN2 State]]="Optimal",Table1[[#This Row],[Cplex MI State]]="Suboptimal"),1,"")</f>
        <v/>
      </c>
      <c r="AR129" s="5" t="s">
        <v>42</v>
      </c>
      <c r="AS129" s="2">
        <v>-93196</v>
      </c>
      <c r="AT129" s="2">
        <v>300.05356490000003</v>
      </c>
      <c r="AU129" s="2" t="str">
        <f>IF(AND(Table1[[#This Row],[Z3 SMT2-1 Maxres Cost]]=Table1[[#This Row],[ORTools FZN2 Cost]],Table1[[#This Row],[ORTools FZN2 State]]="Optimal"),1,"")</f>
        <v/>
      </c>
      <c r="AV129" s="39" t="s">
        <v>42</v>
      </c>
      <c r="AW129" s="39">
        <v>-93196</v>
      </c>
      <c r="AX129" s="2">
        <v>300.04527719999999</v>
      </c>
      <c r="AY129" s="2" t="str">
        <f>IF(AND(Table1[[#This Row],[Z3 SMT2-1 PdMaxres Cost]]=Table1[[#This Row],[ORTools FZN2 Cost]],Table1[[#This Row],[ORTools FZN2 State]]="Optimal"),1,"")</f>
        <v/>
      </c>
      <c r="AZ129" s="5" t="s">
        <v>42</v>
      </c>
      <c r="BA129" s="2">
        <v>-93196</v>
      </c>
      <c r="BB129" s="39">
        <v>300.05703870000002</v>
      </c>
      <c r="BC129" s="39" t="str">
        <f>IF(AND(Table1[[#This Row],[Z3 SMT2-1 WMax Cost]]=Table1[[#This Row],[ORTools FZN2 Cost]],Table1[[#This Row],[ORTools FZN2 State]]="Optimal"),1,"")</f>
        <v/>
      </c>
      <c r="BD129" s="39" t="s">
        <v>42</v>
      </c>
      <c r="BE129" s="39">
        <v>-93196</v>
      </c>
      <c r="BF129" s="2">
        <v>300.04820139999998</v>
      </c>
      <c r="BG129" s="2" t="str">
        <f>IF(AND(Table1[[#This Row],[Z3 SMT2-2 Maxres Cost]]=Table1[[#This Row],[ORTools FZN2 Cost]],Table1[[#This Row],[ORTools FZN2 State]]="Optimal"),1,"")</f>
        <v/>
      </c>
      <c r="BH129" s="5" t="s">
        <v>42</v>
      </c>
      <c r="BI129" s="2">
        <v>-93196</v>
      </c>
      <c r="BJ129" s="39">
        <v>300.05182309999998</v>
      </c>
      <c r="BK129" s="39" t="str">
        <f>IF(AND(Table1[[#This Row],[Z3 SMT2-2 PdMaxres Cost]]=Table1[[#This Row],[ORTools FZN2 Cost]],Table1[[#This Row],[ORTools FZN2 State]]="Optimal"),1,"")</f>
        <v/>
      </c>
      <c r="BL129" s="39" t="s">
        <v>42</v>
      </c>
      <c r="BM129" s="39">
        <v>-93196</v>
      </c>
      <c r="BN129" s="2">
        <v>300.04458899999997</v>
      </c>
      <c r="BO129" s="4" t="str">
        <f>IF(AND(Table1[[#This Row],[Z3 SMT2-2 PdMaxres Cost]]=Table1[[#This Row],[ORTools FZN2 Cost]],Table1[[#This Row],[ORTools FZN2 State]]="Optimal"),1,"")</f>
        <v/>
      </c>
      <c r="BP129" s="5" t="s">
        <v>25</v>
      </c>
      <c r="BQ129" s="2">
        <v>184503</v>
      </c>
      <c r="BR129" s="2">
        <v>220.71497009999999</v>
      </c>
      <c r="BS129" s="2" t="str">
        <f>IF(AND(Table1[[#This Row],[Gurobi MB Cost]]=Table1[[#This Row],[ORTools FZN2 Cost]],Table1[[#This Row],[ORTools FZN2 State]]="Optimal",Table1[[#This Row],[Gurobi MB State]]="Suboptimal"),1,"")</f>
        <v/>
      </c>
      <c r="BT12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29" s="5" t="s">
        <v>42</v>
      </c>
      <c r="BV129" s="2">
        <v>-93196</v>
      </c>
      <c r="BW129" s="2">
        <v>300.0827385</v>
      </c>
      <c r="BX129" s="2" t="str">
        <f>IF(AND(Table1[[#This Row],[Gurobi MD Cost]]=Table1[[#This Row],[ORTools FZN2 Cost]],Table1[[#This Row],[ORTools FZN2 State]]="Optimal",Table1[[#This Row],[Gurobi MD State]]="Suboptimal"),1,"")</f>
        <v/>
      </c>
      <c r="BY12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29" s="5" t="s">
        <v>26</v>
      </c>
      <c r="CA129" s="2">
        <v>186530</v>
      </c>
      <c r="CB129" s="2">
        <v>300.08705140000001</v>
      </c>
      <c r="CC129" s="2" t="str">
        <f>IF(AND(Table1[[#This Row],[Gurobi MI Cost]]=Table1[[#This Row],[ORTools FZN2 Cost]],Table1[[#This Row],[ORTools FZN2 State]]="Optimal",Table1[[#This Row],[Gurobi MI State]]="Suboptimal"),1,"")</f>
        <v/>
      </c>
      <c r="CD12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29" s="39" t="s">
        <v>42</v>
      </c>
      <c r="CF129" s="2">
        <v>-93196</v>
      </c>
      <c r="CG129" s="39">
        <v>306.14272419999998</v>
      </c>
      <c r="CH129" s="39" t="s">
        <v>42</v>
      </c>
      <c r="CI129" s="39">
        <v>-93196</v>
      </c>
      <c r="CJ129" s="2">
        <v>306.1640013</v>
      </c>
      <c r="CK129" s="5" t="s">
        <v>25</v>
      </c>
      <c r="CL129" s="2">
        <v>184503</v>
      </c>
      <c r="CM129" s="2">
        <v>51.394000000000197</v>
      </c>
      <c r="CN129" s="5" t="s">
        <v>26</v>
      </c>
      <c r="CO129" s="2">
        <v>739668</v>
      </c>
      <c r="CP129" s="2">
        <v>301.51091989999998</v>
      </c>
      <c r="CQ129" s="5" t="s">
        <v>25</v>
      </c>
      <c r="CR129" s="2">
        <v>184503</v>
      </c>
      <c r="CS129" s="2">
        <v>18.352528899999999</v>
      </c>
      <c r="CT129" s="6" t="s">
        <v>25</v>
      </c>
      <c r="CU129" s="4">
        <v>184503</v>
      </c>
      <c r="CV129" s="4">
        <v>14.427840099999999</v>
      </c>
      <c r="CW129" s="39" t="s">
        <v>26</v>
      </c>
      <c r="CX129" s="39">
        <v>551257</v>
      </c>
      <c r="CY129" s="2">
        <v>300.00889999999998</v>
      </c>
      <c r="CZ129" s="2" t="str">
        <f>IF(AND(Table1[[#This Row],[Cplex MZ1 Cost]]=Table1[[#This Row],[ORTools FZN2 Cost]],Table1[[#This Row],[ORTools FZN2 State]]="Optimal",Table1[[#This Row],[Cplex MZ1 State]]="Suboptimal"),1,"")</f>
        <v/>
      </c>
      <c r="DA129" s="5" t="s">
        <v>26</v>
      </c>
      <c r="DB129" s="2">
        <v>373054</v>
      </c>
      <c r="DC129" s="2">
        <v>300.01710000000003</v>
      </c>
      <c r="DD129" s="2" t="str">
        <f>IF(AND(Table1[[#This Row],[Cplex MZ2 Cost]]=Table1[[#This Row],[ORTools FZN2 Cost]],Table1[[#This Row],[ORTools FZN2 State]]="Optimal",Table1[[#This Row],[Cplex MZ2 State]]="Suboptimal"),1,"")</f>
        <v/>
      </c>
      <c r="DE129" s="39" t="s">
        <v>26</v>
      </c>
      <c r="DF129" s="39">
        <v>737558</v>
      </c>
      <c r="DG129" s="2">
        <v>300.10070000000002</v>
      </c>
      <c r="DH129" s="2" t="str">
        <f>IF(AND(Table1[[#This Row],[Gurobi MZ1 Cost]]=Table1[[#This Row],[ORTools FZN2 Cost]],Table1[[#This Row],[ORTools FZN2 State]]="Optimal",Table1[[#This Row],[Gurobi MZ1 State]]="Suboptimal"),1,"")</f>
        <v/>
      </c>
      <c r="DI129" s="5" t="s">
        <v>26</v>
      </c>
      <c r="DJ129" s="2">
        <v>740081</v>
      </c>
      <c r="DK129" s="2">
        <v>300.00569999999999</v>
      </c>
      <c r="DL129" s="4" t="str">
        <f>IF(AND(Table1[[#This Row],[Gurobi MZ2 Cost]]=Table1[[#This Row],[ORTools FZN2 Cost]],Table1[[#This Row],[ORTools FZN2 State]]="Optimal",Table1[[#This Row],[Gurobi MZ2 State]]="Suboptimal"),1,"")</f>
        <v/>
      </c>
      <c r="DM129" s="39" t="s">
        <v>25</v>
      </c>
      <c r="DN129" s="39">
        <v>184503</v>
      </c>
      <c r="DO129" s="65">
        <v>134.13400000000101</v>
      </c>
      <c r="DP129" s="4" t="str">
        <f>IF(AND(Table1[[#This Row],[Cplex MC nonDual Cost]]=Table1[[#This Row],[ORTools FZN2 Cost]],Table1[[#This Row],[ORTools FZN2 State]]="Optimal",Table1[[#This Row],[Cplex MC nonDual State]]="Suboptimal"),1,"")</f>
        <v/>
      </c>
      <c r="DQ129" s="5" t="s">
        <v>26</v>
      </c>
      <c r="DR129" s="2">
        <v>368872</v>
      </c>
      <c r="DS129" s="2">
        <v>300.02080000000001</v>
      </c>
      <c r="DT129" s="2" t="str">
        <f>IF(AND(Table1[[#This Row],[Cplex MIP DM''z Cost]]=Table1[[#This Row],[ORTools FZN2 Cost]],Table1[[#This Row],[ORTools FZN2 State]]="Optimal",Table1[[#This Row],[Cplex MIP DM''z  State]]="Suboptimal"),1,"")</f>
        <v/>
      </c>
      <c r="DU12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29" s="5" t="s">
        <v>42</v>
      </c>
      <c r="DW129" s="2"/>
      <c r="DX129" s="2">
        <v>300.00479999999999</v>
      </c>
      <c r="DY129" s="4" t="str">
        <f>IF(AND(Table1[[#This Row],[Gurobi DM''z  Cost]]=Table1[[#This Row],[ORTools FZN2 Cost]],Table1[[#This Row],[ORTools FZN2 State]]="Optimal",Table1[[#This Row],[Gurobi DM''z  State]]="Suboptimal"),1,"")</f>
        <v/>
      </c>
      <c r="DZ12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0" spans="1:130" ht="15.75" x14ac:dyDescent="0.25">
      <c r="A130" s="46" t="s">
        <v>156</v>
      </c>
      <c r="B130" s="5">
        <v>45</v>
      </c>
      <c r="C130" s="2">
        <v>20</v>
      </c>
      <c r="D130" s="5">
        <v>259</v>
      </c>
      <c r="E130" s="2">
        <v>35</v>
      </c>
      <c r="F130" s="5">
        <v>45</v>
      </c>
      <c r="G130" s="2">
        <v>0</v>
      </c>
      <c r="H130" s="4">
        <f t="shared" si="1"/>
        <v>5</v>
      </c>
      <c r="I130" s="4">
        <f>Table1[[#This Row],[B]]+Table1[[#This Row],[Atomic Constraints]]+Table1[[#This Row],[Soft Atomic Constraints]]+Table1[[#This Row],[Disjunctive Constraints]]+Table1[[#This Row],[Direct Successors]]</f>
        <v>359</v>
      </c>
      <c r="J130" s="5" t="s">
        <v>25</v>
      </c>
      <c r="K130" s="2">
        <v>10</v>
      </c>
      <c r="L130" s="2">
        <v>171.59255450000001</v>
      </c>
      <c r="M130" s="2" t="str">
        <f>IF(AND(Table1[[#This Row],[Chuffed MZ1 Cost]]=Table1[[#This Row],[ORTools FZN2 Cost]],Table1[[#This Row],[ORTools FZN2 State]]="Optimal",Table1[[#This Row],[Chuffed MZ1 State]]="Suboptimal"),1,"")</f>
        <v/>
      </c>
      <c r="N130" s="5" t="s">
        <v>26</v>
      </c>
      <c r="O130" s="2">
        <v>93249</v>
      </c>
      <c r="P130" s="2">
        <v>301.6190191</v>
      </c>
      <c r="Q130" s="2" t="str">
        <f>IF(AND(Table1[[#This Row],[Chuffed MZ2 Cost]]=Table1[[#This Row],[ORTools FZN2 Cost]],Table1[[#This Row],[ORTools FZN2 State]]="Optimal",Table1[[#This Row],[Chuffed MZ2 State]]="Suboptimal"),1,"")</f>
        <v/>
      </c>
      <c r="R130" s="11" t="s">
        <v>26</v>
      </c>
      <c r="S130" s="11">
        <v>10</v>
      </c>
      <c r="T130" s="11">
        <v>300.01799999999997</v>
      </c>
      <c r="U130" s="11">
        <v>1</v>
      </c>
      <c r="V130" s="5" t="s">
        <v>25</v>
      </c>
      <c r="W130" s="2">
        <v>10</v>
      </c>
      <c r="X130" s="2">
        <v>9.7380317000000005</v>
      </c>
      <c r="Y130" s="2" t="str">
        <f>IF(AND(Table1[[#This Row],[ORTools FZN1 Cost]]=Table1[[#This Row],[ORTools FZN2 Cost]],Table1[[#This Row],[ORTools FZN2 State]]="Optimal",Table1[[#This Row],[ORTools FZN1 State]]="Suboptimal"),1,"")</f>
        <v/>
      </c>
      <c r="Z130" s="5" t="s">
        <v>25</v>
      </c>
      <c r="AA130" s="2">
        <v>10</v>
      </c>
      <c r="AB130" s="2">
        <v>7.0193899999999996</v>
      </c>
      <c r="AC130" s="39" t="s">
        <v>25</v>
      </c>
      <c r="AD130" s="39">
        <v>10</v>
      </c>
      <c r="AE130" s="2">
        <v>58.217230600000001</v>
      </c>
      <c r="AF130" s="2" t="str">
        <f>IF(AND(Table1[[#This Row],[Cplex MB Cost]]=Table1[[#This Row],[ORTools FZN2 Cost]],Table1[[#This Row],[ORTools FZN2 State]]="Optimal",Table1[[#This Row],[Cplex MB State]]="Suboptimal"),1,"")</f>
        <v/>
      </c>
      <c r="AG130" s="4">
        <f>IF(AND(AC130="Optimal",AD130&lt;&gt;AA130,Table1[[#This Row],[Example]]&lt;&gt;"R001",Table1[[#This Row],[Example]]&lt;&gt;"R002"),AD130-AA130,)</f>
        <v>0</v>
      </c>
      <c r="AH130" s="5" t="s">
        <v>42</v>
      </c>
      <c r="AI130" s="2">
        <v>-93196</v>
      </c>
      <c r="AJ130" s="2">
        <v>300.46693210000001</v>
      </c>
      <c r="AK130" s="2" t="str">
        <f>IF(AND(Table1[[#This Row],[Cplex MD Cost]]=Table1[[#This Row],[ORTools FZN2 Cost]],Table1[[#This Row],[ORTools FZN2 State]]="Optimal",Table1[[#This Row],[Cplex MD State]]="Suboptimal"),1,"")</f>
        <v/>
      </c>
      <c r="AL130" s="4">
        <f>IF(AND(AH130="Optimal",AI130&lt;&gt;AA130,Table1[[#This Row],[Example]]&lt;&gt;"R001",Table1[[#This Row],[Example]]&lt;&gt;"R002"),AI130-AA130,)</f>
        <v>0</v>
      </c>
      <c r="AM130" s="39" t="s">
        <v>25</v>
      </c>
      <c r="AN130" s="39">
        <v>10</v>
      </c>
      <c r="AO130" s="2">
        <v>7.3355826000000004</v>
      </c>
      <c r="AP13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0" s="4" t="str">
        <f>IF(AND(Table1[[#This Row],[Cplex MI Cost]]=Table1[[#This Row],[ORTools FZN2 Cost]],Table1[[#This Row],[ORTools FZN2 State]]="Optimal",Table1[[#This Row],[Cplex MI State]]="Suboptimal"),1,"")</f>
        <v/>
      </c>
      <c r="AR130" s="5" t="s">
        <v>42</v>
      </c>
      <c r="AS130" s="2">
        <v>-93196</v>
      </c>
      <c r="AT130" s="2">
        <v>300.04032289999998</v>
      </c>
      <c r="AU130" s="2" t="str">
        <f>IF(AND(Table1[[#This Row],[Z3 SMT2-1 Maxres Cost]]=Table1[[#This Row],[ORTools FZN2 Cost]],Table1[[#This Row],[ORTools FZN2 State]]="Optimal"),1,"")</f>
        <v/>
      </c>
      <c r="AV130" s="39" t="s">
        <v>42</v>
      </c>
      <c r="AW130" s="39">
        <v>-93196</v>
      </c>
      <c r="AX130" s="2">
        <v>300.05375989999999</v>
      </c>
      <c r="AY130" s="2" t="str">
        <f>IF(AND(Table1[[#This Row],[Z3 SMT2-1 PdMaxres Cost]]=Table1[[#This Row],[ORTools FZN2 Cost]],Table1[[#This Row],[ORTools FZN2 State]]="Optimal"),1,"")</f>
        <v/>
      </c>
      <c r="AZ130" s="5" t="s">
        <v>42</v>
      </c>
      <c r="BA130" s="2">
        <v>-93196</v>
      </c>
      <c r="BB130" s="39">
        <v>300.0395044</v>
      </c>
      <c r="BC130" s="39" t="str">
        <f>IF(AND(Table1[[#This Row],[Z3 SMT2-1 WMax Cost]]=Table1[[#This Row],[ORTools FZN2 Cost]],Table1[[#This Row],[ORTools FZN2 State]]="Optimal"),1,"")</f>
        <v/>
      </c>
      <c r="BD130" s="39" t="s">
        <v>42</v>
      </c>
      <c r="BE130" s="39">
        <v>-93196</v>
      </c>
      <c r="BF130" s="2">
        <v>300.04728</v>
      </c>
      <c r="BG130" s="2" t="str">
        <f>IF(AND(Table1[[#This Row],[Z3 SMT2-2 Maxres Cost]]=Table1[[#This Row],[ORTools FZN2 Cost]],Table1[[#This Row],[ORTools FZN2 State]]="Optimal"),1,"")</f>
        <v/>
      </c>
      <c r="BH130" s="5" t="s">
        <v>42</v>
      </c>
      <c r="BI130" s="2">
        <v>-93196</v>
      </c>
      <c r="BJ130" s="39">
        <v>300.04560329999998</v>
      </c>
      <c r="BK130" s="39" t="str">
        <f>IF(AND(Table1[[#This Row],[Z3 SMT2-2 PdMaxres Cost]]=Table1[[#This Row],[ORTools FZN2 Cost]],Table1[[#This Row],[ORTools FZN2 State]]="Optimal"),1,"")</f>
        <v/>
      </c>
      <c r="BL130" s="39" t="s">
        <v>42</v>
      </c>
      <c r="BM130" s="39">
        <v>-93196</v>
      </c>
      <c r="BN130" s="2">
        <v>300.05014210000002</v>
      </c>
      <c r="BO130" s="4" t="str">
        <f>IF(AND(Table1[[#This Row],[Z3 SMT2-2 PdMaxres Cost]]=Table1[[#This Row],[ORTools FZN2 Cost]],Table1[[#This Row],[ORTools FZN2 State]]="Optimal"),1,"")</f>
        <v/>
      </c>
      <c r="BP130" s="5" t="s">
        <v>25</v>
      </c>
      <c r="BQ130" s="2">
        <v>10</v>
      </c>
      <c r="BR130" s="2">
        <v>85.114709399999995</v>
      </c>
      <c r="BS130" s="2" t="str">
        <f>IF(AND(Table1[[#This Row],[Gurobi MB Cost]]=Table1[[#This Row],[ORTools FZN2 Cost]],Table1[[#This Row],[ORTools FZN2 State]]="Optimal",Table1[[#This Row],[Gurobi MB State]]="Suboptimal"),1,"")</f>
        <v/>
      </c>
      <c r="BT13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0" s="5" t="s">
        <v>42</v>
      </c>
      <c r="BV130" s="2">
        <v>-93196</v>
      </c>
      <c r="BW130" s="2">
        <v>300.11194019999999</v>
      </c>
      <c r="BX130" s="2" t="str">
        <f>IF(AND(Table1[[#This Row],[Gurobi MD Cost]]=Table1[[#This Row],[ORTools FZN2 Cost]],Table1[[#This Row],[ORTools FZN2 State]]="Optimal",Table1[[#This Row],[Gurobi MD State]]="Suboptimal"),1,"")</f>
        <v/>
      </c>
      <c r="BY13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0" s="5" t="s">
        <v>25</v>
      </c>
      <c r="CA130" s="2">
        <v>10</v>
      </c>
      <c r="CB130" s="2">
        <v>88.523494299999996</v>
      </c>
      <c r="CC130" s="2" t="str">
        <f>IF(AND(Table1[[#This Row],[Gurobi MI Cost]]=Table1[[#This Row],[ORTools FZN2 Cost]],Table1[[#This Row],[ORTools FZN2 State]]="Optimal",Table1[[#This Row],[Gurobi MI State]]="Suboptimal"),1,"")</f>
        <v/>
      </c>
      <c r="CD13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0" s="39" t="s">
        <v>42</v>
      </c>
      <c r="CF130" s="2">
        <v>-93196</v>
      </c>
      <c r="CG130" s="39">
        <v>306.24820879999999</v>
      </c>
      <c r="CH130" s="39" t="s">
        <v>42</v>
      </c>
      <c r="CI130" s="39">
        <v>-93196</v>
      </c>
      <c r="CJ130" s="2">
        <v>306.03561610000003</v>
      </c>
      <c r="CK130" s="5" t="s">
        <v>26</v>
      </c>
      <c r="CL130" s="2">
        <v>10</v>
      </c>
      <c r="CM130" s="2">
        <v>300.03800000000001</v>
      </c>
      <c r="CN130" s="5" t="s">
        <v>26</v>
      </c>
      <c r="CO130" s="2">
        <v>738063</v>
      </c>
      <c r="CP130" s="2">
        <v>301.51049260000002</v>
      </c>
      <c r="CQ130" s="5" t="s">
        <v>25</v>
      </c>
      <c r="CR130" s="2">
        <v>10</v>
      </c>
      <c r="CS130" s="2">
        <v>14.1188935</v>
      </c>
      <c r="CT130" s="6" t="s">
        <v>25</v>
      </c>
      <c r="CU130" s="4">
        <v>10</v>
      </c>
      <c r="CV130" s="4">
        <v>14.3453973</v>
      </c>
      <c r="CW130" s="39" t="s">
        <v>26</v>
      </c>
      <c r="CX130" s="12">
        <v>10</v>
      </c>
      <c r="CY130" s="12">
        <v>300.00889999999998</v>
      </c>
      <c r="CZ130" s="12">
        <f>IF(AND(Table1[[#This Row],[Cplex MZ1 Cost]]=Table1[[#This Row],[ORTools FZN2 Cost]],Table1[[#This Row],[ORTools FZN2 State]]="Optimal",Table1[[#This Row],[Cplex MZ1 State]]="Suboptimal"),1,"")</f>
        <v>1</v>
      </c>
      <c r="DA130" s="12" t="s">
        <v>26</v>
      </c>
      <c r="DB130" s="12">
        <v>10</v>
      </c>
      <c r="DC130" s="12">
        <v>300.0102</v>
      </c>
      <c r="DD130" s="12">
        <f>IF(AND(Table1[[#This Row],[Cplex MZ2 Cost]]=Table1[[#This Row],[ORTools FZN2 Cost]],Table1[[#This Row],[ORTools FZN2 State]]="Optimal",Table1[[#This Row],[Cplex MZ2 State]]="Suboptimal"),1,"")</f>
        <v>1</v>
      </c>
      <c r="DE130" s="39" t="s">
        <v>42</v>
      </c>
      <c r="DF130" s="39"/>
      <c r="DG130" s="2">
        <v>300.09890000000001</v>
      </c>
      <c r="DH130" s="2" t="str">
        <f>IF(AND(Table1[[#This Row],[Gurobi MZ1 Cost]]=Table1[[#This Row],[ORTools FZN2 Cost]],Table1[[#This Row],[ORTools FZN2 State]]="Optimal",Table1[[#This Row],[Gurobi MZ1 State]]="Suboptimal"),1,"")</f>
        <v/>
      </c>
      <c r="DI130" s="5" t="s">
        <v>42</v>
      </c>
      <c r="DJ130" s="2"/>
      <c r="DK130" s="2">
        <v>300.00549999999998</v>
      </c>
      <c r="DL130" s="4" t="str">
        <f>IF(AND(Table1[[#This Row],[Gurobi MZ2 Cost]]=Table1[[#This Row],[ORTools FZN2 Cost]],Table1[[#This Row],[ORTools FZN2 State]]="Optimal",Table1[[#This Row],[Gurobi MZ2 State]]="Suboptimal"),1,"")</f>
        <v/>
      </c>
      <c r="DM130" s="39" t="s">
        <v>26</v>
      </c>
      <c r="DN130" s="12">
        <v>10</v>
      </c>
      <c r="DO130" s="69">
        <v>300.01099999999798</v>
      </c>
      <c r="DP130" s="11">
        <f>IF(AND(Table1[[#This Row],[Cplex MC nonDual Cost]]=Table1[[#This Row],[ORTools FZN2 Cost]],Table1[[#This Row],[ORTools FZN2 State]]="Optimal",Table1[[#This Row],[Cplex MC nonDual State]]="Suboptimal"),1,"")</f>
        <v>1</v>
      </c>
      <c r="DQ130" s="5" t="s">
        <v>26</v>
      </c>
      <c r="DR130" s="2">
        <v>10</v>
      </c>
      <c r="DS130" s="2">
        <v>300.02019999999999</v>
      </c>
      <c r="DT130" s="2">
        <f>IF(AND(Table1[[#This Row],[Cplex MIP DM''z Cost]]=Table1[[#This Row],[ORTools FZN2 Cost]],Table1[[#This Row],[ORTools FZN2 State]]="Optimal",Table1[[#This Row],[Cplex MIP DM''z  State]]="Suboptimal"),1,"")</f>
        <v>1</v>
      </c>
      <c r="DU13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0" s="5" t="s">
        <v>26</v>
      </c>
      <c r="DW130" s="2">
        <v>11</v>
      </c>
      <c r="DX130" s="2">
        <v>300.03649999999999</v>
      </c>
      <c r="DY130" s="4" t="str">
        <f>IF(AND(Table1[[#This Row],[Gurobi DM''z  Cost]]=Table1[[#This Row],[ORTools FZN2 Cost]],Table1[[#This Row],[ORTools FZN2 State]]="Optimal",Table1[[#This Row],[Gurobi DM''z  State]]="Suboptimal"),1,"")</f>
        <v/>
      </c>
      <c r="DZ13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1" spans="1:130" ht="15.75" x14ac:dyDescent="0.25">
      <c r="A131" s="47" t="s">
        <v>157</v>
      </c>
      <c r="B131" s="5">
        <v>26</v>
      </c>
      <c r="C131" s="2">
        <v>13</v>
      </c>
      <c r="D131" s="5">
        <v>75</v>
      </c>
      <c r="E131" s="2">
        <v>18</v>
      </c>
      <c r="F131" s="5">
        <v>16</v>
      </c>
      <c r="G131" s="2">
        <v>3</v>
      </c>
      <c r="H131" s="4">
        <f t="shared" ref="H131:H194" si="2" xml:space="preserve"> B131-PRODUCT(2,C131)</f>
        <v>0</v>
      </c>
      <c r="I131" s="4">
        <f>Table1[[#This Row],[B]]+Table1[[#This Row],[Atomic Constraints]]+Table1[[#This Row],[Soft Atomic Constraints]]+Table1[[#This Row],[Disjunctive Constraints]]+Table1[[#This Row],[Direct Successors]]</f>
        <v>125</v>
      </c>
      <c r="J131" s="5" t="s">
        <v>25</v>
      </c>
      <c r="K131" s="2">
        <v>35886</v>
      </c>
      <c r="L131" s="2">
        <v>12.441239299999999</v>
      </c>
      <c r="M131" s="2" t="str">
        <f>IF(AND(Table1[[#This Row],[Chuffed MZ1 Cost]]=Table1[[#This Row],[ORTools FZN2 Cost]],Table1[[#This Row],[ORTools FZN2 State]]="Optimal",Table1[[#This Row],[Chuffed MZ1 State]]="Suboptimal"),1,"")</f>
        <v/>
      </c>
      <c r="N131" s="5" t="s">
        <v>25</v>
      </c>
      <c r="O131" s="2">
        <v>35886</v>
      </c>
      <c r="P131" s="2">
        <v>8.1590740999999998</v>
      </c>
      <c r="Q131" s="2" t="str">
        <f>IF(AND(Table1[[#This Row],[Chuffed MZ2 Cost]]=Table1[[#This Row],[ORTools FZN2 Cost]],Table1[[#This Row],[ORTools FZN2 State]]="Optimal",Table1[[#This Row],[Chuffed MZ2 State]]="Suboptimal"),1,"")</f>
        <v/>
      </c>
      <c r="R131" s="6" t="s">
        <v>25</v>
      </c>
      <c r="S131" s="4">
        <v>35886</v>
      </c>
      <c r="T131" s="4">
        <v>5.67900000000009</v>
      </c>
      <c r="U131" s="4"/>
      <c r="V131" s="5" t="s">
        <v>25</v>
      </c>
      <c r="W131" s="2">
        <v>35886</v>
      </c>
      <c r="X131" s="2">
        <v>1.5247166999999999</v>
      </c>
      <c r="Y131" s="2" t="str">
        <f>IF(AND(Table1[[#This Row],[ORTools FZN1 Cost]]=Table1[[#This Row],[ORTools FZN2 Cost]],Table1[[#This Row],[ORTools FZN2 State]]="Optimal",Table1[[#This Row],[ORTools FZN1 State]]="Suboptimal"),1,"")</f>
        <v/>
      </c>
      <c r="Z131" s="5" t="s">
        <v>25</v>
      </c>
      <c r="AA131" s="2">
        <v>35886</v>
      </c>
      <c r="AB131" s="2">
        <v>1.4152302999999999</v>
      </c>
      <c r="AC131" s="39" t="s">
        <v>25</v>
      </c>
      <c r="AD131" s="39">
        <v>35886</v>
      </c>
      <c r="AE131" s="2">
        <v>51.113522600000003</v>
      </c>
      <c r="AF131" s="2" t="str">
        <f>IF(AND(Table1[[#This Row],[Cplex MB Cost]]=Table1[[#This Row],[ORTools FZN2 Cost]],Table1[[#This Row],[ORTools FZN2 State]]="Optimal",Table1[[#This Row],[Cplex MB State]]="Suboptimal"),1,"")</f>
        <v/>
      </c>
      <c r="AG131" s="4">
        <f>IF(AND(AC131="Optimal",AD131&lt;&gt;AA131,Table1[[#This Row],[Example]]&lt;&gt;"R001",Table1[[#This Row],[Example]]&lt;&gt;"R002"),AD131-AA131,)</f>
        <v>0</v>
      </c>
      <c r="AH131" s="5" t="s">
        <v>26</v>
      </c>
      <c r="AI131" s="2">
        <v>35939</v>
      </c>
      <c r="AJ131" s="2">
        <v>300.2165923</v>
      </c>
      <c r="AK131" s="2" t="str">
        <f>IF(AND(Table1[[#This Row],[Cplex MD Cost]]=Table1[[#This Row],[ORTools FZN2 Cost]],Table1[[#This Row],[ORTools FZN2 State]]="Optimal",Table1[[#This Row],[Cplex MD State]]="Suboptimal"),1,"")</f>
        <v/>
      </c>
      <c r="AL131" s="4">
        <f>IF(AND(AH131="Optimal",AI131&lt;&gt;AA131,Table1[[#This Row],[Example]]&lt;&gt;"R001",Table1[[#This Row],[Example]]&lt;&gt;"R002"),AI131-AA131,)</f>
        <v>0</v>
      </c>
      <c r="AM131" s="39" t="s">
        <v>25</v>
      </c>
      <c r="AN131" s="39">
        <v>35886</v>
      </c>
      <c r="AO131" s="2">
        <v>13.518558199999999</v>
      </c>
      <c r="AP13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1" s="4" t="str">
        <f>IF(AND(Table1[[#This Row],[Cplex MI Cost]]=Table1[[#This Row],[ORTools FZN2 Cost]],Table1[[#This Row],[ORTools FZN2 State]]="Optimal",Table1[[#This Row],[Cplex MI State]]="Suboptimal"),1,"")</f>
        <v/>
      </c>
      <c r="AR131" s="12" t="s">
        <v>26</v>
      </c>
      <c r="AS131" s="12">
        <v>35886</v>
      </c>
      <c r="AT131" s="12">
        <v>84.691754000000003</v>
      </c>
      <c r="AU131" s="12">
        <f>IF(AND(Table1[[#This Row],[Z3 SMT2-1 Maxres Cost]]=Table1[[#This Row],[ORTools FZN2 Cost]],Table1[[#This Row],[ORTools FZN2 State]]="Optimal"),1,"")</f>
        <v>1</v>
      </c>
      <c r="AV131" s="12" t="s">
        <v>26</v>
      </c>
      <c r="AW131" s="12">
        <v>35886</v>
      </c>
      <c r="AX131" s="12">
        <v>88.863348599999995</v>
      </c>
      <c r="AY131" s="12">
        <f>IF(AND(Table1[[#This Row],[Z3 SMT2-1 PdMaxres Cost]]=Table1[[#This Row],[ORTools FZN2 Cost]],Table1[[#This Row],[ORTools FZN2 State]]="Optimal"),1,"")</f>
        <v>1</v>
      </c>
      <c r="AZ131" s="12" t="s">
        <v>26</v>
      </c>
      <c r="BA131" s="12">
        <v>35886</v>
      </c>
      <c r="BB131" s="12">
        <v>85.162600699999999</v>
      </c>
      <c r="BC131" s="12">
        <f>IF(AND(Table1[[#This Row],[Z3 SMT2-1 WMax Cost]]=Table1[[#This Row],[ORTools FZN2 Cost]],Table1[[#This Row],[ORTools FZN2 State]]="Optimal"),1,"")</f>
        <v>1</v>
      </c>
      <c r="BD131" s="12" t="s">
        <v>26</v>
      </c>
      <c r="BE131" s="12">
        <v>35886</v>
      </c>
      <c r="BF131" s="12">
        <v>67.8109702</v>
      </c>
      <c r="BG131" s="12">
        <f>IF(AND(Table1[[#This Row],[Z3 SMT2-2 Maxres Cost]]=Table1[[#This Row],[ORTools FZN2 Cost]],Table1[[#This Row],[ORTools FZN2 State]]="Optimal"),1,"")</f>
        <v>1</v>
      </c>
      <c r="BH131" s="12" t="s">
        <v>26</v>
      </c>
      <c r="BI131" s="12">
        <v>35886</v>
      </c>
      <c r="BJ131" s="12">
        <v>66.926299799999995</v>
      </c>
      <c r="BK131" s="12">
        <f>IF(AND(Table1[[#This Row],[Z3 SMT2-2 PdMaxres Cost]]=Table1[[#This Row],[ORTools FZN2 Cost]],Table1[[#This Row],[ORTools FZN2 State]]="Optimal"),1,"")</f>
        <v>1</v>
      </c>
      <c r="BL131" s="12" t="s">
        <v>26</v>
      </c>
      <c r="BM131" s="12">
        <v>35886</v>
      </c>
      <c r="BN131" s="12">
        <v>66.299500499999994</v>
      </c>
      <c r="BO131" s="11">
        <f>IF(AND(Table1[[#This Row],[Z3 SMT2-2 PdMaxres Cost]]=Table1[[#This Row],[ORTools FZN2 Cost]],Table1[[#This Row],[ORTools FZN2 State]]="Optimal"),1,"")</f>
        <v>1</v>
      </c>
      <c r="BP131" s="5" t="s">
        <v>25</v>
      </c>
      <c r="BQ131" s="2">
        <v>35886</v>
      </c>
      <c r="BR131" s="2">
        <v>13.9515571</v>
      </c>
      <c r="BS131" s="2" t="str">
        <f>IF(AND(Table1[[#This Row],[Gurobi MB Cost]]=Table1[[#This Row],[ORTools FZN2 Cost]],Table1[[#This Row],[ORTools FZN2 State]]="Optimal",Table1[[#This Row],[Gurobi MB State]]="Suboptimal"),1,"")</f>
        <v/>
      </c>
      <c r="BT13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1" s="5" t="s">
        <v>25</v>
      </c>
      <c r="BV131" s="2">
        <v>35886</v>
      </c>
      <c r="BW131" s="2">
        <v>107.0955122</v>
      </c>
      <c r="BX131" s="2" t="str">
        <f>IF(AND(Table1[[#This Row],[Gurobi MD Cost]]=Table1[[#This Row],[ORTools FZN2 Cost]],Table1[[#This Row],[ORTools FZN2 State]]="Optimal",Table1[[#This Row],[Gurobi MD State]]="Suboptimal"),1,"")</f>
        <v/>
      </c>
      <c r="BY13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1" s="5" t="s">
        <v>25</v>
      </c>
      <c r="CA131" s="2">
        <v>35886</v>
      </c>
      <c r="CB131" s="2">
        <v>6.8967317000000001</v>
      </c>
      <c r="CC131" s="2" t="str">
        <f>IF(AND(Table1[[#This Row],[Gurobi MI Cost]]=Table1[[#This Row],[ORTools FZN2 Cost]],Table1[[#This Row],[ORTools FZN2 State]]="Optimal",Table1[[#This Row],[Gurobi MI State]]="Suboptimal"),1,"")</f>
        <v/>
      </c>
      <c r="CD13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1" s="39" t="s">
        <v>42</v>
      </c>
      <c r="CF131" s="2">
        <v>-18279</v>
      </c>
      <c r="CG131" s="39">
        <v>306.05582149999998</v>
      </c>
      <c r="CH131" s="39" t="s">
        <v>42</v>
      </c>
      <c r="CI131" s="39">
        <v>-18279</v>
      </c>
      <c r="CJ131" s="2">
        <v>306.05396150000001</v>
      </c>
      <c r="CK131" s="5" t="s">
        <v>25</v>
      </c>
      <c r="CL131" s="2">
        <v>35886</v>
      </c>
      <c r="CM131" s="2">
        <v>7.2219999999979301</v>
      </c>
      <c r="CN131" s="5" t="s">
        <v>25</v>
      </c>
      <c r="CO131" s="2">
        <v>35886</v>
      </c>
      <c r="CP131" s="2">
        <v>18.551699299999999</v>
      </c>
      <c r="CQ131" s="5" t="s">
        <v>25</v>
      </c>
      <c r="CR131" s="2">
        <v>35886</v>
      </c>
      <c r="CS131" s="2">
        <v>3.5058606000000001</v>
      </c>
      <c r="CT131" s="6" t="s">
        <v>25</v>
      </c>
      <c r="CU131" s="4">
        <v>35886</v>
      </c>
      <c r="CV131" s="4">
        <v>3.5107518999999998</v>
      </c>
      <c r="CW131" s="39" t="s">
        <v>25</v>
      </c>
      <c r="CX131" s="39">
        <v>35886</v>
      </c>
      <c r="CY131" s="2">
        <v>141.47239999999999</v>
      </c>
      <c r="CZ131" s="2" t="str">
        <f>IF(AND(Table1[[#This Row],[Cplex MZ1 Cost]]=Table1[[#This Row],[ORTools FZN2 Cost]],Table1[[#This Row],[ORTools FZN2 State]]="Optimal",Table1[[#This Row],[Cplex MZ1 State]]="Suboptimal"),1,"")</f>
        <v/>
      </c>
      <c r="DA131" s="5" t="s">
        <v>25</v>
      </c>
      <c r="DB131" s="2">
        <v>35886</v>
      </c>
      <c r="DC131" s="2">
        <v>126.01049999999999</v>
      </c>
      <c r="DD131" s="2" t="str">
        <f>IF(AND(Table1[[#This Row],[Cplex MZ2 Cost]]=Table1[[#This Row],[ORTools FZN2 Cost]],Table1[[#This Row],[ORTools FZN2 State]]="Optimal",Table1[[#This Row],[Cplex MZ2 State]]="Suboptimal"),1,"")</f>
        <v/>
      </c>
      <c r="DE131" s="12" t="s">
        <v>26</v>
      </c>
      <c r="DF131" s="12">
        <v>35886</v>
      </c>
      <c r="DG131" s="12">
        <v>300.00290000000001</v>
      </c>
      <c r="DH131" s="12">
        <f>IF(AND(Table1[[#This Row],[Gurobi MZ1 Cost]]=Table1[[#This Row],[ORTools FZN2 Cost]],Table1[[#This Row],[ORTools FZN2 State]]="Optimal",Table1[[#This Row],[Gurobi MZ1 State]]="Suboptimal"),1,"")</f>
        <v>1</v>
      </c>
      <c r="DI131" s="12" t="s">
        <v>26</v>
      </c>
      <c r="DJ131" s="12">
        <v>35886</v>
      </c>
      <c r="DK131" s="12">
        <v>300.06979999999999</v>
      </c>
      <c r="DL131" s="11">
        <f>IF(AND(Table1[[#This Row],[Gurobi MZ2 Cost]]=Table1[[#This Row],[ORTools FZN2 Cost]],Table1[[#This Row],[ORTools FZN2 State]]="Optimal",Table1[[#This Row],[Gurobi MZ2 State]]="Suboptimal"),1,"")</f>
        <v>1</v>
      </c>
      <c r="DM131" s="39" t="s">
        <v>25</v>
      </c>
      <c r="DN131" s="39">
        <v>35886</v>
      </c>
      <c r="DO131" s="65">
        <v>233.526999999998</v>
      </c>
      <c r="DP131" s="4" t="str">
        <f>IF(AND(Table1[[#This Row],[Cplex MC nonDual Cost]]=Table1[[#This Row],[ORTools FZN2 Cost]],Table1[[#This Row],[ORTools FZN2 State]]="Optimal",Table1[[#This Row],[Cplex MC nonDual State]]="Suboptimal"),1,"")</f>
        <v/>
      </c>
      <c r="DQ131" s="5" t="s">
        <v>25</v>
      </c>
      <c r="DR131" s="2">
        <v>35886</v>
      </c>
      <c r="DS131" s="2">
        <v>131.83690000000001</v>
      </c>
      <c r="DT131" s="2" t="str">
        <f>IF(AND(Table1[[#This Row],[Cplex MIP DM''z Cost]]=Table1[[#This Row],[ORTools FZN2 Cost]],Table1[[#This Row],[ORTools FZN2 State]]="Optimal",Table1[[#This Row],[Cplex MIP DM''z  State]]="Suboptimal"),1,"")</f>
        <v/>
      </c>
      <c r="DU13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1" s="5" t="s">
        <v>26</v>
      </c>
      <c r="DW131" s="2">
        <v>35886</v>
      </c>
      <c r="DX131" s="2">
        <v>300.00990000000002</v>
      </c>
      <c r="DY131" s="4">
        <f>IF(AND(Table1[[#This Row],[Gurobi DM''z  Cost]]=Table1[[#This Row],[ORTools FZN2 Cost]],Table1[[#This Row],[ORTools FZN2 State]]="Optimal",Table1[[#This Row],[Gurobi DM''z  State]]="Suboptimal"),1,"")</f>
        <v>1</v>
      </c>
      <c r="DZ13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2" spans="1:130" ht="15.75" x14ac:dyDescent="0.25">
      <c r="A132" s="46" t="s">
        <v>158</v>
      </c>
      <c r="B132" s="5">
        <v>54</v>
      </c>
      <c r="C132" s="2">
        <v>27</v>
      </c>
      <c r="D132" s="5">
        <v>228</v>
      </c>
      <c r="E132" s="2">
        <v>36</v>
      </c>
      <c r="F132" s="5">
        <v>63</v>
      </c>
      <c r="G132" s="2">
        <v>20</v>
      </c>
      <c r="H132" s="4">
        <f t="shared" si="2"/>
        <v>0</v>
      </c>
      <c r="I132" s="4">
        <f>Table1[[#This Row],[B]]+Table1[[#This Row],[Atomic Constraints]]+Table1[[#This Row],[Soft Atomic Constraints]]+Table1[[#This Row],[Disjunctive Constraints]]+Table1[[#This Row],[Direct Successors]]</f>
        <v>374</v>
      </c>
      <c r="J132" s="5" t="s">
        <v>26</v>
      </c>
      <c r="K132" s="2">
        <v>1908920</v>
      </c>
      <c r="L132" s="2">
        <v>302.34330679999999</v>
      </c>
      <c r="M132" s="2" t="str">
        <f>IF(AND(Table1[[#This Row],[Chuffed MZ1 Cost]]=Table1[[#This Row],[ORTools FZN2 Cost]],Table1[[#This Row],[ORTools FZN2 State]]="Optimal",Table1[[#This Row],[Chuffed MZ1 State]]="Suboptimal"),1,"")</f>
        <v/>
      </c>
      <c r="N132" s="5" t="s">
        <v>26</v>
      </c>
      <c r="O132" s="2">
        <v>1593771</v>
      </c>
      <c r="P132" s="2">
        <v>302.26572290000001</v>
      </c>
      <c r="Q132" s="2" t="str">
        <f>IF(AND(Table1[[#This Row],[Chuffed MZ2 Cost]]=Table1[[#This Row],[ORTools FZN2 Cost]],Table1[[#This Row],[ORTools FZN2 State]]="Optimal",Table1[[#This Row],[Chuffed MZ2 State]]="Suboptimal"),1,"")</f>
        <v/>
      </c>
      <c r="R132" s="11" t="s">
        <v>26</v>
      </c>
      <c r="S132" s="11">
        <v>160713</v>
      </c>
      <c r="T132" s="11">
        <v>300.11799999999897</v>
      </c>
      <c r="U132" s="11">
        <v>1</v>
      </c>
      <c r="V132" s="5" t="s">
        <v>25</v>
      </c>
      <c r="W132" s="2">
        <v>160713</v>
      </c>
      <c r="X132" s="2">
        <v>21.824809999999999</v>
      </c>
      <c r="Y132" s="2" t="str">
        <f>IF(AND(Table1[[#This Row],[ORTools FZN1 Cost]]=Table1[[#This Row],[ORTools FZN2 Cost]],Table1[[#This Row],[ORTools FZN2 State]]="Optimal",Table1[[#This Row],[ORTools FZN1 State]]="Suboptimal"),1,"")</f>
        <v/>
      </c>
      <c r="Z132" s="5" t="s">
        <v>25</v>
      </c>
      <c r="AA132" s="2">
        <v>160713</v>
      </c>
      <c r="AB132" s="2">
        <v>23.294930699999998</v>
      </c>
      <c r="AC132" s="39" t="s">
        <v>42</v>
      </c>
      <c r="AD132" s="39">
        <v>-160435</v>
      </c>
      <c r="AE132" s="2">
        <v>300.1205478</v>
      </c>
      <c r="AF132" s="2" t="str">
        <f>IF(AND(Table1[[#This Row],[Cplex MB Cost]]=Table1[[#This Row],[ORTools FZN2 Cost]],Table1[[#This Row],[ORTools FZN2 State]]="Optimal",Table1[[#This Row],[Cplex MB State]]="Suboptimal"),1,"")</f>
        <v/>
      </c>
      <c r="AG132" s="4">
        <f>IF(AND(AC132="Optimal",AD132&lt;&gt;AA132,Table1[[#This Row],[Example]]&lt;&gt;"R001",Table1[[#This Row],[Example]]&lt;&gt;"R002"),AD132-AA132,)</f>
        <v>0</v>
      </c>
      <c r="AH132" s="5" t="s">
        <v>42</v>
      </c>
      <c r="AI132" s="2">
        <v>-160435</v>
      </c>
      <c r="AJ132" s="2">
        <v>300.25883470000002</v>
      </c>
      <c r="AK132" s="2" t="str">
        <f>IF(AND(Table1[[#This Row],[Cplex MD Cost]]=Table1[[#This Row],[ORTools FZN2 Cost]],Table1[[#This Row],[ORTools FZN2 State]]="Optimal",Table1[[#This Row],[Cplex MD State]]="Suboptimal"),1,"")</f>
        <v/>
      </c>
      <c r="AL132" s="4">
        <f>IF(AND(AH132="Optimal",AI132&lt;&gt;AA132,Table1[[#This Row],[Example]]&lt;&gt;"R001",Table1[[#This Row],[Example]]&lt;&gt;"R002"),AI132-AA132,)</f>
        <v>0</v>
      </c>
      <c r="AM132" s="39" t="s">
        <v>26</v>
      </c>
      <c r="AN132" s="39">
        <v>2538118</v>
      </c>
      <c r="AO132" s="2">
        <v>300.07729890000002</v>
      </c>
      <c r="AP13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2" s="4" t="str">
        <f>IF(AND(Table1[[#This Row],[Cplex MI Cost]]=Table1[[#This Row],[ORTools FZN2 Cost]],Table1[[#This Row],[ORTools FZN2 State]]="Optimal",Table1[[#This Row],[Cplex MI State]]="Suboptimal"),1,"")</f>
        <v/>
      </c>
      <c r="AR132" s="5" t="s">
        <v>42</v>
      </c>
      <c r="AS132" s="2">
        <v>-160435</v>
      </c>
      <c r="AT132" s="2">
        <v>300.05551789999998</v>
      </c>
      <c r="AU132" s="2" t="str">
        <f>IF(AND(Table1[[#This Row],[Z3 SMT2-1 Maxres Cost]]=Table1[[#This Row],[ORTools FZN2 Cost]],Table1[[#This Row],[ORTools FZN2 State]]="Optimal"),1,"")</f>
        <v/>
      </c>
      <c r="AV132" s="39" t="s">
        <v>42</v>
      </c>
      <c r="AW132" s="39">
        <v>-160435</v>
      </c>
      <c r="AX132" s="2">
        <v>300.0591197</v>
      </c>
      <c r="AY132" s="2" t="str">
        <f>IF(AND(Table1[[#This Row],[Z3 SMT2-1 PdMaxres Cost]]=Table1[[#This Row],[ORTools FZN2 Cost]],Table1[[#This Row],[ORTools FZN2 State]]="Optimal"),1,"")</f>
        <v/>
      </c>
      <c r="AZ132" s="5" t="s">
        <v>42</v>
      </c>
      <c r="BA132" s="2">
        <v>-160435</v>
      </c>
      <c r="BB132" s="39">
        <v>300.07055380000003</v>
      </c>
      <c r="BC132" s="39" t="str">
        <f>IF(AND(Table1[[#This Row],[Z3 SMT2-1 WMax Cost]]=Table1[[#This Row],[ORTools FZN2 Cost]],Table1[[#This Row],[ORTools FZN2 State]]="Optimal"),1,"")</f>
        <v/>
      </c>
      <c r="BD132" s="39" t="s">
        <v>42</v>
      </c>
      <c r="BE132" s="39">
        <v>-160435</v>
      </c>
      <c r="BF132" s="2">
        <v>300.06477380000001</v>
      </c>
      <c r="BG132" s="2" t="str">
        <f>IF(AND(Table1[[#This Row],[Z3 SMT2-2 Maxres Cost]]=Table1[[#This Row],[ORTools FZN2 Cost]],Table1[[#This Row],[ORTools FZN2 State]]="Optimal"),1,"")</f>
        <v/>
      </c>
      <c r="BH132" s="5" t="s">
        <v>42</v>
      </c>
      <c r="BI132" s="2">
        <v>-160435</v>
      </c>
      <c r="BJ132" s="39">
        <v>300.05695400000002</v>
      </c>
      <c r="BK132" s="39" t="str">
        <f>IF(AND(Table1[[#This Row],[Z3 SMT2-2 PdMaxres Cost]]=Table1[[#This Row],[ORTools FZN2 Cost]],Table1[[#This Row],[ORTools FZN2 State]]="Optimal"),1,"")</f>
        <v/>
      </c>
      <c r="BL132" s="39" t="s">
        <v>42</v>
      </c>
      <c r="BM132" s="39">
        <v>-160435</v>
      </c>
      <c r="BN132" s="2">
        <v>300.04763659999998</v>
      </c>
      <c r="BO132" s="4" t="str">
        <f>IF(AND(Table1[[#This Row],[Z3 SMT2-2 PdMaxres Cost]]=Table1[[#This Row],[ORTools FZN2 Cost]],Table1[[#This Row],[ORTools FZN2 State]]="Optimal"),1,"")</f>
        <v/>
      </c>
      <c r="BP132" s="5" t="s">
        <v>42</v>
      </c>
      <c r="BQ132" s="2">
        <v>-160435</v>
      </c>
      <c r="BR132" s="2">
        <v>300.4156089</v>
      </c>
      <c r="BS132" s="2" t="str">
        <f>IF(AND(Table1[[#This Row],[Gurobi MB Cost]]=Table1[[#This Row],[ORTools FZN2 Cost]],Table1[[#This Row],[ORTools FZN2 State]]="Optimal",Table1[[#This Row],[Gurobi MB State]]="Suboptimal"),1,"")</f>
        <v/>
      </c>
      <c r="BT13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2" s="5" t="s">
        <v>42</v>
      </c>
      <c r="BV132" s="2">
        <v>-160435</v>
      </c>
      <c r="BW132" s="2">
        <v>300.99184550000001</v>
      </c>
      <c r="BX132" s="2" t="str">
        <f>IF(AND(Table1[[#This Row],[Gurobi MD Cost]]=Table1[[#This Row],[ORTools FZN2 Cost]],Table1[[#This Row],[ORTools FZN2 State]]="Optimal",Table1[[#This Row],[Gurobi MD State]]="Suboptimal"),1,"")</f>
        <v/>
      </c>
      <c r="BY13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2" s="5" t="s">
        <v>42</v>
      </c>
      <c r="CA132" s="2">
        <v>-160435</v>
      </c>
      <c r="CB132" s="2">
        <v>300.26082079999998</v>
      </c>
      <c r="CC132" s="2" t="str">
        <f>IF(AND(Table1[[#This Row],[Gurobi MI Cost]]=Table1[[#This Row],[ORTools FZN2 Cost]],Table1[[#This Row],[ORTools FZN2 State]]="Optimal",Table1[[#This Row],[Gurobi MI State]]="Suboptimal"),1,"")</f>
        <v/>
      </c>
      <c r="CD13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2" s="39" t="s">
        <v>42</v>
      </c>
      <c r="CF132" s="2">
        <v>-160435</v>
      </c>
      <c r="CG132" s="39">
        <v>306.3279776</v>
      </c>
      <c r="CH132" s="39" t="s">
        <v>42</v>
      </c>
      <c r="CI132" s="39">
        <v>-160435</v>
      </c>
      <c r="CJ132" s="2">
        <v>306.11706429999998</v>
      </c>
      <c r="CK132" s="5" t="s">
        <v>25</v>
      </c>
      <c r="CL132" s="2">
        <v>160713</v>
      </c>
      <c r="CM132" s="2">
        <v>291.90399999999897</v>
      </c>
      <c r="CN132" s="5" t="s">
        <v>26</v>
      </c>
      <c r="CO132" s="2">
        <v>1753606</v>
      </c>
      <c r="CP132" s="2">
        <v>302.24380589999998</v>
      </c>
      <c r="CQ132" s="5" t="s">
        <v>25</v>
      </c>
      <c r="CR132" s="2">
        <v>160713</v>
      </c>
      <c r="CS132" s="2">
        <v>38.202711700000002</v>
      </c>
      <c r="CT132" s="6" t="s">
        <v>25</v>
      </c>
      <c r="CU132" s="4">
        <v>160713</v>
      </c>
      <c r="CV132" s="4">
        <v>24.0710856</v>
      </c>
      <c r="CW132" s="39" t="s">
        <v>42</v>
      </c>
      <c r="CX132" s="39"/>
      <c r="CY132" s="2">
        <v>300.0247</v>
      </c>
      <c r="CZ132" s="2" t="str">
        <f>IF(AND(Table1[[#This Row],[Cplex MZ1 Cost]]=Table1[[#This Row],[ORTools FZN2 Cost]],Table1[[#This Row],[ORTools FZN2 State]]="Optimal",Table1[[#This Row],[Cplex MZ1 State]]="Suboptimal"),1,"")</f>
        <v/>
      </c>
      <c r="DA132" s="5" t="s">
        <v>26</v>
      </c>
      <c r="DB132" s="2">
        <v>1269224</v>
      </c>
      <c r="DC132" s="2">
        <v>300.01979999999998</v>
      </c>
      <c r="DD132" s="2" t="str">
        <f>IF(AND(Table1[[#This Row],[Cplex MZ2 Cost]]=Table1[[#This Row],[ORTools FZN2 Cost]],Table1[[#This Row],[ORTools FZN2 State]]="Optimal",Table1[[#This Row],[Cplex MZ2 State]]="Suboptimal"),1,"")</f>
        <v/>
      </c>
      <c r="DE132" s="39" t="s">
        <v>42</v>
      </c>
      <c r="DF132" s="39"/>
      <c r="DG132" s="2">
        <v>300.02800000000002</v>
      </c>
      <c r="DH132" s="2" t="str">
        <f>IF(AND(Table1[[#This Row],[Gurobi MZ1 Cost]]=Table1[[#This Row],[ORTools FZN2 Cost]],Table1[[#This Row],[ORTools FZN2 State]]="Optimal",Table1[[#This Row],[Gurobi MZ1 State]]="Suboptimal"),1,"")</f>
        <v/>
      </c>
      <c r="DI132" s="5" t="s">
        <v>42</v>
      </c>
      <c r="DJ132" s="2"/>
      <c r="DK132" s="2">
        <v>300.0059</v>
      </c>
      <c r="DL132" s="4" t="str">
        <f>IF(AND(Table1[[#This Row],[Gurobi MZ2 Cost]]=Table1[[#This Row],[ORTools FZN2 Cost]],Table1[[#This Row],[ORTools FZN2 State]]="Optimal",Table1[[#This Row],[Gurobi MZ2 State]]="Suboptimal"),1,"")</f>
        <v/>
      </c>
      <c r="DM132" s="39" t="s">
        <v>25</v>
      </c>
      <c r="DN132" s="39">
        <v>160713</v>
      </c>
      <c r="DO132" s="65">
        <v>10.044000000001599</v>
      </c>
      <c r="DP132" s="4" t="str">
        <f>IF(AND(Table1[[#This Row],[Cplex MC nonDual Cost]]=Table1[[#This Row],[ORTools FZN2 Cost]],Table1[[#This Row],[ORTools FZN2 State]]="Optimal",Table1[[#This Row],[Cplex MC nonDual State]]="Suboptimal"),1,"")</f>
        <v/>
      </c>
      <c r="DQ132" s="5" t="s">
        <v>42</v>
      </c>
      <c r="DR132" s="2"/>
      <c r="DS132" s="2">
        <v>300.02539999999999</v>
      </c>
      <c r="DT132" s="2" t="str">
        <f>IF(AND(Table1[[#This Row],[Cplex MIP DM''z Cost]]=Table1[[#This Row],[ORTools FZN2 Cost]],Table1[[#This Row],[ORTools FZN2 State]]="Optimal",Table1[[#This Row],[Cplex MIP DM''z  State]]="Suboptimal"),1,"")</f>
        <v/>
      </c>
      <c r="DU13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2" s="5" t="s">
        <v>42</v>
      </c>
      <c r="DW132" s="2"/>
      <c r="DX132" s="2">
        <v>300.06869999999998</v>
      </c>
      <c r="DY132" s="4" t="str">
        <f>IF(AND(Table1[[#This Row],[Gurobi DM''z  Cost]]=Table1[[#This Row],[ORTools FZN2 Cost]],Table1[[#This Row],[ORTools FZN2 State]]="Optimal",Table1[[#This Row],[Gurobi DM''z  State]]="Suboptimal"),1,"")</f>
        <v/>
      </c>
      <c r="DZ13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3" spans="1:130" ht="15.75" x14ac:dyDescent="0.25">
      <c r="A133" s="47" t="s">
        <v>159</v>
      </c>
      <c r="B133" s="5">
        <v>48</v>
      </c>
      <c r="C133" s="2">
        <v>24</v>
      </c>
      <c r="D133" s="5">
        <v>194</v>
      </c>
      <c r="E133" s="2">
        <v>30</v>
      </c>
      <c r="F133" s="5">
        <v>55</v>
      </c>
      <c r="G133" s="2">
        <v>19</v>
      </c>
      <c r="H133" s="4">
        <f t="shared" si="2"/>
        <v>0</v>
      </c>
      <c r="I133" s="4">
        <f>Table1[[#This Row],[B]]+Table1[[#This Row],[Atomic Constraints]]+Table1[[#This Row],[Soft Atomic Constraints]]+Table1[[#This Row],[Disjunctive Constraints]]+Table1[[#This Row],[Direct Successors]]</f>
        <v>322</v>
      </c>
      <c r="J133" s="5" t="s">
        <v>26</v>
      </c>
      <c r="K133" s="2">
        <v>1116349</v>
      </c>
      <c r="L133" s="2">
        <v>301.92178239999998</v>
      </c>
      <c r="M133" s="2" t="str">
        <f>IF(AND(Table1[[#This Row],[Chuffed MZ1 Cost]]=Table1[[#This Row],[ORTools FZN2 Cost]],Table1[[#This Row],[ORTools FZN2 State]]="Optimal",Table1[[#This Row],[Chuffed MZ1 State]]="Suboptimal"),1,"")</f>
        <v/>
      </c>
      <c r="N133" s="5" t="s">
        <v>26</v>
      </c>
      <c r="O133" s="2">
        <v>560896</v>
      </c>
      <c r="P133" s="2">
        <v>301.93436680000002</v>
      </c>
      <c r="Q133" s="2" t="str">
        <f>IF(AND(Table1[[#This Row],[Chuffed MZ2 Cost]]=Table1[[#This Row],[ORTools FZN2 Cost]],Table1[[#This Row],[ORTools FZN2 State]]="Optimal",Table1[[#This Row],[Chuffed MZ2 State]]="Suboptimal"),1,"")</f>
        <v/>
      </c>
      <c r="R133" s="11" t="s">
        <v>26</v>
      </c>
      <c r="S133" s="11">
        <v>336826</v>
      </c>
      <c r="T133" s="11">
        <v>300.07600000000099</v>
      </c>
      <c r="U133" s="11">
        <v>1</v>
      </c>
      <c r="V133" s="5" t="s">
        <v>25</v>
      </c>
      <c r="W133" s="2">
        <v>336826</v>
      </c>
      <c r="X133" s="2">
        <v>26.417570300000001</v>
      </c>
      <c r="Y133" s="2" t="str">
        <f>IF(AND(Table1[[#This Row],[ORTools FZN1 Cost]]=Table1[[#This Row],[ORTools FZN2 Cost]],Table1[[#This Row],[ORTools FZN2 State]]="Optimal",Table1[[#This Row],[ORTools FZN1 State]]="Suboptimal"),1,"")</f>
        <v/>
      </c>
      <c r="Z133" s="5" t="s">
        <v>25</v>
      </c>
      <c r="AA133" s="2">
        <v>336826</v>
      </c>
      <c r="AB133" s="2">
        <v>22.8440789</v>
      </c>
      <c r="AC133" s="39" t="s">
        <v>42</v>
      </c>
      <c r="AD133" s="39">
        <v>-112945</v>
      </c>
      <c r="AE133" s="2">
        <v>300.12467279999998</v>
      </c>
      <c r="AF133" s="2" t="str">
        <f>IF(AND(Table1[[#This Row],[Cplex MB Cost]]=Table1[[#This Row],[ORTools FZN2 Cost]],Table1[[#This Row],[ORTools FZN2 State]]="Optimal",Table1[[#This Row],[Cplex MB State]]="Suboptimal"),1,"")</f>
        <v/>
      </c>
      <c r="AG133" s="4">
        <f>IF(AND(AC133="Optimal",AD133&lt;&gt;AA133,Table1[[#This Row],[Example]]&lt;&gt;"R001",Table1[[#This Row],[Example]]&lt;&gt;"R002"),AD133-AA133,)</f>
        <v>0</v>
      </c>
      <c r="AH133" s="5" t="s">
        <v>42</v>
      </c>
      <c r="AI133" s="2">
        <v>-112945</v>
      </c>
      <c r="AJ133" s="2">
        <v>306.55374899999998</v>
      </c>
      <c r="AK133" s="2" t="str">
        <f>IF(AND(Table1[[#This Row],[Cplex MD Cost]]=Table1[[#This Row],[ORTools FZN2 Cost]],Table1[[#This Row],[ORTools FZN2 State]]="Optimal",Table1[[#This Row],[Cplex MD State]]="Suboptimal"),1,"")</f>
        <v/>
      </c>
      <c r="AL133" s="4">
        <f>IF(AND(AH133="Optimal",AI133&lt;&gt;AA133,Table1[[#This Row],[Example]]&lt;&gt;"R001",Table1[[#This Row],[Example]]&lt;&gt;"R002"),AI133-AA133,)</f>
        <v>0</v>
      </c>
      <c r="AM133" s="39" t="s">
        <v>26</v>
      </c>
      <c r="AN133" s="39">
        <v>336921</v>
      </c>
      <c r="AO133" s="2">
        <v>300.1086444</v>
      </c>
      <c r="AP13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3" s="4" t="str">
        <f>IF(AND(Table1[[#This Row],[Cplex MI Cost]]=Table1[[#This Row],[ORTools FZN2 Cost]],Table1[[#This Row],[ORTools FZN2 State]]="Optimal",Table1[[#This Row],[Cplex MI State]]="Suboptimal"),1,"")</f>
        <v/>
      </c>
      <c r="AR133" s="5" t="s">
        <v>42</v>
      </c>
      <c r="AS133" s="2">
        <v>-112945</v>
      </c>
      <c r="AT133" s="2">
        <v>300.0435837</v>
      </c>
      <c r="AU133" s="2" t="str">
        <f>IF(AND(Table1[[#This Row],[Z3 SMT2-1 Maxres Cost]]=Table1[[#This Row],[ORTools FZN2 Cost]],Table1[[#This Row],[ORTools FZN2 State]]="Optimal"),1,"")</f>
        <v/>
      </c>
      <c r="AV133" s="39" t="s">
        <v>42</v>
      </c>
      <c r="AW133" s="39">
        <v>-112945</v>
      </c>
      <c r="AX133" s="2">
        <v>300.05252410000003</v>
      </c>
      <c r="AY133" s="2" t="str">
        <f>IF(AND(Table1[[#This Row],[Z3 SMT2-1 PdMaxres Cost]]=Table1[[#This Row],[ORTools FZN2 Cost]],Table1[[#This Row],[ORTools FZN2 State]]="Optimal"),1,"")</f>
        <v/>
      </c>
      <c r="AZ133" s="5" t="s">
        <v>42</v>
      </c>
      <c r="BA133" s="2">
        <v>-112945</v>
      </c>
      <c r="BB133" s="39">
        <v>300.1188482</v>
      </c>
      <c r="BC133" s="39" t="str">
        <f>IF(AND(Table1[[#This Row],[Z3 SMT2-1 WMax Cost]]=Table1[[#This Row],[ORTools FZN2 Cost]],Table1[[#This Row],[ORTools FZN2 State]]="Optimal"),1,"")</f>
        <v/>
      </c>
      <c r="BD133" s="39" t="s">
        <v>42</v>
      </c>
      <c r="BE133" s="39">
        <v>-112945</v>
      </c>
      <c r="BF133" s="2">
        <v>300.04855730000003</v>
      </c>
      <c r="BG133" s="2" t="str">
        <f>IF(AND(Table1[[#This Row],[Z3 SMT2-2 Maxres Cost]]=Table1[[#This Row],[ORTools FZN2 Cost]],Table1[[#This Row],[ORTools FZN2 State]]="Optimal"),1,"")</f>
        <v/>
      </c>
      <c r="BH133" s="5" t="s">
        <v>42</v>
      </c>
      <c r="BI133" s="2">
        <v>-112945</v>
      </c>
      <c r="BJ133" s="39">
        <v>300.04176200000001</v>
      </c>
      <c r="BK133" s="39" t="str">
        <f>IF(AND(Table1[[#This Row],[Z3 SMT2-2 PdMaxres Cost]]=Table1[[#This Row],[ORTools FZN2 Cost]],Table1[[#This Row],[ORTools FZN2 State]]="Optimal"),1,"")</f>
        <v/>
      </c>
      <c r="BL133" s="39" t="s">
        <v>42</v>
      </c>
      <c r="BM133" s="39">
        <v>-112945</v>
      </c>
      <c r="BN133" s="2">
        <v>300.05687139999998</v>
      </c>
      <c r="BO133" s="4" t="str">
        <f>IF(AND(Table1[[#This Row],[Z3 SMT2-2 PdMaxres Cost]]=Table1[[#This Row],[ORTools FZN2 Cost]],Table1[[#This Row],[ORTools FZN2 State]]="Optimal"),1,"")</f>
        <v/>
      </c>
      <c r="BP133" s="5" t="s">
        <v>42</v>
      </c>
      <c r="BQ133" s="2">
        <v>-112945</v>
      </c>
      <c r="BR133" s="2">
        <v>300.04276720000001</v>
      </c>
      <c r="BS133" s="2" t="str">
        <f>IF(AND(Table1[[#This Row],[Gurobi MB Cost]]=Table1[[#This Row],[ORTools FZN2 Cost]],Table1[[#This Row],[ORTools FZN2 State]]="Optimal",Table1[[#This Row],[Gurobi MB State]]="Suboptimal"),1,"")</f>
        <v/>
      </c>
      <c r="BT13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3" s="5" t="s">
        <v>42</v>
      </c>
      <c r="BV133" s="2">
        <v>-112945</v>
      </c>
      <c r="BW133" s="2">
        <v>300.08181889999997</v>
      </c>
      <c r="BX133" s="2" t="str">
        <f>IF(AND(Table1[[#This Row],[Gurobi MD Cost]]=Table1[[#This Row],[ORTools FZN2 Cost]],Table1[[#This Row],[ORTools FZN2 State]]="Optimal",Table1[[#This Row],[Gurobi MD State]]="Suboptimal"),1,"")</f>
        <v/>
      </c>
      <c r="BY13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3" s="5" t="s">
        <v>42</v>
      </c>
      <c r="CA133" s="2">
        <v>-112945</v>
      </c>
      <c r="CB133" s="2">
        <v>300.1028288</v>
      </c>
      <c r="CC133" s="2" t="str">
        <f>IF(AND(Table1[[#This Row],[Gurobi MI Cost]]=Table1[[#This Row],[ORTools FZN2 Cost]],Table1[[#This Row],[ORTools FZN2 State]]="Optimal",Table1[[#This Row],[Gurobi MI State]]="Suboptimal"),1,"")</f>
        <v/>
      </c>
      <c r="CD13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3" s="39" t="s">
        <v>42</v>
      </c>
      <c r="CF133" s="2">
        <v>-112945</v>
      </c>
      <c r="CG133" s="39">
        <v>306.07724689999998</v>
      </c>
      <c r="CH133" s="39" t="s">
        <v>42</v>
      </c>
      <c r="CI133" s="39">
        <v>-112945</v>
      </c>
      <c r="CJ133" s="2">
        <v>306.14509240000001</v>
      </c>
      <c r="CK133" s="5" t="s">
        <v>25</v>
      </c>
      <c r="CL133" s="2">
        <v>336826</v>
      </c>
      <c r="CM133" s="2">
        <v>71.761999999998807</v>
      </c>
      <c r="CN133" s="5" t="s">
        <v>26</v>
      </c>
      <c r="CO133" s="2">
        <v>1351750</v>
      </c>
      <c r="CP133" s="2">
        <v>301.8755994</v>
      </c>
      <c r="CQ133" s="5" t="s">
        <v>25</v>
      </c>
      <c r="CR133" s="2">
        <v>336826</v>
      </c>
      <c r="CS133" s="2">
        <v>28.130969400000001</v>
      </c>
      <c r="CT133" s="6" t="s">
        <v>25</v>
      </c>
      <c r="CU133" s="4">
        <v>336826</v>
      </c>
      <c r="CV133" s="4">
        <v>17.7155609</v>
      </c>
      <c r="CW133" s="39" t="s">
        <v>26</v>
      </c>
      <c r="CX133" s="39">
        <v>897421</v>
      </c>
      <c r="CY133" s="2">
        <v>300.02280000000002</v>
      </c>
      <c r="CZ133" s="2" t="str">
        <f>IF(AND(Table1[[#This Row],[Cplex MZ1 Cost]]=Table1[[#This Row],[ORTools FZN2 Cost]],Table1[[#This Row],[ORTools FZN2 State]]="Optimal",Table1[[#This Row],[Cplex MZ1 State]]="Suboptimal"),1,"")</f>
        <v/>
      </c>
      <c r="DA133" s="5" t="s">
        <v>26</v>
      </c>
      <c r="DB133" s="2">
        <v>786590</v>
      </c>
      <c r="DC133" s="2">
        <v>300.01119999999997</v>
      </c>
      <c r="DD133" s="2" t="str">
        <f>IF(AND(Table1[[#This Row],[Cplex MZ2 Cost]]=Table1[[#This Row],[ORTools FZN2 Cost]],Table1[[#This Row],[ORTools FZN2 State]]="Optimal",Table1[[#This Row],[Cplex MZ2 State]]="Suboptimal"),1,"")</f>
        <v/>
      </c>
      <c r="DE133" s="39" t="s">
        <v>42</v>
      </c>
      <c r="DF133" s="39"/>
      <c r="DG133" s="2">
        <v>300.00439999999998</v>
      </c>
      <c r="DH133" s="2" t="str">
        <f>IF(AND(Table1[[#This Row],[Gurobi MZ1 Cost]]=Table1[[#This Row],[ORTools FZN2 Cost]],Table1[[#This Row],[ORTools FZN2 State]]="Optimal",Table1[[#This Row],[Gurobi MZ1 State]]="Suboptimal"),1,"")</f>
        <v/>
      </c>
      <c r="DI133" s="5" t="s">
        <v>26</v>
      </c>
      <c r="DJ133" s="2">
        <v>560554</v>
      </c>
      <c r="DK133" s="2">
        <v>300.00819999999999</v>
      </c>
      <c r="DL133" s="4" t="str">
        <f>IF(AND(Table1[[#This Row],[Gurobi MZ2 Cost]]=Table1[[#This Row],[ORTools FZN2 Cost]],Table1[[#This Row],[ORTools FZN2 State]]="Optimal",Table1[[#This Row],[Gurobi MZ2 State]]="Suboptimal"),1,"")</f>
        <v/>
      </c>
      <c r="DM133" s="39" t="s">
        <v>25</v>
      </c>
      <c r="DN133" s="39">
        <v>336826</v>
      </c>
      <c r="DO133" s="65">
        <v>228.37899999999999</v>
      </c>
      <c r="DP133" s="4" t="str">
        <f>IF(AND(Table1[[#This Row],[Cplex MC nonDual Cost]]=Table1[[#This Row],[ORTools FZN2 Cost]],Table1[[#This Row],[ORTools FZN2 State]]="Optimal",Table1[[#This Row],[Cplex MC nonDual State]]="Suboptimal"),1,"")</f>
        <v/>
      </c>
      <c r="DQ133" s="5" t="s">
        <v>26</v>
      </c>
      <c r="DR133" s="2">
        <v>1010408</v>
      </c>
      <c r="DS133" s="2">
        <v>300.0206</v>
      </c>
      <c r="DT133" s="2" t="str">
        <f>IF(AND(Table1[[#This Row],[Cplex MIP DM''z Cost]]=Table1[[#This Row],[ORTools FZN2 Cost]],Table1[[#This Row],[ORTools FZN2 State]]="Optimal",Table1[[#This Row],[Cplex MIP DM''z  State]]="Suboptimal"),1,"")</f>
        <v/>
      </c>
      <c r="DU13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3" s="5" t="s">
        <v>26</v>
      </c>
      <c r="DW133" s="2">
        <v>892334</v>
      </c>
      <c r="DX133" s="2">
        <v>300.00110000000001</v>
      </c>
      <c r="DY133" s="4" t="str">
        <f>IF(AND(Table1[[#This Row],[Gurobi DM''z  Cost]]=Table1[[#This Row],[ORTools FZN2 Cost]],Table1[[#This Row],[ORTools FZN2 State]]="Optimal",Table1[[#This Row],[Gurobi DM''z  State]]="Suboptimal"),1,"")</f>
        <v/>
      </c>
      <c r="DZ13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4" spans="1:130" ht="15.75" x14ac:dyDescent="0.25">
      <c r="A134" s="46" t="s">
        <v>160</v>
      </c>
      <c r="B134" s="5">
        <v>36</v>
      </c>
      <c r="C134" s="2">
        <v>18</v>
      </c>
      <c r="D134" s="5">
        <v>163</v>
      </c>
      <c r="E134" s="2">
        <v>22</v>
      </c>
      <c r="F134" s="5">
        <v>20</v>
      </c>
      <c r="G134" s="2">
        <v>6</v>
      </c>
      <c r="H134" s="4">
        <f t="shared" si="2"/>
        <v>0</v>
      </c>
      <c r="I134" s="4">
        <f>Table1[[#This Row],[B]]+Table1[[#This Row],[Atomic Constraints]]+Table1[[#This Row],[Soft Atomic Constraints]]+Table1[[#This Row],[Disjunctive Constraints]]+Table1[[#This Row],[Direct Successors]]</f>
        <v>229</v>
      </c>
      <c r="J134" s="5" t="s">
        <v>25</v>
      </c>
      <c r="K134" s="2">
        <v>142779</v>
      </c>
      <c r="L134" s="2">
        <v>101.48783969999999</v>
      </c>
      <c r="M134" s="2" t="str">
        <f>IF(AND(Table1[[#This Row],[Chuffed MZ1 Cost]]=Table1[[#This Row],[ORTools FZN2 Cost]],Table1[[#This Row],[ORTools FZN2 State]]="Optimal",Table1[[#This Row],[Chuffed MZ1 State]]="Suboptimal"),1,"")</f>
        <v/>
      </c>
      <c r="N134" s="5" t="s">
        <v>25</v>
      </c>
      <c r="O134" s="2">
        <v>142779</v>
      </c>
      <c r="P134" s="2">
        <v>23.5459298</v>
      </c>
      <c r="Q134" s="2" t="str">
        <f>IF(AND(Table1[[#This Row],[Chuffed MZ2 Cost]]=Table1[[#This Row],[ORTools FZN2 Cost]],Table1[[#This Row],[ORTools FZN2 State]]="Optimal",Table1[[#This Row],[Chuffed MZ2 State]]="Suboptimal"),1,"")</f>
        <v/>
      </c>
      <c r="R134" s="6" t="s">
        <v>25</v>
      </c>
      <c r="S134" s="4">
        <v>142779</v>
      </c>
      <c r="T134" s="4">
        <v>13.729999999999601</v>
      </c>
      <c r="U134" s="4"/>
      <c r="V134" s="5" t="s">
        <v>25</v>
      </c>
      <c r="W134" s="2">
        <v>142779</v>
      </c>
      <c r="X134" s="2">
        <v>4.8767212999999998</v>
      </c>
      <c r="Y134" s="2" t="str">
        <f>IF(AND(Table1[[#This Row],[ORTools FZN1 Cost]]=Table1[[#This Row],[ORTools FZN2 Cost]],Table1[[#This Row],[ORTools FZN2 State]]="Optimal",Table1[[#This Row],[ORTools FZN1 State]]="Suboptimal"),1,"")</f>
        <v/>
      </c>
      <c r="Z134" s="5" t="s">
        <v>25</v>
      </c>
      <c r="AA134" s="2">
        <v>142779</v>
      </c>
      <c r="AB134" s="2">
        <v>6.0360084000000001</v>
      </c>
      <c r="AC134" s="12" t="s">
        <v>26</v>
      </c>
      <c r="AD134" s="12">
        <v>142779</v>
      </c>
      <c r="AE134" s="12">
        <v>300.07519910000002</v>
      </c>
      <c r="AF134" s="2">
        <f>IF(AND(Table1[[#This Row],[Cplex MB Cost]]=Table1[[#This Row],[ORTools FZN2 Cost]],Table1[[#This Row],[ORTools FZN2 State]]="Optimal",Table1[[#This Row],[Cplex MB State]]="Suboptimal"),1,"")</f>
        <v>1</v>
      </c>
      <c r="AG134" s="4">
        <f>IF(AND(AC134="Optimal",AD134&lt;&gt;AA134,Table1[[#This Row],[Example]]&lt;&gt;"R001",Table1[[#This Row],[Example]]&lt;&gt;"R002"),AD134-AA134,)</f>
        <v>0</v>
      </c>
      <c r="AH134" s="5" t="s">
        <v>26</v>
      </c>
      <c r="AI134" s="2">
        <v>613594</v>
      </c>
      <c r="AJ134" s="2">
        <v>301.7943535</v>
      </c>
      <c r="AK134" s="2" t="str">
        <f>IF(AND(Table1[[#This Row],[Cplex MD Cost]]=Table1[[#This Row],[ORTools FZN2 Cost]],Table1[[#This Row],[ORTools FZN2 State]]="Optimal",Table1[[#This Row],[Cplex MD State]]="Suboptimal"),1,"")</f>
        <v/>
      </c>
      <c r="AL134" s="2">
        <f>IF(AND(AH134="Optimal",AI134&lt;&gt;AA134,Table1[[#This Row],[Example]]&lt;&gt;"R001",Table1[[#This Row],[Example]]&lt;&gt;"R002"),AI134-AA134,)</f>
        <v>0</v>
      </c>
      <c r="AM134" s="39" t="s">
        <v>26</v>
      </c>
      <c r="AN134" s="39">
        <v>142887</v>
      </c>
      <c r="AO134" s="2">
        <v>300.05543490000002</v>
      </c>
      <c r="AP13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4" s="4" t="str">
        <f>IF(AND(Table1[[#This Row],[Cplex MI Cost]]=Table1[[#This Row],[ORTools FZN2 Cost]],Table1[[#This Row],[ORTools FZN2 State]]="Optimal",Table1[[#This Row],[Cplex MI State]]="Suboptimal"),1,"")</f>
        <v/>
      </c>
      <c r="AR134" s="5" t="s">
        <v>42</v>
      </c>
      <c r="AS134" s="2">
        <v>-47989</v>
      </c>
      <c r="AT134" s="2">
        <v>300.05397729999999</v>
      </c>
      <c r="AU134" s="2" t="str">
        <f>IF(AND(Table1[[#This Row],[Z3 SMT2-1 Maxres Cost]]=Table1[[#This Row],[ORTools FZN2 Cost]],Table1[[#This Row],[ORTools FZN2 State]]="Optimal"),1,"")</f>
        <v/>
      </c>
      <c r="AV134" s="39" t="s">
        <v>42</v>
      </c>
      <c r="AW134" s="39">
        <v>-47989</v>
      </c>
      <c r="AX134" s="2">
        <v>300.05017359999999</v>
      </c>
      <c r="AY134" s="2" t="str">
        <f>IF(AND(Table1[[#This Row],[Z3 SMT2-1 PdMaxres Cost]]=Table1[[#This Row],[ORTools FZN2 Cost]],Table1[[#This Row],[ORTools FZN2 State]]="Optimal"),1,"")</f>
        <v/>
      </c>
      <c r="AZ134" s="5" t="s">
        <v>42</v>
      </c>
      <c r="BA134" s="2">
        <v>-47989</v>
      </c>
      <c r="BB134" s="39">
        <v>300.03882679999998</v>
      </c>
      <c r="BC134" s="39" t="str">
        <f>IF(AND(Table1[[#This Row],[Z3 SMT2-1 WMax Cost]]=Table1[[#This Row],[ORTools FZN2 Cost]],Table1[[#This Row],[ORTools FZN2 State]]="Optimal"),1,"")</f>
        <v/>
      </c>
      <c r="BD134" s="39" t="s">
        <v>42</v>
      </c>
      <c r="BE134" s="39">
        <v>-47989</v>
      </c>
      <c r="BF134" s="2">
        <v>300.04844029999998</v>
      </c>
      <c r="BG134" s="2" t="str">
        <f>IF(AND(Table1[[#This Row],[Z3 SMT2-2 Maxres Cost]]=Table1[[#This Row],[ORTools FZN2 Cost]],Table1[[#This Row],[ORTools FZN2 State]]="Optimal"),1,"")</f>
        <v/>
      </c>
      <c r="BH134" s="5" t="s">
        <v>42</v>
      </c>
      <c r="BI134" s="2">
        <v>-47989</v>
      </c>
      <c r="BJ134" s="39">
        <v>300.04839909999998</v>
      </c>
      <c r="BK134" s="39" t="str">
        <f>IF(AND(Table1[[#This Row],[Z3 SMT2-2 PdMaxres Cost]]=Table1[[#This Row],[ORTools FZN2 Cost]],Table1[[#This Row],[ORTools FZN2 State]]="Optimal"),1,"")</f>
        <v/>
      </c>
      <c r="BL134" s="39" t="s">
        <v>42</v>
      </c>
      <c r="BM134" s="39">
        <v>-47989</v>
      </c>
      <c r="BN134" s="2">
        <v>300.04404060000002</v>
      </c>
      <c r="BO134" s="4" t="str">
        <f>IF(AND(Table1[[#This Row],[Z3 SMT2-2 PdMaxres Cost]]=Table1[[#This Row],[ORTools FZN2 Cost]],Table1[[#This Row],[ORTools FZN2 State]]="Optimal"),1,"")</f>
        <v/>
      </c>
      <c r="BP134" s="5" t="s">
        <v>25</v>
      </c>
      <c r="BQ134" s="2">
        <v>142779</v>
      </c>
      <c r="BR134" s="2">
        <v>45.690060000000003</v>
      </c>
      <c r="BS134" s="2" t="str">
        <f>IF(AND(Table1[[#This Row],[Gurobi MB Cost]]=Table1[[#This Row],[ORTools FZN2 Cost]],Table1[[#This Row],[ORTools FZN2 State]]="Optimal",Table1[[#This Row],[Gurobi MB State]]="Suboptimal"),1,"")</f>
        <v/>
      </c>
      <c r="BT13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4" s="12" t="s">
        <v>26</v>
      </c>
      <c r="BV134" s="12">
        <v>142779</v>
      </c>
      <c r="BW134" s="12">
        <v>300.04544329999999</v>
      </c>
      <c r="BX134" s="2">
        <f>IF(AND(Table1[[#This Row],[Gurobi MD Cost]]=Table1[[#This Row],[ORTools FZN2 Cost]],Table1[[#This Row],[ORTools FZN2 State]]="Optimal",Table1[[#This Row],[Gurobi MD State]]="Suboptimal"),1,"")</f>
        <v>1</v>
      </c>
      <c r="BY13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4" s="5" t="s">
        <v>25</v>
      </c>
      <c r="CA134" s="2">
        <v>142779</v>
      </c>
      <c r="CB134" s="2">
        <v>110.7750265</v>
      </c>
      <c r="CC134" s="2" t="str">
        <f>IF(AND(Table1[[#This Row],[Gurobi MI Cost]]=Table1[[#This Row],[ORTools FZN2 Cost]],Table1[[#This Row],[ORTools FZN2 State]]="Optimal",Table1[[#This Row],[Gurobi MI State]]="Suboptimal"),1,"")</f>
        <v/>
      </c>
      <c r="CD13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4" s="39" t="s">
        <v>42</v>
      </c>
      <c r="CF134" s="2">
        <v>-47989</v>
      </c>
      <c r="CG134" s="39">
        <v>306.0842202</v>
      </c>
      <c r="CH134" s="39" t="s">
        <v>42</v>
      </c>
      <c r="CI134" s="39">
        <v>-47989</v>
      </c>
      <c r="CJ134" s="2">
        <v>306.09838020000001</v>
      </c>
      <c r="CK134" s="5" t="s">
        <v>25</v>
      </c>
      <c r="CL134" s="2">
        <v>142779</v>
      </c>
      <c r="CM134" s="2">
        <v>17.5780000000013</v>
      </c>
      <c r="CN134" s="5" t="s">
        <v>25</v>
      </c>
      <c r="CO134" s="2">
        <v>142779</v>
      </c>
      <c r="CP134" s="2">
        <v>45.549381099999998</v>
      </c>
      <c r="CQ134" s="5" t="s">
        <v>25</v>
      </c>
      <c r="CR134" s="2">
        <v>142779</v>
      </c>
      <c r="CS134" s="2">
        <v>10.4816374</v>
      </c>
      <c r="CT134" s="6" t="s">
        <v>25</v>
      </c>
      <c r="CU134" s="4">
        <v>142779</v>
      </c>
      <c r="CV134" s="4">
        <v>7.0964254999999996</v>
      </c>
      <c r="CW134" s="39" t="s">
        <v>26</v>
      </c>
      <c r="CX134" s="39">
        <v>189583</v>
      </c>
      <c r="CY134" s="2">
        <v>300.01679999999999</v>
      </c>
      <c r="CZ134" s="2" t="str">
        <f>IF(AND(Table1[[#This Row],[Cplex MZ1 Cost]]=Table1[[#This Row],[ORTools FZN2 Cost]],Table1[[#This Row],[ORTools FZN2 State]]="Optimal",Table1[[#This Row],[Cplex MZ1 State]]="Suboptimal"),1,"")</f>
        <v/>
      </c>
      <c r="DA134" s="5" t="s">
        <v>26</v>
      </c>
      <c r="DB134" s="2">
        <v>190733</v>
      </c>
      <c r="DC134" s="2">
        <v>300.0231</v>
      </c>
      <c r="DD134" s="2" t="str">
        <f>IF(AND(Table1[[#This Row],[Cplex MZ2 Cost]]=Table1[[#This Row],[ORTools FZN2 Cost]],Table1[[#This Row],[ORTools FZN2 State]]="Optimal",Table1[[#This Row],[Cplex MZ2 State]]="Suboptimal"),1,"")</f>
        <v/>
      </c>
      <c r="DE134" s="39" t="s">
        <v>26</v>
      </c>
      <c r="DF134" s="39">
        <v>189663</v>
      </c>
      <c r="DG134" s="2">
        <v>300.00790000000001</v>
      </c>
      <c r="DH134" s="2" t="str">
        <f>IF(AND(Table1[[#This Row],[Gurobi MZ1 Cost]]=Table1[[#This Row],[ORTools FZN2 Cost]],Table1[[#This Row],[ORTools FZN2 State]]="Optimal",Table1[[#This Row],[Gurobi MZ1 State]]="Suboptimal"),1,"")</f>
        <v/>
      </c>
      <c r="DI134" s="5" t="s">
        <v>26</v>
      </c>
      <c r="DJ134" s="2">
        <v>142781</v>
      </c>
      <c r="DK134" s="2">
        <v>300.0059</v>
      </c>
      <c r="DL134" s="4" t="str">
        <f>IF(AND(Table1[[#This Row],[Gurobi MZ2 Cost]]=Table1[[#This Row],[ORTools FZN2 Cost]],Table1[[#This Row],[ORTools FZN2 State]]="Optimal",Table1[[#This Row],[Gurobi MZ2 State]]="Suboptimal"),1,"")</f>
        <v/>
      </c>
      <c r="DM134" s="39" t="s">
        <v>26</v>
      </c>
      <c r="DN134" s="12">
        <v>142779</v>
      </c>
      <c r="DO134" s="69">
        <v>300.008000000001</v>
      </c>
      <c r="DP134" s="11">
        <f>IF(AND(Table1[[#This Row],[Cplex MC nonDual Cost]]=Table1[[#This Row],[ORTools FZN2 Cost]],Table1[[#This Row],[ORTools FZN2 State]]="Optimal",Table1[[#This Row],[Cplex MC nonDual State]]="Suboptimal"),1,"")</f>
        <v>1</v>
      </c>
      <c r="DQ134" s="5" t="s">
        <v>26</v>
      </c>
      <c r="DR134" s="2">
        <v>189543</v>
      </c>
      <c r="DS134" s="2">
        <v>300.01940000000002</v>
      </c>
      <c r="DT134" s="2" t="str">
        <f>IF(AND(Table1[[#This Row],[Cplex MIP DM''z Cost]]=Table1[[#This Row],[ORTools FZN2 Cost]],Table1[[#This Row],[ORTools FZN2 State]]="Optimal",Table1[[#This Row],[Cplex MIP DM''z  State]]="Suboptimal"),1,"")</f>
        <v/>
      </c>
      <c r="DU13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4" s="5" t="s">
        <v>26</v>
      </c>
      <c r="DW134" s="2">
        <v>142779</v>
      </c>
      <c r="DX134" s="2">
        <v>300.0104</v>
      </c>
      <c r="DY134" s="4">
        <f>IF(AND(Table1[[#This Row],[Gurobi DM''z  Cost]]=Table1[[#This Row],[ORTools FZN2 Cost]],Table1[[#This Row],[ORTools FZN2 State]]="Optimal",Table1[[#This Row],[Gurobi DM''z  State]]="Suboptimal"),1,"")</f>
        <v>1</v>
      </c>
      <c r="DZ13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5" spans="1:130" ht="15.75" x14ac:dyDescent="0.25">
      <c r="A135" s="47" t="s">
        <v>161</v>
      </c>
      <c r="B135" s="5">
        <v>54</v>
      </c>
      <c r="C135" s="2">
        <v>27</v>
      </c>
      <c r="D135" s="5">
        <v>253</v>
      </c>
      <c r="E135" s="2">
        <v>34</v>
      </c>
      <c r="F135" s="5">
        <v>60</v>
      </c>
      <c r="G135" s="2">
        <v>28</v>
      </c>
      <c r="H135" s="4">
        <f t="shared" si="2"/>
        <v>0</v>
      </c>
      <c r="I135" s="4">
        <f>Table1[[#This Row],[B]]+Table1[[#This Row],[Atomic Constraints]]+Table1[[#This Row],[Soft Atomic Constraints]]+Table1[[#This Row],[Disjunctive Constraints]]+Table1[[#This Row],[Direct Successors]]</f>
        <v>402</v>
      </c>
      <c r="J135" s="5" t="s">
        <v>25</v>
      </c>
      <c r="K135" s="2">
        <v>8</v>
      </c>
      <c r="L135" s="2">
        <v>94.411279500000006</v>
      </c>
      <c r="M135" s="2" t="str">
        <f>IF(AND(Table1[[#This Row],[Chuffed MZ1 Cost]]=Table1[[#This Row],[ORTools FZN2 Cost]],Table1[[#This Row],[ORTools FZN2 State]]="Optimal",Table1[[#This Row],[Chuffed MZ1 State]]="Suboptimal"),1,"")</f>
        <v/>
      </c>
      <c r="N135" s="5" t="s">
        <v>26</v>
      </c>
      <c r="O135" s="2">
        <v>318506</v>
      </c>
      <c r="P135" s="2">
        <v>302.2845274</v>
      </c>
      <c r="Q135" s="2" t="str">
        <f>IF(AND(Table1[[#This Row],[Chuffed MZ2 Cost]]=Table1[[#This Row],[ORTools FZN2 Cost]],Table1[[#This Row],[ORTools FZN2 State]]="Optimal",Table1[[#This Row],[Chuffed MZ2 State]]="Suboptimal"),1,"")</f>
        <v/>
      </c>
      <c r="R135" s="11" t="s">
        <v>26</v>
      </c>
      <c r="S135" s="11">
        <v>8</v>
      </c>
      <c r="T135" s="11">
        <v>300.053</v>
      </c>
      <c r="U135" s="11">
        <v>1</v>
      </c>
      <c r="V135" s="5" t="s">
        <v>25</v>
      </c>
      <c r="W135" s="2">
        <v>8</v>
      </c>
      <c r="X135" s="2">
        <v>24.4455706</v>
      </c>
      <c r="Y135" s="2" t="str">
        <f>IF(AND(Table1[[#This Row],[ORTools FZN1 Cost]]=Table1[[#This Row],[ORTools FZN2 Cost]],Table1[[#This Row],[ORTools FZN2 State]]="Optimal",Table1[[#This Row],[ORTools FZN1 State]]="Suboptimal"),1,"")</f>
        <v/>
      </c>
      <c r="Z135" s="5" t="s">
        <v>25</v>
      </c>
      <c r="AA135" s="2">
        <v>8</v>
      </c>
      <c r="AB135" s="2">
        <v>18.678161500000002</v>
      </c>
      <c r="AC135" s="39" t="s">
        <v>25</v>
      </c>
      <c r="AD135" s="39">
        <v>8</v>
      </c>
      <c r="AE135" s="2">
        <v>200.91377929999999</v>
      </c>
      <c r="AF135" s="2" t="str">
        <f>IF(AND(Table1[[#This Row],[Cplex MB Cost]]=Table1[[#This Row],[ORTools FZN2 Cost]],Table1[[#This Row],[ORTools FZN2 State]]="Optimal",Table1[[#This Row],[Cplex MB State]]="Suboptimal"),1,"")</f>
        <v/>
      </c>
      <c r="AG135" s="4">
        <f>IF(AND(AC135="Optimal",AD135&lt;&gt;AA135,Table1[[#This Row],[Example]]&lt;&gt;"R001",Table1[[#This Row],[Example]]&lt;&gt;"R002"),AD135-AA135,)</f>
        <v>0</v>
      </c>
      <c r="AH135" s="5" t="s">
        <v>42</v>
      </c>
      <c r="AI135" s="2">
        <v>-160435</v>
      </c>
      <c r="AJ135" s="2">
        <v>300.43218919999998</v>
      </c>
      <c r="AK135" s="2" t="str">
        <f>IF(AND(Table1[[#This Row],[Cplex MD Cost]]=Table1[[#This Row],[ORTools FZN2 Cost]],Table1[[#This Row],[ORTools FZN2 State]]="Optimal",Table1[[#This Row],[Cplex MD State]]="Suboptimal"),1,"")</f>
        <v/>
      </c>
      <c r="AL135" s="4">
        <f>IF(AND(AH135="Optimal",AI135&lt;&gt;AA135,Table1[[#This Row],[Example]]&lt;&gt;"R001",Table1[[#This Row],[Example]]&lt;&gt;"R002"),AI135-AA135,)</f>
        <v>0</v>
      </c>
      <c r="AM135" s="39" t="s">
        <v>25</v>
      </c>
      <c r="AN135" s="39">
        <v>8</v>
      </c>
      <c r="AO135" s="2">
        <v>37.017239199999999</v>
      </c>
      <c r="AP13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5" s="4" t="str">
        <f>IF(AND(Table1[[#This Row],[Cplex MI Cost]]=Table1[[#This Row],[ORTools FZN2 Cost]],Table1[[#This Row],[ORTools FZN2 State]]="Optimal",Table1[[#This Row],[Cplex MI State]]="Suboptimal"),1,"")</f>
        <v/>
      </c>
      <c r="AR135" s="5" t="s">
        <v>42</v>
      </c>
      <c r="AS135" s="2">
        <v>-160435</v>
      </c>
      <c r="AT135" s="2">
        <v>300.05963889999998</v>
      </c>
      <c r="AU135" s="2" t="str">
        <f>IF(AND(Table1[[#This Row],[Z3 SMT2-1 Maxres Cost]]=Table1[[#This Row],[ORTools FZN2 Cost]],Table1[[#This Row],[ORTools FZN2 State]]="Optimal"),1,"")</f>
        <v/>
      </c>
      <c r="AV135" s="39" t="s">
        <v>42</v>
      </c>
      <c r="AW135" s="39">
        <v>-160435</v>
      </c>
      <c r="AX135" s="2">
        <v>300.05727639999998</v>
      </c>
      <c r="AY135" s="2" t="str">
        <f>IF(AND(Table1[[#This Row],[Z3 SMT2-1 PdMaxres Cost]]=Table1[[#This Row],[ORTools FZN2 Cost]],Table1[[#This Row],[ORTools FZN2 State]]="Optimal"),1,"")</f>
        <v/>
      </c>
      <c r="AZ135" s="5" t="s">
        <v>42</v>
      </c>
      <c r="BA135" s="2">
        <v>-160435</v>
      </c>
      <c r="BB135" s="39">
        <v>300.06860419999998</v>
      </c>
      <c r="BC135" s="39" t="str">
        <f>IF(AND(Table1[[#This Row],[Z3 SMT2-1 WMax Cost]]=Table1[[#This Row],[ORTools FZN2 Cost]],Table1[[#This Row],[ORTools FZN2 State]]="Optimal"),1,"")</f>
        <v/>
      </c>
      <c r="BD135" s="39" t="s">
        <v>42</v>
      </c>
      <c r="BE135" s="39">
        <v>-160435</v>
      </c>
      <c r="BF135" s="2">
        <v>300.0515264</v>
      </c>
      <c r="BG135" s="2" t="str">
        <f>IF(AND(Table1[[#This Row],[Z3 SMT2-2 Maxres Cost]]=Table1[[#This Row],[ORTools FZN2 Cost]],Table1[[#This Row],[ORTools FZN2 State]]="Optimal"),1,"")</f>
        <v/>
      </c>
      <c r="BH135" s="5" t="s">
        <v>42</v>
      </c>
      <c r="BI135" s="2">
        <v>-160435</v>
      </c>
      <c r="BJ135" s="39">
        <v>300.05569109999999</v>
      </c>
      <c r="BK135" s="39" t="str">
        <f>IF(AND(Table1[[#This Row],[Z3 SMT2-2 PdMaxres Cost]]=Table1[[#This Row],[ORTools FZN2 Cost]],Table1[[#This Row],[ORTools FZN2 State]]="Optimal"),1,"")</f>
        <v/>
      </c>
      <c r="BL135" s="39" t="s">
        <v>42</v>
      </c>
      <c r="BM135" s="39">
        <v>-160435</v>
      </c>
      <c r="BN135" s="2">
        <v>300.0501974</v>
      </c>
      <c r="BO135" s="4" t="str">
        <f>IF(AND(Table1[[#This Row],[Z3 SMT2-2 PdMaxres Cost]]=Table1[[#This Row],[ORTools FZN2 Cost]],Table1[[#This Row],[ORTools FZN2 State]]="Optimal"),1,"")</f>
        <v/>
      </c>
      <c r="BP135" s="5" t="s">
        <v>42</v>
      </c>
      <c r="BQ135" s="2">
        <v>-160435</v>
      </c>
      <c r="BR135" s="2">
        <v>300.28014780000001</v>
      </c>
      <c r="BS135" s="2" t="str">
        <f>IF(AND(Table1[[#This Row],[Gurobi MB Cost]]=Table1[[#This Row],[ORTools FZN2 Cost]],Table1[[#This Row],[ORTools FZN2 State]]="Optimal",Table1[[#This Row],[Gurobi MB State]]="Suboptimal"),1,"")</f>
        <v/>
      </c>
      <c r="BT13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5" s="5" t="s">
        <v>42</v>
      </c>
      <c r="BV135" s="2">
        <v>-160435</v>
      </c>
      <c r="BW135" s="2">
        <v>302.36270569999999</v>
      </c>
      <c r="BX135" s="2" t="str">
        <f>IF(AND(Table1[[#This Row],[Gurobi MD Cost]]=Table1[[#This Row],[ORTools FZN2 Cost]],Table1[[#This Row],[ORTools FZN2 State]]="Optimal",Table1[[#This Row],[Gurobi MD State]]="Suboptimal"),1,"")</f>
        <v/>
      </c>
      <c r="BY13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5" s="5" t="s">
        <v>42</v>
      </c>
      <c r="CA135" s="2">
        <v>-160435</v>
      </c>
      <c r="CB135" s="2">
        <v>300.26432749999998</v>
      </c>
      <c r="CC135" s="2" t="str">
        <f>IF(AND(Table1[[#This Row],[Gurobi MI Cost]]=Table1[[#This Row],[ORTools FZN2 Cost]],Table1[[#This Row],[ORTools FZN2 State]]="Optimal",Table1[[#This Row],[Gurobi MI State]]="Suboptimal"),1,"")</f>
        <v/>
      </c>
      <c r="CD13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5" s="39" t="s">
        <v>42</v>
      </c>
      <c r="CF135" s="2">
        <v>-160435</v>
      </c>
      <c r="CG135" s="39">
        <v>306.23534540000003</v>
      </c>
      <c r="CH135" s="39" t="s">
        <v>42</v>
      </c>
      <c r="CI135" s="39">
        <v>-160435</v>
      </c>
      <c r="CJ135" s="2">
        <v>306.10487510000002</v>
      </c>
      <c r="CK135" s="5" t="s">
        <v>26</v>
      </c>
      <c r="CL135" s="2">
        <v>8</v>
      </c>
      <c r="CM135" s="2">
        <v>300.07600000000099</v>
      </c>
      <c r="CN135" s="5" t="s">
        <v>25</v>
      </c>
      <c r="CO135" s="2">
        <v>8</v>
      </c>
      <c r="CP135" s="2">
        <v>278.18818449999998</v>
      </c>
      <c r="CQ135" s="5" t="s">
        <v>25</v>
      </c>
      <c r="CR135" s="2">
        <v>8</v>
      </c>
      <c r="CS135" s="2">
        <v>29.621198799999998</v>
      </c>
      <c r="CT135" s="6" t="s">
        <v>25</v>
      </c>
      <c r="CU135" s="4">
        <v>8</v>
      </c>
      <c r="CV135" s="4">
        <v>21.601943800000001</v>
      </c>
      <c r="CW135" s="39" t="s">
        <v>42</v>
      </c>
      <c r="CX135" s="39"/>
      <c r="CY135" s="2">
        <v>300.0197</v>
      </c>
      <c r="CZ135" s="2" t="str">
        <f>IF(AND(Table1[[#This Row],[Cplex MZ1 Cost]]=Table1[[#This Row],[ORTools FZN2 Cost]],Table1[[#This Row],[ORTools FZN2 State]]="Optimal",Table1[[#This Row],[Cplex MZ1 State]]="Suboptimal"),1,"")</f>
        <v/>
      </c>
      <c r="DA135" s="5" t="s">
        <v>26</v>
      </c>
      <c r="DB135" s="2">
        <v>637639</v>
      </c>
      <c r="DC135" s="2">
        <v>300.01620000000003</v>
      </c>
      <c r="DD135" s="2" t="str">
        <f>IF(AND(Table1[[#This Row],[Cplex MZ2 Cost]]=Table1[[#This Row],[ORTools FZN2 Cost]],Table1[[#This Row],[ORTools FZN2 State]]="Optimal",Table1[[#This Row],[Cplex MZ2 State]]="Suboptimal"),1,"")</f>
        <v/>
      </c>
      <c r="DE135" s="39" t="s">
        <v>42</v>
      </c>
      <c r="DF135" s="39"/>
      <c r="DG135" s="2">
        <v>300.07549999999998</v>
      </c>
      <c r="DH135" s="2" t="str">
        <f>IF(AND(Table1[[#This Row],[Gurobi MZ1 Cost]]=Table1[[#This Row],[ORTools FZN2 Cost]],Table1[[#This Row],[ORTools FZN2 State]]="Optimal",Table1[[#This Row],[Gurobi MZ1 State]]="Suboptimal"),1,"")</f>
        <v/>
      </c>
      <c r="DI135" s="5" t="s">
        <v>42</v>
      </c>
      <c r="DJ135" s="2"/>
      <c r="DK135" s="2">
        <v>300.11380000000003</v>
      </c>
      <c r="DL135" s="4" t="str">
        <f>IF(AND(Table1[[#This Row],[Gurobi MZ2 Cost]]=Table1[[#This Row],[ORTools FZN2 Cost]],Table1[[#This Row],[ORTools FZN2 State]]="Optimal",Table1[[#This Row],[Gurobi MZ2 State]]="Suboptimal"),1,"")</f>
        <v/>
      </c>
      <c r="DM135" s="39" t="s">
        <v>26</v>
      </c>
      <c r="DN135" s="12">
        <v>8</v>
      </c>
      <c r="DO135" s="69">
        <v>300.03899999999999</v>
      </c>
      <c r="DP135" s="11">
        <f>IF(AND(Table1[[#This Row],[Cplex MC nonDual Cost]]=Table1[[#This Row],[ORTools FZN2 Cost]],Table1[[#This Row],[ORTools FZN2 State]]="Optimal",Table1[[#This Row],[Cplex MC nonDual State]]="Suboptimal"),1,"")</f>
        <v>1</v>
      </c>
      <c r="DQ135" s="5" t="s">
        <v>42</v>
      </c>
      <c r="DR135" s="2"/>
      <c r="DS135" s="2">
        <v>300.01429999999999</v>
      </c>
      <c r="DT135" s="2" t="str">
        <f>IF(AND(Table1[[#This Row],[Cplex MIP DM''z Cost]]=Table1[[#This Row],[ORTools FZN2 Cost]],Table1[[#This Row],[ORTools FZN2 State]]="Optimal",Table1[[#This Row],[Cplex MIP DM''z  State]]="Suboptimal"),1,"")</f>
        <v/>
      </c>
      <c r="DU13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5" s="5" t="s">
        <v>42</v>
      </c>
      <c r="DW135" s="2"/>
      <c r="DX135" s="2">
        <v>300.2022</v>
      </c>
      <c r="DY135" s="4" t="str">
        <f>IF(AND(Table1[[#This Row],[Gurobi DM''z  Cost]]=Table1[[#This Row],[ORTools FZN2 Cost]],Table1[[#This Row],[ORTools FZN2 State]]="Optimal",Table1[[#This Row],[Gurobi DM''z  State]]="Suboptimal"),1,"")</f>
        <v/>
      </c>
      <c r="DZ13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6" spans="1:130" ht="15.75" x14ac:dyDescent="0.25">
      <c r="A136" s="46" t="s">
        <v>162</v>
      </c>
      <c r="B136" s="5">
        <v>42</v>
      </c>
      <c r="C136" s="2">
        <v>21</v>
      </c>
      <c r="D136" s="5">
        <v>137</v>
      </c>
      <c r="E136" s="2">
        <v>25</v>
      </c>
      <c r="F136" s="5">
        <v>39</v>
      </c>
      <c r="G136" s="2">
        <v>14</v>
      </c>
      <c r="H136" s="4">
        <f t="shared" si="2"/>
        <v>0</v>
      </c>
      <c r="I136" s="4">
        <f>Table1[[#This Row],[B]]+Table1[[#This Row],[Atomic Constraints]]+Table1[[#This Row],[Soft Atomic Constraints]]+Table1[[#This Row],[Disjunctive Constraints]]+Table1[[#This Row],[Direct Successors]]</f>
        <v>236</v>
      </c>
      <c r="J136" s="5" t="s">
        <v>25</v>
      </c>
      <c r="K136" s="2">
        <v>226010</v>
      </c>
      <c r="L136" s="2">
        <v>205.21913280000001</v>
      </c>
      <c r="M136" s="2" t="str">
        <f>IF(AND(Table1[[#This Row],[Chuffed MZ1 Cost]]=Table1[[#This Row],[ORTools FZN2 Cost]],Table1[[#This Row],[ORTools FZN2 State]]="Optimal",Table1[[#This Row],[Chuffed MZ1 State]]="Suboptimal"),1,"")</f>
        <v/>
      </c>
      <c r="N136" s="5" t="s">
        <v>25</v>
      </c>
      <c r="O136" s="2">
        <v>226010</v>
      </c>
      <c r="P136" s="2">
        <v>150.85874329999999</v>
      </c>
      <c r="Q136" s="2" t="str">
        <f>IF(AND(Table1[[#This Row],[Chuffed MZ2 Cost]]=Table1[[#This Row],[ORTools FZN2 Cost]],Table1[[#This Row],[ORTools FZN2 State]]="Optimal",Table1[[#This Row],[Chuffed MZ2 State]]="Suboptimal"),1,"")</f>
        <v/>
      </c>
      <c r="R136" s="6" t="s">
        <v>25</v>
      </c>
      <c r="S136" s="4">
        <v>226010</v>
      </c>
      <c r="T136" s="4">
        <v>65.325000000000699</v>
      </c>
      <c r="U136" s="4"/>
      <c r="V136" s="5" t="s">
        <v>25</v>
      </c>
      <c r="W136" s="2">
        <v>226010</v>
      </c>
      <c r="X136" s="2">
        <v>8.4202393999999998</v>
      </c>
      <c r="Y136" s="2" t="str">
        <f>IF(AND(Table1[[#This Row],[ORTools FZN1 Cost]]=Table1[[#This Row],[ORTools FZN2 Cost]],Table1[[#This Row],[ORTools FZN2 State]]="Optimal",Table1[[#This Row],[ORTools FZN1 State]]="Suboptimal"),1,"")</f>
        <v/>
      </c>
      <c r="Z136" s="5" t="s">
        <v>25</v>
      </c>
      <c r="AA136" s="2">
        <v>226010</v>
      </c>
      <c r="AB136" s="2">
        <v>9.1043190999999997</v>
      </c>
      <c r="AC136" s="39" t="s">
        <v>25</v>
      </c>
      <c r="AD136" s="39">
        <v>226010</v>
      </c>
      <c r="AE136" s="2">
        <v>102.94022320000001</v>
      </c>
      <c r="AF136" s="2" t="str">
        <f>IF(AND(Table1[[#This Row],[Cplex MB Cost]]=Table1[[#This Row],[ORTools FZN2 Cost]],Table1[[#This Row],[ORTools FZN2 State]]="Optimal",Table1[[#This Row],[Cplex MB State]]="Suboptimal"),1,"")</f>
        <v/>
      </c>
      <c r="AG136" s="4">
        <f>IF(AND(AC136="Optimal",AD136&lt;&gt;AA136,Table1[[#This Row],[Example]]&lt;&gt;"R001",Table1[[#This Row],[Example]]&lt;&gt;"R002"),AD136-AA136,)</f>
        <v>0</v>
      </c>
      <c r="AH136" s="5" t="s">
        <v>26</v>
      </c>
      <c r="AI136" s="2">
        <v>902506</v>
      </c>
      <c r="AJ136" s="2">
        <v>300.23564260000001</v>
      </c>
      <c r="AK136" s="2" t="str">
        <f>IF(AND(Table1[[#This Row],[Cplex MD Cost]]=Table1[[#This Row],[ORTools FZN2 Cost]],Table1[[#This Row],[ORTools FZN2 State]]="Optimal",Table1[[#This Row],[Cplex MD State]]="Suboptimal"),1,"")</f>
        <v/>
      </c>
      <c r="AL136" s="4">
        <f>IF(AND(AH136="Optimal",AI136&lt;&gt;AA136,Table1[[#This Row],[Example]]&lt;&gt;"R001",Table1[[#This Row],[Example]]&lt;&gt;"R002"),AI136-AA136,)</f>
        <v>0</v>
      </c>
      <c r="AM136" s="39" t="s">
        <v>25</v>
      </c>
      <c r="AN136" s="39">
        <v>226010</v>
      </c>
      <c r="AO136" s="2">
        <v>50.925001299999998</v>
      </c>
      <c r="AP136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6" s="2" t="str">
        <f>IF(AND(Table1[[#This Row],[Cplex MI Cost]]=Table1[[#This Row],[ORTools FZN2 Cost]],Table1[[#This Row],[ORTools FZN2 State]]="Optimal",Table1[[#This Row],[Cplex MI State]]="Suboptimal"),1,"")</f>
        <v/>
      </c>
      <c r="AR136" s="5" t="s">
        <v>42</v>
      </c>
      <c r="AS136" s="2">
        <v>-75895</v>
      </c>
      <c r="AT136" s="2">
        <v>300.04715570000002</v>
      </c>
      <c r="AU136" s="2" t="str">
        <f>IF(AND(Table1[[#This Row],[Z3 SMT2-1 Maxres Cost]]=Table1[[#This Row],[ORTools FZN2 Cost]],Table1[[#This Row],[ORTools FZN2 State]]="Optimal"),1,"")</f>
        <v/>
      </c>
      <c r="AV136" s="39" t="s">
        <v>42</v>
      </c>
      <c r="AW136" s="39">
        <v>-75895</v>
      </c>
      <c r="AX136" s="2">
        <v>300.04055549999998</v>
      </c>
      <c r="AY136" s="2" t="str">
        <f>IF(AND(Table1[[#This Row],[Z3 SMT2-1 PdMaxres Cost]]=Table1[[#This Row],[ORTools FZN2 Cost]],Table1[[#This Row],[ORTools FZN2 State]]="Optimal"),1,"")</f>
        <v/>
      </c>
      <c r="AZ136" s="5" t="s">
        <v>42</v>
      </c>
      <c r="BA136" s="2">
        <v>-75895</v>
      </c>
      <c r="BB136" s="39">
        <v>300.06199779999997</v>
      </c>
      <c r="BC136" s="39" t="str">
        <f>IF(AND(Table1[[#This Row],[Z3 SMT2-1 WMax Cost]]=Table1[[#This Row],[ORTools FZN2 Cost]],Table1[[#This Row],[ORTools FZN2 State]]="Optimal"),1,"")</f>
        <v/>
      </c>
      <c r="BD136" s="39" t="s">
        <v>42</v>
      </c>
      <c r="BE136" s="39">
        <v>-75895</v>
      </c>
      <c r="BF136" s="2">
        <v>300.04628689999998</v>
      </c>
      <c r="BG136" s="2" t="str">
        <f>IF(AND(Table1[[#This Row],[Z3 SMT2-2 Maxres Cost]]=Table1[[#This Row],[ORTools FZN2 Cost]],Table1[[#This Row],[ORTools FZN2 State]]="Optimal"),1,"")</f>
        <v/>
      </c>
      <c r="BH136" s="5" t="s">
        <v>42</v>
      </c>
      <c r="BI136" s="2">
        <v>-75895</v>
      </c>
      <c r="BJ136" s="39">
        <v>300.0435018</v>
      </c>
      <c r="BK136" s="39" t="str">
        <f>IF(AND(Table1[[#This Row],[Z3 SMT2-2 PdMaxres Cost]]=Table1[[#This Row],[ORTools FZN2 Cost]],Table1[[#This Row],[ORTools FZN2 State]]="Optimal"),1,"")</f>
        <v/>
      </c>
      <c r="BL136" s="39" t="s">
        <v>42</v>
      </c>
      <c r="BM136" s="39">
        <v>-75895</v>
      </c>
      <c r="BN136" s="2">
        <v>300.0385316</v>
      </c>
      <c r="BO136" s="4" t="str">
        <f>IF(AND(Table1[[#This Row],[Z3 SMT2-2 PdMaxres Cost]]=Table1[[#This Row],[ORTools FZN2 Cost]],Table1[[#This Row],[ORTools FZN2 State]]="Optimal"),1,"")</f>
        <v/>
      </c>
      <c r="BP136" s="5" t="s">
        <v>25</v>
      </c>
      <c r="BQ136" s="2">
        <v>226010</v>
      </c>
      <c r="BR136" s="2">
        <v>157.81410729999999</v>
      </c>
      <c r="BS136" s="2" t="str">
        <f>IF(AND(Table1[[#This Row],[Gurobi MB Cost]]=Table1[[#This Row],[ORTools FZN2 Cost]],Table1[[#This Row],[ORTools FZN2 State]]="Optimal",Table1[[#This Row],[Gurobi MB State]]="Suboptimal"),1,"")</f>
        <v/>
      </c>
      <c r="BT13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6" s="5" t="s">
        <v>42</v>
      </c>
      <c r="BV136" s="2">
        <v>-75895</v>
      </c>
      <c r="BW136" s="2">
        <v>300.09288839999999</v>
      </c>
      <c r="BX136" s="2" t="str">
        <f>IF(AND(Table1[[#This Row],[Gurobi MD Cost]]=Table1[[#This Row],[ORTools FZN2 Cost]],Table1[[#This Row],[ORTools FZN2 State]]="Optimal",Table1[[#This Row],[Gurobi MD State]]="Suboptimal"),1,"")</f>
        <v/>
      </c>
      <c r="BY13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6" s="5" t="s">
        <v>25</v>
      </c>
      <c r="CA136" s="2">
        <v>226010</v>
      </c>
      <c r="CB136" s="2">
        <v>95.274687200000002</v>
      </c>
      <c r="CC136" s="2" t="str">
        <f>IF(AND(Table1[[#This Row],[Gurobi MI Cost]]=Table1[[#This Row],[ORTools FZN2 Cost]],Table1[[#This Row],[ORTools FZN2 State]]="Optimal",Table1[[#This Row],[Gurobi MI State]]="Suboptimal"),1,"")</f>
        <v/>
      </c>
      <c r="CD13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6" s="39" t="s">
        <v>42</v>
      </c>
      <c r="CF136" s="2">
        <v>-75895</v>
      </c>
      <c r="CG136" s="39">
        <v>306.05804899999998</v>
      </c>
      <c r="CH136" s="39" t="s">
        <v>42</v>
      </c>
      <c r="CI136" s="39">
        <v>-75895</v>
      </c>
      <c r="CJ136" s="2">
        <v>306.08440230000002</v>
      </c>
      <c r="CK136" s="5" t="s">
        <v>25</v>
      </c>
      <c r="CL136" s="2">
        <v>226010</v>
      </c>
      <c r="CM136" s="2">
        <v>35.882999999997999</v>
      </c>
      <c r="CN136" s="5" t="s">
        <v>26</v>
      </c>
      <c r="CO136" s="2">
        <v>378935</v>
      </c>
      <c r="CP136" s="2">
        <v>301.6037632</v>
      </c>
      <c r="CQ136" s="5" t="s">
        <v>25</v>
      </c>
      <c r="CR136" s="2">
        <v>226010</v>
      </c>
      <c r="CS136" s="2">
        <v>16.16996</v>
      </c>
      <c r="CT136" s="6" t="s">
        <v>25</v>
      </c>
      <c r="CU136" s="4">
        <v>226010</v>
      </c>
      <c r="CV136" s="4">
        <v>13.1769207</v>
      </c>
      <c r="CW136" s="39" t="s">
        <v>26</v>
      </c>
      <c r="CX136" s="39">
        <v>226095</v>
      </c>
      <c r="CY136" s="2">
        <v>300.02780000000001</v>
      </c>
      <c r="CZ136" s="2" t="str">
        <f>IF(AND(Table1[[#This Row],[Cplex MZ1 Cost]]=Table1[[#This Row],[ORTools FZN2 Cost]],Table1[[#This Row],[ORTools FZN2 State]]="Optimal",Table1[[#This Row],[Cplex MZ1 State]]="Suboptimal"),1,"")</f>
        <v/>
      </c>
      <c r="DA136" s="12" t="s">
        <v>26</v>
      </c>
      <c r="DB136" s="12">
        <v>226010</v>
      </c>
      <c r="DC136" s="12">
        <v>300.0204</v>
      </c>
      <c r="DD136" s="12">
        <f>IF(AND(Table1[[#This Row],[Cplex MZ2 Cost]]=Table1[[#This Row],[ORTools FZN2 Cost]],Table1[[#This Row],[ORTools FZN2 State]]="Optimal",Table1[[#This Row],[Cplex MZ2 State]]="Suboptimal"),1,"")</f>
        <v>1</v>
      </c>
      <c r="DE136" s="39" t="s">
        <v>26</v>
      </c>
      <c r="DF136" s="39">
        <v>300267</v>
      </c>
      <c r="DG136" s="2">
        <v>300.0052</v>
      </c>
      <c r="DH136" s="2" t="str">
        <f>IF(AND(Table1[[#This Row],[Gurobi MZ1 Cost]]=Table1[[#This Row],[ORTools FZN2 Cost]],Table1[[#This Row],[ORTools FZN2 State]]="Optimal",Table1[[#This Row],[Gurobi MZ1 State]]="Suboptimal"),1,"")</f>
        <v/>
      </c>
      <c r="DI136" s="5" t="s">
        <v>26</v>
      </c>
      <c r="DJ136" s="2">
        <v>226518</v>
      </c>
      <c r="DK136" s="2">
        <v>300.00490000000002</v>
      </c>
      <c r="DL136" s="4" t="str">
        <f>IF(AND(Table1[[#This Row],[Gurobi MZ2 Cost]]=Table1[[#This Row],[ORTools FZN2 Cost]],Table1[[#This Row],[ORTools FZN2 State]]="Optimal",Table1[[#This Row],[Gurobi MZ2 State]]="Suboptimal"),1,"")</f>
        <v/>
      </c>
      <c r="DM136" s="39" t="s">
        <v>25</v>
      </c>
      <c r="DN136" s="39">
        <v>226010</v>
      </c>
      <c r="DO136" s="65">
        <v>53.851999999998903</v>
      </c>
      <c r="DP136" s="4" t="str">
        <f>IF(AND(Table1[[#This Row],[Cplex MC nonDual Cost]]=Table1[[#This Row],[ORTools FZN2 Cost]],Table1[[#This Row],[ORTools FZN2 State]]="Optimal",Table1[[#This Row],[Cplex MC nonDual State]]="Suboptimal"),1,"")</f>
        <v/>
      </c>
      <c r="DQ136" s="5" t="s">
        <v>26</v>
      </c>
      <c r="DR136" s="2">
        <v>226010</v>
      </c>
      <c r="DS136" s="2">
        <v>300.08519999999999</v>
      </c>
      <c r="DT136" s="2">
        <f>IF(AND(Table1[[#This Row],[Cplex MIP DM''z Cost]]=Table1[[#This Row],[ORTools FZN2 Cost]],Table1[[#This Row],[ORTools FZN2 State]]="Optimal",Table1[[#This Row],[Cplex MIP DM''z  State]]="Suboptimal"),1,"")</f>
        <v>1</v>
      </c>
      <c r="DU13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6" s="5" t="s">
        <v>26</v>
      </c>
      <c r="DW136" s="2">
        <v>226140</v>
      </c>
      <c r="DX136" s="2">
        <v>300.041</v>
      </c>
      <c r="DY136" s="4" t="str">
        <f>IF(AND(Table1[[#This Row],[Gurobi DM''z  Cost]]=Table1[[#This Row],[ORTools FZN2 Cost]],Table1[[#This Row],[ORTools FZN2 State]]="Optimal",Table1[[#This Row],[Gurobi DM''z  State]]="Suboptimal"),1,"")</f>
        <v/>
      </c>
      <c r="DZ13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7" spans="1:130" ht="15.75" x14ac:dyDescent="0.25">
      <c r="A137" s="47" t="s">
        <v>163</v>
      </c>
      <c r="B137" s="5">
        <v>44</v>
      </c>
      <c r="C137" s="2">
        <v>22</v>
      </c>
      <c r="D137" s="5">
        <v>195</v>
      </c>
      <c r="E137" s="2">
        <v>30</v>
      </c>
      <c r="F137" s="5">
        <v>24</v>
      </c>
      <c r="G137" s="2">
        <v>3</v>
      </c>
      <c r="H137" s="4">
        <f t="shared" si="2"/>
        <v>0</v>
      </c>
      <c r="I137" s="4">
        <f>Table1[[#This Row],[B]]+Table1[[#This Row],[Atomic Constraints]]+Table1[[#This Row],[Soft Atomic Constraints]]+Table1[[#This Row],[Disjunctive Constraints]]+Table1[[#This Row],[Direct Successors]]</f>
        <v>274</v>
      </c>
      <c r="J137" s="5" t="s">
        <v>25</v>
      </c>
      <c r="K137" s="2">
        <v>172398</v>
      </c>
      <c r="L137" s="2">
        <v>290.83124320000002</v>
      </c>
      <c r="M137" s="2" t="str">
        <f>IF(AND(Table1[[#This Row],[Chuffed MZ1 Cost]]=Table1[[#This Row],[ORTools FZN2 Cost]],Table1[[#This Row],[ORTools FZN2 State]]="Optimal",Table1[[#This Row],[Chuffed MZ1 State]]="Suboptimal"),1,"")</f>
        <v/>
      </c>
      <c r="N137" s="5" t="s">
        <v>26</v>
      </c>
      <c r="O137" s="2">
        <v>257674</v>
      </c>
      <c r="P137" s="2">
        <v>301.76799410000001</v>
      </c>
      <c r="Q137" s="2" t="str">
        <f>IF(AND(Table1[[#This Row],[Chuffed MZ2 Cost]]=Table1[[#This Row],[ORTools FZN2 Cost]],Table1[[#This Row],[ORTools FZN2 State]]="Optimal",Table1[[#This Row],[Chuffed MZ2 State]]="Suboptimal"),1,"")</f>
        <v/>
      </c>
      <c r="R137" s="6" t="s">
        <v>25</v>
      </c>
      <c r="S137" s="4">
        <v>172398</v>
      </c>
      <c r="T137" s="4">
        <v>183.812999999998</v>
      </c>
      <c r="U137" s="4"/>
      <c r="V137" s="5" t="s">
        <v>25</v>
      </c>
      <c r="W137" s="2">
        <v>172398</v>
      </c>
      <c r="X137" s="2">
        <v>17.417363900000002</v>
      </c>
      <c r="Y137" s="2" t="str">
        <f>IF(AND(Table1[[#This Row],[ORTools FZN1 Cost]]=Table1[[#This Row],[ORTools FZN2 Cost]],Table1[[#This Row],[ORTools FZN2 State]]="Optimal",Table1[[#This Row],[ORTools FZN1 State]]="Suboptimal"),1,"")</f>
        <v/>
      </c>
      <c r="Z137" s="5" t="s">
        <v>25</v>
      </c>
      <c r="AA137" s="2">
        <v>172398</v>
      </c>
      <c r="AB137" s="2">
        <v>16.7318155</v>
      </c>
      <c r="AC137" s="12" t="s">
        <v>26</v>
      </c>
      <c r="AD137" s="12">
        <v>172398</v>
      </c>
      <c r="AE137" s="12">
        <v>300.10480610000002</v>
      </c>
      <c r="AF137" s="2">
        <f>IF(AND(Table1[[#This Row],[Cplex MB Cost]]=Table1[[#This Row],[ORTools FZN2 Cost]],Table1[[#This Row],[ORTools FZN2 State]]="Optimal",Table1[[#This Row],[Cplex MB State]]="Suboptimal"),1,"")</f>
        <v>1</v>
      </c>
      <c r="AG137" s="4">
        <f>IF(AND(AC137="Optimal",AD137&lt;&gt;AA137,Table1[[#This Row],[Example]]&lt;&gt;"R001",Table1[[#This Row],[Example]]&lt;&gt;"R002"),AD137-AA137,)</f>
        <v>0</v>
      </c>
      <c r="AH137" s="5" t="s">
        <v>42</v>
      </c>
      <c r="AI137" s="2">
        <v>-87165</v>
      </c>
      <c r="AJ137" s="2">
        <v>300.23920809999998</v>
      </c>
      <c r="AK137" s="2" t="str">
        <f>IF(AND(Table1[[#This Row],[Cplex MD Cost]]=Table1[[#This Row],[ORTools FZN2 Cost]],Table1[[#This Row],[ORTools FZN2 State]]="Optimal",Table1[[#This Row],[Cplex MD State]]="Suboptimal"),1,"")</f>
        <v/>
      </c>
      <c r="AL137" s="4">
        <f>IF(AND(AH137="Optimal",AI137&lt;&gt;AA137,Table1[[#This Row],[Example]]&lt;&gt;"R001",Table1[[#This Row],[Example]]&lt;&gt;"R002"),AI137-AA137,)</f>
        <v>0</v>
      </c>
      <c r="AM137" s="39" t="s">
        <v>26</v>
      </c>
      <c r="AN137" s="39">
        <v>515247</v>
      </c>
      <c r="AO137" s="2">
        <v>300.0857287</v>
      </c>
      <c r="AP13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7" s="4" t="str">
        <f>IF(AND(Table1[[#This Row],[Cplex MI Cost]]=Table1[[#This Row],[ORTools FZN2 Cost]],Table1[[#This Row],[ORTools FZN2 State]]="Optimal",Table1[[#This Row],[Cplex MI State]]="Suboptimal"),1,"")</f>
        <v/>
      </c>
      <c r="AR137" s="5" t="s">
        <v>42</v>
      </c>
      <c r="AS137" s="2">
        <v>-87165</v>
      </c>
      <c r="AT137" s="2">
        <v>300.04292830000003</v>
      </c>
      <c r="AU137" s="2" t="str">
        <f>IF(AND(Table1[[#This Row],[Z3 SMT2-1 Maxres Cost]]=Table1[[#This Row],[ORTools FZN2 Cost]],Table1[[#This Row],[ORTools FZN2 State]]="Optimal"),1,"")</f>
        <v/>
      </c>
      <c r="AV137" s="39" t="s">
        <v>42</v>
      </c>
      <c r="AW137" s="39">
        <v>-87165</v>
      </c>
      <c r="AX137" s="2">
        <v>300.04112659999998</v>
      </c>
      <c r="AY137" s="2" t="str">
        <f>IF(AND(Table1[[#This Row],[Z3 SMT2-1 PdMaxres Cost]]=Table1[[#This Row],[ORTools FZN2 Cost]],Table1[[#This Row],[ORTools FZN2 State]]="Optimal"),1,"")</f>
        <v/>
      </c>
      <c r="AZ137" s="5" t="s">
        <v>42</v>
      </c>
      <c r="BA137" s="2">
        <v>-87165</v>
      </c>
      <c r="BB137" s="39">
        <v>300.1316296</v>
      </c>
      <c r="BC137" s="39" t="str">
        <f>IF(AND(Table1[[#This Row],[Z3 SMT2-1 WMax Cost]]=Table1[[#This Row],[ORTools FZN2 Cost]],Table1[[#This Row],[ORTools FZN2 State]]="Optimal"),1,"")</f>
        <v/>
      </c>
      <c r="BD137" s="39" t="s">
        <v>42</v>
      </c>
      <c r="BE137" s="39">
        <v>-87165</v>
      </c>
      <c r="BF137" s="2">
        <v>300.04587370000002</v>
      </c>
      <c r="BG137" s="2" t="str">
        <f>IF(AND(Table1[[#This Row],[Z3 SMT2-2 Maxres Cost]]=Table1[[#This Row],[ORTools FZN2 Cost]],Table1[[#This Row],[ORTools FZN2 State]]="Optimal"),1,"")</f>
        <v/>
      </c>
      <c r="BH137" s="5" t="s">
        <v>42</v>
      </c>
      <c r="BI137" s="2">
        <v>-87165</v>
      </c>
      <c r="BJ137" s="39">
        <v>300.05176280000001</v>
      </c>
      <c r="BK137" s="39" t="str">
        <f>IF(AND(Table1[[#This Row],[Z3 SMT2-2 PdMaxres Cost]]=Table1[[#This Row],[ORTools FZN2 Cost]],Table1[[#This Row],[ORTools FZN2 State]]="Optimal"),1,"")</f>
        <v/>
      </c>
      <c r="BL137" s="39" t="s">
        <v>42</v>
      </c>
      <c r="BM137" s="39">
        <v>-87165</v>
      </c>
      <c r="BN137" s="2">
        <v>300.04886290000002</v>
      </c>
      <c r="BO137" s="4" t="str">
        <f>IF(AND(Table1[[#This Row],[Z3 SMT2-2 PdMaxres Cost]]=Table1[[#This Row],[ORTools FZN2 Cost]],Table1[[#This Row],[ORTools FZN2 State]]="Optimal"),1,"")</f>
        <v/>
      </c>
      <c r="BP137" s="5" t="s">
        <v>26</v>
      </c>
      <c r="BQ137" s="2">
        <v>257849</v>
      </c>
      <c r="BR137" s="2">
        <v>300.10325940000001</v>
      </c>
      <c r="BS137" s="2" t="str">
        <f>IF(AND(Table1[[#This Row],[Gurobi MB Cost]]=Table1[[#This Row],[ORTools FZN2 Cost]],Table1[[#This Row],[ORTools FZN2 State]]="Optimal",Table1[[#This Row],[Gurobi MB State]]="Suboptimal"),1,"")</f>
        <v/>
      </c>
      <c r="BT13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7" s="5" t="s">
        <v>26</v>
      </c>
      <c r="BV137" s="2">
        <v>1288379</v>
      </c>
      <c r="BW137" s="2">
        <v>300.0989343</v>
      </c>
      <c r="BX137" s="2" t="str">
        <f>IF(AND(Table1[[#This Row],[Gurobi MD Cost]]=Table1[[#This Row],[ORTools FZN2 Cost]],Table1[[#This Row],[ORTools FZN2 State]]="Optimal",Table1[[#This Row],[Gurobi MD State]]="Suboptimal"),1,"")</f>
        <v/>
      </c>
      <c r="BY13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7" s="5" t="s">
        <v>25</v>
      </c>
      <c r="CA137" s="2">
        <v>172398</v>
      </c>
      <c r="CB137" s="2">
        <v>213.54102080000001</v>
      </c>
      <c r="CC137" s="2" t="str">
        <f>IF(AND(Table1[[#This Row],[Gurobi MI Cost]]=Table1[[#This Row],[ORTools FZN2 Cost]],Table1[[#This Row],[ORTools FZN2 State]]="Optimal",Table1[[#This Row],[Gurobi MI State]]="Suboptimal"),1,"")</f>
        <v/>
      </c>
      <c r="CD13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7" s="39" t="s">
        <v>42</v>
      </c>
      <c r="CF137" s="2">
        <v>-87165</v>
      </c>
      <c r="CG137" s="39">
        <v>306.43861399999997</v>
      </c>
      <c r="CH137" s="39" t="s">
        <v>42</v>
      </c>
      <c r="CI137" s="39">
        <v>-87165</v>
      </c>
      <c r="CJ137" s="2">
        <v>306.09821040000003</v>
      </c>
      <c r="CK137" s="5" t="s">
        <v>25</v>
      </c>
      <c r="CL137" s="2">
        <v>172398</v>
      </c>
      <c r="CM137" s="2">
        <v>109.196</v>
      </c>
      <c r="CN137" s="5" t="s">
        <v>26</v>
      </c>
      <c r="CO137" s="2">
        <v>1466710</v>
      </c>
      <c r="CP137" s="2">
        <v>301.66961120000002</v>
      </c>
      <c r="CQ137" s="5" t="s">
        <v>25</v>
      </c>
      <c r="CR137" s="2">
        <v>172398</v>
      </c>
      <c r="CS137" s="2">
        <v>30.670594000000001</v>
      </c>
      <c r="CT137" s="6" t="s">
        <v>25</v>
      </c>
      <c r="CU137" s="4">
        <v>172398</v>
      </c>
      <c r="CV137" s="4">
        <v>19.585198900000002</v>
      </c>
      <c r="CW137" s="39" t="s">
        <v>26</v>
      </c>
      <c r="CX137" s="39">
        <v>430154</v>
      </c>
      <c r="CY137" s="2">
        <v>300.00540000000001</v>
      </c>
      <c r="CZ137" s="2" t="str">
        <f>IF(AND(Table1[[#This Row],[Cplex MZ1 Cost]]=Table1[[#This Row],[ORTools FZN2 Cost]],Table1[[#This Row],[ORTools FZN2 State]]="Optimal",Table1[[#This Row],[Cplex MZ1 State]]="Suboptimal"),1,"")</f>
        <v/>
      </c>
      <c r="DA137" s="5" t="s">
        <v>26</v>
      </c>
      <c r="DB137" s="2">
        <v>943504</v>
      </c>
      <c r="DC137" s="2">
        <v>300.0247</v>
      </c>
      <c r="DD137" s="2" t="str">
        <f>IF(AND(Table1[[#This Row],[Cplex MZ2 Cost]]=Table1[[#This Row],[ORTools FZN2 Cost]],Table1[[#This Row],[ORTools FZN2 State]]="Optimal",Table1[[#This Row],[Cplex MZ2 State]]="Suboptimal"),1,"")</f>
        <v/>
      </c>
      <c r="DE137" s="39" t="s">
        <v>26</v>
      </c>
      <c r="DF137" s="39">
        <v>430063</v>
      </c>
      <c r="DG137" s="2">
        <v>300.012</v>
      </c>
      <c r="DH137" s="2" t="str">
        <f>IF(AND(Table1[[#This Row],[Gurobi MZ1 Cost]]=Table1[[#This Row],[ORTools FZN2 Cost]],Table1[[#This Row],[ORTools FZN2 State]]="Optimal",Table1[[#This Row],[Gurobi MZ1 State]]="Suboptimal"),1,"")</f>
        <v/>
      </c>
      <c r="DI137" s="5" t="s">
        <v>26</v>
      </c>
      <c r="DJ137" s="2">
        <v>858274</v>
      </c>
      <c r="DK137" s="2">
        <v>300.00760000000002</v>
      </c>
      <c r="DL137" s="4" t="str">
        <f>IF(AND(Table1[[#This Row],[Gurobi MZ2 Cost]]=Table1[[#This Row],[ORTools FZN2 Cost]],Table1[[#This Row],[ORTools FZN2 State]]="Optimal",Table1[[#This Row],[Gurobi MZ2 State]]="Suboptimal"),1,"")</f>
        <v/>
      </c>
      <c r="DM137" s="39" t="s">
        <v>26</v>
      </c>
      <c r="DN137" s="12">
        <v>172398</v>
      </c>
      <c r="DO137" s="69">
        <v>300.09900000000198</v>
      </c>
      <c r="DP137" s="11">
        <f>IF(AND(Table1[[#This Row],[Cplex MC nonDual Cost]]=Table1[[#This Row],[ORTools FZN2 Cost]],Table1[[#This Row],[ORTools FZN2 State]]="Optimal",Table1[[#This Row],[Cplex MC nonDual State]]="Suboptimal"),1,"")</f>
        <v>1</v>
      </c>
      <c r="DQ137" s="5" t="s">
        <v>26</v>
      </c>
      <c r="DR137" s="2">
        <v>172660</v>
      </c>
      <c r="DS137" s="2">
        <v>300.02519999999998</v>
      </c>
      <c r="DT137" s="2" t="str">
        <f>IF(AND(Table1[[#This Row],[Cplex MIP DM''z Cost]]=Table1[[#This Row],[ORTools FZN2 Cost]],Table1[[#This Row],[ORTools FZN2 State]]="Optimal",Table1[[#This Row],[Cplex MIP DM''z  State]]="Suboptimal"),1,"")</f>
        <v/>
      </c>
      <c r="DU13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7" s="5" t="s">
        <v>26</v>
      </c>
      <c r="DW137" s="2">
        <v>257676</v>
      </c>
      <c r="DX137" s="2">
        <v>300.00479999999999</v>
      </c>
      <c r="DY137" s="4" t="str">
        <f>IF(AND(Table1[[#This Row],[Gurobi DM''z  Cost]]=Table1[[#This Row],[ORTools FZN2 Cost]],Table1[[#This Row],[ORTools FZN2 State]]="Optimal",Table1[[#This Row],[Gurobi DM''z  State]]="Suboptimal"),1,"")</f>
        <v/>
      </c>
      <c r="DZ13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8" spans="1:130" ht="15.75" x14ac:dyDescent="0.25">
      <c r="A138" s="46" t="s">
        <v>164</v>
      </c>
      <c r="B138" s="5">
        <v>26</v>
      </c>
      <c r="C138" s="2">
        <v>13</v>
      </c>
      <c r="D138" s="5">
        <v>75</v>
      </c>
      <c r="E138" s="2">
        <v>18</v>
      </c>
      <c r="F138" s="5">
        <v>16</v>
      </c>
      <c r="G138" s="2">
        <v>3</v>
      </c>
      <c r="H138" s="4">
        <f t="shared" si="2"/>
        <v>0</v>
      </c>
      <c r="I138" s="4">
        <f>Table1[[#This Row],[B]]+Table1[[#This Row],[Atomic Constraints]]+Table1[[#This Row],[Soft Atomic Constraints]]+Table1[[#This Row],[Disjunctive Constraints]]+Table1[[#This Row],[Direct Successors]]</f>
        <v>125</v>
      </c>
      <c r="J138" s="5" t="s">
        <v>25</v>
      </c>
      <c r="K138" s="2">
        <v>35886</v>
      </c>
      <c r="L138" s="2">
        <v>19.0265564</v>
      </c>
      <c r="M138" s="2" t="str">
        <f>IF(AND(Table1[[#This Row],[Chuffed MZ1 Cost]]=Table1[[#This Row],[ORTools FZN2 Cost]],Table1[[#This Row],[ORTools FZN2 State]]="Optimal",Table1[[#This Row],[Chuffed MZ1 State]]="Suboptimal"),1,"")</f>
        <v/>
      </c>
      <c r="N138" s="5" t="s">
        <v>25</v>
      </c>
      <c r="O138" s="2">
        <v>35886</v>
      </c>
      <c r="P138" s="2">
        <v>7.1666660999999996</v>
      </c>
      <c r="Q138" s="2" t="str">
        <f>IF(AND(Table1[[#This Row],[Chuffed MZ2 Cost]]=Table1[[#This Row],[ORTools FZN2 Cost]],Table1[[#This Row],[ORTools FZN2 State]]="Optimal",Table1[[#This Row],[Chuffed MZ2 State]]="Suboptimal"),1,"")</f>
        <v/>
      </c>
      <c r="R138" s="5" t="s">
        <v>25</v>
      </c>
      <c r="S138" s="2">
        <v>35886</v>
      </c>
      <c r="T138" s="2">
        <v>6.8810000000012197</v>
      </c>
      <c r="U138" s="2"/>
      <c r="V138" s="5" t="s">
        <v>25</v>
      </c>
      <c r="W138" s="2">
        <v>35886</v>
      </c>
      <c r="X138" s="2">
        <v>1.9223679</v>
      </c>
      <c r="Y138" s="2" t="str">
        <f>IF(AND(Table1[[#This Row],[ORTools FZN1 Cost]]=Table1[[#This Row],[ORTools FZN2 Cost]],Table1[[#This Row],[ORTools FZN2 State]]="Optimal",Table1[[#This Row],[ORTools FZN1 State]]="Suboptimal"),1,"")</f>
        <v/>
      </c>
      <c r="Z138" s="5" t="s">
        <v>25</v>
      </c>
      <c r="AA138" s="2">
        <v>35886</v>
      </c>
      <c r="AB138" s="2">
        <v>1.3586065000000001</v>
      </c>
      <c r="AC138" s="39" t="s">
        <v>25</v>
      </c>
      <c r="AD138" s="39">
        <v>35886</v>
      </c>
      <c r="AE138" s="2">
        <v>24.9200692</v>
      </c>
      <c r="AF138" s="2" t="str">
        <f>IF(AND(Table1[[#This Row],[Cplex MB Cost]]=Table1[[#This Row],[ORTools FZN2 Cost]],Table1[[#This Row],[ORTools FZN2 State]]="Optimal",Table1[[#This Row],[Cplex MB State]]="Suboptimal"),1,"")</f>
        <v/>
      </c>
      <c r="AG138" s="4">
        <f>IF(AND(AC138="Optimal",AD138&lt;&gt;AA138,Table1[[#This Row],[Example]]&lt;&gt;"R001",Table1[[#This Row],[Example]]&lt;&gt;"R002"),AD138-AA138,)</f>
        <v>0</v>
      </c>
      <c r="AH138" s="5" t="s">
        <v>26</v>
      </c>
      <c r="AI138" s="2">
        <v>35888</v>
      </c>
      <c r="AJ138" s="2">
        <v>300.1947811</v>
      </c>
      <c r="AK138" s="2" t="str">
        <f>IF(AND(Table1[[#This Row],[Cplex MD Cost]]=Table1[[#This Row],[ORTools FZN2 Cost]],Table1[[#This Row],[ORTools FZN2 State]]="Optimal",Table1[[#This Row],[Cplex MD State]]="Suboptimal"),1,"")</f>
        <v/>
      </c>
      <c r="AL138" s="2">
        <f>IF(AND(AH138="Optimal",AI138&lt;&gt;AA138,Table1[[#This Row],[Example]]&lt;&gt;"R001",Table1[[#This Row],[Example]]&lt;&gt;"R002"),AI138-AA138,)</f>
        <v>0</v>
      </c>
      <c r="AM138" s="39" t="s">
        <v>25</v>
      </c>
      <c r="AN138" s="39">
        <v>35886</v>
      </c>
      <c r="AO138" s="2">
        <v>12.0788093</v>
      </c>
      <c r="AP13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8" s="4" t="str">
        <f>IF(AND(Table1[[#This Row],[Cplex MI Cost]]=Table1[[#This Row],[ORTools FZN2 Cost]],Table1[[#This Row],[ORTools FZN2 State]]="Optimal",Table1[[#This Row],[Cplex MI State]]="Suboptimal"),1,"")</f>
        <v/>
      </c>
      <c r="AR138" s="12" t="s">
        <v>26</v>
      </c>
      <c r="AS138" s="12">
        <v>35886</v>
      </c>
      <c r="AT138" s="12">
        <v>74.930113000000006</v>
      </c>
      <c r="AU138" s="12">
        <f>IF(AND(Table1[[#This Row],[Z3 SMT2-1 Maxres Cost]]=Table1[[#This Row],[ORTools FZN2 Cost]],Table1[[#This Row],[ORTools FZN2 State]]="Optimal"),1,"")</f>
        <v>1</v>
      </c>
      <c r="AV138" s="12" t="s">
        <v>26</v>
      </c>
      <c r="AW138" s="12">
        <v>35886</v>
      </c>
      <c r="AX138" s="12">
        <v>78.475254000000007</v>
      </c>
      <c r="AY138" s="12">
        <f>IF(AND(Table1[[#This Row],[Z3 SMT2-1 PdMaxres Cost]]=Table1[[#This Row],[ORTools FZN2 Cost]],Table1[[#This Row],[ORTools FZN2 State]]="Optimal"),1,"")</f>
        <v>1</v>
      </c>
      <c r="AZ138" s="12" t="s">
        <v>26</v>
      </c>
      <c r="BA138" s="12">
        <v>35886</v>
      </c>
      <c r="BB138" s="12">
        <v>97.867781199999996</v>
      </c>
      <c r="BC138" s="12">
        <f>IF(AND(Table1[[#This Row],[Z3 SMT2-1 WMax Cost]]=Table1[[#This Row],[ORTools FZN2 Cost]],Table1[[#This Row],[ORTools FZN2 State]]="Optimal"),1,"")</f>
        <v>1</v>
      </c>
      <c r="BD138" s="12" t="s">
        <v>26</v>
      </c>
      <c r="BE138" s="12">
        <v>35886</v>
      </c>
      <c r="BF138" s="12">
        <v>73.515926199999996</v>
      </c>
      <c r="BG138" s="12">
        <f>IF(AND(Table1[[#This Row],[Z3 SMT2-2 Maxres Cost]]=Table1[[#This Row],[ORTools FZN2 Cost]],Table1[[#This Row],[ORTools FZN2 State]]="Optimal"),1,"")</f>
        <v>1</v>
      </c>
      <c r="BH138" s="12" t="s">
        <v>26</v>
      </c>
      <c r="BI138" s="12">
        <v>35886</v>
      </c>
      <c r="BJ138" s="12">
        <v>72.435161100000002</v>
      </c>
      <c r="BK138" s="12">
        <f>IF(AND(Table1[[#This Row],[Z3 SMT2-2 PdMaxres Cost]]=Table1[[#This Row],[ORTools FZN2 Cost]],Table1[[#This Row],[ORTools FZN2 State]]="Optimal"),1,"")</f>
        <v>1</v>
      </c>
      <c r="BL138" s="12" t="s">
        <v>26</v>
      </c>
      <c r="BM138" s="12">
        <v>35886</v>
      </c>
      <c r="BN138" s="12">
        <v>72.840105500000007</v>
      </c>
      <c r="BO138" s="11">
        <f>IF(AND(Table1[[#This Row],[Z3 SMT2-2 PdMaxres Cost]]=Table1[[#This Row],[ORTools FZN2 Cost]],Table1[[#This Row],[ORTools FZN2 State]]="Optimal"),1,"")</f>
        <v>1</v>
      </c>
      <c r="BP138" s="5" t="s">
        <v>25</v>
      </c>
      <c r="BQ138" s="2">
        <v>35886</v>
      </c>
      <c r="BR138" s="2">
        <v>28.683248299999999</v>
      </c>
      <c r="BS138" s="2" t="str">
        <f>IF(AND(Table1[[#This Row],[Gurobi MB Cost]]=Table1[[#This Row],[ORTools FZN2 Cost]],Table1[[#This Row],[ORTools FZN2 State]]="Optimal",Table1[[#This Row],[Gurobi MB State]]="Suboptimal"),1,"")</f>
        <v/>
      </c>
      <c r="BT13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8" s="5" t="s">
        <v>25</v>
      </c>
      <c r="BV138" s="2">
        <v>35886</v>
      </c>
      <c r="BW138" s="2">
        <v>67.980457799999996</v>
      </c>
      <c r="BX138" s="2" t="str">
        <f>IF(AND(Table1[[#This Row],[Gurobi MD Cost]]=Table1[[#This Row],[ORTools FZN2 Cost]],Table1[[#This Row],[ORTools FZN2 State]]="Optimal",Table1[[#This Row],[Gurobi MD State]]="Suboptimal"),1,"")</f>
        <v/>
      </c>
      <c r="BY13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8" s="5" t="s">
        <v>25</v>
      </c>
      <c r="CA138" s="2">
        <v>35886</v>
      </c>
      <c r="CB138" s="2">
        <v>12.019836700000001</v>
      </c>
      <c r="CC138" s="2" t="str">
        <f>IF(AND(Table1[[#This Row],[Gurobi MI Cost]]=Table1[[#This Row],[ORTools FZN2 Cost]],Table1[[#This Row],[ORTools FZN2 State]]="Optimal",Table1[[#This Row],[Gurobi MI State]]="Suboptimal"),1,"")</f>
        <v/>
      </c>
      <c r="CD13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8" s="39" t="s">
        <v>42</v>
      </c>
      <c r="CF138" s="2">
        <v>-18279</v>
      </c>
      <c r="CG138" s="39">
        <v>306.04584039999997</v>
      </c>
      <c r="CH138" s="39" t="s">
        <v>42</v>
      </c>
      <c r="CI138" s="39">
        <v>-18279</v>
      </c>
      <c r="CJ138" s="2">
        <v>306.00146769999998</v>
      </c>
      <c r="CK138" s="5" t="s">
        <v>25</v>
      </c>
      <c r="CL138" s="2">
        <v>35886</v>
      </c>
      <c r="CM138" s="2">
        <v>6.91100000000006</v>
      </c>
      <c r="CN138" s="5" t="s">
        <v>25</v>
      </c>
      <c r="CO138" s="2">
        <v>35886</v>
      </c>
      <c r="CP138" s="2">
        <v>2.4758615000000002</v>
      </c>
      <c r="CQ138" s="5" t="s">
        <v>25</v>
      </c>
      <c r="CR138" s="2">
        <v>35886</v>
      </c>
      <c r="CS138" s="2">
        <v>3.4627716999999998</v>
      </c>
      <c r="CT138" s="6" t="s">
        <v>25</v>
      </c>
      <c r="CU138" s="4">
        <v>35886</v>
      </c>
      <c r="CV138" s="4">
        <v>2.7024789999999999</v>
      </c>
      <c r="CW138" s="39" t="s">
        <v>26</v>
      </c>
      <c r="CX138" s="39">
        <v>35888</v>
      </c>
      <c r="CY138" s="2">
        <v>300.01100000000002</v>
      </c>
      <c r="CZ138" s="2" t="str">
        <f>IF(AND(Table1[[#This Row],[Cplex MZ1 Cost]]=Table1[[#This Row],[ORTools FZN2 Cost]],Table1[[#This Row],[ORTools FZN2 State]]="Optimal",Table1[[#This Row],[Cplex MZ1 State]]="Suboptimal"),1,"")</f>
        <v/>
      </c>
      <c r="DA138" s="5" t="s">
        <v>25</v>
      </c>
      <c r="DB138" s="2">
        <v>35886</v>
      </c>
      <c r="DC138" s="2">
        <v>293.822</v>
      </c>
      <c r="DD138" s="2" t="str">
        <f>IF(AND(Table1[[#This Row],[Cplex MZ2 Cost]]=Table1[[#This Row],[ORTools FZN2 Cost]],Table1[[#This Row],[ORTools FZN2 State]]="Optimal",Table1[[#This Row],[Cplex MZ2 State]]="Suboptimal"),1,"")</f>
        <v/>
      </c>
      <c r="DE138" s="12" t="s">
        <v>26</v>
      </c>
      <c r="DF138" s="12">
        <v>35886</v>
      </c>
      <c r="DG138" s="12">
        <v>300.00400000000002</v>
      </c>
      <c r="DH138" s="12">
        <f>IF(AND(Table1[[#This Row],[Gurobi MZ1 Cost]]=Table1[[#This Row],[ORTools FZN2 Cost]],Table1[[#This Row],[ORTools FZN2 State]]="Optimal",Table1[[#This Row],[Gurobi MZ1 State]]="Suboptimal"),1,"")</f>
        <v>1</v>
      </c>
      <c r="DI138" s="5" t="s">
        <v>26</v>
      </c>
      <c r="DJ138" s="2">
        <v>35888</v>
      </c>
      <c r="DK138" s="2">
        <v>300.00130000000001</v>
      </c>
      <c r="DL138" s="4" t="str">
        <f>IF(AND(Table1[[#This Row],[Gurobi MZ2 Cost]]=Table1[[#This Row],[ORTools FZN2 Cost]],Table1[[#This Row],[ORTools FZN2 State]]="Optimal",Table1[[#This Row],[Gurobi MZ2 State]]="Suboptimal"),1,"")</f>
        <v/>
      </c>
      <c r="DM138" s="39" t="s">
        <v>26</v>
      </c>
      <c r="DN138" s="12">
        <v>35886</v>
      </c>
      <c r="DO138" s="69">
        <v>300.07700000000102</v>
      </c>
      <c r="DP138" s="11">
        <f>IF(AND(Table1[[#This Row],[Cplex MC nonDual Cost]]=Table1[[#This Row],[ORTools FZN2 Cost]],Table1[[#This Row],[ORTools FZN2 State]]="Optimal",Table1[[#This Row],[Cplex MC nonDual State]]="Suboptimal"),1,"")</f>
        <v>1</v>
      </c>
      <c r="DQ138" s="5" t="s">
        <v>25</v>
      </c>
      <c r="DR138" s="2">
        <v>35886</v>
      </c>
      <c r="DS138" s="2">
        <v>141.2722</v>
      </c>
      <c r="DT138" s="2" t="str">
        <f>IF(AND(Table1[[#This Row],[Cplex MIP DM''z Cost]]=Table1[[#This Row],[ORTools FZN2 Cost]],Table1[[#This Row],[ORTools FZN2 State]]="Optimal",Table1[[#This Row],[Cplex MIP DM''z  State]]="Suboptimal"),1,"")</f>
        <v/>
      </c>
      <c r="DU13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8" s="5" t="s">
        <v>26</v>
      </c>
      <c r="DW138" s="2">
        <v>35886</v>
      </c>
      <c r="DX138" s="2">
        <v>300.00439999999998</v>
      </c>
      <c r="DY138" s="4">
        <f>IF(AND(Table1[[#This Row],[Gurobi DM''z  Cost]]=Table1[[#This Row],[ORTools FZN2 Cost]],Table1[[#This Row],[ORTools FZN2 State]]="Optimal",Table1[[#This Row],[Gurobi DM''z  State]]="Suboptimal"),1,"")</f>
        <v>1</v>
      </c>
      <c r="DZ13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39" spans="1:130" ht="15.75" x14ac:dyDescent="0.25">
      <c r="A139" s="47" t="s">
        <v>165</v>
      </c>
      <c r="B139" s="5">
        <v>54</v>
      </c>
      <c r="C139" s="2">
        <v>27</v>
      </c>
      <c r="D139" s="5">
        <v>239</v>
      </c>
      <c r="E139" s="2">
        <v>35</v>
      </c>
      <c r="F139" s="5">
        <v>64</v>
      </c>
      <c r="G139" s="2">
        <v>20</v>
      </c>
      <c r="H139" s="4">
        <f t="shared" si="2"/>
        <v>0</v>
      </c>
      <c r="I139" s="4">
        <f>Table1[[#This Row],[B]]+Table1[[#This Row],[Atomic Constraints]]+Table1[[#This Row],[Soft Atomic Constraints]]+Table1[[#This Row],[Disjunctive Constraints]]+Table1[[#This Row],[Direct Successors]]</f>
        <v>385</v>
      </c>
      <c r="J139" s="5" t="s">
        <v>26</v>
      </c>
      <c r="K139" s="2">
        <v>1918142</v>
      </c>
      <c r="L139" s="2">
        <v>302.2618129</v>
      </c>
      <c r="M139" s="2" t="str">
        <f>IF(AND(Table1[[#This Row],[Chuffed MZ1 Cost]]=Table1[[#This Row],[ORTools FZN2 Cost]],Table1[[#This Row],[ORTools FZN2 State]]="Optimal",Table1[[#This Row],[Chuffed MZ1 State]]="Suboptimal"),1,"")</f>
        <v/>
      </c>
      <c r="N139" s="5" t="s">
        <v>26</v>
      </c>
      <c r="O139" s="2">
        <v>1278407</v>
      </c>
      <c r="P139" s="2">
        <v>302.2390719</v>
      </c>
      <c r="Q139" s="2" t="str">
        <f>IF(AND(Table1[[#This Row],[Chuffed MZ2 Cost]]=Table1[[#This Row],[ORTools FZN2 Cost]],Table1[[#This Row],[ORTools FZN2 State]]="Optimal",Table1[[#This Row],[Chuffed MZ2 State]]="Suboptimal"),1,"")</f>
        <v/>
      </c>
      <c r="R139" s="11" t="s">
        <v>26</v>
      </c>
      <c r="S139" s="11">
        <v>160713</v>
      </c>
      <c r="T139" s="11">
        <v>300.13300000000203</v>
      </c>
      <c r="U139" s="11">
        <v>1</v>
      </c>
      <c r="V139" s="5" t="s">
        <v>25</v>
      </c>
      <c r="W139" s="2">
        <v>160713</v>
      </c>
      <c r="X139" s="2">
        <v>25.679899200000001</v>
      </c>
      <c r="Y139" s="2" t="str">
        <f>IF(AND(Table1[[#This Row],[ORTools FZN1 Cost]]=Table1[[#This Row],[ORTools FZN2 Cost]],Table1[[#This Row],[ORTools FZN2 State]]="Optimal",Table1[[#This Row],[ORTools FZN1 State]]="Suboptimal"),1,"")</f>
        <v/>
      </c>
      <c r="Z139" s="5" t="s">
        <v>25</v>
      </c>
      <c r="AA139" s="2">
        <v>160713</v>
      </c>
      <c r="AB139" s="2">
        <v>28.70157</v>
      </c>
      <c r="AC139" s="39" t="s">
        <v>42</v>
      </c>
      <c r="AD139" s="39">
        <v>-160435</v>
      </c>
      <c r="AE139" s="2">
        <v>300.117817</v>
      </c>
      <c r="AF139" s="2" t="str">
        <f>IF(AND(Table1[[#This Row],[Cplex MB Cost]]=Table1[[#This Row],[ORTools FZN2 Cost]],Table1[[#This Row],[ORTools FZN2 State]]="Optimal",Table1[[#This Row],[Cplex MB State]]="Suboptimal"),1,"")</f>
        <v/>
      </c>
      <c r="AG139" s="4">
        <f>IF(AND(AC139="Optimal",AD139&lt;&gt;AA139,Table1[[#This Row],[Example]]&lt;&gt;"R001",Table1[[#This Row],[Example]]&lt;&gt;"R002"),AD139-AA139,)</f>
        <v>0</v>
      </c>
      <c r="AH139" s="5" t="s">
        <v>42</v>
      </c>
      <c r="AI139" s="2">
        <v>-160435</v>
      </c>
      <c r="AJ139" s="2">
        <v>300.47970149999998</v>
      </c>
      <c r="AK139" s="2" t="str">
        <f>IF(AND(Table1[[#This Row],[Cplex MD Cost]]=Table1[[#This Row],[ORTools FZN2 Cost]],Table1[[#This Row],[ORTools FZN2 State]]="Optimal",Table1[[#This Row],[Cplex MD State]]="Suboptimal"),1,"")</f>
        <v/>
      </c>
      <c r="AL139" s="2">
        <f>IF(AND(AH139="Optimal",AI139&lt;&gt;AA139,Table1[[#This Row],[Example]]&lt;&gt;"R001",Table1[[#This Row],[Example]]&lt;&gt;"R002"),AI139-AA139,)</f>
        <v>0</v>
      </c>
      <c r="AM139" s="39" t="s">
        <v>26</v>
      </c>
      <c r="AN139" s="39">
        <v>1902214</v>
      </c>
      <c r="AO139" s="2">
        <v>300.09599300000002</v>
      </c>
      <c r="AP13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39" s="2" t="str">
        <f>IF(AND(Table1[[#This Row],[Cplex MI Cost]]=Table1[[#This Row],[ORTools FZN2 Cost]],Table1[[#This Row],[ORTools FZN2 State]]="Optimal",Table1[[#This Row],[Cplex MI State]]="Suboptimal"),1,"")</f>
        <v/>
      </c>
      <c r="AR139" s="5" t="s">
        <v>42</v>
      </c>
      <c r="AS139" s="2">
        <v>-160435</v>
      </c>
      <c r="AT139" s="2">
        <v>300.05189109999998</v>
      </c>
      <c r="AU139" s="2" t="str">
        <f>IF(AND(Table1[[#This Row],[Z3 SMT2-1 Maxres Cost]]=Table1[[#This Row],[ORTools FZN2 Cost]],Table1[[#This Row],[ORTools FZN2 State]]="Optimal"),1,"")</f>
        <v/>
      </c>
      <c r="AV139" s="39" t="s">
        <v>42</v>
      </c>
      <c r="AW139" s="39">
        <v>-160435</v>
      </c>
      <c r="AX139" s="2">
        <v>300.05580140000001</v>
      </c>
      <c r="AY139" s="2" t="str">
        <f>IF(AND(Table1[[#This Row],[Z3 SMT2-1 PdMaxres Cost]]=Table1[[#This Row],[ORTools FZN2 Cost]],Table1[[#This Row],[ORTools FZN2 State]]="Optimal"),1,"")</f>
        <v/>
      </c>
      <c r="AZ139" s="5" t="s">
        <v>42</v>
      </c>
      <c r="BA139" s="2">
        <v>-160435</v>
      </c>
      <c r="BB139" s="39">
        <v>300.07251869999999</v>
      </c>
      <c r="BC139" s="39" t="str">
        <f>IF(AND(Table1[[#This Row],[Z3 SMT2-1 WMax Cost]]=Table1[[#This Row],[ORTools FZN2 Cost]],Table1[[#This Row],[ORTools FZN2 State]]="Optimal"),1,"")</f>
        <v/>
      </c>
      <c r="BD139" s="39" t="s">
        <v>42</v>
      </c>
      <c r="BE139" s="39">
        <v>-160435</v>
      </c>
      <c r="BF139" s="2">
        <v>300.06278839999999</v>
      </c>
      <c r="BG139" s="2" t="str">
        <f>IF(AND(Table1[[#This Row],[Z3 SMT2-2 Maxres Cost]]=Table1[[#This Row],[ORTools FZN2 Cost]],Table1[[#This Row],[ORTools FZN2 State]]="Optimal"),1,"")</f>
        <v/>
      </c>
      <c r="BH139" s="5" t="s">
        <v>42</v>
      </c>
      <c r="BI139" s="2">
        <v>-160435</v>
      </c>
      <c r="BJ139" s="39">
        <v>300.05867719999998</v>
      </c>
      <c r="BK139" s="39" t="str">
        <f>IF(AND(Table1[[#This Row],[Z3 SMT2-2 PdMaxres Cost]]=Table1[[#This Row],[ORTools FZN2 Cost]],Table1[[#This Row],[ORTools FZN2 State]]="Optimal"),1,"")</f>
        <v/>
      </c>
      <c r="BL139" s="39" t="s">
        <v>42</v>
      </c>
      <c r="BM139" s="39">
        <v>-160435</v>
      </c>
      <c r="BN139" s="2">
        <v>300.0507657</v>
      </c>
      <c r="BO139" s="4" t="str">
        <f>IF(AND(Table1[[#This Row],[Z3 SMT2-2 PdMaxres Cost]]=Table1[[#This Row],[ORTools FZN2 Cost]],Table1[[#This Row],[ORTools FZN2 State]]="Optimal"),1,"")</f>
        <v/>
      </c>
      <c r="BP139" s="5" t="s">
        <v>42</v>
      </c>
      <c r="BQ139" s="2">
        <v>-160435</v>
      </c>
      <c r="BR139" s="2">
        <v>300.29848679999998</v>
      </c>
      <c r="BS139" s="2" t="str">
        <f>IF(AND(Table1[[#This Row],[Gurobi MB Cost]]=Table1[[#This Row],[ORTools FZN2 Cost]],Table1[[#This Row],[ORTools FZN2 State]]="Optimal",Table1[[#This Row],[Gurobi MB State]]="Suboptimal"),1,"")</f>
        <v/>
      </c>
      <c r="BT13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39" s="5" t="s">
        <v>42</v>
      </c>
      <c r="BV139" s="2">
        <v>-160435</v>
      </c>
      <c r="BW139" s="2">
        <v>300.38846050000001</v>
      </c>
      <c r="BX139" s="2" t="str">
        <f>IF(AND(Table1[[#This Row],[Gurobi MD Cost]]=Table1[[#This Row],[ORTools FZN2 Cost]],Table1[[#This Row],[ORTools FZN2 State]]="Optimal",Table1[[#This Row],[Gurobi MD State]]="Suboptimal"),1,"")</f>
        <v/>
      </c>
      <c r="BY13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39" s="5" t="s">
        <v>42</v>
      </c>
      <c r="CA139" s="2">
        <v>-160435</v>
      </c>
      <c r="CB139" s="2">
        <v>300.30781919999998</v>
      </c>
      <c r="CC139" s="2" t="str">
        <f>IF(AND(Table1[[#This Row],[Gurobi MI Cost]]=Table1[[#This Row],[ORTools FZN2 Cost]],Table1[[#This Row],[ORTools FZN2 State]]="Optimal",Table1[[#This Row],[Gurobi MI State]]="Suboptimal"),1,"")</f>
        <v/>
      </c>
      <c r="CD13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39" s="39" t="s">
        <v>42</v>
      </c>
      <c r="CF139" s="2">
        <v>-160435</v>
      </c>
      <c r="CG139" s="39">
        <v>306.13931730000002</v>
      </c>
      <c r="CH139" s="39" t="s">
        <v>42</v>
      </c>
      <c r="CI139" s="39">
        <v>-160435</v>
      </c>
      <c r="CJ139" s="2">
        <v>306.29700910000003</v>
      </c>
      <c r="CK139" s="5" t="s">
        <v>26</v>
      </c>
      <c r="CL139" s="2">
        <v>160713</v>
      </c>
      <c r="CM139" s="2">
        <v>300.03399999999999</v>
      </c>
      <c r="CN139" s="5" t="s">
        <v>26</v>
      </c>
      <c r="CO139" s="2">
        <v>1596259</v>
      </c>
      <c r="CP139" s="2">
        <v>302.20379869999999</v>
      </c>
      <c r="CQ139" s="5" t="s">
        <v>25</v>
      </c>
      <c r="CR139" s="2">
        <v>160713</v>
      </c>
      <c r="CS139" s="2">
        <v>41.930441999999999</v>
      </c>
      <c r="CT139" s="6" t="s">
        <v>25</v>
      </c>
      <c r="CU139" s="4">
        <v>160713</v>
      </c>
      <c r="CV139" s="4">
        <v>25.7754078</v>
      </c>
      <c r="CW139" s="39" t="s">
        <v>42</v>
      </c>
      <c r="CX139" s="39"/>
      <c r="CY139" s="2">
        <v>300.02170000000001</v>
      </c>
      <c r="CZ139" s="2" t="str">
        <f>IF(AND(Table1[[#This Row],[Cplex MZ1 Cost]]=Table1[[#This Row],[ORTools FZN2 Cost]],Table1[[#This Row],[ORTools FZN2 State]]="Optimal",Table1[[#This Row],[Cplex MZ1 State]]="Suboptimal"),1,"")</f>
        <v/>
      </c>
      <c r="DA139" s="5" t="s">
        <v>26</v>
      </c>
      <c r="DB139" s="2">
        <v>1750857</v>
      </c>
      <c r="DC139" s="2">
        <v>300.02499999999998</v>
      </c>
      <c r="DD139" s="2" t="str">
        <f>IF(AND(Table1[[#This Row],[Cplex MZ2 Cost]]=Table1[[#This Row],[ORTools FZN2 Cost]],Table1[[#This Row],[ORTools FZN2 State]]="Optimal",Table1[[#This Row],[Cplex MZ2 State]]="Suboptimal"),1,"")</f>
        <v/>
      </c>
      <c r="DE139" s="39" t="s">
        <v>42</v>
      </c>
      <c r="DF139" s="39"/>
      <c r="DG139" s="2">
        <v>300.00599999999997</v>
      </c>
      <c r="DH139" s="2" t="str">
        <f>IF(AND(Table1[[#This Row],[Gurobi MZ1 Cost]]=Table1[[#This Row],[ORTools FZN2 Cost]],Table1[[#This Row],[ORTools FZN2 State]]="Optimal",Table1[[#This Row],[Gurobi MZ1 State]]="Suboptimal"),1,"")</f>
        <v/>
      </c>
      <c r="DI139" s="5" t="s">
        <v>42</v>
      </c>
      <c r="DJ139" s="2"/>
      <c r="DK139" s="2">
        <v>300.00389999999999</v>
      </c>
      <c r="DL139" s="4" t="str">
        <f>IF(AND(Table1[[#This Row],[Gurobi MZ2 Cost]]=Table1[[#This Row],[ORTools FZN2 Cost]],Table1[[#This Row],[ORTools FZN2 State]]="Optimal",Table1[[#This Row],[Gurobi MZ2 State]]="Suboptimal"),1,"")</f>
        <v/>
      </c>
      <c r="DM139" s="39" t="s">
        <v>25</v>
      </c>
      <c r="DN139" s="39">
        <v>160714</v>
      </c>
      <c r="DO139" s="65">
        <v>10.168000000001401</v>
      </c>
      <c r="DP139" s="4" t="str">
        <f>IF(AND(Table1[[#This Row],[Cplex MC nonDual Cost]]=Table1[[#This Row],[ORTools FZN2 Cost]],Table1[[#This Row],[ORTools FZN2 State]]="Optimal",Table1[[#This Row],[Cplex MC nonDual State]]="Suboptimal"),1,"")</f>
        <v/>
      </c>
      <c r="DQ139" s="5" t="s">
        <v>42</v>
      </c>
      <c r="DR139" s="2"/>
      <c r="DS139" s="2">
        <v>300.01799999999997</v>
      </c>
      <c r="DT139" s="2" t="str">
        <f>IF(AND(Table1[[#This Row],[Cplex MIP DM''z Cost]]=Table1[[#This Row],[ORTools FZN2 Cost]],Table1[[#This Row],[ORTools FZN2 State]]="Optimal",Table1[[#This Row],[Cplex MIP DM''z  State]]="Suboptimal"),1,"")</f>
        <v/>
      </c>
      <c r="DU13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39" s="5" t="s">
        <v>42</v>
      </c>
      <c r="DW139" s="2"/>
      <c r="DX139" s="2">
        <v>300.01769999999999</v>
      </c>
      <c r="DY139" s="4" t="str">
        <f>IF(AND(Table1[[#This Row],[Gurobi DM''z  Cost]]=Table1[[#This Row],[ORTools FZN2 Cost]],Table1[[#This Row],[ORTools FZN2 State]]="Optimal",Table1[[#This Row],[Gurobi DM''z  State]]="Suboptimal"),1,"")</f>
        <v/>
      </c>
      <c r="DZ13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0" spans="1:130" ht="15.75" x14ac:dyDescent="0.25">
      <c r="A140" s="46" t="s">
        <v>166</v>
      </c>
      <c r="B140" s="5">
        <v>48</v>
      </c>
      <c r="C140" s="2">
        <v>24</v>
      </c>
      <c r="D140" s="5">
        <v>194</v>
      </c>
      <c r="E140" s="2">
        <v>30</v>
      </c>
      <c r="F140" s="5">
        <v>57</v>
      </c>
      <c r="G140" s="2">
        <v>19</v>
      </c>
      <c r="H140" s="4">
        <f t="shared" si="2"/>
        <v>0</v>
      </c>
      <c r="I140" s="4">
        <f>Table1[[#This Row],[B]]+Table1[[#This Row],[Atomic Constraints]]+Table1[[#This Row],[Soft Atomic Constraints]]+Table1[[#This Row],[Disjunctive Constraints]]+Table1[[#This Row],[Direct Successors]]</f>
        <v>324</v>
      </c>
      <c r="J140" s="5" t="s">
        <v>26</v>
      </c>
      <c r="K140" s="2">
        <v>1125996</v>
      </c>
      <c r="L140" s="2">
        <v>301.90064189999998</v>
      </c>
      <c r="M140" s="2" t="str">
        <f>IF(AND(Table1[[#This Row],[Chuffed MZ1 Cost]]=Table1[[#This Row],[ORTools FZN2 Cost]],Table1[[#This Row],[ORTools FZN2 State]]="Optimal",Table1[[#This Row],[Chuffed MZ1 State]]="Suboptimal"),1,"")</f>
        <v/>
      </c>
      <c r="N140" s="5" t="s">
        <v>26</v>
      </c>
      <c r="O140" s="2">
        <v>671673</v>
      </c>
      <c r="P140" s="2">
        <v>301.99983020000002</v>
      </c>
      <c r="Q140" s="2" t="str">
        <f>IF(AND(Table1[[#This Row],[Chuffed MZ2 Cost]]=Table1[[#This Row],[ORTools FZN2 Cost]],Table1[[#This Row],[ORTools FZN2 State]]="Optimal",Table1[[#This Row],[Chuffed MZ2 State]]="Suboptimal"),1,"")</f>
        <v/>
      </c>
      <c r="R140" s="12" t="s">
        <v>26</v>
      </c>
      <c r="S140" s="12">
        <v>336826</v>
      </c>
      <c r="T140" s="12">
        <v>300.04800000000301</v>
      </c>
      <c r="U140" s="12">
        <v>1</v>
      </c>
      <c r="V140" s="5" t="s">
        <v>25</v>
      </c>
      <c r="W140" s="2">
        <v>336826</v>
      </c>
      <c r="X140" s="2">
        <v>17.608645200000002</v>
      </c>
      <c r="Y140" s="2" t="str">
        <f>IF(AND(Table1[[#This Row],[ORTools FZN1 Cost]]=Table1[[#This Row],[ORTools FZN2 Cost]],Table1[[#This Row],[ORTools FZN2 State]]="Optimal",Table1[[#This Row],[ORTools FZN1 State]]="Suboptimal"),1,"")</f>
        <v/>
      </c>
      <c r="Z140" s="5" t="s">
        <v>25</v>
      </c>
      <c r="AA140" s="2">
        <v>336826</v>
      </c>
      <c r="AB140" s="2">
        <v>23.509826400000001</v>
      </c>
      <c r="AC140" s="39" t="s">
        <v>26</v>
      </c>
      <c r="AD140" s="39">
        <v>447513</v>
      </c>
      <c r="AE140" s="2">
        <v>300.1307157</v>
      </c>
      <c r="AF140" s="2" t="str">
        <f>IF(AND(Table1[[#This Row],[Cplex MB Cost]]=Table1[[#This Row],[ORTools FZN2 Cost]],Table1[[#This Row],[ORTools FZN2 State]]="Optimal",Table1[[#This Row],[Cplex MB State]]="Suboptimal"),1,"")</f>
        <v/>
      </c>
      <c r="AG140" s="4">
        <f>IF(AND(AC140="Optimal",AD140&lt;&gt;AA140,Table1[[#This Row],[Example]]&lt;&gt;"R001",Table1[[#This Row],[Example]]&lt;&gt;"R002"),AD140-AA140,)</f>
        <v>0</v>
      </c>
      <c r="AH140" s="5" t="s">
        <v>42</v>
      </c>
      <c r="AI140" s="2">
        <v>-112945</v>
      </c>
      <c r="AJ140" s="2">
        <v>303.02061620000001</v>
      </c>
      <c r="AK140" s="2" t="str">
        <f>IF(AND(Table1[[#This Row],[Cplex MD Cost]]=Table1[[#This Row],[ORTools FZN2 Cost]],Table1[[#This Row],[ORTools FZN2 State]]="Optimal",Table1[[#This Row],[Cplex MD State]]="Suboptimal"),1,"")</f>
        <v/>
      </c>
      <c r="AL140" s="4">
        <f>IF(AND(AH140="Optimal",AI140&lt;&gt;AA140,Table1[[#This Row],[Example]]&lt;&gt;"R001",Table1[[#This Row],[Example]]&lt;&gt;"R002"),AI140-AA140,)</f>
        <v>0</v>
      </c>
      <c r="AM140" s="39" t="s">
        <v>26</v>
      </c>
      <c r="AN140" s="39">
        <v>897179</v>
      </c>
      <c r="AO140" s="2">
        <v>300.08713760000001</v>
      </c>
      <c r="AP140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0" s="2" t="str">
        <f>IF(AND(Table1[[#This Row],[Cplex MI Cost]]=Table1[[#This Row],[ORTools FZN2 Cost]],Table1[[#This Row],[ORTools FZN2 State]]="Optimal",Table1[[#This Row],[Cplex MI State]]="Suboptimal"),1,"")</f>
        <v/>
      </c>
      <c r="AR140" s="5" t="s">
        <v>42</v>
      </c>
      <c r="AS140" s="2">
        <v>-112945</v>
      </c>
      <c r="AT140" s="2">
        <v>300.0617421</v>
      </c>
      <c r="AU140" s="2" t="str">
        <f>IF(AND(Table1[[#This Row],[Z3 SMT2-1 Maxres Cost]]=Table1[[#This Row],[ORTools FZN2 Cost]],Table1[[#This Row],[ORTools FZN2 State]]="Optimal"),1,"")</f>
        <v/>
      </c>
      <c r="AV140" s="39" t="s">
        <v>42</v>
      </c>
      <c r="AW140" s="39">
        <v>-112945</v>
      </c>
      <c r="AX140" s="2">
        <v>300.04870679999999</v>
      </c>
      <c r="AY140" s="2" t="str">
        <f>IF(AND(Table1[[#This Row],[Z3 SMT2-1 PdMaxres Cost]]=Table1[[#This Row],[ORTools FZN2 Cost]],Table1[[#This Row],[ORTools FZN2 State]]="Optimal"),1,"")</f>
        <v/>
      </c>
      <c r="AZ140" s="5" t="s">
        <v>42</v>
      </c>
      <c r="BA140" s="2">
        <v>-112945</v>
      </c>
      <c r="BB140" s="39">
        <v>300.07234060000002</v>
      </c>
      <c r="BC140" s="39" t="str">
        <f>IF(AND(Table1[[#This Row],[Z3 SMT2-1 WMax Cost]]=Table1[[#This Row],[ORTools FZN2 Cost]],Table1[[#This Row],[ORTools FZN2 State]]="Optimal"),1,"")</f>
        <v/>
      </c>
      <c r="BD140" s="39" t="s">
        <v>42</v>
      </c>
      <c r="BE140" s="39">
        <v>-112945</v>
      </c>
      <c r="BF140" s="2">
        <v>300.0519625</v>
      </c>
      <c r="BG140" s="2" t="str">
        <f>IF(AND(Table1[[#This Row],[Z3 SMT2-2 Maxres Cost]]=Table1[[#This Row],[ORTools FZN2 Cost]],Table1[[#This Row],[ORTools FZN2 State]]="Optimal"),1,"")</f>
        <v/>
      </c>
      <c r="BH140" s="5" t="s">
        <v>42</v>
      </c>
      <c r="BI140" s="2">
        <v>-112945</v>
      </c>
      <c r="BJ140" s="39">
        <v>300.05375780000003</v>
      </c>
      <c r="BK140" s="39" t="str">
        <f>IF(AND(Table1[[#This Row],[Z3 SMT2-2 PdMaxres Cost]]=Table1[[#This Row],[ORTools FZN2 Cost]],Table1[[#This Row],[ORTools FZN2 State]]="Optimal"),1,"")</f>
        <v/>
      </c>
      <c r="BL140" s="39" t="s">
        <v>42</v>
      </c>
      <c r="BM140" s="39">
        <v>-112945</v>
      </c>
      <c r="BN140" s="2">
        <v>300.04811590000003</v>
      </c>
      <c r="BO140" s="4" t="str">
        <f>IF(AND(Table1[[#This Row],[Z3 SMT2-2 PdMaxres Cost]]=Table1[[#This Row],[ORTools FZN2 Cost]],Table1[[#This Row],[ORTools FZN2 State]]="Optimal"),1,"")</f>
        <v/>
      </c>
      <c r="BP140" s="5" t="s">
        <v>42</v>
      </c>
      <c r="BQ140" s="2">
        <v>-112945</v>
      </c>
      <c r="BR140" s="2">
        <v>300.1370751</v>
      </c>
      <c r="BS140" s="2" t="str">
        <f>IF(AND(Table1[[#This Row],[Gurobi MB Cost]]=Table1[[#This Row],[ORTools FZN2 Cost]],Table1[[#This Row],[ORTools FZN2 State]]="Optimal",Table1[[#This Row],[Gurobi MB State]]="Suboptimal"),1,"")</f>
        <v/>
      </c>
      <c r="BT14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0" s="5" t="s">
        <v>42</v>
      </c>
      <c r="BV140" s="2">
        <v>-112945</v>
      </c>
      <c r="BW140" s="2">
        <v>300.12562439999999</v>
      </c>
      <c r="BX140" s="2" t="str">
        <f>IF(AND(Table1[[#This Row],[Gurobi MD Cost]]=Table1[[#This Row],[ORTools FZN2 Cost]],Table1[[#This Row],[ORTools FZN2 State]]="Optimal",Table1[[#This Row],[Gurobi MD State]]="Suboptimal"),1,"")</f>
        <v/>
      </c>
      <c r="BY14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0" s="5" t="s">
        <v>25</v>
      </c>
      <c r="CA140" s="2">
        <v>336826</v>
      </c>
      <c r="CB140" s="2">
        <v>224.4353342</v>
      </c>
      <c r="CC140" s="2" t="str">
        <f>IF(AND(Table1[[#This Row],[Gurobi MI Cost]]=Table1[[#This Row],[ORTools FZN2 Cost]],Table1[[#This Row],[ORTools FZN2 State]]="Optimal",Table1[[#This Row],[Gurobi MI State]]="Suboptimal"),1,"")</f>
        <v/>
      </c>
      <c r="CD14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0" s="39" t="s">
        <v>42</v>
      </c>
      <c r="CF140" s="2">
        <v>-112945</v>
      </c>
      <c r="CG140" s="39">
        <v>306.10426869999998</v>
      </c>
      <c r="CH140" s="39" t="s">
        <v>42</v>
      </c>
      <c r="CI140" s="39">
        <v>-112945</v>
      </c>
      <c r="CJ140" s="2">
        <v>306.06480169999998</v>
      </c>
      <c r="CK140" s="5" t="s">
        <v>25</v>
      </c>
      <c r="CL140" s="2">
        <v>336826</v>
      </c>
      <c r="CM140" s="2">
        <v>20.4570000000022</v>
      </c>
      <c r="CN140" s="5" t="s">
        <v>26</v>
      </c>
      <c r="CO140" s="2">
        <v>1690336</v>
      </c>
      <c r="CP140" s="2">
        <v>301.8835924</v>
      </c>
      <c r="CQ140" s="5" t="s">
        <v>25</v>
      </c>
      <c r="CR140" s="2">
        <v>336826</v>
      </c>
      <c r="CS140" s="2">
        <v>23.343831900000001</v>
      </c>
      <c r="CT140" s="6" t="s">
        <v>25</v>
      </c>
      <c r="CU140" s="4">
        <v>336826</v>
      </c>
      <c r="CV140" s="4">
        <v>17.298592200000002</v>
      </c>
      <c r="CW140" s="39" t="s">
        <v>42</v>
      </c>
      <c r="CX140" s="39"/>
      <c r="CY140" s="2">
        <v>300.01920000000001</v>
      </c>
      <c r="CZ140" s="2" t="str">
        <f>IF(AND(Table1[[#This Row],[Cplex MZ1 Cost]]=Table1[[#This Row],[ORTools FZN2 Cost]],Table1[[#This Row],[ORTools FZN2 State]]="Optimal",Table1[[#This Row],[Cplex MZ1 State]]="Suboptimal"),1,"")</f>
        <v/>
      </c>
      <c r="DA140" s="5" t="s">
        <v>26</v>
      </c>
      <c r="DB140" s="2">
        <v>788741</v>
      </c>
      <c r="DC140" s="2">
        <v>300.01</v>
      </c>
      <c r="DD140" s="2" t="str">
        <f>IF(AND(Table1[[#This Row],[Cplex MZ2 Cost]]=Table1[[#This Row],[ORTools FZN2 Cost]],Table1[[#This Row],[ORTools FZN2 State]]="Optimal",Table1[[#This Row],[Cplex MZ2 State]]="Suboptimal"),1,"")</f>
        <v/>
      </c>
      <c r="DE140" s="39" t="s">
        <v>26</v>
      </c>
      <c r="DF140" s="39">
        <v>781881</v>
      </c>
      <c r="DG140" s="2">
        <v>300.005</v>
      </c>
      <c r="DH140" s="2" t="str">
        <f>IF(AND(Table1[[#This Row],[Gurobi MZ1 Cost]]=Table1[[#This Row],[ORTools FZN2 Cost]],Table1[[#This Row],[ORTools FZN2 State]]="Optimal",Table1[[#This Row],[Gurobi MZ1 State]]="Suboptimal"),1,"")</f>
        <v/>
      </c>
      <c r="DI140" s="5" t="s">
        <v>42</v>
      </c>
      <c r="DJ140" s="2"/>
      <c r="DK140" s="2">
        <v>300.00580000000002</v>
      </c>
      <c r="DL140" s="4" t="str">
        <f>IF(AND(Table1[[#This Row],[Gurobi MZ2 Cost]]=Table1[[#This Row],[ORTools FZN2 Cost]],Table1[[#This Row],[ORTools FZN2 State]]="Optimal",Table1[[#This Row],[Gurobi MZ2 State]]="Suboptimal"),1,"")</f>
        <v/>
      </c>
      <c r="DM140" s="39" t="s">
        <v>26</v>
      </c>
      <c r="DN140" s="12">
        <v>336826</v>
      </c>
      <c r="DO140" s="69">
        <v>300.114000000001</v>
      </c>
      <c r="DP140" s="11">
        <f>IF(AND(Table1[[#This Row],[Cplex MC nonDual Cost]]=Table1[[#This Row],[ORTools FZN2 Cost]],Table1[[#This Row],[ORTools FZN2 State]]="Optimal",Table1[[#This Row],[Cplex MC nonDual State]]="Suboptimal"),1,"")</f>
        <v>1</v>
      </c>
      <c r="DQ140" s="5" t="s">
        <v>26</v>
      </c>
      <c r="DR140" s="2">
        <v>676427</v>
      </c>
      <c r="DS140" s="2">
        <v>300.0204</v>
      </c>
      <c r="DT140" s="2" t="str">
        <f>IF(AND(Table1[[#This Row],[Cplex MIP DM''z Cost]]=Table1[[#This Row],[ORTools FZN2 Cost]],Table1[[#This Row],[ORTools FZN2 State]]="Optimal",Table1[[#This Row],[Cplex MIP DM''z  State]]="Suboptimal"),1,"")</f>
        <v/>
      </c>
      <c r="DU14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0" s="5" t="s">
        <v>26</v>
      </c>
      <c r="DW140" s="2">
        <v>782077</v>
      </c>
      <c r="DX140" s="2">
        <v>300.02569999999997</v>
      </c>
      <c r="DY140" s="4" t="str">
        <f>IF(AND(Table1[[#This Row],[Gurobi DM''z  Cost]]=Table1[[#This Row],[ORTools FZN2 Cost]],Table1[[#This Row],[ORTools FZN2 State]]="Optimal",Table1[[#This Row],[Gurobi DM''z  State]]="Suboptimal"),1,"")</f>
        <v/>
      </c>
      <c r="DZ14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1" spans="1:130" ht="15.75" x14ac:dyDescent="0.25">
      <c r="A141" s="47" t="s">
        <v>167</v>
      </c>
      <c r="B141" s="5">
        <v>36</v>
      </c>
      <c r="C141" s="2">
        <v>18</v>
      </c>
      <c r="D141" s="5">
        <v>195</v>
      </c>
      <c r="E141" s="2">
        <v>22</v>
      </c>
      <c r="F141" s="5">
        <v>20</v>
      </c>
      <c r="G141" s="2">
        <v>6</v>
      </c>
      <c r="H141" s="4">
        <f t="shared" si="2"/>
        <v>0</v>
      </c>
      <c r="I141" s="4">
        <f>Table1[[#This Row],[B]]+Table1[[#This Row],[Atomic Constraints]]+Table1[[#This Row],[Soft Atomic Constraints]]+Table1[[#This Row],[Disjunctive Constraints]]+Table1[[#This Row],[Direct Successors]]</f>
        <v>261</v>
      </c>
      <c r="J141" s="5" t="s">
        <v>25</v>
      </c>
      <c r="K141" s="2">
        <v>191093</v>
      </c>
      <c r="L141" s="2">
        <v>108.9784901</v>
      </c>
      <c r="M141" s="2" t="str">
        <f>IF(AND(Table1[[#This Row],[Chuffed MZ1 Cost]]=Table1[[#This Row],[ORTools FZN2 Cost]],Table1[[#This Row],[ORTools FZN2 State]]="Optimal",Table1[[#This Row],[Chuffed MZ1 State]]="Suboptimal"),1,"")</f>
        <v/>
      </c>
      <c r="N141" s="5" t="s">
        <v>25</v>
      </c>
      <c r="O141" s="2">
        <v>191093</v>
      </c>
      <c r="P141" s="2">
        <v>46.136895299999999</v>
      </c>
      <c r="Q141" s="2" t="str">
        <f>IF(AND(Table1[[#This Row],[Chuffed MZ2 Cost]]=Table1[[#This Row],[ORTools FZN2 Cost]],Table1[[#This Row],[ORTools FZN2 State]]="Optimal",Table1[[#This Row],[Chuffed MZ2 State]]="Suboptimal"),1,"")</f>
        <v/>
      </c>
      <c r="R141" s="11" t="s">
        <v>26</v>
      </c>
      <c r="S141" s="11">
        <v>191093</v>
      </c>
      <c r="T141" s="11">
        <v>300.07299999999998</v>
      </c>
      <c r="U141" s="11">
        <v>1</v>
      </c>
      <c r="V141" s="5" t="s">
        <v>25</v>
      </c>
      <c r="W141" s="2">
        <v>191093</v>
      </c>
      <c r="X141" s="2">
        <v>6.3547853999999999</v>
      </c>
      <c r="Y141" s="2" t="str">
        <f>IF(AND(Table1[[#This Row],[ORTools FZN1 Cost]]=Table1[[#This Row],[ORTools FZN2 Cost]],Table1[[#This Row],[ORTools FZN2 State]]="Optimal",Table1[[#This Row],[ORTools FZN1 State]]="Suboptimal"),1,"")</f>
        <v/>
      </c>
      <c r="Z141" s="5" t="s">
        <v>25</v>
      </c>
      <c r="AA141" s="2">
        <v>191093</v>
      </c>
      <c r="AB141" s="2">
        <v>6.3833738999999996</v>
      </c>
      <c r="AC141" s="39" t="s">
        <v>26</v>
      </c>
      <c r="AD141" s="39">
        <v>239010</v>
      </c>
      <c r="AE141" s="2">
        <v>300.0970883</v>
      </c>
      <c r="AF141" s="2" t="str">
        <f>IF(AND(Table1[[#This Row],[Cplex MB Cost]]=Table1[[#This Row],[ORTools FZN2 Cost]],Table1[[#This Row],[ORTools FZN2 State]]="Optimal",Table1[[#This Row],[Cplex MB State]]="Suboptimal"),1,"")</f>
        <v/>
      </c>
      <c r="AG141" s="4">
        <f>IF(AND(AC141="Optimal",AD141&lt;&gt;AA141,Table1[[#This Row],[Example]]&lt;&gt;"R001",Table1[[#This Row],[Example]]&lt;&gt;"R002"),AD141-AA141,)</f>
        <v>0</v>
      </c>
      <c r="AH141" s="5" t="s">
        <v>26</v>
      </c>
      <c r="AI141" s="2">
        <v>709568</v>
      </c>
      <c r="AJ141" s="2">
        <v>300.27944170000001</v>
      </c>
      <c r="AK141" s="2" t="str">
        <f>IF(AND(Table1[[#This Row],[Cplex MD Cost]]=Table1[[#This Row],[ORTools FZN2 Cost]],Table1[[#This Row],[ORTools FZN2 State]]="Optimal",Table1[[#This Row],[Cplex MD State]]="Suboptimal"),1,"")</f>
        <v/>
      </c>
      <c r="AL141" s="2">
        <f>IF(AND(AH141="Optimal",AI141&lt;&gt;AA141,Table1[[#This Row],[Example]]&lt;&gt;"R001",Table1[[#This Row],[Example]]&lt;&gt;"R002"),AI141-AA141,)</f>
        <v>0</v>
      </c>
      <c r="AM141" s="39" t="s">
        <v>26</v>
      </c>
      <c r="AN141" s="39">
        <v>191096</v>
      </c>
      <c r="AO141" s="2">
        <v>300.06652220000001</v>
      </c>
      <c r="AP14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1" s="4" t="str">
        <f>IF(AND(Table1[[#This Row],[Cplex MI Cost]]=Table1[[#This Row],[ORTools FZN2 Cost]],Table1[[#This Row],[ORTools FZN2 State]]="Optimal",Table1[[#This Row],[Cplex MI State]]="Suboptimal"),1,"")</f>
        <v/>
      </c>
      <c r="AR141" s="5" t="s">
        <v>42</v>
      </c>
      <c r="AS141" s="2">
        <v>-47989</v>
      </c>
      <c r="AT141" s="2">
        <v>301.00417979999997</v>
      </c>
      <c r="AU141" s="2" t="str">
        <f>IF(AND(Table1[[#This Row],[Z3 SMT2-1 Maxres Cost]]=Table1[[#This Row],[ORTools FZN2 Cost]],Table1[[#This Row],[ORTools FZN2 State]]="Optimal"),1,"")</f>
        <v/>
      </c>
      <c r="AV141" s="39" t="s">
        <v>42</v>
      </c>
      <c r="AW141" s="39">
        <v>-47989</v>
      </c>
      <c r="AX141" s="2">
        <v>300.051513</v>
      </c>
      <c r="AY141" s="2" t="str">
        <f>IF(AND(Table1[[#This Row],[Z3 SMT2-1 PdMaxres Cost]]=Table1[[#This Row],[ORTools FZN2 Cost]],Table1[[#This Row],[ORTools FZN2 State]]="Optimal"),1,"")</f>
        <v/>
      </c>
      <c r="AZ141" s="5" t="s">
        <v>42</v>
      </c>
      <c r="BA141" s="2">
        <v>-47989</v>
      </c>
      <c r="BB141" s="39">
        <v>300.05665979999998</v>
      </c>
      <c r="BC141" s="39" t="str">
        <f>IF(AND(Table1[[#This Row],[Z3 SMT2-1 WMax Cost]]=Table1[[#This Row],[ORTools FZN2 Cost]],Table1[[#This Row],[ORTools FZN2 State]]="Optimal"),1,"")</f>
        <v/>
      </c>
      <c r="BD141" s="39" t="s">
        <v>42</v>
      </c>
      <c r="BE141" s="39">
        <v>-47989</v>
      </c>
      <c r="BF141" s="2">
        <v>300.04923989999998</v>
      </c>
      <c r="BG141" s="2" t="str">
        <f>IF(AND(Table1[[#This Row],[Z3 SMT2-2 Maxres Cost]]=Table1[[#This Row],[ORTools FZN2 Cost]],Table1[[#This Row],[ORTools FZN2 State]]="Optimal"),1,"")</f>
        <v/>
      </c>
      <c r="BH141" s="5" t="s">
        <v>42</v>
      </c>
      <c r="BI141" s="2">
        <v>-47989</v>
      </c>
      <c r="BJ141" s="39">
        <v>300.04293689999997</v>
      </c>
      <c r="BK141" s="39" t="str">
        <f>IF(AND(Table1[[#This Row],[Z3 SMT2-2 PdMaxres Cost]]=Table1[[#This Row],[ORTools FZN2 Cost]],Table1[[#This Row],[ORTools FZN2 State]]="Optimal"),1,"")</f>
        <v/>
      </c>
      <c r="BL141" s="39" t="s">
        <v>42</v>
      </c>
      <c r="BM141" s="39">
        <v>-47989</v>
      </c>
      <c r="BN141" s="2">
        <v>300.04609429999999</v>
      </c>
      <c r="BO141" s="4" t="str">
        <f>IF(AND(Table1[[#This Row],[Z3 SMT2-2 PdMaxres Cost]]=Table1[[#This Row],[ORTools FZN2 Cost]],Table1[[#This Row],[ORTools FZN2 State]]="Optimal"),1,"")</f>
        <v/>
      </c>
      <c r="BP141" s="5" t="s">
        <v>26</v>
      </c>
      <c r="BQ141" s="2">
        <v>191093</v>
      </c>
      <c r="BR141" s="2">
        <v>300.12799740000003</v>
      </c>
      <c r="BS141" s="2">
        <f>IF(AND(Table1[[#This Row],[Gurobi MB Cost]]=Table1[[#This Row],[ORTools FZN2 Cost]],Table1[[#This Row],[ORTools FZN2 State]]="Optimal",Table1[[#This Row],[Gurobi MB State]]="Suboptimal"),1,"")</f>
        <v>1</v>
      </c>
      <c r="BT14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1" s="5" t="s">
        <v>26</v>
      </c>
      <c r="BV141" s="2">
        <v>380309</v>
      </c>
      <c r="BW141" s="2">
        <v>300.1167074</v>
      </c>
      <c r="BX141" s="2" t="str">
        <f>IF(AND(Table1[[#This Row],[Gurobi MD Cost]]=Table1[[#This Row],[ORTools FZN2 Cost]],Table1[[#This Row],[ORTools FZN2 State]]="Optimal",Table1[[#This Row],[Gurobi MD State]]="Suboptimal"),1,"")</f>
        <v/>
      </c>
      <c r="BY14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1" s="5" t="s">
        <v>26</v>
      </c>
      <c r="CA141" s="2">
        <v>191130</v>
      </c>
      <c r="CB141" s="2">
        <v>300.04063259999998</v>
      </c>
      <c r="CC141" s="2" t="str">
        <f>IF(AND(Table1[[#This Row],[Gurobi MI Cost]]=Table1[[#This Row],[ORTools FZN2 Cost]],Table1[[#This Row],[ORTools FZN2 State]]="Optimal",Table1[[#This Row],[Gurobi MI State]]="Suboptimal"),1,"")</f>
        <v/>
      </c>
      <c r="CD14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1" s="39" t="s">
        <v>42</v>
      </c>
      <c r="CF141" s="2">
        <v>-47989</v>
      </c>
      <c r="CG141" s="39">
        <v>306.07878670000002</v>
      </c>
      <c r="CH141" s="39" t="s">
        <v>42</v>
      </c>
      <c r="CI141" s="39">
        <v>-47989</v>
      </c>
      <c r="CJ141" s="2">
        <v>306.10080479999999</v>
      </c>
      <c r="CK141" s="5" t="s">
        <v>26</v>
      </c>
      <c r="CL141" s="2">
        <v>191093</v>
      </c>
      <c r="CM141" s="2">
        <v>300.07</v>
      </c>
      <c r="CN141" s="5" t="s">
        <v>26</v>
      </c>
      <c r="CO141" s="2">
        <v>663024</v>
      </c>
      <c r="CP141" s="2">
        <v>301.3267161</v>
      </c>
      <c r="CQ141" s="5" t="s">
        <v>25</v>
      </c>
      <c r="CR141" s="2">
        <v>191093</v>
      </c>
      <c r="CS141" s="2">
        <v>11.520878</v>
      </c>
      <c r="CT141" s="6" t="s">
        <v>25</v>
      </c>
      <c r="CU141" s="4">
        <v>191093</v>
      </c>
      <c r="CV141" s="4">
        <v>7.5374486999999997</v>
      </c>
      <c r="CW141" s="39" t="s">
        <v>26</v>
      </c>
      <c r="CX141" s="39">
        <v>191096</v>
      </c>
      <c r="CY141" s="2">
        <v>300.01240000000001</v>
      </c>
      <c r="CZ141" s="2" t="str">
        <f>IF(AND(Table1[[#This Row],[Cplex MZ1 Cost]]=Table1[[#This Row],[ORTools FZN2 Cost]],Table1[[#This Row],[ORTools FZN2 State]]="Optimal",Table1[[#This Row],[Cplex MZ1 State]]="Suboptimal"),1,"")</f>
        <v/>
      </c>
      <c r="DA141" s="5" t="s">
        <v>26</v>
      </c>
      <c r="DB141" s="2">
        <v>237752</v>
      </c>
      <c r="DC141" s="2">
        <v>300.00720000000001</v>
      </c>
      <c r="DD141" s="2" t="str">
        <f>IF(AND(Table1[[#This Row],[Cplex MZ2 Cost]]=Table1[[#This Row],[ORTools FZN2 Cost]],Table1[[#This Row],[ORTools FZN2 State]]="Optimal",Table1[[#This Row],[Cplex MZ2 State]]="Suboptimal"),1,"")</f>
        <v/>
      </c>
      <c r="DE141" s="39" t="s">
        <v>26</v>
      </c>
      <c r="DF141" s="39">
        <v>191132</v>
      </c>
      <c r="DG141" s="2">
        <v>300.00490000000002</v>
      </c>
      <c r="DH141" s="2" t="str">
        <f>IF(AND(Table1[[#This Row],[Gurobi MZ1 Cost]]=Table1[[#This Row],[ORTools FZN2 Cost]],Table1[[#This Row],[ORTools FZN2 State]]="Optimal",Table1[[#This Row],[Gurobi MZ1 State]]="Suboptimal"),1,"")</f>
        <v/>
      </c>
      <c r="DI141" s="5" t="s">
        <v>26</v>
      </c>
      <c r="DJ141" s="2">
        <v>191094</v>
      </c>
      <c r="DK141" s="2">
        <v>300.00439999999998</v>
      </c>
      <c r="DL141" s="4" t="str">
        <f>IF(AND(Table1[[#This Row],[Gurobi MZ2 Cost]]=Table1[[#This Row],[ORTools FZN2 Cost]],Table1[[#This Row],[ORTools FZN2 State]]="Optimal",Table1[[#This Row],[Gurobi MZ2 State]]="Suboptimal"),1,"")</f>
        <v/>
      </c>
      <c r="DM141" s="39" t="s">
        <v>26</v>
      </c>
      <c r="DN141" s="12">
        <v>191093</v>
      </c>
      <c r="DO141" s="69">
        <v>300.03399999999903</v>
      </c>
      <c r="DP141" s="11">
        <f>IF(AND(Table1[[#This Row],[Cplex MC nonDual Cost]]=Table1[[#This Row],[ORTools FZN2 Cost]],Table1[[#This Row],[ORTools FZN2 State]]="Optimal",Table1[[#This Row],[Cplex MC nonDual State]]="Suboptimal"),1,"")</f>
        <v>1</v>
      </c>
      <c r="DQ141" s="5" t="s">
        <v>26</v>
      </c>
      <c r="DR141" s="2">
        <v>237715</v>
      </c>
      <c r="DS141" s="2">
        <v>300.00909999999999</v>
      </c>
      <c r="DT141" s="2" t="str">
        <f>IF(AND(Table1[[#This Row],[Cplex MIP DM''z Cost]]=Table1[[#This Row],[ORTools FZN2 Cost]],Table1[[#This Row],[ORTools FZN2 State]]="Optimal",Table1[[#This Row],[Cplex MIP DM''z  State]]="Suboptimal"),1,"")</f>
        <v/>
      </c>
      <c r="DU14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1" s="5" t="s">
        <v>26</v>
      </c>
      <c r="DW141" s="2">
        <v>237751</v>
      </c>
      <c r="DX141" s="2">
        <v>299.99340000000001</v>
      </c>
      <c r="DY141" s="4" t="str">
        <f>IF(AND(Table1[[#This Row],[Gurobi DM''z  Cost]]=Table1[[#This Row],[ORTools FZN2 Cost]],Table1[[#This Row],[ORTools FZN2 State]]="Optimal",Table1[[#This Row],[Gurobi DM''z  State]]="Suboptimal"),1,"")</f>
        <v/>
      </c>
      <c r="DZ14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2" spans="1:130" ht="15.75" x14ac:dyDescent="0.25">
      <c r="A142" s="46" t="s">
        <v>168</v>
      </c>
      <c r="B142" s="5">
        <v>54</v>
      </c>
      <c r="C142" s="2">
        <v>27</v>
      </c>
      <c r="D142" s="5">
        <v>253</v>
      </c>
      <c r="E142" s="2">
        <v>34</v>
      </c>
      <c r="F142" s="5">
        <v>61</v>
      </c>
      <c r="G142" s="2">
        <v>28</v>
      </c>
      <c r="H142" s="4">
        <f t="shared" si="2"/>
        <v>0</v>
      </c>
      <c r="I142" s="4">
        <f>Table1[[#This Row],[B]]+Table1[[#This Row],[Atomic Constraints]]+Table1[[#This Row],[Soft Atomic Constraints]]+Table1[[#This Row],[Disjunctive Constraints]]+Table1[[#This Row],[Direct Successors]]</f>
        <v>403</v>
      </c>
      <c r="J142" s="5" t="s">
        <v>25</v>
      </c>
      <c r="K142" s="2">
        <v>8</v>
      </c>
      <c r="L142" s="2">
        <v>106.6938883</v>
      </c>
      <c r="M142" s="2" t="str">
        <f>IF(AND(Table1[[#This Row],[Chuffed MZ1 Cost]]=Table1[[#This Row],[ORTools FZN2 Cost]],Table1[[#This Row],[ORTools FZN2 State]]="Optimal",Table1[[#This Row],[Chuffed MZ1 State]]="Suboptimal"),1,"")</f>
        <v/>
      </c>
      <c r="N142" s="5" t="s">
        <v>26</v>
      </c>
      <c r="O142" s="2">
        <v>318557</v>
      </c>
      <c r="P142" s="2">
        <v>302.2938135</v>
      </c>
      <c r="Q142" s="2" t="str">
        <f>IF(AND(Table1[[#This Row],[Chuffed MZ2 Cost]]=Table1[[#This Row],[ORTools FZN2 Cost]],Table1[[#This Row],[ORTools FZN2 State]]="Optimal",Table1[[#This Row],[Chuffed MZ2 State]]="Suboptimal"),1,"")</f>
        <v/>
      </c>
      <c r="R142" s="12" t="s">
        <v>26</v>
      </c>
      <c r="S142" s="12">
        <v>8</v>
      </c>
      <c r="T142" s="12">
        <v>300.02899999999897</v>
      </c>
      <c r="U142" s="12">
        <v>1</v>
      </c>
      <c r="V142" s="5" t="s">
        <v>25</v>
      </c>
      <c r="W142" s="2">
        <v>8</v>
      </c>
      <c r="X142" s="2">
        <v>22.6163864</v>
      </c>
      <c r="Y142" s="2" t="str">
        <f>IF(AND(Table1[[#This Row],[ORTools FZN1 Cost]]=Table1[[#This Row],[ORTools FZN2 Cost]],Table1[[#This Row],[ORTools FZN2 State]]="Optimal",Table1[[#This Row],[ORTools FZN1 State]]="Suboptimal"),1,"")</f>
        <v/>
      </c>
      <c r="Z142" s="5" t="s">
        <v>25</v>
      </c>
      <c r="AA142" s="2">
        <v>8</v>
      </c>
      <c r="AB142" s="2">
        <v>19.7973523</v>
      </c>
      <c r="AC142" s="39" t="s">
        <v>25</v>
      </c>
      <c r="AD142" s="39">
        <v>8</v>
      </c>
      <c r="AE142" s="2">
        <v>200.86161179999999</v>
      </c>
      <c r="AF142" s="2" t="str">
        <f>IF(AND(Table1[[#This Row],[Cplex MB Cost]]=Table1[[#This Row],[ORTools FZN2 Cost]],Table1[[#This Row],[ORTools FZN2 State]]="Optimal",Table1[[#This Row],[Cplex MB State]]="Suboptimal"),1,"")</f>
        <v/>
      </c>
      <c r="AG142" s="4">
        <f>IF(AND(AC142="Optimal",AD142&lt;&gt;AA142,Table1[[#This Row],[Example]]&lt;&gt;"R001",Table1[[#This Row],[Example]]&lt;&gt;"R002"),AD142-AA142,)</f>
        <v>0</v>
      </c>
      <c r="AH142" s="5" t="s">
        <v>42</v>
      </c>
      <c r="AI142" s="2">
        <v>-160435</v>
      </c>
      <c r="AJ142" s="2">
        <v>300.29125019999998</v>
      </c>
      <c r="AK142" s="2" t="str">
        <f>IF(AND(Table1[[#This Row],[Cplex MD Cost]]=Table1[[#This Row],[ORTools FZN2 Cost]],Table1[[#This Row],[ORTools FZN2 State]]="Optimal",Table1[[#This Row],[Cplex MD State]]="Suboptimal"),1,"")</f>
        <v/>
      </c>
      <c r="AL142" s="4">
        <f>IF(AND(AH142="Optimal",AI142&lt;&gt;AA142,Table1[[#This Row],[Example]]&lt;&gt;"R001",Table1[[#This Row],[Example]]&lt;&gt;"R002"),AI142-AA142,)</f>
        <v>0</v>
      </c>
      <c r="AM142" s="39" t="s">
        <v>25</v>
      </c>
      <c r="AN142" s="39">
        <v>8</v>
      </c>
      <c r="AO142" s="2">
        <v>62.167931000000003</v>
      </c>
      <c r="AP14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2" s="4" t="str">
        <f>IF(AND(Table1[[#This Row],[Cplex MI Cost]]=Table1[[#This Row],[ORTools FZN2 Cost]],Table1[[#This Row],[ORTools FZN2 State]]="Optimal",Table1[[#This Row],[Cplex MI State]]="Suboptimal"),1,"")</f>
        <v/>
      </c>
      <c r="AR142" s="5" t="s">
        <v>42</v>
      </c>
      <c r="AS142" s="2">
        <v>-160435</v>
      </c>
      <c r="AT142" s="2">
        <v>300.05730679999999</v>
      </c>
      <c r="AU142" s="2" t="str">
        <f>IF(AND(Table1[[#This Row],[Z3 SMT2-1 Maxres Cost]]=Table1[[#This Row],[ORTools FZN2 Cost]],Table1[[#This Row],[ORTools FZN2 State]]="Optimal"),1,"")</f>
        <v/>
      </c>
      <c r="AV142" s="39" t="s">
        <v>42</v>
      </c>
      <c r="AW142" s="39">
        <v>-160435</v>
      </c>
      <c r="AX142" s="2">
        <v>300.06065210000003</v>
      </c>
      <c r="AY142" s="2" t="str">
        <f>IF(AND(Table1[[#This Row],[Z3 SMT2-1 PdMaxres Cost]]=Table1[[#This Row],[ORTools FZN2 Cost]],Table1[[#This Row],[ORTools FZN2 State]]="Optimal"),1,"")</f>
        <v/>
      </c>
      <c r="AZ142" s="5" t="s">
        <v>42</v>
      </c>
      <c r="BA142" s="2">
        <v>-160435</v>
      </c>
      <c r="BB142" s="39">
        <v>300.09018350000002</v>
      </c>
      <c r="BC142" s="39" t="str">
        <f>IF(AND(Table1[[#This Row],[Z3 SMT2-1 WMax Cost]]=Table1[[#This Row],[ORTools FZN2 Cost]],Table1[[#This Row],[ORTools FZN2 State]]="Optimal"),1,"")</f>
        <v/>
      </c>
      <c r="BD142" s="39" t="s">
        <v>42</v>
      </c>
      <c r="BE142" s="39">
        <v>-160435</v>
      </c>
      <c r="BF142" s="2">
        <v>300.06115610000001</v>
      </c>
      <c r="BG142" s="2" t="str">
        <f>IF(AND(Table1[[#This Row],[Z3 SMT2-2 Maxres Cost]]=Table1[[#This Row],[ORTools FZN2 Cost]],Table1[[#This Row],[ORTools FZN2 State]]="Optimal"),1,"")</f>
        <v/>
      </c>
      <c r="BH142" s="5" t="s">
        <v>42</v>
      </c>
      <c r="BI142" s="2">
        <v>-160435</v>
      </c>
      <c r="BJ142" s="39">
        <v>300.05317889999998</v>
      </c>
      <c r="BK142" s="39" t="str">
        <f>IF(AND(Table1[[#This Row],[Z3 SMT2-2 PdMaxres Cost]]=Table1[[#This Row],[ORTools FZN2 Cost]],Table1[[#This Row],[ORTools FZN2 State]]="Optimal"),1,"")</f>
        <v/>
      </c>
      <c r="BL142" s="39" t="s">
        <v>42</v>
      </c>
      <c r="BM142" s="39">
        <v>-160435</v>
      </c>
      <c r="BN142" s="2">
        <v>300.04880129999998</v>
      </c>
      <c r="BO142" s="4" t="str">
        <f>IF(AND(Table1[[#This Row],[Z3 SMT2-2 PdMaxres Cost]]=Table1[[#This Row],[ORTools FZN2 Cost]],Table1[[#This Row],[ORTools FZN2 State]]="Optimal"),1,"")</f>
        <v/>
      </c>
      <c r="BP142" s="5" t="s">
        <v>42</v>
      </c>
      <c r="BQ142" s="2">
        <v>-160435</v>
      </c>
      <c r="BR142" s="2">
        <v>300.25261840000002</v>
      </c>
      <c r="BS142" s="2" t="str">
        <f>IF(AND(Table1[[#This Row],[Gurobi MB Cost]]=Table1[[#This Row],[ORTools FZN2 Cost]],Table1[[#This Row],[ORTools FZN2 State]]="Optimal",Table1[[#This Row],[Gurobi MB State]]="Suboptimal"),1,"")</f>
        <v/>
      </c>
      <c r="BT14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2" s="5" t="s">
        <v>42</v>
      </c>
      <c r="BV142" s="2">
        <v>-160435</v>
      </c>
      <c r="BW142" s="2">
        <v>300.08138589999999</v>
      </c>
      <c r="BX142" s="2" t="str">
        <f>IF(AND(Table1[[#This Row],[Gurobi MD Cost]]=Table1[[#This Row],[ORTools FZN2 Cost]],Table1[[#This Row],[ORTools FZN2 State]]="Optimal",Table1[[#This Row],[Gurobi MD State]]="Suboptimal"),1,"")</f>
        <v/>
      </c>
      <c r="BY14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2" s="5" t="s">
        <v>42</v>
      </c>
      <c r="CA142" s="2">
        <v>-160435</v>
      </c>
      <c r="CB142" s="2">
        <v>304.51083390000002</v>
      </c>
      <c r="CC142" s="2" t="str">
        <f>IF(AND(Table1[[#This Row],[Gurobi MI Cost]]=Table1[[#This Row],[ORTools FZN2 Cost]],Table1[[#This Row],[ORTools FZN2 State]]="Optimal",Table1[[#This Row],[Gurobi MI State]]="Suboptimal"),1,"")</f>
        <v/>
      </c>
      <c r="CD14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2" s="39" t="s">
        <v>42</v>
      </c>
      <c r="CF142" s="2">
        <v>-160435</v>
      </c>
      <c r="CG142" s="39">
        <v>306.11497939999998</v>
      </c>
      <c r="CH142" s="39" t="s">
        <v>42</v>
      </c>
      <c r="CI142" s="39">
        <v>-160435</v>
      </c>
      <c r="CJ142" s="2">
        <v>306.08071560000002</v>
      </c>
      <c r="CK142" s="5" t="s">
        <v>26</v>
      </c>
      <c r="CL142" s="2">
        <v>8</v>
      </c>
      <c r="CM142" s="2">
        <v>300.06099999999799</v>
      </c>
      <c r="CN142" s="5" t="s">
        <v>26</v>
      </c>
      <c r="CO142" s="2">
        <v>318020</v>
      </c>
      <c r="CP142" s="2">
        <v>302.315699</v>
      </c>
      <c r="CQ142" s="5" t="s">
        <v>25</v>
      </c>
      <c r="CR142" s="2">
        <v>8</v>
      </c>
      <c r="CS142" s="2">
        <v>29.215972600000001</v>
      </c>
      <c r="CT142" s="6" t="s">
        <v>25</v>
      </c>
      <c r="CU142" s="4">
        <v>8</v>
      </c>
      <c r="CV142" s="4">
        <v>21.672174800000001</v>
      </c>
      <c r="CW142" s="39" t="s">
        <v>42</v>
      </c>
      <c r="CX142" s="39"/>
      <c r="CY142" s="2">
        <v>300.00779999999997</v>
      </c>
      <c r="CZ142" s="2" t="str">
        <f>IF(AND(Table1[[#This Row],[Cplex MZ1 Cost]]=Table1[[#This Row],[ORTools FZN2 Cost]],Table1[[#This Row],[ORTools FZN2 State]]="Optimal",Table1[[#This Row],[Cplex MZ1 State]]="Suboptimal"),1,"")</f>
        <v/>
      </c>
      <c r="DA142" s="5" t="s">
        <v>42</v>
      </c>
      <c r="DB142" s="2"/>
      <c r="DC142" s="2">
        <v>300.02300000000002</v>
      </c>
      <c r="DD142" s="2" t="str">
        <f>IF(AND(Table1[[#This Row],[Cplex MZ2 Cost]]=Table1[[#This Row],[ORTools FZN2 Cost]],Table1[[#This Row],[ORTools FZN2 State]]="Optimal",Table1[[#This Row],[Cplex MZ2 State]]="Suboptimal"),1,"")</f>
        <v/>
      </c>
      <c r="DE142" s="39" t="s">
        <v>42</v>
      </c>
      <c r="DF142" s="39"/>
      <c r="DG142" s="2">
        <v>300.03449999999998</v>
      </c>
      <c r="DH142" s="2" t="str">
        <f>IF(AND(Table1[[#This Row],[Gurobi MZ1 Cost]]=Table1[[#This Row],[ORTools FZN2 Cost]],Table1[[#This Row],[ORTools FZN2 State]]="Optimal",Table1[[#This Row],[Gurobi MZ1 State]]="Suboptimal"),1,"")</f>
        <v/>
      </c>
      <c r="DI142" s="5" t="s">
        <v>42</v>
      </c>
      <c r="DJ142" s="2"/>
      <c r="DK142" s="2">
        <v>300.01220000000001</v>
      </c>
      <c r="DL142" s="4" t="str">
        <f>IF(AND(Table1[[#This Row],[Gurobi MZ2 Cost]]=Table1[[#This Row],[ORTools FZN2 Cost]],Table1[[#This Row],[ORTools FZN2 State]]="Optimal",Table1[[#This Row],[Gurobi MZ2 State]]="Suboptimal"),1,"")</f>
        <v/>
      </c>
      <c r="DM142" s="39" t="s">
        <v>26</v>
      </c>
      <c r="DN142" s="12">
        <v>8</v>
      </c>
      <c r="DO142" s="69">
        <v>300.08699999999902</v>
      </c>
      <c r="DP142" s="11">
        <f>IF(AND(Table1[[#This Row],[Cplex MC nonDual Cost]]=Table1[[#This Row],[ORTools FZN2 Cost]],Table1[[#This Row],[ORTools FZN2 State]]="Optimal",Table1[[#This Row],[Cplex MC nonDual State]]="Suboptimal"),1,"")</f>
        <v>1</v>
      </c>
      <c r="DQ142" s="5" t="s">
        <v>42</v>
      </c>
      <c r="DR142" s="2"/>
      <c r="DS142" s="2">
        <v>300.02249999999998</v>
      </c>
      <c r="DT142" s="2" t="str">
        <f>IF(AND(Table1[[#This Row],[Cplex MIP DM''z Cost]]=Table1[[#This Row],[ORTools FZN2 Cost]],Table1[[#This Row],[ORTools FZN2 State]]="Optimal",Table1[[#This Row],[Cplex MIP DM''z  State]]="Suboptimal"),1,"")</f>
        <v/>
      </c>
      <c r="DU14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2" s="5" t="s">
        <v>42</v>
      </c>
      <c r="DW142" s="2"/>
      <c r="DX142" s="2">
        <v>300.01670000000001</v>
      </c>
      <c r="DY142" s="4" t="str">
        <f>IF(AND(Table1[[#This Row],[Gurobi DM''z  Cost]]=Table1[[#This Row],[ORTools FZN2 Cost]],Table1[[#This Row],[ORTools FZN2 State]]="Optimal",Table1[[#This Row],[Gurobi DM''z  State]]="Suboptimal"),1,"")</f>
        <v/>
      </c>
      <c r="DZ14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3" spans="1:130" ht="15.75" x14ac:dyDescent="0.25">
      <c r="A143" s="47" t="s">
        <v>169</v>
      </c>
      <c r="B143" s="5">
        <v>54</v>
      </c>
      <c r="C143" s="2">
        <v>27</v>
      </c>
      <c r="D143" s="5">
        <v>301</v>
      </c>
      <c r="E143" s="2">
        <v>33</v>
      </c>
      <c r="F143" s="5">
        <v>62</v>
      </c>
      <c r="G143" s="2">
        <v>28</v>
      </c>
      <c r="H143" s="4">
        <f t="shared" si="2"/>
        <v>0</v>
      </c>
      <c r="I143" s="4">
        <f>Table1[[#This Row],[B]]+Table1[[#This Row],[Atomic Constraints]]+Table1[[#This Row],[Soft Atomic Constraints]]+Table1[[#This Row],[Disjunctive Constraints]]+Table1[[#This Row],[Direct Successors]]</f>
        <v>451</v>
      </c>
      <c r="J143" s="5" t="s">
        <v>25</v>
      </c>
      <c r="K143" s="2">
        <v>10</v>
      </c>
      <c r="L143" s="2">
        <v>78.225886900000006</v>
      </c>
      <c r="M143" s="2" t="str">
        <f>IF(AND(Table1[[#This Row],[Chuffed MZ1 Cost]]=Table1[[#This Row],[ORTools FZN2 Cost]],Table1[[#This Row],[ORTools FZN2 State]]="Optimal",Table1[[#This Row],[Chuffed MZ1 State]]="Suboptimal"),1,"")</f>
        <v/>
      </c>
      <c r="N143" s="5" t="s">
        <v>26</v>
      </c>
      <c r="O143" s="2">
        <v>160496</v>
      </c>
      <c r="P143" s="2">
        <v>302.29688290000001</v>
      </c>
      <c r="Q143" s="2" t="str">
        <f>IF(AND(Table1[[#This Row],[Chuffed MZ2 Cost]]=Table1[[#This Row],[ORTools FZN2 Cost]],Table1[[#This Row],[ORTools FZN2 State]]="Optimal",Table1[[#This Row],[Chuffed MZ2 State]]="Suboptimal"),1,"")</f>
        <v/>
      </c>
      <c r="R143" s="11" t="s">
        <v>26</v>
      </c>
      <c r="S143" s="11">
        <v>10</v>
      </c>
      <c r="T143" s="11">
        <v>300.04000000000099</v>
      </c>
      <c r="U143" s="11">
        <v>1</v>
      </c>
      <c r="V143" s="5" t="s">
        <v>25</v>
      </c>
      <c r="W143" s="2">
        <v>10</v>
      </c>
      <c r="X143" s="2">
        <v>26.495055799999999</v>
      </c>
      <c r="Y143" s="2" t="str">
        <f>IF(AND(Table1[[#This Row],[ORTools FZN1 Cost]]=Table1[[#This Row],[ORTools FZN2 Cost]],Table1[[#This Row],[ORTools FZN2 State]]="Optimal",Table1[[#This Row],[ORTools FZN1 State]]="Suboptimal"),1,"")</f>
        <v/>
      </c>
      <c r="Z143" s="5" t="s">
        <v>25</v>
      </c>
      <c r="AA143" s="2">
        <v>10</v>
      </c>
      <c r="AB143" s="2">
        <v>25.9747263</v>
      </c>
      <c r="AC143" s="39" t="s">
        <v>25</v>
      </c>
      <c r="AD143" s="39">
        <v>10</v>
      </c>
      <c r="AE143" s="2">
        <v>147.89319610000001</v>
      </c>
      <c r="AF143" s="2" t="str">
        <f>IF(AND(Table1[[#This Row],[Cplex MB Cost]]=Table1[[#This Row],[ORTools FZN2 Cost]],Table1[[#This Row],[ORTools FZN2 State]]="Optimal",Table1[[#This Row],[Cplex MB State]]="Suboptimal"),1,"")</f>
        <v/>
      </c>
      <c r="AG143" s="4">
        <f>IF(AND(AC143="Optimal",AD143&lt;&gt;AA143,Table1[[#This Row],[Example]]&lt;&gt;"R001",Table1[[#This Row],[Example]]&lt;&gt;"R002"),AD143-AA143,)</f>
        <v>0</v>
      </c>
      <c r="AH143" s="5" t="s">
        <v>42</v>
      </c>
      <c r="AI143" s="2">
        <v>-160435</v>
      </c>
      <c r="AJ143" s="2">
        <v>300.46582940000002</v>
      </c>
      <c r="AK143" s="2" t="str">
        <f>IF(AND(Table1[[#This Row],[Cplex MD Cost]]=Table1[[#This Row],[ORTools FZN2 Cost]],Table1[[#This Row],[ORTools FZN2 State]]="Optimal",Table1[[#This Row],[Cplex MD State]]="Suboptimal"),1,"")</f>
        <v/>
      </c>
      <c r="AL143" s="4">
        <f>IF(AND(AH143="Optimal",AI143&lt;&gt;AA143,Table1[[#This Row],[Example]]&lt;&gt;"R001",Table1[[#This Row],[Example]]&lt;&gt;"R002"),AI143-AA143,)</f>
        <v>0</v>
      </c>
      <c r="AM143" s="39" t="s">
        <v>25</v>
      </c>
      <c r="AN143" s="39">
        <v>10</v>
      </c>
      <c r="AO143" s="2">
        <v>36.948528500000002</v>
      </c>
      <c r="AP14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3" s="4" t="str">
        <f>IF(AND(Table1[[#This Row],[Cplex MI Cost]]=Table1[[#This Row],[ORTools FZN2 Cost]],Table1[[#This Row],[ORTools FZN2 State]]="Optimal",Table1[[#This Row],[Cplex MI State]]="Suboptimal"),1,"")</f>
        <v/>
      </c>
      <c r="AR143" s="5" t="s">
        <v>42</v>
      </c>
      <c r="AS143" s="2">
        <v>-160435</v>
      </c>
      <c r="AT143" s="2">
        <v>300.06104720000002</v>
      </c>
      <c r="AU143" s="2" t="str">
        <f>IF(AND(Table1[[#This Row],[Z3 SMT2-1 Maxres Cost]]=Table1[[#This Row],[ORTools FZN2 Cost]],Table1[[#This Row],[ORTools FZN2 State]]="Optimal"),1,"")</f>
        <v/>
      </c>
      <c r="AV143" s="39" t="s">
        <v>42</v>
      </c>
      <c r="AW143" s="39">
        <v>-160435</v>
      </c>
      <c r="AX143" s="2">
        <v>300.0651684</v>
      </c>
      <c r="AY143" s="2" t="str">
        <f>IF(AND(Table1[[#This Row],[Z3 SMT2-1 PdMaxres Cost]]=Table1[[#This Row],[ORTools FZN2 Cost]],Table1[[#This Row],[ORTools FZN2 State]]="Optimal"),1,"")</f>
        <v/>
      </c>
      <c r="AZ143" s="5" t="s">
        <v>42</v>
      </c>
      <c r="BA143" s="2">
        <v>-160435</v>
      </c>
      <c r="BB143" s="39">
        <v>300.05060029999999</v>
      </c>
      <c r="BC143" s="39" t="str">
        <f>IF(AND(Table1[[#This Row],[Z3 SMT2-1 WMax Cost]]=Table1[[#This Row],[ORTools FZN2 Cost]],Table1[[#This Row],[ORTools FZN2 State]]="Optimal"),1,"")</f>
        <v/>
      </c>
      <c r="BD143" s="39" t="s">
        <v>42</v>
      </c>
      <c r="BE143" s="39">
        <v>-160435</v>
      </c>
      <c r="BF143" s="2">
        <v>300.06219149999998</v>
      </c>
      <c r="BG143" s="2" t="str">
        <f>IF(AND(Table1[[#This Row],[Z3 SMT2-2 Maxres Cost]]=Table1[[#This Row],[ORTools FZN2 Cost]],Table1[[#This Row],[ORTools FZN2 State]]="Optimal"),1,"")</f>
        <v/>
      </c>
      <c r="BH143" s="5" t="s">
        <v>42</v>
      </c>
      <c r="BI143" s="2">
        <v>-160435</v>
      </c>
      <c r="BJ143" s="39">
        <v>300.06209760000002</v>
      </c>
      <c r="BK143" s="39" t="str">
        <f>IF(AND(Table1[[#This Row],[Z3 SMT2-2 PdMaxres Cost]]=Table1[[#This Row],[ORTools FZN2 Cost]],Table1[[#This Row],[ORTools FZN2 State]]="Optimal"),1,"")</f>
        <v/>
      </c>
      <c r="BL143" s="39" t="s">
        <v>42</v>
      </c>
      <c r="BM143" s="39">
        <v>-160435</v>
      </c>
      <c r="BN143" s="2">
        <v>300.05834190000002</v>
      </c>
      <c r="BO143" s="4" t="str">
        <f>IF(AND(Table1[[#This Row],[Z3 SMT2-2 PdMaxres Cost]]=Table1[[#This Row],[ORTools FZN2 Cost]],Table1[[#This Row],[ORTools FZN2 State]]="Optimal"),1,"")</f>
        <v/>
      </c>
      <c r="BP143" s="5" t="s">
        <v>42</v>
      </c>
      <c r="BQ143" s="2">
        <v>-160435</v>
      </c>
      <c r="BR143" s="2">
        <v>300.07620200000002</v>
      </c>
      <c r="BS143" s="2" t="str">
        <f>IF(AND(Table1[[#This Row],[Gurobi MB Cost]]=Table1[[#This Row],[ORTools FZN2 Cost]],Table1[[#This Row],[ORTools FZN2 State]]="Optimal",Table1[[#This Row],[Gurobi MB State]]="Suboptimal"),1,"")</f>
        <v/>
      </c>
      <c r="BT14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3" s="5" t="s">
        <v>42</v>
      </c>
      <c r="BV143" s="2">
        <v>-160435</v>
      </c>
      <c r="BW143" s="2">
        <v>300.88694570000001</v>
      </c>
      <c r="BX143" s="2" t="str">
        <f>IF(AND(Table1[[#This Row],[Gurobi MD Cost]]=Table1[[#This Row],[ORTools FZN2 Cost]],Table1[[#This Row],[ORTools FZN2 State]]="Optimal",Table1[[#This Row],[Gurobi MD State]]="Suboptimal"),1,"")</f>
        <v/>
      </c>
      <c r="BY14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3" s="5" t="s">
        <v>42</v>
      </c>
      <c r="CA143" s="2">
        <v>-160435</v>
      </c>
      <c r="CB143" s="2">
        <v>300.25366389999999</v>
      </c>
      <c r="CC143" s="2" t="str">
        <f>IF(AND(Table1[[#This Row],[Gurobi MI Cost]]=Table1[[#This Row],[ORTools FZN2 Cost]],Table1[[#This Row],[ORTools FZN2 State]]="Optimal",Table1[[#This Row],[Gurobi MI State]]="Suboptimal"),1,"")</f>
        <v/>
      </c>
      <c r="CD14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3" s="39" t="s">
        <v>42</v>
      </c>
      <c r="CF143" s="2">
        <v>-160435</v>
      </c>
      <c r="CG143" s="39">
        <v>306.09950570000001</v>
      </c>
      <c r="CH143" s="39" t="s">
        <v>42</v>
      </c>
      <c r="CI143" s="39">
        <v>-160435</v>
      </c>
      <c r="CJ143" s="2">
        <v>306.13898380000001</v>
      </c>
      <c r="CK143" s="5" t="s">
        <v>26</v>
      </c>
      <c r="CL143" s="2">
        <v>10</v>
      </c>
      <c r="CM143" s="2">
        <v>300.06799999999902</v>
      </c>
      <c r="CN143" s="5" t="s">
        <v>26</v>
      </c>
      <c r="CO143" s="2">
        <v>160495</v>
      </c>
      <c r="CP143" s="2">
        <v>302.3572355</v>
      </c>
      <c r="CQ143" s="5" t="s">
        <v>25</v>
      </c>
      <c r="CR143" s="2">
        <v>10</v>
      </c>
      <c r="CS143" s="2">
        <v>28.3386493</v>
      </c>
      <c r="CT143" s="6" t="s">
        <v>25</v>
      </c>
      <c r="CU143" s="4">
        <v>10</v>
      </c>
      <c r="CV143" s="4">
        <v>20.3670738</v>
      </c>
      <c r="CW143" s="39" t="s">
        <v>26</v>
      </c>
      <c r="CX143" s="39">
        <v>797542</v>
      </c>
      <c r="CY143" s="2">
        <v>300.01240000000001</v>
      </c>
      <c r="CZ143" s="2" t="str">
        <f>IF(AND(Table1[[#This Row],[Cplex MZ1 Cost]]=Table1[[#This Row],[ORTools FZN2 Cost]],Table1[[#This Row],[ORTools FZN2 State]]="Optimal",Table1[[#This Row],[Cplex MZ1 State]]="Suboptimal"),1,"")</f>
        <v/>
      </c>
      <c r="DA143" s="5" t="s">
        <v>42</v>
      </c>
      <c r="DB143" s="2"/>
      <c r="DC143" s="2">
        <v>300.01690000000002</v>
      </c>
      <c r="DD143" s="2" t="str">
        <f>IF(AND(Table1[[#This Row],[Cplex MZ2 Cost]]=Table1[[#This Row],[ORTools FZN2 Cost]],Table1[[#This Row],[ORTools FZN2 State]]="Optimal",Table1[[#This Row],[Cplex MZ2 State]]="Suboptimal"),1,"")</f>
        <v/>
      </c>
      <c r="DE143" s="39" t="s">
        <v>42</v>
      </c>
      <c r="DF143" s="39"/>
      <c r="DG143" s="2">
        <v>300.01369999999997</v>
      </c>
      <c r="DH143" s="2" t="str">
        <f>IF(AND(Table1[[#This Row],[Gurobi MZ1 Cost]]=Table1[[#This Row],[ORTools FZN2 Cost]],Table1[[#This Row],[ORTools FZN2 State]]="Optimal",Table1[[#This Row],[Gurobi MZ1 State]]="Suboptimal"),1,"")</f>
        <v/>
      </c>
      <c r="DI143" s="5" t="s">
        <v>42</v>
      </c>
      <c r="DJ143" s="2"/>
      <c r="DK143" s="2">
        <v>300.0718</v>
      </c>
      <c r="DL143" s="4" t="str">
        <f>IF(AND(Table1[[#This Row],[Gurobi MZ2 Cost]]=Table1[[#This Row],[ORTools FZN2 Cost]],Table1[[#This Row],[ORTools FZN2 State]]="Optimal",Table1[[#This Row],[Gurobi MZ2 State]]="Suboptimal"),1,"")</f>
        <v/>
      </c>
      <c r="DM143" s="39" t="s">
        <v>26</v>
      </c>
      <c r="DN143" s="12">
        <v>10</v>
      </c>
      <c r="DO143" s="69">
        <v>300.11200000000099</v>
      </c>
      <c r="DP143" s="11">
        <f>IF(AND(Table1[[#This Row],[Cplex MC nonDual Cost]]=Table1[[#This Row],[ORTools FZN2 Cost]],Table1[[#This Row],[ORTools FZN2 State]]="Optimal",Table1[[#This Row],[Cplex MC nonDual State]]="Suboptimal"),1,"")</f>
        <v>1</v>
      </c>
      <c r="DQ143" s="5" t="s">
        <v>26</v>
      </c>
      <c r="DR143" s="2">
        <v>160495</v>
      </c>
      <c r="DS143" s="2">
        <v>300.01179999999999</v>
      </c>
      <c r="DT143" s="2" t="str">
        <f>IF(AND(Table1[[#This Row],[Cplex MIP DM''z Cost]]=Table1[[#This Row],[ORTools FZN2 Cost]],Table1[[#This Row],[ORTools FZN2 State]]="Optimal",Table1[[#This Row],[Cplex MIP DM''z  State]]="Suboptimal"),1,"")</f>
        <v/>
      </c>
      <c r="DU14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3" s="5" t="s">
        <v>42</v>
      </c>
      <c r="DW143" s="2"/>
      <c r="DX143" s="2">
        <v>300.31110000000001</v>
      </c>
      <c r="DY143" s="4" t="str">
        <f>IF(AND(Table1[[#This Row],[Gurobi DM''z  Cost]]=Table1[[#This Row],[ORTools FZN2 Cost]],Table1[[#This Row],[ORTools FZN2 State]]="Optimal",Table1[[#This Row],[Gurobi DM''z  State]]="Suboptimal"),1,"")</f>
        <v/>
      </c>
      <c r="DZ14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4" spans="1:130" ht="15.75" x14ac:dyDescent="0.25">
      <c r="A144" s="46" t="s">
        <v>170</v>
      </c>
      <c r="B144" s="5">
        <v>42</v>
      </c>
      <c r="C144" s="2">
        <v>21</v>
      </c>
      <c r="D144" s="5">
        <v>137</v>
      </c>
      <c r="E144" s="2">
        <v>25</v>
      </c>
      <c r="F144" s="5">
        <v>39</v>
      </c>
      <c r="G144" s="2">
        <v>14</v>
      </c>
      <c r="H144" s="4">
        <f t="shared" si="2"/>
        <v>0</v>
      </c>
      <c r="I144" s="4">
        <f>Table1[[#This Row],[B]]+Table1[[#This Row],[Atomic Constraints]]+Table1[[#This Row],[Soft Atomic Constraints]]+Table1[[#This Row],[Disjunctive Constraints]]+Table1[[#This Row],[Direct Successors]]</f>
        <v>236</v>
      </c>
      <c r="J144" s="5" t="s">
        <v>25</v>
      </c>
      <c r="K144" s="2">
        <v>226010</v>
      </c>
      <c r="L144" s="2">
        <v>201.5719038</v>
      </c>
      <c r="M144" s="2" t="str">
        <f>IF(AND(Table1[[#This Row],[Chuffed MZ1 Cost]]=Table1[[#This Row],[ORTools FZN2 Cost]],Table1[[#This Row],[ORTools FZN2 State]]="Optimal",Table1[[#This Row],[Chuffed MZ1 State]]="Suboptimal"),1,"")</f>
        <v/>
      </c>
      <c r="N144" s="5" t="s">
        <v>25</v>
      </c>
      <c r="O144" s="2">
        <v>226010</v>
      </c>
      <c r="P144" s="2">
        <v>148.57798320000001</v>
      </c>
      <c r="Q144" s="2" t="str">
        <f>IF(AND(Table1[[#This Row],[Chuffed MZ2 Cost]]=Table1[[#This Row],[ORTools FZN2 Cost]],Table1[[#This Row],[ORTools FZN2 State]]="Optimal",Table1[[#This Row],[Chuffed MZ2 State]]="Suboptimal"),1,"")</f>
        <v/>
      </c>
      <c r="R144" s="6" t="s">
        <v>25</v>
      </c>
      <c r="S144" s="4">
        <v>226010</v>
      </c>
      <c r="T144" s="4">
        <v>64.570999999999898</v>
      </c>
      <c r="U144" s="4"/>
      <c r="V144" s="5" t="s">
        <v>25</v>
      </c>
      <c r="W144" s="2">
        <v>226010</v>
      </c>
      <c r="X144" s="2">
        <v>8.3812680000000004</v>
      </c>
      <c r="Y144" s="2" t="str">
        <f>IF(AND(Table1[[#This Row],[ORTools FZN1 Cost]]=Table1[[#This Row],[ORTools FZN2 Cost]],Table1[[#This Row],[ORTools FZN2 State]]="Optimal",Table1[[#This Row],[ORTools FZN1 State]]="Suboptimal"),1,"")</f>
        <v/>
      </c>
      <c r="Z144" s="5" t="s">
        <v>25</v>
      </c>
      <c r="AA144" s="2">
        <v>226010</v>
      </c>
      <c r="AB144" s="2">
        <v>9.0802204</v>
      </c>
      <c r="AC144" s="39" t="s">
        <v>25</v>
      </c>
      <c r="AD144" s="39">
        <v>226010</v>
      </c>
      <c r="AE144" s="2">
        <v>102.9975228</v>
      </c>
      <c r="AF144" s="2" t="str">
        <f>IF(AND(Table1[[#This Row],[Cplex MB Cost]]=Table1[[#This Row],[ORTools FZN2 Cost]],Table1[[#This Row],[ORTools FZN2 State]]="Optimal",Table1[[#This Row],[Cplex MB State]]="Suboptimal"),1,"")</f>
        <v/>
      </c>
      <c r="AG144" s="4">
        <f>IF(AND(AC144="Optimal",AD144&lt;&gt;AA144,Table1[[#This Row],[Example]]&lt;&gt;"R001",Table1[[#This Row],[Example]]&lt;&gt;"R002"),AD144-AA144,)</f>
        <v>0</v>
      </c>
      <c r="AH144" s="5" t="s">
        <v>26</v>
      </c>
      <c r="AI144" s="2">
        <v>902506</v>
      </c>
      <c r="AJ144" s="2">
        <v>300.23613899999998</v>
      </c>
      <c r="AK144" s="2" t="str">
        <f>IF(AND(Table1[[#This Row],[Cplex MD Cost]]=Table1[[#This Row],[ORTools FZN2 Cost]],Table1[[#This Row],[ORTools FZN2 State]]="Optimal",Table1[[#This Row],[Cplex MD State]]="Suboptimal"),1,"")</f>
        <v/>
      </c>
      <c r="AL144" s="4">
        <f>IF(AND(AH144="Optimal",AI144&lt;&gt;AA144,Table1[[#This Row],[Example]]&lt;&gt;"R001",Table1[[#This Row],[Example]]&lt;&gt;"R002"),AI144-AA144,)</f>
        <v>0</v>
      </c>
      <c r="AM144" s="39" t="s">
        <v>25</v>
      </c>
      <c r="AN144" s="39">
        <v>226010</v>
      </c>
      <c r="AO144" s="2">
        <v>50.680134199999998</v>
      </c>
      <c r="AP144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4" s="2" t="str">
        <f>IF(AND(Table1[[#This Row],[Cplex MI Cost]]=Table1[[#This Row],[ORTools FZN2 Cost]],Table1[[#This Row],[ORTools FZN2 State]]="Optimal",Table1[[#This Row],[Cplex MI State]]="Suboptimal"),1,"")</f>
        <v/>
      </c>
      <c r="AR144" s="5" t="s">
        <v>42</v>
      </c>
      <c r="AS144" s="2">
        <v>-75895</v>
      </c>
      <c r="AT144" s="2">
        <v>300.0529287</v>
      </c>
      <c r="AU144" s="2" t="str">
        <f>IF(AND(Table1[[#This Row],[Z3 SMT2-1 Maxres Cost]]=Table1[[#This Row],[ORTools FZN2 Cost]],Table1[[#This Row],[ORTools FZN2 State]]="Optimal"),1,"")</f>
        <v/>
      </c>
      <c r="AV144" s="39" t="s">
        <v>42</v>
      </c>
      <c r="AW144" s="39">
        <v>-75895</v>
      </c>
      <c r="AX144" s="2">
        <v>300.0563416</v>
      </c>
      <c r="AY144" s="2" t="str">
        <f>IF(AND(Table1[[#This Row],[Z3 SMT2-1 PdMaxres Cost]]=Table1[[#This Row],[ORTools FZN2 Cost]],Table1[[#This Row],[ORTools FZN2 State]]="Optimal"),1,"")</f>
        <v/>
      </c>
      <c r="AZ144" s="5" t="s">
        <v>42</v>
      </c>
      <c r="BA144" s="2">
        <v>-75895</v>
      </c>
      <c r="BB144" s="39">
        <v>300.06791650000002</v>
      </c>
      <c r="BC144" s="39" t="str">
        <f>IF(AND(Table1[[#This Row],[Z3 SMT2-1 WMax Cost]]=Table1[[#This Row],[ORTools FZN2 Cost]],Table1[[#This Row],[ORTools FZN2 State]]="Optimal"),1,"")</f>
        <v/>
      </c>
      <c r="BD144" s="39" t="s">
        <v>42</v>
      </c>
      <c r="BE144" s="39">
        <v>-75895</v>
      </c>
      <c r="BF144" s="2">
        <v>300.05119839999998</v>
      </c>
      <c r="BG144" s="2" t="str">
        <f>IF(AND(Table1[[#This Row],[Z3 SMT2-2 Maxres Cost]]=Table1[[#This Row],[ORTools FZN2 Cost]],Table1[[#This Row],[ORTools FZN2 State]]="Optimal"),1,"")</f>
        <v/>
      </c>
      <c r="BH144" s="5" t="s">
        <v>42</v>
      </c>
      <c r="BI144" s="2">
        <v>-75895</v>
      </c>
      <c r="BJ144" s="39">
        <v>300.04913379999999</v>
      </c>
      <c r="BK144" s="39" t="str">
        <f>IF(AND(Table1[[#This Row],[Z3 SMT2-2 PdMaxres Cost]]=Table1[[#This Row],[ORTools FZN2 Cost]],Table1[[#This Row],[ORTools FZN2 State]]="Optimal"),1,"")</f>
        <v/>
      </c>
      <c r="BL144" s="39" t="s">
        <v>42</v>
      </c>
      <c r="BM144" s="39">
        <v>-75895</v>
      </c>
      <c r="BN144" s="2">
        <v>300.05113799999998</v>
      </c>
      <c r="BO144" s="4" t="str">
        <f>IF(AND(Table1[[#This Row],[Z3 SMT2-2 PdMaxres Cost]]=Table1[[#This Row],[ORTools FZN2 Cost]],Table1[[#This Row],[ORTools FZN2 State]]="Optimal"),1,"")</f>
        <v/>
      </c>
      <c r="BP144" s="5" t="s">
        <v>25</v>
      </c>
      <c r="BQ144" s="2">
        <v>226010</v>
      </c>
      <c r="BR144" s="2">
        <v>158.2014599</v>
      </c>
      <c r="BS144" s="2" t="str">
        <f>IF(AND(Table1[[#This Row],[Gurobi MB Cost]]=Table1[[#This Row],[ORTools FZN2 Cost]],Table1[[#This Row],[ORTools FZN2 State]]="Optimal",Table1[[#This Row],[Gurobi MB State]]="Suboptimal"),1,"")</f>
        <v/>
      </c>
      <c r="BT14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4" s="5" t="s">
        <v>42</v>
      </c>
      <c r="BV144" s="2">
        <v>-75895</v>
      </c>
      <c r="BW144" s="2">
        <v>300.04819420000001</v>
      </c>
      <c r="BX144" s="2" t="str">
        <f>IF(AND(Table1[[#This Row],[Gurobi MD Cost]]=Table1[[#This Row],[ORTools FZN2 Cost]],Table1[[#This Row],[ORTools FZN2 State]]="Optimal",Table1[[#This Row],[Gurobi MD State]]="Suboptimal"),1,"")</f>
        <v/>
      </c>
      <c r="BY14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4" s="5" t="s">
        <v>25</v>
      </c>
      <c r="CA144" s="2">
        <v>226010</v>
      </c>
      <c r="CB144" s="2">
        <v>103.8351991</v>
      </c>
      <c r="CC144" s="2" t="str">
        <f>IF(AND(Table1[[#This Row],[Gurobi MI Cost]]=Table1[[#This Row],[ORTools FZN2 Cost]],Table1[[#This Row],[ORTools FZN2 State]]="Optimal",Table1[[#This Row],[Gurobi MI State]]="Suboptimal"),1,"")</f>
        <v/>
      </c>
      <c r="CD14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4" s="39" t="s">
        <v>42</v>
      </c>
      <c r="CF144" s="2">
        <v>-75895</v>
      </c>
      <c r="CG144" s="39">
        <v>306.079137</v>
      </c>
      <c r="CH144" s="39" t="s">
        <v>42</v>
      </c>
      <c r="CI144" s="39">
        <v>-75895</v>
      </c>
      <c r="CJ144" s="2">
        <v>306.15970060000001</v>
      </c>
      <c r="CK144" s="5" t="s">
        <v>25</v>
      </c>
      <c r="CL144" s="2">
        <v>226010</v>
      </c>
      <c r="CM144" s="2">
        <v>35.7200000000012</v>
      </c>
      <c r="CN144" s="5" t="s">
        <v>26</v>
      </c>
      <c r="CO144" s="2">
        <v>378935</v>
      </c>
      <c r="CP144" s="2">
        <v>301.59756170000003</v>
      </c>
      <c r="CQ144" s="5" t="s">
        <v>25</v>
      </c>
      <c r="CR144" s="2">
        <v>226010</v>
      </c>
      <c r="CS144" s="2">
        <v>16.223156400000001</v>
      </c>
      <c r="CT144" s="6" t="s">
        <v>25</v>
      </c>
      <c r="CU144" s="4">
        <v>226010</v>
      </c>
      <c r="CV144" s="4">
        <v>12.838005600000001</v>
      </c>
      <c r="CW144" s="39" t="s">
        <v>26</v>
      </c>
      <c r="CX144" s="39">
        <v>226095</v>
      </c>
      <c r="CY144" s="2">
        <v>300.02069999999998</v>
      </c>
      <c r="CZ144" s="2" t="str">
        <f>IF(AND(Table1[[#This Row],[Cplex MZ1 Cost]]=Table1[[#This Row],[ORTools FZN2 Cost]],Table1[[#This Row],[ORTools FZN2 State]]="Optimal",Table1[[#This Row],[Cplex MZ1 State]]="Suboptimal"),1,"")</f>
        <v/>
      </c>
      <c r="DA144" s="12" t="s">
        <v>26</v>
      </c>
      <c r="DB144" s="12">
        <v>226010</v>
      </c>
      <c r="DC144" s="12">
        <v>300.01170000000002</v>
      </c>
      <c r="DD144" s="12">
        <f>IF(AND(Table1[[#This Row],[Cplex MZ2 Cost]]=Table1[[#This Row],[ORTools FZN2 Cost]],Table1[[#This Row],[ORTools FZN2 State]]="Optimal",Table1[[#This Row],[Cplex MZ2 State]]="Suboptimal"),1,"")</f>
        <v>1</v>
      </c>
      <c r="DE144" s="39" t="s">
        <v>26</v>
      </c>
      <c r="DF144" s="39">
        <v>300267</v>
      </c>
      <c r="DG144" s="2">
        <v>300.00549999999998</v>
      </c>
      <c r="DH144" s="2" t="str">
        <f>IF(AND(Table1[[#This Row],[Gurobi MZ1 Cost]]=Table1[[#This Row],[ORTools FZN2 Cost]],Table1[[#This Row],[ORTools FZN2 State]]="Optimal",Table1[[#This Row],[Gurobi MZ1 State]]="Suboptimal"),1,"")</f>
        <v/>
      </c>
      <c r="DI144" s="5" t="s">
        <v>26</v>
      </c>
      <c r="DJ144" s="2">
        <v>226518</v>
      </c>
      <c r="DK144" s="2">
        <v>300.0068</v>
      </c>
      <c r="DL144" s="4" t="str">
        <f>IF(AND(Table1[[#This Row],[Gurobi MZ2 Cost]]=Table1[[#This Row],[ORTools FZN2 Cost]],Table1[[#This Row],[ORTools FZN2 State]]="Optimal",Table1[[#This Row],[Gurobi MZ2 State]]="Suboptimal"),1,"")</f>
        <v/>
      </c>
      <c r="DM144" s="39" t="s">
        <v>25</v>
      </c>
      <c r="DN144" s="39">
        <v>226010</v>
      </c>
      <c r="DO144" s="65">
        <v>61.367000000002001</v>
      </c>
      <c r="DP144" s="4" t="str">
        <f>IF(AND(Table1[[#This Row],[Cplex MC nonDual Cost]]=Table1[[#This Row],[ORTools FZN2 Cost]],Table1[[#This Row],[ORTools FZN2 State]]="Optimal",Table1[[#This Row],[Cplex MC nonDual State]]="Suboptimal"),1,"")</f>
        <v/>
      </c>
      <c r="DQ144" s="5" t="s">
        <v>26</v>
      </c>
      <c r="DR144" s="2">
        <v>226010</v>
      </c>
      <c r="DS144" s="2">
        <v>300.01929999999999</v>
      </c>
      <c r="DT144" s="2">
        <f>IF(AND(Table1[[#This Row],[Cplex MIP DM''z Cost]]=Table1[[#This Row],[ORTools FZN2 Cost]],Table1[[#This Row],[ORTools FZN2 State]]="Optimal",Table1[[#This Row],[Cplex MIP DM''z  State]]="Suboptimal"),1,"")</f>
        <v>1</v>
      </c>
      <c r="DU14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4" s="5" t="s">
        <v>26</v>
      </c>
      <c r="DW144" s="2">
        <v>226140</v>
      </c>
      <c r="DX144" s="2">
        <v>300.0215</v>
      </c>
      <c r="DY144" s="4" t="str">
        <f>IF(AND(Table1[[#This Row],[Gurobi DM''z  Cost]]=Table1[[#This Row],[ORTools FZN2 Cost]],Table1[[#This Row],[ORTools FZN2 State]]="Optimal",Table1[[#This Row],[Gurobi DM''z  State]]="Suboptimal"),1,"")</f>
        <v/>
      </c>
      <c r="DZ14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5" spans="1:130" ht="15.75" x14ac:dyDescent="0.25">
      <c r="A145" s="47" t="s">
        <v>171</v>
      </c>
      <c r="B145" s="5">
        <v>42</v>
      </c>
      <c r="C145" s="2">
        <v>21</v>
      </c>
      <c r="D145" s="5">
        <v>137</v>
      </c>
      <c r="E145" s="2">
        <v>24</v>
      </c>
      <c r="F145" s="5">
        <v>32</v>
      </c>
      <c r="G145" s="2">
        <v>14</v>
      </c>
      <c r="H145" s="4">
        <f t="shared" si="2"/>
        <v>0</v>
      </c>
      <c r="I145" s="4">
        <f>Table1[[#This Row],[B]]+Table1[[#This Row],[Atomic Constraints]]+Table1[[#This Row],[Soft Atomic Constraints]]+Table1[[#This Row],[Disjunctive Constraints]]+Table1[[#This Row],[Direct Successors]]</f>
        <v>228</v>
      </c>
      <c r="J145" s="5" t="s">
        <v>25</v>
      </c>
      <c r="K145" s="2">
        <v>226010</v>
      </c>
      <c r="L145" s="2">
        <v>238.91463210000001</v>
      </c>
      <c r="M145" s="2" t="str">
        <f>IF(AND(Table1[[#This Row],[Chuffed MZ1 Cost]]=Table1[[#This Row],[ORTools FZN2 Cost]],Table1[[#This Row],[ORTools FZN2 State]]="Optimal",Table1[[#This Row],[Chuffed MZ1 State]]="Suboptimal"),1,"")</f>
        <v/>
      </c>
      <c r="N145" s="5" t="s">
        <v>25</v>
      </c>
      <c r="O145" s="2">
        <v>226010</v>
      </c>
      <c r="P145" s="2">
        <v>148.05497349999999</v>
      </c>
      <c r="Q145" s="2" t="str">
        <f>IF(AND(Table1[[#This Row],[Chuffed MZ2 Cost]]=Table1[[#This Row],[ORTools FZN2 Cost]],Table1[[#This Row],[ORTools FZN2 State]]="Optimal",Table1[[#This Row],[Chuffed MZ2 State]]="Suboptimal"),1,"")</f>
        <v/>
      </c>
      <c r="R145" s="6" t="s">
        <v>25</v>
      </c>
      <c r="S145" s="4">
        <v>226010</v>
      </c>
      <c r="T145" s="4">
        <v>53.068999999999498</v>
      </c>
      <c r="U145" s="4"/>
      <c r="V145" s="5" t="s">
        <v>25</v>
      </c>
      <c r="W145" s="2">
        <v>226010</v>
      </c>
      <c r="X145" s="2">
        <v>10.0942512</v>
      </c>
      <c r="Y145" s="2" t="str">
        <f>IF(AND(Table1[[#This Row],[ORTools FZN1 Cost]]=Table1[[#This Row],[ORTools FZN2 Cost]],Table1[[#This Row],[ORTools FZN2 State]]="Optimal",Table1[[#This Row],[ORTools FZN1 State]]="Suboptimal"),1,"")</f>
        <v/>
      </c>
      <c r="Z145" s="5" t="s">
        <v>25</v>
      </c>
      <c r="AA145" s="2">
        <v>226010</v>
      </c>
      <c r="AB145" s="2">
        <v>9.1822698999999997</v>
      </c>
      <c r="AC145" s="12" t="s">
        <v>26</v>
      </c>
      <c r="AD145" s="12">
        <v>226010</v>
      </c>
      <c r="AE145" s="12">
        <v>300.12834140000001</v>
      </c>
      <c r="AF145" s="2">
        <f>IF(AND(Table1[[#This Row],[Cplex MB Cost]]=Table1[[#This Row],[ORTools FZN2 Cost]],Table1[[#This Row],[ORTools FZN2 State]]="Optimal",Table1[[#This Row],[Cplex MB State]]="Suboptimal"),1,"")</f>
        <v>1</v>
      </c>
      <c r="AG145" s="4">
        <f>IF(AND(AC145="Optimal",AD145&lt;&gt;AA145,Table1[[#This Row],[Example]]&lt;&gt;"R001",Table1[[#This Row],[Example]]&lt;&gt;"R002"),AD145-AA145,)</f>
        <v>0</v>
      </c>
      <c r="AH145" s="5" t="s">
        <v>26</v>
      </c>
      <c r="AI145" s="2">
        <v>828333</v>
      </c>
      <c r="AJ145" s="2">
        <v>300.24916480000002</v>
      </c>
      <c r="AK145" s="2" t="str">
        <f>IF(AND(Table1[[#This Row],[Cplex MD Cost]]=Table1[[#This Row],[ORTools FZN2 Cost]],Table1[[#This Row],[ORTools FZN2 State]]="Optimal",Table1[[#This Row],[Cplex MD State]]="Suboptimal"),1,"")</f>
        <v/>
      </c>
      <c r="AL145" s="2">
        <f>IF(AND(AH145="Optimal",AI145&lt;&gt;AA145,Table1[[#This Row],[Example]]&lt;&gt;"R001",Table1[[#This Row],[Example]]&lt;&gt;"R002"),AI145-AA145,)</f>
        <v>0</v>
      </c>
      <c r="AM145" s="39" t="s">
        <v>25</v>
      </c>
      <c r="AN145" s="39">
        <v>226010</v>
      </c>
      <c r="AO145" s="2">
        <v>235.78476620000001</v>
      </c>
      <c r="AP14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5" s="4" t="str">
        <f>IF(AND(Table1[[#This Row],[Cplex MI Cost]]=Table1[[#This Row],[ORTools FZN2 Cost]],Table1[[#This Row],[ORTools FZN2 State]]="Optimal",Table1[[#This Row],[Cplex MI State]]="Suboptimal"),1,"")</f>
        <v/>
      </c>
      <c r="AR145" s="5" t="s">
        <v>42</v>
      </c>
      <c r="AS145" s="2">
        <v>-75895</v>
      </c>
      <c r="AT145" s="2">
        <v>300.0415203</v>
      </c>
      <c r="AU145" s="2" t="str">
        <f>IF(AND(Table1[[#This Row],[Z3 SMT2-1 Maxres Cost]]=Table1[[#This Row],[ORTools FZN2 Cost]],Table1[[#This Row],[ORTools FZN2 State]]="Optimal"),1,"")</f>
        <v/>
      </c>
      <c r="AV145" s="39" t="s">
        <v>42</v>
      </c>
      <c r="AW145" s="39">
        <v>-75895</v>
      </c>
      <c r="AX145" s="2">
        <v>300.06271479999998</v>
      </c>
      <c r="AY145" s="2" t="str">
        <f>IF(AND(Table1[[#This Row],[Z3 SMT2-1 PdMaxres Cost]]=Table1[[#This Row],[ORTools FZN2 Cost]],Table1[[#This Row],[ORTools FZN2 State]]="Optimal"),1,"")</f>
        <v/>
      </c>
      <c r="AZ145" s="5" t="s">
        <v>42</v>
      </c>
      <c r="BA145" s="2">
        <v>-75895</v>
      </c>
      <c r="BB145" s="39">
        <v>300.08348869999998</v>
      </c>
      <c r="BC145" s="39" t="str">
        <f>IF(AND(Table1[[#This Row],[Z3 SMT2-1 WMax Cost]]=Table1[[#This Row],[ORTools FZN2 Cost]],Table1[[#This Row],[ORTools FZN2 State]]="Optimal"),1,"")</f>
        <v/>
      </c>
      <c r="BD145" s="39" t="s">
        <v>42</v>
      </c>
      <c r="BE145" s="39">
        <v>-75895</v>
      </c>
      <c r="BF145" s="2">
        <v>300.05370720000002</v>
      </c>
      <c r="BG145" s="2" t="str">
        <f>IF(AND(Table1[[#This Row],[Z3 SMT2-2 Maxres Cost]]=Table1[[#This Row],[ORTools FZN2 Cost]],Table1[[#This Row],[ORTools FZN2 State]]="Optimal"),1,"")</f>
        <v/>
      </c>
      <c r="BH145" s="5" t="s">
        <v>42</v>
      </c>
      <c r="BI145" s="2">
        <v>-75895</v>
      </c>
      <c r="BJ145" s="39">
        <v>300.04984860000002</v>
      </c>
      <c r="BK145" s="39" t="str">
        <f>IF(AND(Table1[[#This Row],[Z3 SMT2-2 PdMaxres Cost]]=Table1[[#This Row],[ORTools FZN2 Cost]],Table1[[#This Row],[ORTools FZN2 State]]="Optimal"),1,"")</f>
        <v/>
      </c>
      <c r="BL145" s="39" t="s">
        <v>42</v>
      </c>
      <c r="BM145" s="39">
        <v>-75895</v>
      </c>
      <c r="BN145" s="2">
        <v>300.05109060000001</v>
      </c>
      <c r="BO145" s="4" t="str">
        <f>IF(AND(Table1[[#This Row],[Z3 SMT2-2 PdMaxres Cost]]=Table1[[#This Row],[ORTools FZN2 Cost]],Table1[[#This Row],[ORTools FZN2 State]]="Optimal"),1,"")</f>
        <v/>
      </c>
      <c r="BP145" s="5" t="s">
        <v>25</v>
      </c>
      <c r="BQ145" s="2">
        <v>226010</v>
      </c>
      <c r="BR145" s="2">
        <v>271.47354519999999</v>
      </c>
      <c r="BS145" s="2" t="str">
        <f>IF(AND(Table1[[#This Row],[Gurobi MB Cost]]=Table1[[#This Row],[ORTools FZN2 Cost]],Table1[[#This Row],[ORTools FZN2 State]]="Optimal",Table1[[#This Row],[Gurobi MB State]]="Suboptimal"),1,"")</f>
        <v/>
      </c>
      <c r="BT14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5" s="5" t="s">
        <v>42</v>
      </c>
      <c r="BV145" s="2">
        <v>-75895</v>
      </c>
      <c r="BW145" s="2">
        <v>300.25861400000002</v>
      </c>
      <c r="BX145" s="2" t="str">
        <f>IF(AND(Table1[[#This Row],[Gurobi MD Cost]]=Table1[[#This Row],[ORTools FZN2 Cost]],Table1[[#This Row],[ORTools FZN2 State]]="Optimal",Table1[[#This Row],[Gurobi MD State]]="Suboptimal"),1,"")</f>
        <v/>
      </c>
      <c r="BY14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5" s="5" t="s">
        <v>25</v>
      </c>
      <c r="CA145" s="2">
        <v>226011</v>
      </c>
      <c r="CB145" s="2">
        <v>269.53965440000002</v>
      </c>
      <c r="CC145" s="2" t="str">
        <f>IF(AND(Table1[[#This Row],[Gurobi MI Cost]]=Table1[[#This Row],[ORTools FZN2 Cost]],Table1[[#This Row],[ORTools FZN2 State]]="Optimal",Table1[[#This Row],[Gurobi MI State]]="Suboptimal"),1,"")</f>
        <v/>
      </c>
      <c r="CD14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1</v>
      </c>
      <c r="CE145" s="39" t="s">
        <v>42</v>
      </c>
      <c r="CF145" s="2">
        <v>-75895</v>
      </c>
      <c r="CG145" s="39">
        <v>306.15372079999997</v>
      </c>
      <c r="CH145" s="39" t="s">
        <v>42</v>
      </c>
      <c r="CI145" s="39">
        <v>-75895</v>
      </c>
      <c r="CJ145" s="2">
        <v>306.15828299999998</v>
      </c>
      <c r="CK145" s="5" t="s">
        <v>25</v>
      </c>
      <c r="CL145" s="2">
        <v>226010</v>
      </c>
      <c r="CM145" s="2">
        <v>32.7200000000012</v>
      </c>
      <c r="CN145" s="5" t="s">
        <v>25</v>
      </c>
      <c r="CO145" s="2">
        <v>226010</v>
      </c>
      <c r="CP145" s="2">
        <v>234.2249679</v>
      </c>
      <c r="CQ145" s="5" t="s">
        <v>25</v>
      </c>
      <c r="CR145" s="2">
        <v>226010</v>
      </c>
      <c r="CS145" s="2">
        <v>15.261233000000001</v>
      </c>
      <c r="CT145" s="6" t="s">
        <v>25</v>
      </c>
      <c r="CU145" s="4">
        <v>226010</v>
      </c>
      <c r="CV145" s="4">
        <v>13.5747271</v>
      </c>
      <c r="CW145" s="39" t="s">
        <v>26</v>
      </c>
      <c r="CX145" s="39">
        <v>226094</v>
      </c>
      <c r="CY145" s="2">
        <v>300.01389999999998</v>
      </c>
      <c r="CZ145" s="2" t="str">
        <f>IF(AND(Table1[[#This Row],[Cplex MZ1 Cost]]=Table1[[#This Row],[ORTools FZN2 Cost]],Table1[[#This Row],[ORTools FZN2 State]]="Optimal",Table1[[#This Row],[Cplex MZ1 State]]="Suboptimal"),1,"")</f>
        <v/>
      </c>
      <c r="DA145" s="5" t="s">
        <v>26</v>
      </c>
      <c r="DB145" s="2">
        <v>226515</v>
      </c>
      <c r="DC145" s="2">
        <v>300.01220000000001</v>
      </c>
      <c r="DD145" s="2" t="str">
        <f>IF(AND(Table1[[#This Row],[Cplex MZ2 Cost]]=Table1[[#This Row],[ORTools FZN2 Cost]],Table1[[#This Row],[ORTools FZN2 State]]="Optimal",Table1[[#This Row],[Cplex MZ2 State]]="Suboptimal"),1,"")</f>
        <v/>
      </c>
      <c r="DE145" s="39" t="s">
        <v>26</v>
      </c>
      <c r="DF145" s="39">
        <v>300095</v>
      </c>
      <c r="DG145" s="2">
        <v>300.02769999999998</v>
      </c>
      <c r="DH145" s="2" t="str">
        <f>IF(AND(Table1[[#This Row],[Gurobi MZ1 Cost]]=Table1[[#This Row],[ORTools FZN2 Cost]],Table1[[#This Row],[ORTools FZN2 State]]="Optimal",Table1[[#This Row],[Gurobi MZ1 State]]="Suboptimal"),1,"")</f>
        <v/>
      </c>
      <c r="DI145" s="5" t="s">
        <v>26</v>
      </c>
      <c r="DJ145" s="2">
        <v>378262</v>
      </c>
      <c r="DK145" s="2">
        <v>300.01029999999997</v>
      </c>
      <c r="DL145" s="4" t="str">
        <f>IF(AND(Table1[[#This Row],[Gurobi MZ2 Cost]]=Table1[[#This Row],[ORTools FZN2 Cost]],Table1[[#This Row],[ORTools FZN2 State]]="Optimal",Table1[[#This Row],[Gurobi MZ2 State]]="Suboptimal"),1,"")</f>
        <v/>
      </c>
      <c r="DM145" s="39" t="s">
        <v>25</v>
      </c>
      <c r="DN145" s="39">
        <v>226010</v>
      </c>
      <c r="DO145" s="65">
        <v>19.989999999997899</v>
      </c>
      <c r="DP145" s="4" t="str">
        <f>IF(AND(Table1[[#This Row],[Cplex MC nonDual Cost]]=Table1[[#This Row],[ORTools FZN2 Cost]],Table1[[#This Row],[ORTools FZN2 State]]="Optimal",Table1[[#This Row],[Cplex MC nonDual State]]="Suboptimal"),1,"")</f>
        <v/>
      </c>
      <c r="DQ145" s="5" t="s">
        <v>26</v>
      </c>
      <c r="DR145" s="2">
        <v>448404</v>
      </c>
      <c r="DS145" s="2">
        <v>300.03280000000001</v>
      </c>
      <c r="DT145" s="2" t="str">
        <f>IF(AND(Table1[[#This Row],[Cplex MIP DM''z Cost]]=Table1[[#This Row],[ORTools FZN2 Cost]],Table1[[#This Row],[ORTools FZN2 State]]="Optimal",Table1[[#This Row],[Cplex MIP DM''z  State]]="Suboptimal"),1,"")</f>
        <v/>
      </c>
      <c r="DU14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5" s="5" t="s">
        <v>26</v>
      </c>
      <c r="DW145" s="2">
        <v>376159</v>
      </c>
      <c r="DX145" s="2">
        <v>300.02120000000002</v>
      </c>
      <c r="DY145" s="4" t="str">
        <f>IF(AND(Table1[[#This Row],[Gurobi DM''z  Cost]]=Table1[[#This Row],[ORTools FZN2 Cost]],Table1[[#This Row],[ORTools FZN2 State]]="Optimal",Table1[[#This Row],[Gurobi DM''z  State]]="Suboptimal"),1,"")</f>
        <v/>
      </c>
      <c r="DZ14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6" spans="1:130" x14ac:dyDescent="0.25">
      <c r="A146" s="52" t="s">
        <v>172</v>
      </c>
      <c r="B146" s="5">
        <v>6</v>
      </c>
      <c r="C146" s="2">
        <v>3</v>
      </c>
      <c r="D146" s="5">
        <v>10</v>
      </c>
      <c r="E146" s="2">
        <v>3</v>
      </c>
      <c r="F146" s="5">
        <v>1</v>
      </c>
      <c r="G146" s="2">
        <v>6</v>
      </c>
      <c r="H146" s="4">
        <f t="shared" si="2"/>
        <v>0</v>
      </c>
      <c r="I146" s="4">
        <f>Table1[[#This Row],[B]]+Table1[[#This Row],[Atomic Constraints]]+Table1[[#This Row],[Soft Atomic Constraints]]+Table1[[#This Row],[Disjunctive Constraints]]+Table1[[#This Row],[Direct Successors]]</f>
        <v>23</v>
      </c>
      <c r="J146" s="5" t="s">
        <v>77</v>
      </c>
      <c r="K146" s="2">
        <v>-259</v>
      </c>
      <c r="L146" s="2">
        <v>0.60503200000000001</v>
      </c>
      <c r="M146" s="2" t="str">
        <f>IF(AND(Table1[[#This Row],[Chuffed MZ1 Cost]]=Table1[[#This Row],[ORTools FZN2 Cost]],Table1[[#This Row],[ORTools FZN2 State]]="Optimal",Table1[[#This Row],[Chuffed MZ1 State]]="Suboptimal"),1,"")</f>
        <v/>
      </c>
      <c r="N146" s="5" t="s">
        <v>77</v>
      </c>
      <c r="O146" s="2">
        <v>-259</v>
      </c>
      <c r="P146" s="2">
        <v>0.58952190000000004</v>
      </c>
      <c r="Q146" s="2" t="str">
        <f>IF(AND(Table1[[#This Row],[Chuffed MZ2 Cost]]=Table1[[#This Row],[ORTools FZN2 Cost]],Table1[[#This Row],[ORTools FZN2 State]]="Optimal",Table1[[#This Row],[Chuffed MZ2 State]]="Suboptimal"),1,"")</f>
        <v/>
      </c>
      <c r="R146" s="6" t="s">
        <v>77</v>
      </c>
      <c r="S146" s="4">
        <v>-259</v>
      </c>
      <c r="T146" s="4">
        <v>1.5999999999621699E-2</v>
      </c>
      <c r="U146" s="4"/>
      <c r="V146" s="5" t="s">
        <v>77</v>
      </c>
      <c r="W146" s="2">
        <v>-259</v>
      </c>
      <c r="X146" s="2">
        <v>5.8384999999999999E-2</v>
      </c>
      <c r="Y146" s="2" t="str">
        <f>IF(AND(Table1[[#This Row],[ORTools FZN1 Cost]]=Table1[[#This Row],[ORTools FZN2 Cost]],Table1[[#This Row],[ORTools FZN2 State]]="Optimal",Table1[[#This Row],[ORTools FZN1 State]]="Suboptimal"),1,"")</f>
        <v/>
      </c>
      <c r="Z146" s="5" t="s">
        <v>77</v>
      </c>
      <c r="AA146" s="2">
        <v>-259</v>
      </c>
      <c r="AB146" s="2">
        <v>5.5942899999999997E-2</v>
      </c>
      <c r="AC146" s="39" t="s">
        <v>77</v>
      </c>
      <c r="AD146" s="39">
        <v>-259</v>
      </c>
      <c r="AE146" s="2">
        <v>5.5177000000000004E-3</v>
      </c>
      <c r="AF146" s="2" t="str">
        <f>IF(AND(Table1[[#This Row],[Cplex MB Cost]]=Table1[[#This Row],[ORTools FZN2 Cost]],Table1[[#This Row],[ORTools FZN2 State]]="Optimal",Table1[[#This Row],[Cplex MB State]]="Suboptimal"),1,"")</f>
        <v/>
      </c>
      <c r="AG146" s="4">
        <f>IF(AND(AC146="Optimal",AD146&lt;&gt;AA146,Table1[[#This Row],[Example]]&lt;&gt;"R001",Table1[[#This Row],[Example]]&lt;&gt;"R002"),AD146-AA146,)</f>
        <v>0</v>
      </c>
      <c r="AH146" s="5" t="s">
        <v>77</v>
      </c>
      <c r="AI146" s="2">
        <v>-259</v>
      </c>
      <c r="AJ146" s="2">
        <v>1.21324E-2</v>
      </c>
      <c r="AK146" s="2" t="str">
        <f>IF(AND(Table1[[#This Row],[Cplex MD Cost]]=Table1[[#This Row],[ORTools FZN2 Cost]],Table1[[#This Row],[ORTools FZN2 State]]="Optimal",Table1[[#This Row],[Cplex MD State]]="Suboptimal"),1,"")</f>
        <v/>
      </c>
      <c r="AL146" s="4">
        <f>IF(AND(AH146="Optimal",AI146&lt;&gt;AA146,Table1[[#This Row],[Example]]&lt;&gt;"R001",Table1[[#This Row],[Example]]&lt;&gt;"R002"),AI146-AA146,)</f>
        <v>0</v>
      </c>
      <c r="AM146" s="39" t="s">
        <v>77</v>
      </c>
      <c r="AN146" s="39">
        <v>-259</v>
      </c>
      <c r="AO146" s="2">
        <v>9.3915999999999999E-3</v>
      </c>
      <c r="AP14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6" s="4" t="str">
        <f>IF(AND(Table1[[#This Row],[Cplex MI Cost]]=Table1[[#This Row],[ORTools FZN2 Cost]],Table1[[#This Row],[ORTools FZN2 State]]="Optimal",Table1[[#This Row],[Cplex MI State]]="Suboptimal"),1,"")</f>
        <v/>
      </c>
      <c r="AR146" s="5" t="s">
        <v>77</v>
      </c>
      <c r="AS146" s="2">
        <v>-259</v>
      </c>
      <c r="AT146" s="2">
        <v>0.1073669</v>
      </c>
      <c r="AU146" s="2" t="str">
        <f>IF(AND(Table1[[#This Row],[Z3 SMT2-1 Maxres Cost]]=Table1[[#This Row],[ORTools FZN2 Cost]],Table1[[#This Row],[ORTools FZN2 State]]="Optimal"),1,"")</f>
        <v/>
      </c>
      <c r="AV146" s="39" t="s">
        <v>77</v>
      </c>
      <c r="AW146" s="39">
        <v>-259</v>
      </c>
      <c r="AX146" s="2">
        <v>0.1641464</v>
      </c>
      <c r="AY146" s="2" t="str">
        <f>IF(AND(Table1[[#This Row],[Z3 SMT2-1 PdMaxres Cost]]=Table1[[#This Row],[ORTools FZN2 Cost]],Table1[[#This Row],[ORTools FZN2 State]]="Optimal"),1,"")</f>
        <v/>
      </c>
      <c r="AZ146" s="5" t="s">
        <v>77</v>
      </c>
      <c r="BA146" s="2">
        <v>-259</v>
      </c>
      <c r="BB146" s="39">
        <v>0.13323750000000001</v>
      </c>
      <c r="BC146" s="39" t="str">
        <f>IF(AND(Table1[[#This Row],[Z3 SMT2-1 WMax Cost]]=Table1[[#This Row],[ORTools FZN2 Cost]],Table1[[#This Row],[ORTools FZN2 State]]="Optimal"),1,"")</f>
        <v/>
      </c>
      <c r="BD146" s="39" t="s">
        <v>77</v>
      </c>
      <c r="BE146" s="39">
        <v>-259</v>
      </c>
      <c r="BF146" s="2">
        <v>0.1054996</v>
      </c>
      <c r="BG146" s="2" t="str">
        <f>IF(AND(Table1[[#This Row],[Z3 SMT2-2 Maxres Cost]]=Table1[[#This Row],[ORTools FZN2 Cost]],Table1[[#This Row],[ORTools FZN2 State]]="Optimal"),1,"")</f>
        <v/>
      </c>
      <c r="BH146" s="5" t="s">
        <v>77</v>
      </c>
      <c r="BI146" s="2">
        <v>-259</v>
      </c>
      <c r="BJ146" s="39">
        <v>8.4705799999999998E-2</v>
      </c>
      <c r="BK146" s="39" t="str">
        <f>IF(AND(Table1[[#This Row],[Z3 SMT2-2 PdMaxres Cost]]=Table1[[#This Row],[ORTools FZN2 Cost]],Table1[[#This Row],[ORTools FZN2 State]]="Optimal"),1,"")</f>
        <v/>
      </c>
      <c r="BL146" s="39" t="s">
        <v>77</v>
      </c>
      <c r="BM146" s="39">
        <v>-259</v>
      </c>
      <c r="BN146" s="2">
        <v>0.17240820000000001</v>
      </c>
      <c r="BO146" s="4" t="str">
        <f>IF(AND(Table1[[#This Row],[Z3 SMT2-2 PdMaxres Cost]]=Table1[[#This Row],[ORTools FZN2 Cost]],Table1[[#This Row],[ORTools FZN2 State]]="Optimal"),1,"")</f>
        <v/>
      </c>
      <c r="BP146" s="5" t="s">
        <v>77</v>
      </c>
      <c r="BQ146" s="2">
        <v>-259</v>
      </c>
      <c r="BR146" s="2">
        <v>1.55456E-2</v>
      </c>
      <c r="BS146" s="2" t="str">
        <f>IF(AND(Table1[[#This Row],[Gurobi MB Cost]]=Table1[[#This Row],[ORTools FZN2 Cost]],Table1[[#This Row],[ORTools FZN2 State]]="Optimal",Table1[[#This Row],[Gurobi MB State]]="Suboptimal"),1,"")</f>
        <v/>
      </c>
      <c r="BT14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6" s="5" t="s">
        <v>77</v>
      </c>
      <c r="BV146" s="2">
        <v>-259</v>
      </c>
      <c r="BW146" s="2">
        <v>5.7847000000000003E-3</v>
      </c>
      <c r="BX146" s="2" t="str">
        <f>IF(AND(Table1[[#This Row],[Gurobi MD Cost]]=Table1[[#This Row],[ORTools FZN2 Cost]],Table1[[#This Row],[ORTools FZN2 State]]="Optimal",Table1[[#This Row],[Gurobi MD State]]="Suboptimal"),1,"")</f>
        <v/>
      </c>
      <c r="BY14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6" s="5" t="s">
        <v>77</v>
      </c>
      <c r="CA146" s="2">
        <v>-259</v>
      </c>
      <c r="CB146" s="2">
        <v>3.5563000000000001E-3</v>
      </c>
      <c r="CC146" s="2" t="str">
        <f>IF(AND(Table1[[#This Row],[Gurobi MI Cost]]=Table1[[#This Row],[ORTools FZN2 Cost]],Table1[[#This Row],[ORTools FZN2 State]]="Optimal",Table1[[#This Row],[Gurobi MI State]]="Suboptimal"),1,"")</f>
        <v/>
      </c>
      <c r="CD14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6" s="39" t="s">
        <v>77</v>
      </c>
      <c r="CF146" s="2">
        <v>-259</v>
      </c>
      <c r="CG146" s="39">
        <v>5.0968106000000004</v>
      </c>
      <c r="CH146" s="39" t="s">
        <v>77</v>
      </c>
      <c r="CI146" s="39">
        <v>-259</v>
      </c>
      <c r="CJ146" s="2">
        <v>5.0890814000000004</v>
      </c>
      <c r="CK146" s="5" t="s">
        <v>77</v>
      </c>
      <c r="CL146" s="2">
        <v>-259</v>
      </c>
      <c r="CM146" s="2">
        <v>1.19999999988067E-2</v>
      </c>
      <c r="CN146" s="5" t="s">
        <v>77</v>
      </c>
      <c r="CO146" s="2">
        <v>-259</v>
      </c>
      <c r="CP146" s="2">
        <v>0.58142660000000002</v>
      </c>
      <c r="CQ146" s="5" t="s">
        <v>77</v>
      </c>
      <c r="CR146" s="2">
        <v>-259</v>
      </c>
      <c r="CS146" s="2">
        <v>6.5346899999999999E-2</v>
      </c>
      <c r="CT146" s="6" t="s">
        <v>77</v>
      </c>
      <c r="CU146" s="4">
        <v>-259</v>
      </c>
      <c r="CV146" s="4">
        <v>8.5846800000000001E-2</v>
      </c>
      <c r="CW146" s="39" t="s">
        <v>77</v>
      </c>
      <c r="CX146" s="39"/>
      <c r="CY146" s="2">
        <v>4.4999999999999997E-3</v>
      </c>
      <c r="CZ146" s="2" t="str">
        <f>IF(AND(Table1[[#This Row],[Cplex MZ1 Cost]]=Table1[[#This Row],[ORTools FZN2 Cost]],Table1[[#This Row],[ORTools FZN2 State]]="Optimal",Table1[[#This Row],[Cplex MZ1 State]]="Suboptimal"),1,"")</f>
        <v/>
      </c>
      <c r="DA146" s="5" t="s">
        <v>77</v>
      </c>
      <c r="DB146" s="2"/>
      <c r="DC146" s="2">
        <v>4.5999999999999999E-3</v>
      </c>
      <c r="DD146" s="2" t="str">
        <f>IF(AND(Table1[[#This Row],[Cplex MZ2 Cost]]=Table1[[#This Row],[ORTools FZN2 Cost]],Table1[[#This Row],[ORTools FZN2 State]]="Optimal",Table1[[#This Row],[Cplex MZ2 State]]="Suboptimal"),1,"")</f>
        <v/>
      </c>
      <c r="DE146" s="39" t="s">
        <v>77</v>
      </c>
      <c r="DF146" s="39"/>
      <c r="DG146" s="2">
        <v>3.3E-3</v>
      </c>
      <c r="DH146" s="2" t="str">
        <f>IF(AND(Table1[[#This Row],[Gurobi MZ1 Cost]]=Table1[[#This Row],[ORTools FZN2 Cost]],Table1[[#This Row],[ORTools FZN2 State]]="Optimal",Table1[[#This Row],[Gurobi MZ1 State]]="Suboptimal"),1,"")</f>
        <v/>
      </c>
      <c r="DI146" s="5" t="s">
        <v>77</v>
      </c>
      <c r="DJ146" s="2"/>
      <c r="DK146" s="2">
        <v>3.5999999999999999E-3</v>
      </c>
      <c r="DL146" s="4" t="str">
        <f>IF(AND(Table1[[#This Row],[Gurobi MZ2 Cost]]=Table1[[#This Row],[ORTools FZN2 Cost]],Table1[[#This Row],[ORTools FZN2 State]]="Optimal",Table1[[#This Row],[Gurobi MZ2 State]]="Suboptimal"),1,"")</f>
        <v/>
      </c>
      <c r="DM146" s="39" t="s">
        <v>77</v>
      </c>
      <c r="DN146" s="39">
        <v>-259</v>
      </c>
      <c r="DO146" s="65">
        <v>1.6000000003259601E-2</v>
      </c>
      <c r="DP146" s="4" t="str">
        <f>IF(AND(Table1[[#This Row],[Cplex MC nonDual Cost]]=Table1[[#This Row],[ORTools FZN2 Cost]],Table1[[#This Row],[ORTools FZN2 State]]="Optimal",Table1[[#This Row],[Cplex MC nonDual State]]="Suboptimal"),1,"")</f>
        <v/>
      </c>
      <c r="DQ146" s="5" t="s">
        <v>77</v>
      </c>
      <c r="DR146" s="2"/>
      <c r="DS146" s="2">
        <v>4.7999999999999996E-3</v>
      </c>
      <c r="DT146" s="2" t="str">
        <f>IF(AND(Table1[[#This Row],[Cplex MIP DM''z Cost]]=Table1[[#This Row],[ORTools FZN2 Cost]],Table1[[#This Row],[ORTools FZN2 State]]="Optimal",Table1[[#This Row],[Cplex MIP DM''z  State]]="Suboptimal"),1,"")</f>
        <v/>
      </c>
      <c r="DU14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6" s="5" t="s">
        <v>77</v>
      </c>
      <c r="DW146" s="2"/>
      <c r="DX146" s="2">
        <v>8.2000000000000007E-3</v>
      </c>
      <c r="DY146" s="4" t="str">
        <f>IF(AND(Table1[[#This Row],[Gurobi DM''z  Cost]]=Table1[[#This Row],[ORTools FZN2 Cost]],Table1[[#This Row],[ORTools FZN2 State]]="Optimal",Table1[[#This Row],[Gurobi DM''z  State]]="Suboptimal"),1,"")</f>
        <v/>
      </c>
      <c r="DZ14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7" spans="1:130" x14ac:dyDescent="0.25">
      <c r="A147" s="52" t="s">
        <v>173</v>
      </c>
      <c r="B147" s="5">
        <v>12</v>
      </c>
      <c r="C147" s="2">
        <v>6</v>
      </c>
      <c r="D147" s="5">
        <v>4</v>
      </c>
      <c r="E147" s="2">
        <v>10</v>
      </c>
      <c r="F147" s="5">
        <v>7</v>
      </c>
      <c r="G147" s="2">
        <v>12</v>
      </c>
      <c r="H147" s="4">
        <f t="shared" si="2"/>
        <v>0</v>
      </c>
      <c r="I147" s="4">
        <f>Table1[[#This Row],[B]]+Table1[[#This Row],[Atomic Constraints]]+Table1[[#This Row],[Soft Atomic Constraints]]+Table1[[#This Row],[Disjunctive Constraints]]+Table1[[#This Row],[Direct Successors]]</f>
        <v>39</v>
      </c>
      <c r="J147" s="5" t="s">
        <v>77</v>
      </c>
      <c r="K147" s="2">
        <v>-1885</v>
      </c>
      <c r="L147" s="2">
        <v>0.63257980000000003</v>
      </c>
      <c r="M147" s="2" t="str">
        <f>IF(AND(Table1[[#This Row],[Chuffed MZ1 Cost]]=Table1[[#This Row],[ORTools FZN2 Cost]],Table1[[#This Row],[ORTools FZN2 State]]="Optimal",Table1[[#This Row],[Chuffed MZ1 State]]="Suboptimal"),1,"")</f>
        <v/>
      </c>
      <c r="N147" s="5" t="s">
        <v>77</v>
      </c>
      <c r="O147" s="2">
        <v>-1885</v>
      </c>
      <c r="P147" s="2">
        <v>0.63829550000000002</v>
      </c>
      <c r="Q147" s="2" t="str">
        <f>IF(AND(Table1[[#This Row],[Chuffed MZ2 Cost]]=Table1[[#This Row],[ORTools FZN2 Cost]],Table1[[#This Row],[ORTools FZN2 State]]="Optimal",Table1[[#This Row],[Chuffed MZ2 State]]="Suboptimal"),1,"")</f>
        <v/>
      </c>
      <c r="R147" s="5" t="s">
        <v>77</v>
      </c>
      <c r="S147" s="2">
        <v>-1885</v>
      </c>
      <c r="T147" s="2">
        <v>5.4000000000087298E-2</v>
      </c>
      <c r="U147" s="2"/>
      <c r="V147" s="5" t="s">
        <v>77</v>
      </c>
      <c r="W147" s="2">
        <v>-1885</v>
      </c>
      <c r="X147" s="2">
        <v>0.13536210000000001</v>
      </c>
      <c r="Y147" s="2" t="str">
        <f>IF(AND(Table1[[#This Row],[ORTools FZN1 Cost]]=Table1[[#This Row],[ORTools FZN2 Cost]],Table1[[#This Row],[ORTools FZN2 State]]="Optimal",Table1[[#This Row],[ORTools FZN1 State]]="Suboptimal"),1,"")</f>
        <v/>
      </c>
      <c r="Z147" s="5" t="s">
        <v>77</v>
      </c>
      <c r="AA147" s="2">
        <v>-1885</v>
      </c>
      <c r="AB147" s="2">
        <v>0.1296737</v>
      </c>
      <c r="AC147" s="39" t="s">
        <v>51</v>
      </c>
      <c r="AD147" s="39">
        <v>-1885</v>
      </c>
      <c r="AE147" s="2">
        <v>0.19333230000000001</v>
      </c>
      <c r="AF147" s="2" t="str">
        <f>IF(AND(Table1[[#This Row],[Cplex MB Cost]]=Table1[[#This Row],[ORTools FZN2 Cost]],Table1[[#This Row],[ORTools FZN2 State]]="Optimal",Table1[[#This Row],[Cplex MB State]]="Suboptimal"),1,"")</f>
        <v/>
      </c>
      <c r="AG147" s="4">
        <f>IF(AND(AC147="Optimal",AD147&lt;&gt;AA147,Table1[[#This Row],[Example]]&lt;&gt;"R001",Table1[[#This Row],[Example]]&lt;&gt;"R002"),AD147-AA147,)</f>
        <v>0</v>
      </c>
      <c r="AH147" s="5" t="s">
        <v>77</v>
      </c>
      <c r="AI147" s="2">
        <v>-1885</v>
      </c>
      <c r="AJ147" s="2">
        <v>0.1145447</v>
      </c>
      <c r="AK147" s="2" t="str">
        <f>IF(AND(Table1[[#This Row],[Cplex MD Cost]]=Table1[[#This Row],[ORTools FZN2 Cost]],Table1[[#This Row],[ORTools FZN2 State]]="Optimal",Table1[[#This Row],[Cplex MD State]]="Suboptimal"),1,"")</f>
        <v/>
      </c>
      <c r="AL147" s="4">
        <f>IF(AND(AH147="Optimal",AI147&lt;&gt;AA147,Table1[[#This Row],[Example]]&lt;&gt;"R001",Table1[[#This Row],[Example]]&lt;&gt;"R002"),AI147-AA147,)</f>
        <v>0</v>
      </c>
      <c r="AM147" s="39" t="s">
        <v>77</v>
      </c>
      <c r="AN147" s="39">
        <v>-1885</v>
      </c>
      <c r="AO147" s="2">
        <v>7.5847100000000001E-2</v>
      </c>
      <c r="AP14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7" s="2" t="str">
        <f>IF(AND(Table1[[#This Row],[Cplex MI Cost]]=Table1[[#This Row],[ORTools FZN2 Cost]],Table1[[#This Row],[ORTools FZN2 State]]="Optimal",Table1[[#This Row],[Cplex MI State]]="Suboptimal"),1,"")</f>
        <v/>
      </c>
      <c r="AR147" s="5" t="s">
        <v>77</v>
      </c>
      <c r="AS147" s="2">
        <v>-1885</v>
      </c>
      <c r="AT147" s="2">
        <v>0.31732779999999999</v>
      </c>
      <c r="AU147" s="2" t="str">
        <f>IF(AND(Table1[[#This Row],[Z3 SMT2-1 Maxres Cost]]=Table1[[#This Row],[ORTools FZN2 Cost]],Table1[[#This Row],[ORTools FZN2 State]]="Optimal"),1,"")</f>
        <v/>
      </c>
      <c r="AV147" s="39" t="s">
        <v>77</v>
      </c>
      <c r="AW147" s="39">
        <v>-1885</v>
      </c>
      <c r="AX147" s="2">
        <v>0.29495589999999999</v>
      </c>
      <c r="AY147" s="2" t="str">
        <f>IF(AND(Table1[[#This Row],[Z3 SMT2-1 PdMaxres Cost]]=Table1[[#This Row],[ORTools FZN2 Cost]],Table1[[#This Row],[ORTools FZN2 State]]="Optimal"),1,"")</f>
        <v/>
      </c>
      <c r="AZ147" s="5" t="s">
        <v>77</v>
      </c>
      <c r="BA147" s="2">
        <v>-1885</v>
      </c>
      <c r="BB147" s="39">
        <v>0.35833589999999998</v>
      </c>
      <c r="BC147" s="39" t="str">
        <f>IF(AND(Table1[[#This Row],[Z3 SMT2-1 WMax Cost]]=Table1[[#This Row],[ORTools FZN2 Cost]],Table1[[#This Row],[ORTools FZN2 State]]="Optimal"),1,"")</f>
        <v/>
      </c>
      <c r="BD147" s="39" t="s">
        <v>77</v>
      </c>
      <c r="BE147" s="39">
        <v>-1885</v>
      </c>
      <c r="BF147" s="2">
        <v>0.30290820000000002</v>
      </c>
      <c r="BG147" s="2" t="str">
        <f>IF(AND(Table1[[#This Row],[Z3 SMT2-2 Maxres Cost]]=Table1[[#This Row],[ORTools FZN2 Cost]],Table1[[#This Row],[ORTools FZN2 State]]="Optimal"),1,"")</f>
        <v/>
      </c>
      <c r="BH147" s="5" t="s">
        <v>77</v>
      </c>
      <c r="BI147" s="2">
        <v>-1885</v>
      </c>
      <c r="BJ147" s="39">
        <v>0.28588520000000001</v>
      </c>
      <c r="BK147" s="39" t="str">
        <f>IF(AND(Table1[[#This Row],[Z3 SMT2-2 PdMaxres Cost]]=Table1[[#This Row],[ORTools FZN2 Cost]],Table1[[#This Row],[ORTools FZN2 State]]="Optimal"),1,"")</f>
        <v/>
      </c>
      <c r="BL147" s="39" t="s">
        <v>77</v>
      </c>
      <c r="BM147" s="39">
        <v>-1885</v>
      </c>
      <c r="BN147" s="2">
        <v>0.34062310000000001</v>
      </c>
      <c r="BO147" s="4" t="str">
        <f>IF(AND(Table1[[#This Row],[Z3 SMT2-2 PdMaxres Cost]]=Table1[[#This Row],[ORTools FZN2 Cost]],Table1[[#This Row],[ORTools FZN2 State]]="Optimal"),1,"")</f>
        <v/>
      </c>
      <c r="BP147" s="5" t="s">
        <v>77</v>
      </c>
      <c r="BQ147" s="2">
        <v>-1885</v>
      </c>
      <c r="BR147" s="2">
        <v>3.6716699999999998E-2</v>
      </c>
      <c r="BS147" s="2" t="str">
        <f>IF(AND(Table1[[#This Row],[Gurobi MB Cost]]=Table1[[#This Row],[ORTools FZN2 Cost]],Table1[[#This Row],[ORTools FZN2 State]]="Optimal",Table1[[#This Row],[Gurobi MB State]]="Suboptimal"),1,"")</f>
        <v/>
      </c>
      <c r="BT14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7" s="5" t="s">
        <v>77</v>
      </c>
      <c r="BV147" s="2">
        <v>-1885</v>
      </c>
      <c r="BW147" s="2">
        <v>6.3636200000000004E-2</v>
      </c>
      <c r="BX147" s="2" t="str">
        <f>IF(AND(Table1[[#This Row],[Gurobi MD Cost]]=Table1[[#This Row],[ORTools FZN2 Cost]],Table1[[#This Row],[ORTools FZN2 State]]="Optimal",Table1[[#This Row],[Gurobi MD State]]="Suboptimal"),1,"")</f>
        <v/>
      </c>
      <c r="BY14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7" s="5" t="s">
        <v>77</v>
      </c>
      <c r="CA147" s="2">
        <v>-1885</v>
      </c>
      <c r="CB147" s="2">
        <v>0.2157327</v>
      </c>
      <c r="CC147" s="2" t="str">
        <f>IF(AND(Table1[[#This Row],[Gurobi MI Cost]]=Table1[[#This Row],[ORTools FZN2 Cost]],Table1[[#This Row],[ORTools FZN2 State]]="Optimal",Table1[[#This Row],[Gurobi MI State]]="Suboptimal"),1,"")</f>
        <v/>
      </c>
      <c r="CD14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7" s="39" t="s">
        <v>77</v>
      </c>
      <c r="CF147" s="2">
        <v>-1885</v>
      </c>
      <c r="CG147" s="39">
        <v>5.1547812000000004</v>
      </c>
      <c r="CH147" s="39" t="s">
        <v>77</v>
      </c>
      <c r="CI147" s="39">
        <v>-1885</v>
      </c>
      <c r="CJ147" s="2">
        <v>5.2099203000000003</v>
      </c>
      <c r="CK147" s="5" t="s">
        <v>77</v>
      </c>
      <c r="CL147" s="2">
        <v>-1885</v>
      </c>
      <c r="CM147" s="2">
        <v>5.5000000000290997E-2</v>
      </c>
      <c r="CN147" s="5" t="s">
        <v>77</v>
      </c>
      <c r="CO147" s="2">
        <v>-1885</v>
      </c>
      <c r="CP147" s="2">
        <v>0.62498770000000003</v>
      </c>
      <c r="CQ147" s="5" t="s">
        <v>77</v>
      </c>
      <c r="CR147" s="2">
        <v>-1885</v>
      </c>
      <c r="CS147" s="2">
        <v>0.1443999</v>
      </c>
      <c r="CT147" s="6" t="s">
        <v>77</v>
      </c>
      <c r="CU147" s="4">
        <v>-1885</v>
      </c>
      <c r="CV147" s="4">
        <v>0.17326079999999999</v>
      </c>
      <c r="CW147" s="39" t="s">
        <v>77</v>
      </c>
      <c r="CX147" s="39"/>
      <c r="CY147" s="2">
        <v>6.2799999999999995E-2</v>
      </c>
      <c r="CZ147" s="2" t="str">
        <f>IF(AND(Table1[[#This Row],[Cplex MZ1 Cost]]=Table1[[#This Row],[ORTools FZN2 Cost]],Table1[[#This Row],[ORTools FZN2 State]]="Optimal",Table1[[#This Row],[Cplex MZ1 State]]="Suboptimal"),1,"")</f>
        <v/>
      </c>
      <c r="DA147" s="5" t="s">
        <v>77</v>
      </c>
      <c r="DB147" s="2"/>
      <c r="DC147" s="2">
        <v>6.5699999999999995E-2</v>
      </c>
      <c r="DD147" s="2" t="str">
        <f>IF(AND(Table1[[#This Row],[Cplex MZ2 Cost]]=Table1[[#This Row],[ORTools FZN2 Cost]],Table1[[#This Row],[ORTools FZN2 State]]="Optimal",Table1[[#This Row],[Cplex MZ2 State]]="Suboptimal"),1,"")</f>
        <v/>
      </c>
      <c r="DE147" s="39" t="s">
        <v>77</v>
      </c>
      <c r="DF147" s="39"/>
      <c r="DG147" s="2">
        <v>1.7899999999999999E-2</v>
      </c>
      <c r="DH147" s="2" t="str">
        <f>IF(AND(Table1[[#This Row],[Gurobi MZ1 Cost]]=Table1[[#This Row],[ORTools FZN2 Cost]],Table1[[#This Row],[ORTools FZN2 State]]="Optimal",Table1[[#This Row],[Gurobi MZ1 State]]="Suboptimal"),1,"")</f>
        <v/>
      </c>
      <c r="DI147" s="5" t="s">
        <v>77</v>
      </c>
      <c r="DJ147" s="2"/>
      <c r="DK147" s="2">
        <v>1.78E-2</v>
      </c>
      <c r="DL147" s="4" t="str">
        <f>IF(AND(Table1[[#This Row],[Gurobi MZ2 Cost]]=Table1[[#This Row],[ORTools FZN2 Cost]],Table1[[#This Row],[ORTools FZN2 State]]="Optimal",Table1[[#This Row],[Gurobi MZ2 State]]="Suboptimal"),1,"")</f>
        <v/>
      </c>
      <c r="DM147" s="39" t="s">
        <v>77</v>
      </c>
      <c r="DN147" s="39">
        <v>-1885</v>
      </c>
      <c r="DO147" s="65">
        <v>6.6000000002532005E-2</v>
      </c>
      <c r="DP147" s="4" t="str">
        <f>IF(AND(Table1[[#This Row],[Cplex MC nonDual Cost]]=Table1[[#This Row],[ORTools FZN2 Cost]],Table1[[#This Row],[ORTools FZN2 State]]="Optimal",Table1[[#This Row],[Cplex MC nonDual State]]="Suboptimal"),1,"")</f>
        <v/>
      </c>
      <c r="DQ147" s="5" t="s">
        <v>77</v>
      </c>
      <c r="DR147" s="2"/>
      <c r="DS147" s="2">
        <v>4.3200000000000002E-2</v>
      </c>
      <c r="DT147" s="2" t="str">
        <f>IF(AND(Table1[[#This Row],[Cplex MIP DM''z Cost]]=Table1[[#This Row],[ORTools FZN2 Cost]],Table1[[#This Row],[ORTools FZN2 State]]="Optimal",Table1[[#This Row],[Cplex MIP DM''z  State]]="Suboptimal"),1,"")</f>
        <v/>
      </c>
      <c r="DU14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7" s="5" t="s">
        <v>77</v>
      </c>
      <c r="DW147" s="2"/>
      <c r="DX147" s="2">
        <v>1.7500000000000002E-2</v>
      </c>
      <c r="DY147" s="4" t="str">
        <f>IF(AND(Table1[[#This Row],[Gurobi DM''z  Cost]]=Table1[[#This Row],[ORTools FZN2 Cost]],Table1[[#This Row],[ORTools FZN2 State]]="Optimal",Table1[[#This Row],[Gurobi DM''z  State]]="Suboptimal"),1,"")</f>
        <v/>
      </c>
      <c r="DZ14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8" spans="1:130" ht="15.75" x14ac:dyDescent="0.25">
      <c r="A148" s="46" t="s">
        <v>174</v>
      </c>
      <c r="B148" s="5">
        <v>16</v>
      </c>
      <c r="C148" s="2">
        <v>8</v>
      </c>
      <c r="D148" s="5">
        <v>13</v>
      </c>
      <c r="E148" s="2">
        <v>13</v>
      </c>
      <c r="F148" s="5">
        <v>14</v>
      </c>
      <c r="G148" s="2">
        <v>16</v>
      </c>
      <c r="H148" s="4">
        <f t="shared" si="2"/>
        <v>0</v>
      </c>
      <c r="I148" s="4">
        <f>Table1[[#This Row],[B]]+Table1[[#This Row],[Atomic Constraints]]+Table1[[#This Row],[Soft Atomic Constraints]]+Table1[[#This Row],[Disjunctive Constraints]]+Table1[[#This Row],[Direct Successors]]</f>
        <v>64</v>
      </c>
      <c r="J148" s="5" t="s">
        <v>25</v>
      </c>
      <c r="K148" s="2">
        <v>0</v>
      </c>
      <c r="L148" s="2">
        <v>0.75216039999999995</v>
      </c>
      <c r="M148" s="2" t="str">
        <f>IF(AND(Table1[[#This Row],[Chuffed MZ1 Cost]]=Table1[[#This Row],[ORTools FZN2 Cost]],Table1[[#This Row],[ORTools FZN2 State]]="Optimal",Table1[[#This Row],[Chuffed MZ1 State]]="Suboptimal"),1,"")</f>
        <v/>
      </c>
      <c r="N148" s="5" t="s">
        <v>25</v>
      </c>
      <c r="O148" s="2">
        <v>0</v>
      </c>
      <c r="P148" s="2">
        <v>0.71185969999999998</v>
      </c>
      <c r="Q148" s="2" t="str">
        <f>IF(AND(Table1[[#This Row],[Chuffed MZ2 Cost]]=Table1[[#This Row],[ORTools FZN2 Cost]],Table1[[#This Row],[ORTools FZN2 State]]="Optimal",Table1[[#This Row],[Chuffed MZ2 State]]="Suboptimal"),1,"")</f>
        <v/>
      </c>
      <c r="R148" s="6" t="s">
        <v>25</v>
      </c>
      <c r="S148" s="4">
        <v>0</v>
      </c>
      <c r="T148" s="4">
        <v>8.8999999999941806E-2</v>
      </c>
      <c r="U148" s="4"/>
      <c r="V148" s="5" t="s">
        <v>25</v>
      </c>
      <c r="W148" s="2">
        <v>0</v>
      </c>
      <c r="X148" s="2">
        <v>0.31800610000000001</v>
      </c>
      <c r="Y148" s="2" t="str">
        <f>IF(AND(Table1[[#This Row],[ORTools FZN1 Cost]]=Table1[[#This Row],[ORTools FZN2 Cost]],Table1[[#This Row],[ORTools FZN2 State]]="Optimal",Table1[[#This Row],[ORTools FZN1 State]]="Suboptimal"),1,"")</f>
        <v/>
      </c>
      <c r="Z148" s="5" t="s">
        <v>25</v>
      </c>
      <c r="AA148" s="2">
        <v>0</v>
      </c>
      <c r="AB148" s="2">
        <v>0.25453680000000001</v>
      </c>
      <c r="AC148" s="39" t="s">
        <v>25</v>
      </c>
      <c r="AD148" s="39">
        <v>0</v>
      </c>
      <c r="AE148" s="2">
        <v>0.27054850000000003</v>
      </c>
      <c r="AF148" s="2" t="str">
        <f>IF(AND(Table1[[#This Row],[Cplex MB Cost]]=Table1[[#This Row],[ORTools FZN2 Cost]],Table1[[#This Row],[ORTools FZN2 State]]="Optimal",Table1[[#This Row],[Cplex MB State]]="Suboptimal"),1,"")</f>
        <v/>
      </c>
      <c r="AG148" s="4">
        <f>IF(AND(AC148="Optimal",AD148&lt;&gt;AA148,Table1[[#This Row],[Example]]&lt;&gt;"R001",Table1[[#This Row],[Example]]&lt;&gt;"R002"),AD148-AA148,)</f>
        <v>0</v>
      </c>
      <c r="AH148" s="5" t="s">
        <v>25</v>
      </c>
      <c r="AI148" s="2">
        <v>0</v>
      </c>
      <c r="AJ148" s="2">
        <v>0.87587389999999998</v>
      </c>
      <c r="AK148" s="2" t="str">
        <f>IF(AND(Table1[[#This Row],[Cplex MD Cost]]=Table1[[#This Row],[ORTools FZN2 Cost]],Table1[[#This Row],[ORTools FZN2 State]]="Optimal",Table1[[#This Row],[Cplex MD State]]="Suboptimal"),1,"")</f>
        <v/>
      </c>
      <c r="AL148" s="4">
        <f>IF(AND(AH148="Optimal",AI148&lt;&gt;AA148,Table1[[#This Row],[Example]]&lt;&gt;"R001",Table1[[#This Row],[Example]]&lt;&gt;"R002"),AI148-AA148,)</f>
        <v>0</v>
      </c>
      <c r="AM148" s="39" t="s">
        <v>25</v>
      </c>
      <c r="AN148" s="39">
        <v>0</v>
      </c>
      <c r="AO148" s="2">
        <v>0.32555299999999998</v>
      </c>
      <c r="AP14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8" s="4" t="str">
        <f>IF(AND(Table1[[#This Row],[Cplex MI Cost]]=Table1[[#This Row],[ORTools FZN2 Cost]],Table1[[#This Row],[ORTools FZN2 State]]="Optimal",Table1[[#This Row],[Cplex MI State]]="Suboptimal"),1,"")</f>
        <v/>
      </c>
      <c r="AR148" s="12" t="s">
        <v>26</v>
      </c>
      <c r="AS148" s="12">
        <v>0</v>
      </c>
      <c r="AT148" s="12">
        <v>1.7415674000000001</v>
      </c>
      <c r="AU148" s="12">
        <f>IF(AND(Table1[[#This Row],[Z3 SMT2-1 Maxres Cost]]=Table1[[#This Row],[ORTools FZN2 Cost]],Table1[[#This Row],[ORTools FZN2 State]]="Optimal"),1,"")</f>
        <v>1</v>
      </c>
      <c r="AV148" s="12" t="s">
        <v>26</v>
      </c>
      <c r="AW148" s="12">
        <v>0</v>
      </c>
      <c r="AX148" s="12">
        <v>1.7149105</v>
      </c>
      <c r="AY148" s="12">
        <f>IF(AND(Table1[[#This Row],[Z3 SMT2-1 PdMaxres Cost]]=Table1[[#This Row],[ORTools FZN2 Cost]],Table1[[#This Row],[ORTools FZN2 State]]="Optimal"),1,"")</f>
        <v>1</v>
      </c>
      <c r="AZ148" s="12" t="s">
        <v>26</v>
      </c>
      <c r="BA148" s="12">
        <v>0</v>
      </c>
      <c r="BB148" s="12">
        <v>1.8321601999999999</v>
      </c>
      <c r="BC148" s="12">
        <f>IF(AND(Table1[[#This Row],[Z3 SMT2-1 WMax Cost]]=Table1[[#This Row],[ORTools FZN2 Cost]],Table1[[#This Row],[ORTools FZN2 State]]="Optimal"),1,"")</f>
        <v>1</v>
      </c>
      <c r="BD148" s="12" t="s">
        <v>26</v>
      </c>
      <c r="BE148" s="12">
        <v>0</v>
      </c>
      <c r="BF148" s="12">
        <v>0.95027759999999994</v>
      </c>
      <c r="BG148" s="12">
        <f>IF(AND(Table1[[#This Row],[Z3 SMT2-2 Maxres Cost]]=Table1[[#This Row],[ORTools FZN2 Cost]],Table1[[#This Row],[ORTools FZN2 State]]="Optimal"),1,"")</f>
        <v>1</v>
      </c>
      <c r="BH148" s="12" t="s">
        <v>26</v>
      </c>
      <c r="BI148" s="12">
        <v>0</v>
      </c>
      <c r="BJ148" s="12">
        <v>0.94115879999999996</v>
      </c>
      <c r="BK148" s="12">
        <f>IF(AND(Table1[[#This Row],[Z3 SMT2-2 PdMaxres Cost]]=Table1[[#This Row],[ORTools FZN2 Cost]],Table1[[#This Row],[ORTools FZN2 State]]="Optimal"),1,"")</f>
        <v>1</v>
      </c>
      <c r="BL148" s="12" t="s">
        <v>26</v>
      </c>
      <c r="BM148" s="12">
        <v>0</v>
      </c>
      <c r="BN148" s="12">
        <v>0.98682409999999998</v>
      </c>
      <c r="BO148" s="11">
        <f>IF(AND(Table1[[#This Row],[Z3 SMT2-2 PdMaxres Cost]]=Table1[[#This Row],[ORTools FZN2 Cost]],Table1[[#This Row],[ORTools FZN2 State]]="Optimal"),1,"")</f>
        <v>1</v>
      </c>
      <c r="BP148" s="5" t="s">
        <v>25</v>
      </c>
      <c r="BQ148" s="2">
        <v>0</v>
      </c>
      <c r="BR148" s="2">
        <v>0.29598279999999999</v>
      </c>
      <c r="BS148" s="2" t="str">
        <f>IF(AND(Table1[[#This Row],[Gurobi MB Cost]]=Table1[[#This Row],[ORTools FZN2 Cost]],Table1[[#This Row],[ORTools FZN2 State]]="Optimal",Table1[[#This Row],[Gurobi MB State]]="Suboptimal"),1,"")</f>
        <v/>
      </c>
      <c r="BT14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8" s="5" t="s">
        <v>25</v>
      </c>
      <c r="BV148" s="2">
        <v>0</v>
      </c>
      <c r="BW148" s="2">
        <v>0.25587979999999999</v>
      </c>
      <c r="BX148" s="2" t="str">
        <f>IF(AND(Table1[[#This Row],[Gurobi MD Cost]]=Table1[[#This Row],[ORTools FZN2 Cost]],Table1[[#This Row],[ORTools FZN2 State]]="Optimal",Table1[[#This Row],[Gurobi MD State]]="Suboptimal"),1,"")</f>
        <v/>
      </c>
      <c r="BY14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8" s="5" t="s">
        <v>25</v>
      </c>
      <c r="CA148" s="2">
        <v>0</v>
      </c>
      <c r="CB148" s="2">
        <v>0.38622879999999998</v>
      </c>
      <c r="CC148" s="2" t="str">
        <f>IF(AND(Table1[[#This Row],[Gurobi MI Cost]]=Table1[[#This Row],[ORTools FZN2 Cost]],Table1[[#This Row],[ORTools FZN2 State]]="Optimal",Table1[[#This Row],[Gurobi MI State]]="Suboptimal"),1,"")</f>
        <v/>
      </c>
      <c r="CD14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8" s="39" t="s">
        <v>42</v>
      </c>
      <c r="CF148" s="2">
        <v>-4369</v>
      </c>
      <c r="CG148" s="39">
        <v>306.06530079999999</v>
      </c>
      <c r="CH148" s="39" t="s">
        <v>42</v>
      </c>
      <c r="CI148" s="39">
        <v>-4369</v>
      </c>
      <c r="CJ148" s="2">
        <v>306.06916289999998</v>
      </c>
      <c r="CK148" s="5" t="s">
        <v>25</v>
      </c>
      <c r="CL148" s="2">
        <v>0</v>
      </c>
      <c r="CM148" s="2">
        <v>9.1999999996914994E-2</v>
      </c>
      <c r="CN148" s="5" t="s">
        <v>25</v>
      </c>
      <c r="CO148" s="2">
        <v>0</v>
      </c>
      <c r="CP148" s="2">
        <v>0.69266479999999997</v>
      </c>
      <c r="CQ148" s="5" t="s">
        <v>25</v>
      </c>
      <c r="CR148" s="2">
        <v>0</v>
      </c>
      <c r="CS148" s="2">
        <v>0.38717400000000002</v>
      </c>
      <c r="CT148" s="6" t="s">
        <v>25</v>
      </c>
      <c r="CU148" s="4">
        <v>0</v>
      </c>
      <c r="CV148" s="4">
        <v>0.48413390000000001</v>
      </c>
      <c r="CW148" s="39" t="s">
        <v>25</v>
      </c>
      <c r="CX148" s="39">
        <v>0</v>
      </c>
      <c r="CY148" s="2">
        <v>0.26500000000000001</v>
      </c>
      <c r="CZ148" s="2" t="str">
        <f>IF(AND(Table1[[#This Row],[Cplex MZ1 Cost]]=Table1[[#This Row],[ORTools FZN2 Cost]],Table1[[#This Row],[ORTools FZN2 State]]="Optimal",Table1[[#This Row],[Cplex MZ1 State]]="Suboptimal"),1,"")</f>
        <v/>
      </c>
      <c r="DA148" s="5" t="s">
        <v>25</v>
      </c>
      <c r="DB148" s="2">
        <v>0</v>
      </c>
      <c r="DC148" s="2">
        <v>0.2661</v>
      </c>
      <c r="DD148" s="2" t="str">
        <f>IF(AND(Table1[[#This Row],[Cplex MZ2 Cost]]=Table1[[#This Row],[ORTools FZN2 Cost]],Table1[[#This Row],[ORTools FZN2 State]]="Optimal",Table1[[#This Row],[Cplex MZ2 State]]="Suboptimal"),1,"")</f>
        <v/>
      </c>
      <c r="DE148" s="39" t="s">
        <v>25</v>
      </c>
      <c r="DF148" s="39">
        <v>0</v>
      </c>
      <c r="DG148" s="2">
        <v>0.55710000000000004</v>
      </c>
      <c r="DH148" s="2" t="str">
        <f>IF(AND(Table1[[#This Row],[Gurobi MZ1 Cost]]=Table1[[#This Row],[ORTools FZN2 Cost]],Table1[[#This Row],[ORTools FZN2 State]]="Optimal",Table1[[#This Row],[Gurobi MZ1 State]]="Suboptimal"),1,"")</f>
        <v/>
      </c>
      <c r="DI148" s="5" t="s">
        <v>25</v>
      </c>
      <c r="DJ148" s="2">
        <v>0</v>
      </c>
      <c r="DK148" s="2">
        <v>0.58979999999999999</v>
      </c>
      <c r="DL148" s="4" t="str">
        <f>IF(AND(Table1[[#This Row],[Gurobi MZ2 Cost]]=Table1[[#This Row],[ORTools FZN2 Cost]],Table1[[#This Row],[ORTools FZN2 State]]="Optimal",Table1[[#This Row],[Gurobi MZ2 State]]="Suboptimal"),1,"")</f>
        <v/>
      </c>
      <c r="DM148" s="39" t="s">
        <v>25</v>
      </c>
      <c r="DN148" s="39">
        <v>0</v>
      </c>
      <c r="DO148" s="65">
        <v>0.12800000000061099</v>
      </c>
      <c r="DP148" s="4" t="str">
        <f>IF(AND(Table1[[#This Row],[Cplex MC nonDual Cost]]=Table1[[#This Row],[ORTools FZN2 Cost]],Table1[[#This Row],[ORTools FZN2 State]]="Optimal",Table1[[#This Row],[Cplex MC nonDual State]]="Suboptimal"),1,"")</f>
        <v/>
      </c>
      <c r="DQ148" s="5" t="s">
        <v>25</v>
      </c>
      <c r="DR148" s="2">
        <v>0</v>
      </c>
      <c r="DS148" s="2">
        <v>0.2147</v>
      </c>
      <c r="DT148" s="2" t="str">
        <f>IF(AND(Table1[[#This Row],[Cplex MIP DM''z Cost]]=Table1[[#This Row],[ORTools FZN2 Cost]],Table1[[#This Row],[ORTools FZN2 State]]="Optimal",Table1[[#This Row],[Cplex MIP DM''z  State]]="Suboptimal"),1,"")</f>
        <v/>
      </c>
      <c r="DU14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8" s="5" t="s">
        <v>25</v>
      </c>
      <c r="DW148" s="2">
        <v>0</v>
      </c>
      <c r="DX148" s="2">
        <v>0.31340000000000001</v>
      </c>
      <c r="DY148" s="4" t="str">
        <f>IF(AND(Table1[[#This Row],[Gurobi DM''z  Cost]]=Table1[[#This Row],[ORTools FZN2 Cost]],Table1[[#This Row],[ORTools FZN2 State]]="Optimal",Table1[[#This Row],[Gurobi DM''z  State]]="Suboptimal"),1,"")</f>
        <v/>
      </c>
      <c r="DZ14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49" spans="1:130" x14ac:dyDescent="0.25">
      <c r="A149" s="52" t="s">
        <v>175</v>
      </c>
      <c r="B149" s="5">
        <v>20</v>
      </c>
      <c r="C149" s="2">
        <v>10</v>
      </c>
      <c r="D149" s="5">
        <v>12</v>
      </c>
      <c r="E149" s="2">
        <v>17</v>
      </c>
      <c r="F149" s="5">
        <v>9</v>
      </c>
      <c r="G149" s="2">
        <v>16</v>
      </c>
      <c r="H149" s="4">
        <f t="shared" si="2"/>
        <v>0</v>
      </c>
      <c r="I149" s="4">
        <f>Table1[[#This Row],[B]]+Table1[[#This Row],[Atomic Constraints]]+Table1[[#This Row],[Soft Atomic Constraints]]+Table1[[#This Row],[Disjunctive Constraints]]+Table1[[#This Row],[Direct Successors]]</f>
        <v>64</v>
      </c>
      <c r="J149" s="5" t="s">
        <v>77</v>
      </c>
      <c r="K149" s="2">
        <v>-8421</v>
      </c>
      <c r="L149" s="2">
        <v>0.807002</v>
      </c>
      <c r="M149" s="2" t="str">
        <f>IF(AND(Table1[[#This Row],[Chuffed MZ1 Cost]]=Table1[[#This Row],[ORTools FZN2 Cost]],Table1[[#This Row],[ORTools FZN2 State]]="Optimal",Table1[[#This Row],[Chuffed MZ1 State]]="Suboptimal"),1,"")</f>
        <v/>
      </c>
      <c r="N149" s="5" t="s">
        <v>77</v>
      </c>
      <c r="O149" s="2">
        <v>-8421</v>
      </c>
      <c r="P149" s="2">
        <v>0.77975899999999998</v>
      </c>
      <c r="Q149" s="2" t="str">
        <f>IF(AND(Table1[[#This Row],[Chuffed MZ2 Cost]]=Table1[[#This Row],[ORTools FZN2 Cost]],Table1[[#This Row],[ORTools FZN2 State]]="Optimal",Table1[[#This Row],[Chuffed MZ2 State]]="Suboptimal"),1,"")</f>
        <v/>
      </c>
      <c r="R149" s="5" t="s">
        <v>77</v>
      </c>
      <c r="S149" s="2">
        <v>-8421</v>
      </c>
      <c r="T149" s="2">
        <v>1.0460000000020999</v>
      </c>
      <c r="U149" s="2"/>
      <c r="V149" s="5" t="s">
        <v>77</v>
      </c>
      <c r="W149" s="2">
        <v>-8421</v>
      </c>
      <c r="X149" s="2">
        <v>0.48081210000000002</v>
      </c>
      <c r="Y149" s="2" t="str">
        <f>IF(AND(Table1[[#This Row],[ORTools FZN1 Cost]]=Table1[[#This Row],[ORTools FZN2 Cost]],Table1[[#This Row],[ORTools FZN2 State]]="Optimal",Table1[[#This Row],[ORTools FZN1 State]]="Suboptimal"),1,"")</f>
        <v/>
      </c>
      <c r="Z149" s="5" t="s">
        <v>77</v>
      </c>
      <c r="AA149" s="2">
        <v>-8421</v>
      </c>
      <c r="AB149" s="2">
        <v>0.32540259999999999</v>
      </c>
      <c r="AC149" s="39" t="s">
        <v>51</v>
      </c>
      <c r="AD149" s="39">
        <v>-8421</v>
      </c>
      <c r="AE149" s="2">
        <v>0.71620200000000001</v>
      </c>
      <c r="AF149" s="2" t="str">
        <f>IF(AND(Table1[[#This Row],[Cplex MB Cost]]=Table1[[#This Row],[ORTools FZN2 Cost]],Table1[[#This Row],[ORTools FZN2 State]]="Optimal",Table1[[#This Row],[Cplex MB State]]="Suboptimal"),1,"")</f>
        <v/>
      </c>
      <c r="AG149" s="4">
        <f>IF(AND(AC149="Optimal",AD149&lt;&gt;AA149,Table1[[#This Row],[Example]]&lt;&gt;"R001",Table1[[#This Row],[Example]]&lt;&gt;"R002"),AD149-AA149,)</f>
        <v>0</v>
      </c>
      <c r="AH149" s="5" t="s">
        <v>77</v>
      </c>
      <c r="AI149" s="2">
        <v>-8421</v>
      </c>
      <c r="AJ149" s="2">
        <v>0.81819489999999995</v>
      </c>
      <c r="AK149" s="2" t="str">
        <f>IF(AND(Table1[[#This Row],[Cplex MD Cost]]=Table1[[#This Row],[ORTools FZN2 Cost]],Table1[[#This Row],[ORTools FZN2 State]]="Optimal",Table1[[#This Row],[Cplex MD State]]="Suboptimal"),1,"")</f>
        <v/>
      </c>
      <c r="AL149" s="4">
        <f>IF(AND(AH149="Optimal",AI149&lt;&gt;AA149,Table1[[#This Row],[Example]]&lt;&gt;"R001",Table1[[#This Row],[Example]]&lt;&gt;"R002"),AI149-AA149,)</f>
        <v>0</v>
      </c>
      <c r="AM149" s="39" t="s">
        <v>77</v>
      </c>
      <c r="AN149" s="39">
        <v>-8421</v>
      </c>
      <c r="AO149" s="2">
        <v>0.2871745</v>
      </c>
      <c r="AP14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49" s="2" t="str">
        <f>IF(AND(Table1[[#This Row],[Cplex MI Cost]]=Table1[[#This Row],[ORTools FZN2 Cost]],Table1[[#This Row],[ORTools FZN2 State]]="Optimal",Table1[[#This Row],[Cplex MI State]]="Suboptimal"),1,"")</f>
        <v/>
      </c>
      <c r="AR149" s="5" t="s">
        <v>77</v>
      </c>
      <c r="AS149" s="2">
        <v>-8421</v>
      </c>
      <c r="AT149" s="2">
        <v>1.2516107999999999</v>
      </c>
      <c r="AU149" s="2" t="str">
        <f>IF(AND(Table1[[#This Row],[Z3 SMT2-1 Maxres Cost]]=Table1[[#This Row],[ORTools FZN2 Cost]],Table1[[#This Row],[ORTools FZN2 State]]="Optimal"),1,"")</f>
        <v/>
      </c>
      <c r="AV149" s="39" t="s">
        <v>77</v>
      </c>
      <c r="AW149" s="39">
        <v>-8421</v>
      </c>
      <c r="AX149" s="2">
        <v>1.2416038</v>
      </c>
      <c r="AY149" s="2" t="str">
        <f>IF(AND(Table1[[#This Row],[Z3 SMT2-1 PdMaxres Cost]]=Table1[[#This Row],[ORTools FZN2 Cost]],Table1[[#This Row],[ORTools FZN2 State]]="Optimal"),1,"")</f>
        <v/>
      </c>
      <c r="AZ149" s="5" t="s">
        <v>77</v>
      </c>
      <c r="BA149" s="2">
        <v>-8421</v>
      </c>
      <c r="BB149" s="39">
        <v>1.4169972</v>
      </c>
      <c r="BC149" s="39" t="str">
        <f>IF(AND(Table1[[#This Row],[Z3 SMT2-1 WMax Cost]]=Table1[[#This Row],[ORTools FZN2 Cost]],Table1[[#This Row],[ORTools FZN2 State]]="Optimal"),1,"")</f>
        <v/>
      </c>
      <c r="BD149" s="39" t="s">
        <v>77</v>
      </c>
      <c r="BE149" s="39">
        <v>-8421</v>
      </c>
      <c r="BF149" s="2">
        <v>1.0094962000000001</v>
      </c>
      <c r="BG149" s="2" t="str">
        <f>IF(AND(Table1[[#This Row],[Z3 SMT2-2 Maxres Cost]]=Table1[[#This Row],[ORTools FZN2 Cost]],Table1[[#This Row],[ORTools FZN2 State]]="Optimal"),1,"")</f>
        <v/>
      </c>
      <c r="BH149" s="5" t="s">
        <v>77</v>
      </c>
      <c r="BI149" s="2">
        <v>-8421</v>
      </c>
      <c r="BJ149" s="39">
        <v>0.99110160000000003</v>
      </c>
      <c r="BK149" s="39" t="str">
        <f>IF(AND(Table1[[#This Row],[Z3 SMT2-2 PdMaxres Cost]]=Table1[[#This Row],[ORTools FZN2 Cost]],Table1[[#This Row],[ORTools FZN2 State]]="Optimal"),1,"")</f>
        <v/>
      </c>
      <c r="BL149" s="39" t="s">
        <v>77</v>
      </c>
      <c r="BM149" s="39">
        <v>-8421</v>
      </c>
      <c r="BN149" s="2">
        <v>1.044813</v>
      </c>
      <c r="BO149" s="4" t="str">
        <f>IF(AND(Table1[[#This Row],[Z3 SMT2-2 PdMaxres Cost]]=Table1[[#This Row],[ORTools FZN2 Cost]],Table1[[#This Row],[ORTools FZN2 State]]="Optimal"),1,"")</f>
        <v/>
      </c>
      <c r="BP149" s="5" t="s">
        <v>77</v>
      </c>
      <c r="BQ149" s="2">
        <v>-8421</v>
      </c>
      <c r="BR149" s="2">
        <v>1.7410964</v>
      </c>
      <c r="BS149" s="2" t="str">
        <f>IF(AND(Table1[[#This Row],[Gurobi MB Cost]]=Table1[[#This Row],[ORTools FZN2 Cost]],Table1[[#This Row],[ORTools FZN2 State]]="Optimal",Table1[[#This Row],[Gurobi MB State]]="Suboptimal"),1,"")</f>
        <v/>
      </c>
      <c r="BT14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49" s="5" t="s">
        <v>77</v>
      </c>
      <c r="BV149" s="2">
        <v>-8421</v>
      </c>
      <c r="BW149" s="2">
        <v>1.4606519</v>
      </c>
      <c r="BX149" s="2" t="str">
        <f>IF(AND(Table1[[#This Row],[Gurobi MD Cost]]=Table1[[#This Row],[ORTools FZN2 Cost]],Table1[[#This Row],[ORTools FZN2 State]]="Optimal",Table1[[#This Row],[Gurobi MD State]]="Suboptimal"),1,"")</f>
        <v/>
      </c>
      <c r="BY14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49" s="5" t="s">
        <v>77</v>
      </c>
      <c r="CA149" s="2">
        <v>-8421</v>
      </c>
      <c r="CB149" s="2">
        <v>1.1117172</v>
      </c>
      <c r="CC149" s="2" t="str">
        <f>IF(AND(Table1[[#This Row],[Gurobi MI Cost]]=Table1[[#This Row],[ORTools FZN2 Cost]],Table1[[#This Row],[ORTools FZN2 State]]="Optimal",Table1[[#This Row],[Gurobi MI State]]="Suboptimal"),1,"")</f>
        <v/>
      </c>
      <c r="CD14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49" s="39" t="s">
        <v>77</v>
      </c>
      <c r="CF149" s="2">
        <v>-8421</v>
      </c>
      <c r="CG149" s="39">
        <v>5.1304411999999999</v>
      </c>
      <c r="CH149" s="39" t="s">
        <v>77</v>
      </c>
      <c r="CI149" s="39">
        <v>-8421</v>
      </c>
      <c r="CJ149" s="2">
        <v>5.1016199999999996</v>
      </c>
      <c r="CK149" s="5" t="s">
        <v>77</v>
      </c>
      <c r="CL149" s="2">
        <v>-8421</v>
      </c>
      <c r="CM149" s="2">
        <v>0.493000000002212</v>
      </c>
      <c r="CN149" s="5" t="s">
        <v>77</v>
      </c>
      <c r="CO149" s="2">
        <v>-8421</v>
      </c>
      <c r="CP149" s="2">
        <v>0.76545419999999997</v>
      </c>
      <c r="CQ149" s="5" t="s">
        <v>77</v>
      </c>
      <c r="CR149" s="2">
        <v>-8421</v>
      </c>
      <c r="CS149" s="2">
        <v>0.439197</v>
      </c>
      <c r="CT149" s="6" t="s">
        <v>77</v>
      </c>
      <c r="CU149" s="4">
        <v>-8421</v>
      </c>
      <c r="CV149" s="4">
        <v>0.53460640000000004</v>
      </c>
      <c r="CW149" s="39" t="s">
        <v>77</v>
      </c>
      <c r="CX149" s="39"/>
      <c r="CY149" s="2">
        <v>0.20330000000000001</v>
      </c>
      <c r="CZ149" s="2" t="str">
        <f>IF(AND(Table1[[#This Row],[Cplex MZ1 Cost]]=Table1[[#This Row],[ORTools FZN2 Cost]],Table1[[#This Row],[ORTools FZN2 State]]="Optimal",Table1[[#This Row],[Cplex MZ1 State]]="Suboptimal"),1,"")</f>
        <v/>
      </c>
      <c r="DA149" s="5" t="s">
        <v>77</v>
      </c>
      <c r="DB149" s="2"/>
      <c r="DC149" s="2">
        <v>0.183</v>
      </c>
      <c r="DD149" s="2" t="str">
        <f>IF(AND(Table1[[#This Row],[Cplex MZ2 Cost]]=Table1[[#This Row],[ORTools FZN2 Cost]],Table1[[#This Row],[ORTools FZN2 State]]="Optimal",Table1[[#This Row],[Cplex MZ2 State]]="Suboptimal"),1,"")</f>
        <v/>
      </c>
      <c r="DE149" s="39" t="s">
        <v>77</v>
      </c>
      <c r="DF149" s="39"/>
      <c r="DG149" s="2">
        <v>5.4399999999999997E-2</v>
      </c>
      <c r="DH149" s="2" t="str">
        <f>IF(AND(Table1[[#This Row],[Gurobi MZ1 Cost]]=Table1[[#This Row],[ORTools FZN2 Cost]],Table1[[#This Row],[ORTools FZN2 State]]="Optimal",Table1[[#This Row],[Gurobi MZ1 State]]="Suboptimal"),1,"")</f>
        <v/>
      </c>
      <c r="DI149" s="5" t="s">
        <v>77</v>
      </c>
      <c r="DJ149" s="2"/>
      <c r="DK149" s="2">
        <v>4.65E-2</v>
      </c>
      <c r="DL149" s="4" t="str">
        <f>IF(AND(Table1[[#This Row],[Gurobi MZ2 Cost]]=Table1[[#This Row],[ORTools FZN2 Cost]],Table1[[#This Row],[ORTools FZN2 State]]="Optimal",Table1[[#This Row],[Gurobi MZ2 State]]="Suboptimal"),1,"")</f>
        <v/>
      </c>
      <c r="DM149" s="39" t="s">
        <v>77</v>
      </c>
      <c r="DN149" s="39">
        <v>-8421</v>
      </c>
      <c r="DO149" s="65">
        <v>0.34300000000075598</v>
      </c>
      <c r="DP149" s="4" t="str">
        <f>IF(AND(Table1[[#This Row],[Cplex MC nonDual Cost]]=Table1[[#This Row],[ORTools FZN2 Cost]],Table1[[#This Row],[ORTools FZN2 State]]="Optimal",Table1[[#This Row],[Cplex MC nonDual State]]="Suboptimal"),1,"")</f>
        <v/>
      </c>
      <c r="DQ149" s="5" t="s">
        <v>77</v>
      </c>
      <c r="DR149" s="2"/>
      <c r="DS149" s="2">
        <v>0.19220000000000001</v>
      </c>
      <c r="DT149" s="2" t="str">
        <f>IF(AND(Table1[[#This Row],[Cplex MIP DM''z Cost]]=Table1[[#This Row],[ORTools FZN2 Cost]],Table1[[#This Row],[ORTools FZN2 State]]="Optimal",Table1[[#This Row],[Cplex MIP DM''z  State]]="Suboptimal"),1,"")</f>
        <v/>
      </c>
      <c r="DU14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49" s="5" t="s">
        <v>77</v>
      </c>
      <c r="DW149" s="2"/>
      <c r="DX149" s="2">
        <v>1.5229999999999999</v>
      </c>
      <c r="DY149" s="4" t="str">
        <f>IF(AND(Table1[[#This Row],[Gurobi DM''z  Cost]]=Table1[[#This Row],[ORTools FZN2 Cost]],Table1[[#This Row],[ORTools FZN2 State]]="Optimal",Table1[[#This Row],[Gurobi DM''z  State]]="Suboptimal"),1,"")</f>
        <v/>
      </c>
      <c r="DZ14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0" spans="1:130" ht="15.75" x14ac:dyDescent="0.25">
      <c r="A150" s="46" t="s">
        <v>176</v>
      </c>
      <c r="B150" s="5">
        <v>10</v>
      </c>
      <c r="C150" s="2">
        <v>5</v>
      </c>
      <c r="D150" s="5">
        <v>9</v>
      </c>
      <c r="E150" s="2">
        <v>4</v>
      </c>
      <c r="F150" s="5">
        <v>1</v>
      </c>
      <c r="G150" s="2">
        <v>0</v>
      </c>
      <c r="H150" s="4">
        <f t="shared" si="2"/>
        <v>0</v>
      </c>
      <c r="I150" s="4">
        <f>Table1[[#This Row],[B]]+Table1[[#This Row],[Atomic Constraints]]+Table1[[#This Row],[Soft Atomic Constraints]]+Table1[[#This Row],[Disjunctive Constraints]]+Table1[[#This Row],[Direct Successors]]</f>
        <v>19</v>
      </c>
      <c r="J150" s="5" t="s">
        <v>25</v>
      </c>
      <c r="K150" s="2">
        <v>1</v>
      </c>
      <c r="L150" s="2">
        <v>0.62864469999999995</v>
      </c>
      <c r="M150" s="2" t="str">
        <f>IF(AND(Table1[[#This Row],[Chuffed MZ1 Cost]]=Table1[[#This Row],[ORTools FZN2 Cost]],Table1[[#This Row],[ORTools FZN2 State]]="Optimal",Table1[[#This Row],[Chuffed MZ1 State]]="Suboptimal"),1,"")</f>
        <v/>
      </c>
      <c r="N150" s="5" t="s">
        <v>25</v>
      </c>
      <c r="O150" s="2">
        <v>1</v>
      </c>
      <c r="P150" s="2">
        <v>0.59995869999999996</v>
      </c>
      <c r="Q150" s="2" t="str">
        <f>IF(AND(Table1[[#This Row],[Chuffed MZ2 Cost]]=Table1[[#This Row],[ORTools FZN2 Cost]],Table1[[#This Row],[ORTools FZN2 State]]="Optimal",Table1[[#This Row],[Chuffed MZ2 State]]="Suboptimal"),1,"")</f>
        <v/>
      </c>
      <c r="R150" s="6" t="s">
        <v>25</v>
      </c>
      <c r="S150" s="4">
        <v>1</v>
      </c>
      <c r="T150" s="4">
        <v>5.60000000004948E-2</v>
      </c>
      <c r="U150" s="4"/>
      <c r="V150" s="5" t="s">
        <v>25</v>
      </c>
      <c r="W150" s="2">
        <v>1</v>
      </c>
      <c r="X150" s="2">
        <v>0.14122979999999999</v>
      </c>
      <c r="Y150" s="2" t="str">
        <f>IF(AND(Table1[[#This Row],[ORTools FZN1 Cost]]=Table1[[#This Row],[ORTools FZN2 Cost]],Table1[[#This Row],[ORTools FZN2 State]]="Optimal",Table1[[#This Row],[ORTools FZN1 State]]="Suboptimal"),1,"")</f>
        <v/>
      </c>
      <c r="Z150" s="5" t="s">
        <v>25</v>
      </c>
      <c r="AA150" s="2">
        <v>1</v>
      </c>
      <c r="AB150" s="2">
        <v>0.1213045</v>
      </c>
      <c r="AC150" s="39" t="s">
        <v>25</v>
      </c>
      <c r="AD150" s="39">
        <v>1</v>
      </c>
      <c r="AE150" s="2">
        <v>8.0631400000000006E-2</v>
      </c>
      <c r="AF150" s="2" t="str">
        <f>IF(AND(Table1[[#This Row],[Cplex MB Cost]]=Table1[[#This Row],[ORTools FZN2 Cost]],Table1[[#This Row],[ORTools FZN2 State]]="Optimal",Table1[[#This Row],[Cplex MB State]]="Suboptimal"),1,"")</f>
        <v/>
      </c>
      <c r="AG150" s="4">
        <f>IF(AND(AC150="Optimal",AD150&lt;&gt;AA150,Table1[[#This Row],[Example]]&lt;&gt;"R001",Table1[[#This Row],[Example]]&lt;&gt;"R002"),AD150-AA150,)</f>
        <v>0</v>
      </c>
      <c r="AH150" s="5" t="s">
        <v>25</v>
      </c>
      <c r="AI150" s="2">
        <v>1</v>
      </c>
      <c r="AJ150" s="2">
        <v>0.53627069999999999</v>
      </c>
      <c r="AK150" s="2" t="str">
        <f>IF(AND(Table1[[#This Row],[Cplex MD Cost]]=Table1[[#This Row],[ORTools FZN2 Cost]],Table1[[#This Row],[ORTools FZN2 State]]="Optimal",Table1[[#This Row],[Cplex MD State]]="Suboptimal"),1,"")</f>
        <v/>
      </c>
      <c r="AL150" s="4">
        <f>IF(AND(AH150="Optimal",AI150&lt;&gt;AA150,Table1[[#This Row],[Example]]&lt;&gt;"R001",Table1[[#This Row],[Example]]&lt;&gt;"R002"),AI150-AA150,)</f>
        <v>0</v>
      </c>
      <c r="AM150" s="39" t="s">
        <v>25</v>
      </c>
      <c r="AN150" s="39">
        <v>1</v>
      </c>
      <c r="AO150" s="2">
        <v>9.3806399999999998E-2</v>
      </c>
      <c r="AP15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0" s="4" t="str">
        <f>IF(AND(Table1[[#This Row],[Cplex MI Cost]]=Table1[[#This Row],[ORTools FZN2 Cost]],Table1[[#This Row],[ORTools FZN2 State]]="Optimal",Table1[[#This Row],[Cplex MI State]]="Suboptimal"),1,"")</f>
        <v/>
      </c>
      <c r="AR150" s="12" t="s">
        <v>26</v>
      </c>
      <c r="AS150" s="12">
        <v>1</v>
      </c>
      <c r="AT150" s="12">
        <v>0.56319730000000001</v>
      </c>
      <c r="AU150" s="12">
        <f>IF(AND(Table1[[#This Row],[Z3 SMT2-1 Maxres Cost]]=Table1[[#This Row],[ORTools FZN2 Cost]],Table1[[#This Row],[ORTools FZN2 State]]="Optimal"),1,"")</f>
        <v>1</v>
      </c>
      <c r="AV150" s="12" t="s">
        <v>26</v>
      </c>
      <c r="AW150" s="12">
        <v>1</v>
      </c>
      <c r="AX150" s="12">
        <v>0.55050140000000003</v>
      </c>
      <c r="AY150" s="12">
        <f>IF(AND(Table1[[#This Row],[Z3 SMT2-1 PdMaxres Cost]]=Table1[[#This Row],[ORTools FZN2 Cost]],Table1[[#This Row],[ORTools FZN2 State]]="Optimal"),1,"")</f>
        <v>1</v>
      </c>
      <c r="AZ150" s="12" t="s">
        <v>26</v>
      </c>
      <c r="BA150" s="12">
        <v>1</v>
      </c>
      <c r="BB150" s="12">
        <v>0.62713609999999997</v>
      </c>
      <c r="BC150" s="12">
        <f>IF(AND(Table1[[#This Row],[Z3 SMT2-1 WMax Cost]]=Table1[[#This Row],[ORTools FZN2 Cost]],Table1[[#This Row],[ORTools FZN2 State]]="Optimal"),1,"")</f>
        <v>1</v>
      </c>
      <c r="BD150" s="12" t="s">
        <v>26</v>
      </c>
      <c r="BE150" s="12">
        <v>1</v>
      </c>
      <c r="BF150" s="12">
        <v>0.45832109999999998</v>
      </c>
      <c r="BG150" s="12">
        <f>IF(AND(Table1[[#This Row],[Z3 SMT2-2 Maxres Cost]]=Table1[[#This Row],[ORTools FZN2 Cost]],Table1[[#This Row],[ORTools FZN2 State]]="Optimal"),1,"")</f>
        <v>1</v>
      </c>
      <c r="BH150" s="12" t="s">
        <v>26</v>
      </c>
      <c r="BI150" s="12">
        <v>1</v>
      </c>
      <c r="BJ150" s="12">
        <v>0.43895210000000001</v>
      </c>
      <c r="BK150" s="12">
        <f>IF(AND(Table1[[#This Row],[Z3 SMT2-2 PdMaxres Cost]]=Table1[[#This Row],[ORTools FZN2 Cost]],Table1[[#This Row],[ORTools FZN2 State]]="Optimal"),1,"")</f>
        <v>1</v>
      </c>
      <c r="BL150" s="12" t="s">
        <v>26</v>
      </c>
      <c r="BM150" s="12">
        <v>1</v>
      </c>
      <c r="BN150" s="12">
        <v>0.50168210000000002</v>
      </c>
      <c r="BO150" s="11">
        <f>IF(AND(Table1[[#This Row],[Z3 SMT2-2 PdMaxres Cost]]=Table1[[#This Row],[ORTools FZN2 Cost]],Table1[[#This Row],[ORTools FZN2 State]]="Optimal"),1,"")</f>
        <v>1</v>
      </c>
      <c r="BP150" s="5" t="s">
        <v>25</v>
      </c>
      <c r="BQ150" s="2">
        <v>1</v>
      </c>
      <c r="BR150" s="2">
        <v>0.1505435</v>
      </c>
      <c r="BS150" s="2" t="str">
        <f>IF(AND(Table1[[#This Row],[Gurobi MB Cost]]=Table1[[#This Row],[ORTools FZN2 Cost]],Table1[[#This Row],[ORTools FZN2 State]]="Optimal",Table1[[#This Row],[Gurobi MB State]]="Suboptimal"),1,"")</f>
        <v/>
      </c>
      <c r="BT15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0" s="5" t="s">
        <v>25</v>
      </c>
      <c r="BV150" s="2">
        <v>1</v>
      </c>
      <c r="BW150" s="2">
        <v>0.33791009999999999</v>
      </c>
      <c r="BX150" s="2" t="str">
        <f>IF(AND(Table1[[#This Row],[Gurobi MD Cost]]=Table1[[#This Row],[ORTools FZN2 Cost]],Table1[[#This Row],[ORTools FZN2 State]]="Optimal",Table1[[#This Row],[Gurobi MD State]]="Suboptimal"),1,"")</f>
        <v/>
      </c>
      <c r="BY15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0" s="5" t="s">
        <v>25</v>
      </c>
      <c r="CA150" s="2">
        <v>1</v>
      </c>
      <c r="CB150" s="2">
        <v>0.1316534</v>
      </c>
      <c r="CC150" s="2" t="str">
        <f>IF(AND(Table1[[#This Row],[Gurobi MI Cost]]=Table1[[#This Row],[ORTools FZN2 Cost]],Table1[[#This Row],[ORTools FZN2 State]]="Optimal",Table1[[#This Row],[Gurobi MI State]]="Suboptimal"),1,"")</f>
        <v/>
      </c>
      <c r="CD15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0" s="39" t="s">
        <v>25</v>
      </c>
      <c r="CF150" s="2">
        <v>1</v>
      </c>
      <c r="CG150" s="39">
        <v>20.1336315</v>
      </c>
      <c r="CH150" s="39" t="s">
        <v>25</v>
      </c>
      <c r="CI150" s="39">
        <v>1</v>
      </c>
      <c r="CJ150" s="2">
        <v>15.093210900000001</v>
      </c>
      <c r="CK150" s="5" t="s">
        <v>25</v>
      </c>
      <c r="CL150" s="2">
        <v>1</v>
      </c>
      <c r="CM150" s="2">
        <v>4.9999999999272397E-2</v>
      </c>
      <c r="CN150" s="5" t="s">
        <v>25</v>
      </c>
      <c r="CO150" s="2">
        <v>1</v>
      </c>
      <c r="CP150" s="2">
        <v>0.60794130000000002</v>
      </c>
      <c r="CQ150" s="5" t="s">
        <v>25</v>
      </c>
      <c r="CR150" s="2">
        <v>1</v>
      </c>
      <c r="CS150" s="2">
        <v>0.227881</v>
      </c>
      <c r="CT150" s="6" t="s">
        <v>25</v>
      </c>
      <c r="CU150" s="4">
        <v>1</v>
      </c>
      <c r="CV150" s="4">
        <v>0.2605111</v>
      </c>
      <c r="CW150" s="39" t="s">
        <v>25</v>
      </c>
      <c r="CX150" s="39">
        <v>1</v>
      </c>
      <c r="CY150" s="2">
        <v>0.20130000000000001</v>
      </c>
      <c r="CZ150" s="2" t="str">
        <f>IF(AND(Table1[[#This Row],[Cplex MZ1 Cost]]=Table1[[#This Row],[ORTools FZN2 Cost]],Table1[[#This Row],[ORTools FZN2 State]]="Optimal",Table1[[#This Row],[Cplex MZ1 State]]="Suboptimal"),1,"")</f>
        <v/>
      </c>
      <c r="DA150" s="5" t="s">
        <v>25</v>
      </c>
      <c r="DB150" s="2">
        <v>1</v>
      </c>
      <c r="DC150" s="2">
        <v>0.1923</v>
      </c>
      <c r="DD150" s="2" t="str">
        <f>IF(AND(Table1[[#This Row],[Cplex MZ2 Cost]]=Table1[[#This Row],[ORTools FZN2 Cost]],Table1[[#This Row],[ORTools FZN2 State]]="Optimal",Table1[[#This Row],[Cplex MZ2 State]]="Suboptimal"),1,"")</f>
        <v/>
      </c>
      <c r="DE150" s="39" t="s">
        <v>25</v>
      </c>
      <c r="DF150" s="39">
        <v>1</v>
      </c>
      <c r="DG150" s="2">
        <v>0.2046</v>
      </c>
      <c r="DH150" s="2" t="str">
        <f>IF(AND(Table1[[#This Row],[Gurobi MZ1 Cost]]=Table1[[#This Row],[ORTools FZN2 Cost]],Table1[[#This Row],[ORTools FZN2 State]]="Optimal",Table1[[#This Row],[Gurobi MZ1 State]]="Suboptimal"),1,"")</f>
        <v/>
      </c>
      <c r="DI150" s="5" t="s">
        <v>25</v>
      </c>
      <c r="DJ150" s="2">
        <v>1</v>
      </c>
      <c r="DK150" s="2">
        <v>0.29780000000000001</v>
      </c>
      <c r="DL150" s="4" t="str">
        <f>IF(AND(Table1[[#This Row],[Gurobi MZ2 Cost]]=Table1[[#This Row],[ORTools FZN2 Cost]],Table1[[#This Row],[ORTools FZN2 State]]="Optimal",Table1[[#This Row],[Gurobi MZ2 State]]="Suboptimal"),1,"")</f>
        <v/>
      </c>
      <c r="DM150" s="39" t="s">
        <v>25</v>
      </c>
      <c r="DN150" s="39">
        <v>1</v>
      </c>
      <c r="DO150" s="65">
        <v>5.0999999999476103E-2</v>
      </c>
      <c r="DP150" s="4" t="str">
        <f>IF(AND(Table1[[#This Row],[Cplex MC nonDual Cost]]=Table1[[#This Row],[ORTools FZN2 Cost]],Table1[[#This Row],[ORTools FZN2 State]]="Optimal",Table1[[#This Row],[Cplex MC nonDual State]]="Suboptimal"),1,"")</f>
        <v/>
      </c>
      <c r="DQ150" s="5" t="s">
        <v>25</v>
      </c>
      <c r="DR150" s="2">
        <v>1</v>
      </c>
      <c r="DS150" s="2">
        <v>5.3900000000000003E-2</v>
      </c>
      <c r="DT150" s="2" t="str">
        <f>IF(AND(Table1[[#This Row],[Cplex MIP DM''z Cost]]=Table1[[#This Row],[ORTools FZN2 Cost]],Table1[[#This Row],[ORTools FZN2 State]]="Optimal",Table1[[#This Row],[Cplex MIP DM''z  State]]="Suboptimal"),1,"")</f>
        <v/>
      </c>
      <c r="DU15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0" s="5" t="s">
        <v>25</v>
      </c>
      <c r="DW150" s="2">
        <v>1</v>
      </c>
      <c r="DX150" s="2">
        <v>0.2102</v>
      </c>
      <c r="DY150" s="4" t="str">
        <f>IF(AND(Table1[[#This Row],[Gurobi DM''z  Cost]]=Table1[[#This Row],[ORTools FZN2 Cost]],Table1[[#This Row],[ORTools FZN2 State]]="Optimal",Table1[[#This Row],[Gurobi DM''z  State]]="Suboptimal"),1,"")</f>
        <v/>
      </c>
      <c r="DZ15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1" spans="1:130" ht="15.75" x14ac:dyDescent="0.25">
      <c r="A151" s="47" t="s">
        <v>177</v>
      </c>
      <c r="B151" s="5">
        <v>8</v>
      </c>
      <c r="C151" s="2">
        <v>4</v>
      </c>
      <c r="D151" s="5">
        <v>3</v>
      </c>
      <c r="E151" s="2">
        <v>4</v>
      </c>
      <c r="F151" s="5">
        <v>3</v>
      </c>
      <c r="G151" s="2">
        <v>0</v>
      </c>
      <c r="H151" s="4">
        <f t="shared" si="2"/>
        <v>0</v>
      </c>
      <c r="I151" s="4">
        <f>Table1[[#This Row],[B]]+Table1[[#This Row],[Atomic Constraints]]+Table1[[#This Row],[Soft Atomic Constraints]]+Table1[[#This Row],[Disjunctive Constraints]]+Table1[[#This Row],[Direct Successors]]</f>
        <v>14</v>
      </c>
      <c r="J151" s="5" t="s">
        <v>25</v>
      </c>
      <c r="K151" s="2">
        <v>1</v>
      </c>
      <c r="L151" s="2">
        <v>0.60370800000000002</v>
      </c>
      <c r="M151" s="2" t="str">
        <f>IF(AND(Table1[[#This Row],[Chuffed MZ1 Cost]]=Table1[[#This Row],[ORTools FZN2 Cost]],Table1[[#This Row],[ORTools FZN2 State]]="Optimal",Table1[[#This Row],[Chuffed MZ1 State]]="Suboptimal"),1,"")</f>
        <v/>
      </c>
      <c r="N151" s="5" t="s">
        <v>25</v>
      </c>
      <c r="O151" s="2">
        <v>1</v>
      </c>
      <c r="P151" s="2">
        <v>0.58288320000000005</v>
      </c>
      <c r="Q151" s="2" t="str">
        <f>IF(AND(Table1[[#This Row],[Chuffed MZ2 Cost]]=Table1[[#This Row],[ORTools FZN2 Cost]],Table1[[#This Row],[ORTools FZN2 State]]="Optimal",Table1[[#This Row],[Chuffed MZ2 State]]="Suboptimal"),1,"")</f>
        <v/>
      </c>
      <c r="R151" s="5" t="s">
        <v>25</v>
      </c>
      <c r="S151" s="2">
        <v>1</v>
      </c>
      <c r="T151" s="2">
        <v>4.4999999998253798E-2</v>
      </c>
      <c r="U151" s="2"/>
      <c r="V151" s="5" t="s">
        <v>25</v>
      </c>
      <c r="W151" s="2">
        <v>1</v>
      </c>
      <c r="X151" s="2">
        <v>9.8964399999999994E-2</v>
      </c>
      <c r="Y151" s="2" t="str">
        <f>IF(AND(Table1[[#This Row],[ORTools FZN1 Cost]]=Table1[[#This Row],[ORTools FZN2 Cost]],Table1[[#This Row],[ORTools FZN2 State]]="Optimal",Table1[[#This Row],[ORTools FZN1 State]]="Suboptimal"),1,"")</f>
        <v/>
      </c>
      <c r="Z151" s="5" t="s">
        <v>25</v>
      </c>
      <c r="AA151" s="2">
        <v>1</v>
      </c>
      <c r="AB151" s="2">
        <v>0.1023485</v>
      </c>
      <c r="AC151" s="39" t="s">
        <v>25</v>
      </c>
      <c r="AD151" s="39">
        <v>1</v>
      </c>
      <c r="AE151" s="2">
        <v>5.8109500000000001E-2</v>
      </c>
      <c r="AF151" s="2" t="str">
        <f>IF(AND(Table1[[#This Row],[Cplex MB Cost]]=Table1[[#This Row],[ORTools FZN2 Cost]],Table1[[#This Row],[ORTools FZN2 State]]="Optimal",Table1[[#This Row],[Cplex MB State]]="Suboptimal"),1,"")</f>
        <v/>
      </c>
      <c r="AG151" s="4">
        <f>IF(AND(AC151="Optimal",AD151&lt;&gt;AA151,Table1[[#This Row],[Example]]&lt;&gt;"R001",Table1[[#This Row],[Example]]&lt;&gt;"R002"),AD151-AA151,)</f>
        <v>0</v>
      </c>
      <c r="AH151" s="5" t="s">
        <v>25</v>
      </c>
      <c r="AI151" s="2">
        <v>1</v>
      </c>
      <c r="AJ151" s="2">
        <v>0.247359</v>
      </c>
      <c r="AK151" s="2" t="str">
        <f>IF(AND(Table1[[#This Row],[Cplex MD Cost]]=Table1[[#This Row],[ORTools FZN2 Cost]],Table1[[#This Row],[ORTools FZN2 State]]="Optimal",Table1[[#This Row],[Cplex MD State]]="Suboptimal"),1,"")</f>
        <v/>
      </c>
      <c r="AL151" s="4">
        <f>IF(AND(AH151="Optimal",AI151&lt;&gt;AA151,Table1[[#This Row],[Example]]&lt;&gt;"R001",Table1[[#This Row],[Example]]&lt;&gt;"R002"),AI151-AA151,)</f>
        <v>0</v>
      </c>
      <c r="AM151" s="39" t="s">
        <v>25</v>
      </c>
      <c r="AN151" s="39">
        <v>1</v>
      </c>
      <c r="AO151" s="2">
        <v>7.7341900000000005E-2</v>
      </c>
      <c r="AP15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1" s="2" t="str">
        <f>IF(AND(Table1[[#This Row],[Cplex MI Cost]]=Table1[[#This Row],[ORTools FZN2 Cost]],Table1[[#This Row],[ORTools FZN2 State]]="Optimal",Table1[[#This Row],[Cplex MI State]]="Suboptimal"),1,"")</f>
        <v/>
      </c>
      <c r="AR151" s="12" t="s">
        <v>26</v>
      </c>
      <c r="AS151" s="12">
        <v>1</v>
      </c>
      <c r="AT151" s="12">
        <v>0.29467359999999998</v>
      </c>
      <c r="AU151" s="12">
        <f>IF(AND(Table1[[#This Row],[Z3 SMT2-1 Maxres Cost]]=Table1[[#This Row],[ORTools FZN2 Cost]],Table1[[#This Row],[ORTools FZN2 State]]="Optimal"),1,"")</f>
        <v>1</v>
      </c>
      <c r="AV151" s="12" t="s">
        <v>26</v>
      </c>
      <c r="AW151" s="12">
        <v>1</v>
      </c>
      <c r="AX151" s="12">
        <v>0.32943650000000002</v>
      </c>
      <c r="AY151" s="12">
        <f>IF(AND(Table1[[#This Row],[Z3 SMT2-1 PdMaxres Cost]]=Table1[[#This Row],[ORTools FZN2 Cost]],Table1[[#This Row],[ORTools FZN2 State]]="Optimal"),1,"")</f>
        <v>1</v>
      </c>
      <c r="AZ151" s="12" t="s">
        <v>26</v>
      </c>
      <c r="BA151" s="12">
        <v>1</v>
      </c>
      <c r="BB151" s="12">
        <v>0.32561639999999997</v>
      </c>
      <c r="BC151" s="12">
        <f>IF(AND(Table1[[#This Row],[Z3 SMT2-1 WMax Cost]]=Table1[[#This Row],[ORTools FZN2 Cost]],Table1[[#This Row],[ORTools FZN2 State]]="Optimal"),1,"")</f>
        <v>1</v>
      </c>
      <c r="BD151" s="12" t="s">
        <v>26</v>
      </c>
      <c r="BE151" s="12">
        <v>1</v>
      </c>
      <c r="BF151" s="12">
        <v>0.2312611</v>
      </c>
      <c r="BG151" s="12">
        <f>IF(AND(Table1[[#This Row],[Z3 SMT2-2 Maxres Cost]]=Table1[[#This Row],[ORTools FZN2 Cost]],Table1[[#This Row],[ORTools FZN2 State]]="Optimal"),1,"")</f>
        <v>1</v>
      </c>
      <c r="BH151" s="12" t="s">
        <v>26</v>
      </c>
      <c r="BI151" s="12">
        <v>1</v>
      </c>
      <c r="BJ151" s="12">
        <v>0.22026660000000001</v>
      </c>
      <c r="BK151" s="12">
        <f>IF(AND(Table1[[#This Row],[Z3 SMT2-2 PdMaxres Cost]]=Table1[[#This Row],[ORTools FZN2 Cost]],Table1[[#This Row],[ORTools FZN2 State]]="Optimal"),1,"")</f>
        <v>1</v>
      </c>
      <c r="BL151" s="12" t="s">
        <v>26</v>
      </c>
      <c r="BM151" s="12">
        <v>1</v>
      </c>
      <c r="BN151" s="12">
        <v>0.29919560000000001</v>
      </c>
      <c r="BO151" s="11">
        <f>IF(AND(Table1[[#This Row],[Z3 SMT2-2 PdMaxres Cost]]=Table1[[#This Row],[ORTools FZN2 Cost]],Table1[[#This Row],[ORTools FZN2 State]]="Optimal"),1,"")</f>
        <v>1</v>
      </c>
      <c r="BP151" s="5" t="s">
        <v>25</v>
      </c>
      <c r="BQ151" s="2">
        <v>1</v>
      </c>
      <c r="BR151" s="2">
        <v>4.71812E-2</v>
      </c>
      <c r="BS151" s="2" t="str">
        <f>IF(AND(Table1[[#This Row],[Gurobi MB Cost]]=Table1[[#This Row],[ORTools FZN2 Cost]],Table1[[#This Row],[ORTools FZN2 State]]="Optimal",Table1[[#This Row],[Gurobi MB State]]="Suboptimal"),1,"")</f>
        <v/>
      </c>
      <c r="BT15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1" s="5" t="s">
        <v>25</v>
      </c>
      <c r="BV151" s="2">
        <v>1</v>
      </c>
      <c r="BW151" s="2">
        <v>0.22077569999999999</v>
      </c>
      <c r="BX151" s="2" t="str">
        <f>IF(AND(Table1[[#This Row],[Gurobi MD Cost]]=Table1[[#This Row],[ORTools FZN2 Cost]],Table1[[#This Row],[ORTools FZN2 State]]="Optimal",Table1[[#This Row],[Gurobi MD State]]="Suboptimal"),1,"")</f>
        <v/>
      </c>
      <c r="BY15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1" s="5" t="s">
        <v>25</v>
      </c>
      <c r="CA151" s="2">
        <v>1</v>
      </c>
      <c r="CB151" s="2">
        <v>7.0045399999999994E-2</v>
      </c>
      <c r="CC151" s="2" t="str">
        <f>IF(AND(Table1[[#This Row],[Gurobi MI Cost]]=Table1[[#This Row],[ORTools FZN2 Cost]],Table1[[#This Row],[ORTools FZN2 State]]="Optimal",Table1[[#This Row],[Gurobi MI State]]="Suboptimal"),1,"")</f>
        <v/>
      </c>
      <c r="CD15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1" s="39" t="s">
        <v>25</v>
      </c>
      <c r="CF151" s="2">
        <v>1</v>
      </c>
      <c r="CG151" s="39">
        <v>10.2121937</v>
      </c>
      <c r="CH151" s="39" t="s">
        <v>25</v>
      </c>
      <c r="CI151" s="39">
        <v>1</v>
      </c>
      <c r="CJ151" s="2">
        <v>10.107615300000001</v>
      </c>
      <c r="CK151" s="5" t="s">
        <v>25</v>
      </c>
      <c r="CL151" s="2">
        <v>1</v>
      </c>
      <c r="CM151" s="2">
        <v>4.6999999998661203E-2</v>
      </c>
      <c r="CN151" s="5" t="s">
        <v>25</v>
      </c>
      <c r="CO151" s="2">
        <v>1</v>
      </c>
      <c r="CP151" s="2">
        <v>0.56346030000000003</v>
      </c>
      <c r="CQ151" s="5" t="s">
        <v>25</v>
      </c>
      <c r="CR151" s="2">
        <v>1</v>
      </c>
      <c r="CS151" s="2">
        <v>0.154229</v>
      </c>
      <c r="CT151" s="6" t="s">
        <v>25</v>
      </c>
      <c r="CU151" s="4">
        <v>1</v>
      </c>
      <c r="CV151" s="4">
        <v>0.2088778</v>
      </c>
      <c r="CW151" s="39" t="s">
        <v>25</v>
      </c>
      <c r="CX151" s="39">
        <v>1</v>
      </c>
      <c r="CY151" s="2">
        <v>0.1188</v>
      </c>
      <c r="CZ151" s="2" t="str">
        <f>IF(AND(Table1[[#This Row],[Cplex MZ1 Cost]]=Table1[[#This Row],[ORTools FZN2 Cost]],Table1[[#This Row],[ORTools FZN2 State]]="Optimal",Table1[[#This Row],[Cplex MZ1 State]]="Suboptimal"),1,"")</f>
        <v/>
      </c>
      <c r="DA151" s="5" t="s">
        <v>25</v>
      </c>
      <c r="DB151" s="2">
        <v>1</v>
      </c>
      <c r="DC151" s="2">
        <v>0.1221</v>
      </c>
      <c r="DD151" s="2" t="str">
        <f>IF(AND(Table1[[#This Row],[Cplex MZ2 Cost]]=Table1[[#This Row],[ORTools FZN2 Cost]],Table1[[#This Row],[ORTools FZN2 State]]="Optimal",Table1[[#This Row],[Cplex MZ2 State]]="Suboptimal"),1,"")</f>
        <v/>
      </c>
      <c r="DE151" s="39" t="s">
        <v>25</v>
      </c>
      <c r="DF151" s="39">
        <v>1</v>
      </c>
      <c r="DG151" s="2">
        <v>0.1074</v>
      </c>
      <c r="DH151" s="2" t="str">
        <f>IF(AND(Table1[[#This Row],[Gurobi MZ1 Cost]]=Table1[[#This Row],[ORTools FZN2 Cost]],Table1[[#This Row],[ORTools FZN2 State]]="Optimal",Table1[[#This Row],[Gurobi MZ1 State]]="Suboptimal"),1,"")</f>
        <v/>
      </c>
      <c r="DI151" s="5" t="s">
        <v>25</v>
      </c>
      <c r="DJ151" s="2">
        <v>1</v>
      </c>
      <c r="DK151" s="2">
        <v>0.1069</v>
      </c>
      <c r="DL151" s="4" t="str">
        <f>IF(AND(Table1[[#This Row],[Gurobi MZ2 Cost]]=Table1[[#This Row],[ORTools FZN2 Cost]],Table1[[#This Row],[ORTools FZN2 State]]="Optimal",Table1[[#This Row],[Gurobi MZ2 State]]="Suboptimal"),1,"")</f>
        <v/>
      </c>
      <c r="DM151" s="39" t="s">
        <v>25</v>
      </c>
      <c r="DN151" s="39">
        <v>1</v>
      </c>
      <c r="DO151" s="65">
        <v>4.10000000010768E-2</v>
      </c>
      <c r="DP151" s="4" t="str">
        <f>IF(AND(Table1[[#This Row],[Cplex MC nonDual Cost]]=Table1[[#This Row],[ORTools FZN2 Cost]],Table1[[#This Row],[ORTools FZN2 State]]="Optimal",Table1[[#This Row],[Cplex MC nonDual State]]="Suboptimal"),1,"")</f>
        <v/>
      </c>
      <c r="DQ151" s="5" t="s">
        <v>25</v>
      </c>
      <c r="DR151" s="2">
        <v>1</v>
      </c>
      <c r="DS151" s="2">
        <v>0.1101</v>
      </c>
      <c r="DT151" s="2" t="str">
        <f>IF(AND(Table1[[#This Row],[Cplex MIP DM''z Cost]]=Table1[[#This Row],[ORTools FZN2 Cost]],Table1[[#This Row],[ORTools FZN2 State]]="Optimal",Table1[[#This Row],[Cplex MIP DM''z  State]]="Suboptimal"),1,"")</f>
        <v/>
      </c>
      <c r="DU15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1" s="5" t="s">
        <v>25</v>
      </c>
      <c r="DW151" s="2">
        <v>1</v>
      </c>
      <c r="DX151" s="2">
        <v>8.1199999999999994E-2</v>
      </c>
      <c r="DY151" s="4" t="str">
        <f>IF(AND(Table1[[#This Row],[Gurobi DM''z  Cost]]=Table1[[#This Row],[ORTools FZN2 Cost]],Table1[[#This Row],[ORTools FZN2 State]]="Optimal",Table1[[#This Row],[Gurobi DM''z  State]]="Suboptimal"),1,"")</f>
        <v/>
      </c>
      <c r="DZ15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2" spans="1:130" ht="15.75" x14ac:dyDescent="0.25">
      <c r="A152" s="46" t="s">
        <v>178</v>
      </c>
      <c r="B152" s="5">
        <v>48</v>
      </c>
      <c r="C152" s="2">
        <v>24</v>
      </c>
      <c r="D152" s="5">
        <v>222</v>
      </c>
      <c r="E152" s="2">
        <v>39</v>
      </c>
      <c r="F152" s="5">
        <v>37</v>
      </c>
      <c r="G152" s="2">
        <v>0</v>
      </c>
      <c r="H152" s="4">
        <f t="shared" si="2"/>
        <v>0</v>
      </c>
      <c r="I152" s="4">
        <f>Table1[[#This Row],[B]]+Table1[[#This Row],[Atomic Constraints]]+Table1[[#This Row],[Soft Atomic Constraints]]+Table1[[#This Row],[Disjunctive Constraints]]+Table1[[#This Row],[Direct Successors]]</f>
        <v>322</v>
      </c>
      <c r="J152" s="5" t="s">
        <v>26</v>
      </c>
      <c r="K152" s="2">
        <v>1789798</v>
      </c>
      <c r="L152" s="2">
        <v>301.90970240000001</v>
      </c>
      <c r="M152" s="2" t="str">
        <f>IF(AND(Table1[[#This Row],[Chuffed MZ1 Cost]]=Table1[[#This Row],[ORTools FZN2 Cost]],Table1[[#This Row],[ORTools FZN2 State]]="Optimal",Table1[[#This Row],[Chuffed MZ1 State]]="Suboptimal"),1,"")</f>
        <v/>
      </c>
      <c r="N152" s="5" t="s">
        <v>26</v>
      </c>
      <c r="O152" s="2">
        <v>1236837</v>
      </c>
      <c r="P152" s="2">
        <v>301.89082619999999</v>
      </c>
      <c r="Q152" s="2" t="str">
        <f>IF(AND(Table1[[#This Row],[Chuffed MZ2 Cost]]=Table1[[#This Row],[ORTools FZN2 Cost]],Table1[[#This Row],[ORTools FZN2 State]]="Optimal",Table1[[#This Row],[Chuffed MZ2 State]]="Suboptimal"),1,"")</f>
        <v/>
      </c>
      <c r="R152" s="12" t="s">
        <v>26</v>
      </c>
      <c r="S152" s="12">
        <v>671241</v>
      </c>
      <c r="T152" s="12">
        <v>300.01299999999901</v>
      </c>
      <c r="U152" s="12">
        <v>1</v>
      </c>
      <c r="V152" s="5" t="s">
        <v>25</v>
      </c>
      <c r="W152" s="2">
        <v>671241</v>
      </c>
      <c r="X152" s="2">
        <v>31.333032800000002</v>
      </c>
      <c r="Y152" s="2" t="str">
        <f>IF(AND(Table1[[#This Row],[ORTools FZN1 Cost]]=Table1[[#This Row],[ORTools FZN2 Cost]],Table1[[#This Row],[ORTools FZN2 State]]="Optimal",Table1[[#This Row],[ORTools FZN1 State]]="Suboptimal"),1,"")</f>
        <v/>
      </c>
      <c r="Z152" s="5" t="s">
        <v>25</v>
      </c>
      <c r="AA152" s="2">
        <v>671241</v>
      </c>
      <c r="AB152" s="2">
        <v>42.2857713</v>
      </c>
      <c r="AC152" s="39" t="s">
        <v>42</v>
      </c>
      <c r="AD152" s="39">
        <v>-112945</v>
      </c>
      <c r="AE152" s="2">
        <v>300.1124279</v>
      </c>
      <c r="AF152" s="2" t="str">
        <f>IF(AND(Table1[[#This Row],[Cplex MB Cost]]=Table1[[#This Row],[ORTools FZN2 Cost]],Table1[[#This Row],[ORTools FZN2 State]]="Optimal",Table1[[#This Row],[Cplex MB State]]="Suboptimal"),1,"")</f>
        <v/>
      </c>
      <c r="AG152" s="4">
        <f>IF(AND(AC152="Optimal",AD152&lt;&gt;AA152,Table1[[#This Row],[Example]]&lt;&gt;"R001",Table1[[#This Row],[Example]]&lt;&gt;"R002"),AD152-AA152,)</f>
        <v>0</v>
      </c>
      <c r="AH152" s="5" t="s">
        <v>26</v>
      </c>
      <c r="AI152" s="2">
        <v>2695068</v>
      </c>
      <c r="AJ152" s="2">
        <v>300.2617118</v>
      </c>
      <c r="AK152" s="2" t="str">
        <f>IF(AND(Table1[[#This Row],[Cplex MD Cost]]=Table1[[#This Row],[ORTools FZN2 Cost]],Table1[[#This Row],[ORTools FZN2 State]]="Optimal",Table1[[#This Row],[Cplex MD State]]="Suboptimal"),1,"")</f>
        <v/>
      </c>
      <c r="AL152" s="2">
        <f>IF(AND(AH152="Optimal",AI152&lt;&gt;AA152,Table1[[#This Row],[Example]]&lt;&gt;"R001",Table1[[#This Row],[Example]]&lt;&gt;"R002"),AI152-AA152,)</f>
        <v>0</v>
      </c>
      <c r="AM152" s="39" t="s">
        <v>26</v>
      </c>
      <c r="AN152" s="39">
        <v>1791468</v>
      </c>
      <c r="AO152" s="2">
        <v>300.11819930000001</v>
      </c>
      <c r="AP15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2" s="4" t="str">
        <f>IF(AND(Table1[[#This Row],[Cplex MI Cost]]=Table1[[#This Row],[ORTools FZN2 Cost]],Table1[[#This Row],[ORTools FZN2 State]]="Optimal",Table1[[#This Row],[Cplex MI State]]="Suboptimal"),1,"")</f>
        <v/>
      </c>
      <c r="AR152" s="5" t="s">
        <v>42</v>
      </c>
      <c r="AS152" s="2">
        <v>-112945</v>
      </c>
      <c r="AT152" s="2">
        <v>300.04374519999999</v>
      </c>
      <c r="AU152" s="2" t="str">
        <f>IF(AND(Table1[[#This Row],[Z3 SMT2-1 Maxres Cost]]=Table1[[#This Row],[ORTools FZN2 Cost]],Table1[[#This Row],[ORTools FZN2 State]]="Optimal"),1,"")</f>
        <v/>
      </c>
      <c r="AV152" s="39" t="s">
        <v>42</v>
      </c>
      <c r="AW152" s="39">
        <v>-112945</v>
      </c>
      <c r="AX152" s="2">
        <v>300.04244990000001</v>
      </c>
      <c r="AY152" s="2" t="str">
        <f>IF(AND(Table1[[#This Row],[Z3 SMT2-1 PdMaxres Cost]]=Table1[[#This Row],[ORTools FZN2 Cost]],Table1[[#This Row],[ORTools FZN2 State]]="Optimal"),1,"")</f>
        <v/>
      </c>
      <c r="AZ152" s="5" t="s">
        <v>42</v>
      </c>
      <c r="BA152" s="2">
        <v>-112945</v>
      </c>
      <c r="BB152" s="39">
        <v>300.23636590000001</v>
      </c>
      <c r="BC152" s="39" t="str">
        <f>IF(AND(Table1[[#This Row],[Z3 SMT2-1 WMax Cost]]=Table1[[#This Row],[ORTools FZN2 Cost]],Table1[[#This Row],[ORTools FZN2 State]]="Optimal"),1,"")</f>
        <v/>
      </c>
      <c r="BD152" s="39" t="s">
        <v>42</v>
      </c>
      <c r="BE152" s="39">
        <v>-112945</v>
      </c>
      <c r="BF152" s="2">
        <v>300.05449800000002</v>
      </c>
      <c r="BG152" s="2" t="str">
        <f>IF(AND(Table1[[#This Row],[Z3 SMT2-2 Maxres Cost]]=Table1[[#This Row],[ORTools FZN2 Cost]],Table1[[#This Row],[ORTools FZN2 State]]="Optimal"),1,"")</f>
        <v/>
      </c>
      <c r="BH152" s="5" t="s">
        <v>42</v>
      </c>
      <c r="BI152" s="2">
        <v>-112945</v>
      </c>
      <c r="BJ152" s="39">
        <v>300.04974659999999</v>
      </c>
      <c r="BK152" s="39" t="str">
        <f>IF(AND(Table1[[#This Row],[Z3 SMT2-2 PdMaxres Cost]]=Table1[[#This Row],[ORTools FZN2 Cost]],Table1[[#This Row],[ORTools FZN2 State]]="Optimal"),1,"")</f>
        <v/>
      </c>
      <c r="BL152" s="39" t="s">
        <v>42</v>
      </c>
      <c r="BM152" s="39">
        <v>-112945</v>
      </c>
      <c r="BN152" s="2">
        <v>300.05176119999999</v>
      </c>
      <c r="BO152" s="4" t="str">
        <f>IF(AND(Table1[[#This Row],[Z3 SMT2-2 PdMaxres Cost]]=Table1[[#This Row],[ORTools FZN2 Cost]],Table1[[#This Row],[ORTools FZN2 State]]="Optimal"),1,"")</f>
        <v/>
      </c>
      <c r="BP152" s="5" t="s">
        <v>26</v>
      </c>
      <c r="BQ152" s="2">
        <v>894973</v>
      </c>
      <c r="BR152" s="2">
        <v>300.17795339999998</v>
      </c>
      <c r="BS152" s="2" t="str">
        <f>IF(AND(Table1[[#This Row],[Gurobi MB Cost]]=Table1[[#This Row],[ORTools FZN2 Cost]],Table1[[#This Row],[ORTools FZN2 State]]="Optimal",Table1[[#This Row],[Gurobi MB State]]="Suboptimal"),1,"")</f>
        <v/>
      </c>
      <c r="BT15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2" s="5" t="s">
        <v>42</v>
      </c>
      <c r="BV152" s="2">
        <v>-112945</v>
      </c>
      <c r="BW152" s="2">
        <v>300.11560420000001</v>
      </c>
      <c r="BX152" s="2" t="str">
        <f>IF(AND(Table1[[#This Row],[Gurobi MD Cost]]=Table1[[#This Row],[ORTools FZN2 Cost]],Table1[[#This Row],[ORTools FZN2 State]]="Optimal",Table1[[#This Row],[Gurobi MD State]]="Suboptimal"),1,"")</f>
        <v/>
      </c>
      <c r="BY15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2" s="5" t="s">
        <v>42</v>
      </c>
      <c r="CA152" s="2">
        <v>-112945</v>
      </c>
      <c r="CB152" s="2">
        <v>300.11518310000002</v>
      </c>
      <c r="CC152" s="2" t="str">
        <f>IF(AND(Table1[[#This Row],[Gurobi MI Cost]]=Table1[[#This Row],[ORTools FZN2 Cost]],Table1[[#This Row],[ORTools FZN2 State]]="Optimal",Table1[[#This Row],[Gurobi MI State]]="Suboptimal"),1,"")</f>
        <v/>
      </c>
      <c r="CD15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2" s="39" t="s">
        <v>42</v>
      </c>
      <c r="CF152" s="2">
        <v>-112945</v>
      </c>
      <c r="CG152" s="39">
        <v>306.07878069999998</v>
      </c>
      <c r="CH152" s="39" t="s">
        <v>42</v>
      </c>
      <c r="CI152" s="39">
        <v>-112945</v>
      </c>
      <c r="CJ152" s="2">
        <v>306.13111559999999</v>
      </c>
      <c r="CK152" s="5" t="s">
        <v>26</v>
      </c>
      <c r="CL152" s="2">
        <v>671241</v>
      </c>
      <c r="CM152" s="2">
        <v>300.03500000000003</v>
      </c>
      <c r="CN152" s="5" t="s">
        <v>26</v>
      </c>
      <c r="CO152" s="2">
        <v>2455412</v>
      </c>
      <c r="CP152" s="2">
        <v>301.83200879999998</v>
      </c>
      <c r="CQ152" s="5" t="s">
        <v>25</v>
      </c>
      <c r="CR152" s="2">
        <v>671241</v>
      </c>
      <c r="CS152" s="2">
        <v>44.1503868</v>
      </c>
      <c r="CT152" s="6" t="s">
        <v>25</v>
      </c>
      <c r="CU152" s="4">
        <v>671241</v>
      </c>
      <c r="CV152" s="4">
        <v>22.876656000000001</v>
      </c>
      <c r="CW152" s="39" t="s">
        <v>26</v>
      </c>
      <c r="CX152" s="39">
        <v>1899615</v>
      </c>
      <c r="CY152" s="2">
        <v>300.03269999999998</v>
      </c>
      <c r="CZ152" s="2" t="str">
        <f>IF(AND(Table1[[#This Row],[Cplex MZ1 Cost]]=Table1[[#This Row],[ORTools FZN2 Cost]],Table1[[#This Row],[ORTools FZN2 State]]="Optimal",Table1[[#This Row],[Cplex MZ1 State]]="Suboptimal"),1,"")</f>
        <v/>
      </c>
      <c r="DA152" s="5" t="s">
        <v>42</v>
      </c>
      <c r="DB152" s="2"/>
      <c r="DC152" s="2">
        <v>300.02190000000002</v>
      </c>
      <c r="DD152" s="2" t="str">
        <f>IF(AND(Table1[[#This Row],[Cplex MZ2 Cost]]=Table1[[#This Row],[ORTools FZN2 Cost]],Table1[[#This Row],[ORTools FZN2 State]]="Optimal",Table1[[#This Row],[Cplex MZ2 State]]="Suboptimal"),1,"")</f>
        <v/>
      </c>
      <c r="DE152" s="39" t="s">
        <v>42</v>
      </c>
      <c r="DF152" s="39"/>
      <c r="DG152" s="2">
        <v>300.20710000000003</v>
      </c>
      <c r="DH152" s="2" t="str">
        <f>IF(AND(Table1[[#This Row],[Gurobi MZ1 Cost]]=Table1[[#This Row],[ORTools FZN2 Cost]],Table1[[#This Row],[ORTools FZN2 State]]="Optimal",Table1[[#This Row],[Gurobi MZ1 State]]="Suboptimal"),1,"")</f>
        <v/>
      </c>
      <c r="DI152" s="5" t="s">
        <v>42</v>
      </c>
      <c r="DJ152" s="2"/>
      <c r="DK152" s="2">
        <v>300.00779999999997</v>
      </c>
      <c r="DL152" s="4" t="str">
        <f>IF(AND(Table1[[#This Row],[Gurobi MZ2 Cost]]=Table1[[#This Row],[ORTools FZN2 Cost]],Table1[[#This Row],[ORTools FZN2 State]]="Optimal",Table1[[#This Row],[Gurobi MZ2 State]]="Suboptimal"),1,"")</f>
        <v/>
      </c>
      <c r="DM152" s="39" t="s">
        <v>26</v>
      </c>
      <c r="DN152" s="12">
        <v>671241</v>
      </c>
      <c r="DO152" s="69">
        <v>300.06099999999702</v>
      </c>
      <c r="DP152" s="11">
        <f>IF(AND(Table1[[#This Row],[Cplex MC nonDual Cost]]=Table1[[#This Row],[ORTools FZN2 Cost]],Table1[[#This Row],[ORTools FZN2 State]]="Optimal",Table1[[#This Row],[Cplex MC nonDual State]]="Suboptimal"),1,"")</f>
        <v>1</v>
      </c>
      <c r="DQ152" s="5" t="s">
        <v>26</v>
      </c>
      <c r="DR152" s="2">
        <v>1673918</v>
      </c>
      <c r="DS152" s="2">
        <v>300.02050000000003</v>
      </c>
      <c r="DT152" s="2" t="str">
        <f>IF(AND(Table1[[#This Row],[Cplex MIP DM''z Cost]]=Table1[[#This Row],[ORTools FZN2 Cost]],Table1[[#This Row],[ORTools FZN2 State]]="Optimal",Table1[[#This Row],[Cplex MIP DM''z  State]]="Suboptimal"),1,"")</f>
        <v/>
      </c>
      <c r="DU15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2" s="5" t="s">
        <v>42</v>
      </c>
      <c r="DW152" s="2"/>
      <c r="DX152" s="2">
        <v>300.02300000000002</v>
      </c>
      <c r="DY152" s="4" t="str">
        <f>IF(AND(Table1[[#This Row],[Gurobi DM''z  Cost]]=Table1[[#This Row],[ORTools FZN2 Cost]],Table1[[#This Row],[ORTools FZN2 State]]="Optimal",Table1[[#This Row],[Gurobi DM''z  State]]="Suboptimal"),1,"")</f>
        <v/>
      </c>
      <c r="DZ15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3" spans="1:130" ht="15.75" x14ac:dyDescent="0.25">
      <c r="A153" s="47" t="s">
        <v>179</v>
      </c>
      <c r="B153" s="5">
        <v>30</v>
      </c>
      <c r="C153" s="2">
        <v>15</v>
      </c>
      <c r="D153" s="5">
        <v>154</v>
      </c>
      <c r="E153" s="2">
        <v>22</v>
      </c>
      <c r="F153" s="5">
        <v>16</v>
      </c>
      <c r="G153" s="2">
        <v>0</v>
      </c>
      <c r="H153" s="4">
        <f t="shared" si="2"/>
        <v>0</v>
      </c>
      <c r="I153" s="4">
        <f>Table1[[#This Row],[B]]+Table1[[#This Row],[Atomic Constraints]]+Table1[[#This Row],[Soft Atomic Constraints]]+Table1[[#This Row],[Disjunctive Constraints]]+Table1[[#This Row],[Direct Successors]]</f>
        <v>207</v>
      </c>
      <c r="J153" s="5" t="s">
        <v>25</v>
      </c>
      <c r="K153" s="2">
        <v>194826</v>
      </c>
      <c r="L153" s="2">
        <v>29.0936716</v>
      </c>
      <c r="M153" s="2" t="str">
        <f>IF(AND(Table1[[#This Row],[Chuffed MZ1 Cost]]=Table1[[#This Row],[ORTools FZN2 Cost]],Table1[[#This Row],[ORTools FZN2 State]]="Optimal",Table1[[#This Row],[Chuffed MZ1 State]]="Suboptimal"),1,"")</f>
        <v/>
      </c>
      <c r="N153" s="5" t="s">
        <v>25</v>
      </c>
      <c r="O153" s="2">
        <v>194826</v>
      </c>
      <c r="P153" s="2">
        <v>25.924074099999999</v>
      </c>
      <c r="Q153" s="2" t="str">
        <f>IF(AND(Table1[[#This Row],[Chuffed MZ2 Cost]]=Table1[[#This Row],[ORTools FZN2 Cost]],Table1[[#This Row],[ORTools FZN2 State]]="Optimal",Table1[[#This Row],[Chuffed MZ2 State]]="Suboptimal"),1,"")</f>
        <v/>
      </c>
      <c r="R153" s="5" t="s">
        <v>25</v>
      </c>
      <c r="S153" s="2">
        <v>194826</v>
      </c>
      <c r="T153" s="2">
        <v>38.492999999998602</v>
      </c>
      <c r="U153" s="2"/>
      <c r="V153" s="5" t="s">
        <v>25</v>
      </c>
      <c r="W153" s="2">
        <v>194826</v>
      </c>
      <c r="X153" s="2">
        <v>2.4075061</v>
      </c>
      <c r="Y153" s="2" t="str">
        <f>IF(AND(Table1[[#This Row],[ORTools FZN1 Cost]]=Table1[[#This Row],[ORTools FZN2 Cost]],Table1[[#This Row],[ORTools FZN2 State]]="Optimal",Table1[[#This Row],[ORTools FZN1 State]]="Suboptimal"),1,"")</f>
        <v/>
      </c>
      <c r="Z153" s="5" t="s">
        <v>25</v>
      </c>
      <c r="AA153" s="2">
        <v>194826</v>
      </c>
      <c r="AB153" s="2">
        <v>3.3563700999999999</v>
      </c>
      <c r="AC153" s="39" t="s">
        <v>25</v>
      </c>
      <c r="AD153" s="39">
        <v>194826</v>
      </c>
      <c r="AE153" s="2">
        <v>183.1285001</v>
      </c>
      <c r="AF153" s="2" t="str">
        <f>IF(AND(Table1[[#This Row],[Cplex MB Cost]]=Table1[[#This Row],[ORTools FZN2 Cost]],Table1[[#This Row],[ORTools FZN2 State]]="Optimal",Table1[[#This Row],[Cplex MB State]]="Suboptimal"),1,"")</f>
        <v/>
      </c>
      <c r="AG153" s="4">
        <f>IF(AND(AC153="Optimal",AD153&lt;&gt;AA153,Table1[[#This Row],[Example]]&lt;&gt;"R001",Table1[[#This Row],[Example]]&lt;&gt;"R002"),AD153-AA153,)</f>
        <v>0</v>
      </c>
      <c r="AH153" s="5" t="s">
        <v>26</v>
      </c>
      <c r="AI153" s="2">
        <v>250744</v>
      </c>
      <c r="AJ153" s="2">
        <v>300.25349670000003</v>
      </c>
      <c r="AK153" s="2" t="str">
        <f>IF(AND(Table1[[#This Row],[Cplex MD Cost]]=Table1[[#This Row],[ORTools FZN2 Cost]],Table1[[#This Row],[ORTools FZN2 State]]="Optimal",Table1[[#This Row],[Cplex MD State]]="Suboptimal"),1,"")</f>
        <v/>
      </c>
      <c r="AL153" s="2">
        <f>IF(AND(AH153="Optimal",AI153&lt;&gt;AA153,Table1[[#This Row],[Example]]&lt;&gt;"R001",Table1[[#This Row],[Example]]&lt;&gt;"R002"),AI153-AA153,)</f>
        <v>0</v>
      </c>
      <c r="AM153" s="39" t="s">
        <v>26</v>
      </c>
      <c r="AN153" s="39">
        <v>194826</v>
      </c>
      <c r="AO153" s="2">
        <v>300.05842890000002</v>
      </c>
      <c r="AP15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3" s="4">
        <f>IF(AND(Table1[[#This Row],[Cplex MI Cost]]=Table1[[#This Row],[ORTools FZN2 Cost]],Table1[[#This Row],[ORTools FZN2 State]]="Optimal",Table1[[#This Row],[Cplex MI State]]="Suboptimal"),1,"")</f>
        <v>1</v>
      </c>
      <c r="AR153" s="5" t="s">
        <v>42</v>
      </c>
      <c r="AS153" s="2">
        <v>-27931</v>
      </c>
      <c r="AT153" s="2">
        <v>300.03936449999998</v>
      </c>
      <c r="AU153" s="2" t="str">
        <f>IF(AND(Table1[[#This Row],[Z3 SMT2-1 Maxres Cost]]=Table1[[#This Row],[ORTools FZN2 Cost]],Table1[[#This Row],[ORTools FZN2 State]]="Optimal"),1,"")</f>
        <v/>
      </c>
      <c r="AV153" s="39" t="s">
        <v>42</v>
      </c>
      <c r="AW153" s="39">
        <v>-27931</v>
      </c>
      <c r="AX153" s="2">
        <v>300.04732080000002</v>
      </c>
      <c r="AY153" s="2" t="str">
        <f>IF(AND(Table1[[#This Row],[Z3 SMT2-1 PdMaxres Cost]]=Table1[[#This Row],[ORTools FZN2 Cost]],Table1[[#This Row],[ORTools FZN2 State]]="Optimal"),1,"")</f>
        <v/>
      </c>
      <c r="AZ153" s="5" t="s">
        <v>42</v>
      </c>
      <c r="BA153" s="2">
        <v>-27931</v>
      </c>
      <c r="BB153" s="39">
        <v>300.21596820000002</v>
      </c>
      <c r="BC153" s="39" t="str">
        <f>IF(AND(Table1[[#This Row],[Z3 SMT2-1 WMax Cost]]=Table1[[#This Row],[ORTools FZN2 Cost]],Table1[[#This Row],[ORTools FZN2 State]]="Optimal"),1,"")</f>
        <v/>
      </c>
      <c r="BD153" s="39" t="s">
        <v>42</v>
      </c>
      <c r="BE153" s="39">
        <v>-27931</v>
      </c>
      <c r="BF153" s="2">
        <v>300.04649469999998</v>
      </c>
      <c r="BG153" s="2" t="str">
        <f>IF(AND(Table1[[#This Row],[Z3 SMT2-2 Maxres Cost]]=Table1[[#This Row],[ORTools FZN2 Cost]],Table1[[#This Row],[ORTools FZN2 State]]="Optimal"),1,"")</f>
        <v/>
      </c>
      <c r="BH153" s="5" t="s">
        <v>42</v>
      </c>
      <c r="BI153" s="2">
        <v>-27931</v>
      </c>
      <c r="BJ153" s="39">
        <v>300.04440540000002</v>
      </c>
      <c r="BK153" s="39" t="str">
        <f>IF(AND(Table1[[#This Row],[Z3 SMT2-2 PdMaxres Cost]]=Table1[[#This Row],[ORTools FZN2 Cost]],Table1[[#This Row],[ORTools FZN2 State]]="Optimal"),1,"")</f>
        <v/>
      </c>
      <c r="BL153" s="39" t="s">
        <v>42</v>
      </c>
      <c r="BM153" s="39">
        <v>-27931</v>
      </c>
      <c r="BN153" s="2">
        <v>300.03804220000001</v>
      </c>
      <c r="BO153" s="4" t="str">
        <f>IF(AND(Table1[[#This Row],[Z3 SMT2-2 PdMaxres Cost]]=Table1[[#This Row],[ORTools FZN2 Cost]],Table1[[#This Row],[ORTools FZN2 State]]="Optimal"),1,"")</f>
        <v/>
      </c>
      <c r="BP153" s="5" t="s">
        <v>25</v>
      </c>
      <c r="BQ153" s="2">
        <v>194826</v>
      </c>
      <c r="BR153" s="2">
        <v>33.969459999999998</v>
      </c>
      <c r="BS153" s="2" t="str">
        <f>IF(AND(Table1[[#This Row],[Gurobi MB Cost]]=Table1[[#This Row],[ORTools FZN2 Cost]],Table1[[#This Row],[ORTools FZN2 State]]="Optimal",Table1[[#This Row],[Gurobi MB State]]="Suboptimal"),1,"")</f>
        <v/>
      </c>
      <c r="BT15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3" s="12" t="s">
        <v>26</v>
      </c>
      <c r="BV153" s="12">
        <v>194826</v>
      </c>
      <c r="BW153" s="12">
        <v>300.06797979999999</v>
      </c>
      <c r="BX153" s="2">
        <f>IF(AND(Table1[[#This Row],[Gurobi MD Cost]]=Table1[[#This Row],[ORTools FZN2 Cost]],Table1[[#This Row],[ORTools FZN2 State]]="Optimal",Table1[[#This Row],[Gurobi MD State]]="Suboptimal"),1,"")</f>
        <v>1</v>
      </c>
      <c r="BY15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3" s="5" t="s">
        <v>25</v>
      </c>
      <c r="CA153" s="2">
        <v>194826</v>
      </c>
      <c r="CB153" s="2">
        <v>84.882767400000006</v>
      </c>
      <c r="CC153" s="2" t="str">
        <f>IF(AND(Table1[[#This Row],[Gurobi MI Cost]]=Table1[[#This Row],[ORTools FZN2 Cost]],Table1[[#This Row],[ORTools FZN2 State]]="Optimal",Table1[[#This Row],[Gurobi MI State]]="Suboptimal"),1,"")</f>
        <v/>
      </c>
      <c r="CD15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3" s="39" t="s">
        <v>42</v>
      </c>
      <c r="CF153" s="2">
        <v>-27931</v>
      </c>
      <c r="CG153" s="39">
        <v>306.0394579</v>
      </c>
      <c r="CH153" s="39" t="s">
        <v>42</v>
      </c>
      <c r="CI153" s="39">
        <v>-27931</v>
      </c>
      <c r="CJ153" s="2">
        <v>306.15184840000001</v>
      </c>
      <c r="CK153" s="5" t="s">
        <v>25</v>
      </c>
      <c r="CL153" s="2">
        <v>194826</v>
      </c>
      <c r="CM153" s="2">
        <v>10.171000000002101</v>
      </c>
      <c r="CN153" s="5" t="s">
        <v>25</v>
      </c>
      <c r="CO153" s="2">
        <v>194826</v>
      </c>
      <c r="CP153" s="2">
        <v>18.7138037</v>
      </c>
      <c r="CQ153" s="5" t="s">
        <v>25</v>
      </c>
      <c r="CR153" s="2">
        <v>194826</v>
      </c>
      <c r="CS153" s="2">
        <v>3.8751877000000001</v>
      </c>
      <c r="CT153" s="6" t="s">
        <v>25</v>
      </c>
      <c r="CU153" s="4">
        <v>194826</v>
      </c>
      <c r="CV153" s="4">
        <v>3.2970790999999999</v>
      </c>
      <c r="CW153" s="39" t="s">
        <v>25</v>
      </c>
      <c r="CX153" s="39">
        <v>194826</v>
      </c>
      <c r="CY153" s="2">
        <v>99.481200000000001</v>
      </c>
      <c r="CZ153" s="2" t="str">
        <f>IF(AND(Table1[[#This Row],[Cplex MZ1 Cost]]=Table1[[#This Row],[ORTools FZN2 Cost]],Table1[[#This Row],[ORTools FZN2 State]]="Optimal",Table1[[#This Row],[Cplex MZ1 State]]="Suboptimal"),1,"")</f>
        <v/>
      </c>
      <c r="DA153" s="5" t="s">
        <v>25</v>
      </c>
      <c r="DB153" s="2">
        <v>194826</v>
      </c>
      <c r="DC153" s="2">
        <v>40.656700000000001</v>
      </c>
      <c r="DD153" s="2" t="str">
        <f>IF(AND(Table1[[#This Row],[Cplex MZ2 Cost]]=Table1[[#This Row],[ORTools FZN2 Cost]],Table1[[#This Row],[ORTools FZN2 State]]="Optimal",Table1[[#This Row],[Cplex MZ2 State]]="Suboptimal"),1,"")</f>
        <v/>
      </c>
      <c r="DE153" s="39" t="s">
        <v>25</v>
      </c>
      <c r="DF153" s="39">
        <v>194826</v>
      </c>
      <c r="DG153" s="2">
        <v>140.28819999999999</v>
      </c>
      <c r="DH153" s="2" t="str">
        <f>IF(AND(Table1[[#This Row],[Gurobi MZ1 Cost]]=Table1[[#This Row],[ORTools FZN2 Cost]],Table1[[#This Row],[ORTools FZN2 State]]="Optimal",Table1[[#This Row],[Gurobi MZ1 State]]="Suboptimal"),1,"")</f>
        <v/>
      </c>
      <c r="DI153" s="5" t="s">
        <v>25</v>
      </c>
      <c r="DJ153" s="2">
        <v>194826</v>
      </c>
      <c r="DK153" s="2">
        <v>199.5522</v>
      </c>
      <c r="DL153" s="4" t="str">
        <f>IF(AND(Table1[[#This Row],[Gurobi MZ2 Cost]]=Table1[[#This Row],[ORTools FZN2 Cost]],Table1[[#This Row],[ORTools FZN2 State]]="Optimal",Table1[[#This Row],[Gurobi MZ2 State]]="Suboptimal"),1,"")</f>
        <v/>
      </c>
      <c r="DM153" s="39" t="s">
        <v>25</v>
      </c>
      <c r="DN153" s="39">
        <v>194826</v>
      </c>
      <c r="DO153" s="65">
        <v>15.1749999999992</v>
      </c>
      <c r="DP153" s="4" t="str">
        <f>IF(AND(Table1[[#This Row],[Cplex MC nonDual Cost]]=Table1[[#This Row],[ORTools FZN2 Cost]],Table1[[#This Row],[ORTools FZN2 State]]="Optimal",Table1[[#This Row],[Cplex MC nonDual State]]="Suboptimal"),1,"")</f>
        <v/>
      </c>
      <c r="DQ153" s="5" t="s">
        <v>25</v>
      </c>
      <c r="DR153" s="2">
        <v>194826</v>
      </c>
      <c r="DS153" s="2">
        <v>36.300600000000003</v>
      </c>
      <c r="DT153" s="2" t="str">
        <f>IF(AND(Table1[[#This Row],[Cplex MIP DM''z Cost]]=Table1[[#This Row],[ORTools FZN2 Cost]],Table1[[#This Row],[ORTools FZN2 State]]="Optimal",Table1[[#This Row],[Cplex MIP DM''z  State]]="Suboptimal"),1,"")</f>
        <v/>
      </c>
      <c r="DU15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3" s="5" t="s">
        <v>25</v>
      </c>
      <c r="DW153" s="2">
        <v>194826</v>
      </c>
      <c r="DX153" s="2">
        <v>210.5042</v>
      </c>
      <c r="DY153" s="4" t="str">
        <f>IF(AND(Table1[[#This Row],[Gurobi DM''z  Cost]]=Table1[[#This Row],[ORTools FZN2 Cost]],Table1[[#This Row],[ORTools FZN2 State]]="Optimal",Table1[[#This Row],[Gurobi DM''z  State]]="Suboptimal"),1,"")</f>
        <v/>
      </c>
      <c r="DZ15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4" spans="1:130" ht="15.75" x14ac:dyDescent="0.25">
      <c r="A154" s="46" t="s">
        <v>180</v>
      </c>
      <c r="B154" s="5">
        <v>48</v>
      </c>
      <c r="C154" s="2">
        <v>24</v>
      </c>
      <c r="D154" s="5">
        <v>222</v>
      </c>
      <c r="E154" s="2">
        <v>39</v>
      </c>
      <c r="F154" s="5">
        <v>37</v>
      </c>
      <c r="G154" s="2">
        <v>0</v>
      </c>
      <c r="H154" s="4">
        <f t="shared" si="2"/>
        <v>0</v>
      </c>
      <c r="I154" s="4">
        <f>Table1[[#This Row],[B]]+Table1[[#This Row],[Atomic Constraints]]+Table1[[#This Row],[Soft Atomic Constraints]]+Table1[[#This Row],[Disjunctive Constraints]]+Table1[[#This Row],[Direct Successors]]</f>
        <v>322</v>
      </c>
      <c r="J154" s="5" t="s">
        <v>26</v>
      </c>
      <c r="K154" s="2">
        <v>1789798</v>
      </c>
      <c r="L154" s="2">
        <v>301.92157650000001</v>
      </c>
      <c r="M154" s="2" t="str">
        <f>IF(AND(Table1[[#This Row],[Chuffed MZ1 Cost]]=Table1[[#This Row],[ORTools FZN2 Cost]],Table1[[#This Row],[ORTools FZN2 State]]="Optimal",Table1[[#This Row],[Chuffed MZ1 State]]="Suboptimal"),1,"")</f>
        <v/>
      </c>
      <c r="N154" s="5" t="s">
        <v>26</v>
      </c>
      <c r="O154" s="2">
        <v>1236837</v>
      </c>
      <c r="P154" s="2">
        <v>301.878333</v>
      </c>
      <c r="Q154" s="2" t="str">
        <f>IF(AND(Table1[[#This Row],[Chuffed MZ2 Cost]]=Table1[[#This Row],[ORTools FZN2 Cost]],Table1[[#This Row],[ORTools FZN2 State]]="Optimal",Table1[[#This Row],[Chuffed MZ2 State]]="Suboptimal"),1,"")</f>
        <v/>
      </c>
      <c r="R154" s="11" t="s">
        <v>26</v>
      </c>
      <c r="S154" s="11">
        <v>671241</v>
      </c>
      <c r="T154" s="11">
        <v>300.06099999999799</v>
      </c>
      <c r="U154" s="11">
        <v>1</v>
      </c>
      <c r="V154" s="5" t="s">
        <v>25</v>
      </c>
      <c r="W154" s="2">
        <v>671241</v>
      </c>
      <c r="X154" s="2">
        <v>30.7984902</v>
      </c>
      <c r="Y154" s="2" t="str">
        <f>IF(AND(Table1[[#This Row],[ORTools FZN1 Cost]]=Table1[[#This Row],[ORTools FZN2 Cost]],Table1[[#This Row],[ORTools FZN2 State]]="Optimal",Table1[[#This Row],[ORTools FZN1 State]]="Suboptimal"),1,"")</f>
        <v/>
      </c>
      <c r="Z154" s="5" t="s">
        <v>25</v>
      </c>
      <c r="AA154" s="2">
        <v>671241</v>
      </c>
      <c r="AB154" s="2">
        <v>42.432392200000002</v>
      </c>
      <c r="AC154" s="39" t="s">
        <v>42</v>
      </c>
      <c r="AD154" s="39">
        <v>-112945</v>
      </c>
      <c r="AE154" s="2">
        <v>300.10728840000002</v>
      </c>
      <c r="AF154" s="2" t="str">
        <f>IF(AND(Table1[[#This Row],[Cplex MB Cost]]=Table1[[#This Row],[ORTools FZN2 Cost]],Table1[[#This Row],[ORTools FZN2 State]]="Optimal",Table1[[#This Row],[Cplex MB State]]="Suboptimal"),1,"")</f>
        <v/>
      </c>
      <c r="AG154" s="4">
        <f>IF(AND(AC154="Optimal",AD154&lt;&gt;AA154,Table1[[#This Row],[Example]]&lt;&gt;"R001",Table1[[#This Row],[Example]]&lt;&gt;"R002"),AD154-AA154,)</f>
        <v>0</v>
      </c>
      <c r="AH154" s="5" t="s">
        <v>26</v>
      </c>
      <c r="AI154" s="2">
        <v>2252983</v>
      </c>
      <c r="AJ154" s="2">
        <v>300.13801590000003</v>
      </c>
      <c r="AK154" s="2" t="str">
        <f>IF(AND(Table1[[#This Row],[Cplex MD Cost]]=Table1[[#This Row],[ORTools FZN2 Cost]],Table1[[#This Row],[ORTools FZN2 State]]="Optimal",Table1[[#This Row],[Cplex MD State]]="Suboptimal"),1,"")</f>
        <v/>
      </c>
      <c r="AL154" s="4">
        <f>IF(AND(AH154="Optimal",AI154&lt;&gt;AA154,Table1[[#This Row],[Example]]&lt;&gt;"R001",Table1[[#This Row],[Example]]&lt;&gt;"R002"),AI154-AA154,)</f>
        <v>0</v>
      </c>
      <c r="AM154" s="39" t="s">
        <v>26</v>
      </c>
      <c r="AN154" s="39">
        <v>1907001</v>
      </c>
      <c r="AO154" s="2">
        <v>300.12484970000003</v>
      </c>
      <c r="AP15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4" s="4" t="str">
        <f>IF(AND(Table1[[#This Row],[Cplex MI Cost]]=Table1[[#This Row],[ORTools FZN2 Cost]],Table1[[#This Row],[ORTools FZN2 State]]="Optimal",Table1[[#This Row],[Cplex MI State]]="Suboptimal"),1,"")</f>
        <v/>
      </c>
      <c r="AR154" s="5" t="s">
        <v>42</v>
      </c>
      <c r="AS154" s="2">
        <v>-112945</v>
      </c>
      <c r="AT154" s="2">
        <v>300.10630270000001</v>
      </c>
      <c r="AU154" s="2" t="str">
        <f>IF(AND(Table1[[#This Row],[Z3 SMT2-1 Maxres Cost]]=Table1[[#This Row],[ORTools FZN2 Cost]],Table1[[#This Row],[ORTools FZN2 State]]="Optimal"),1,"")</f>
        <v/>
      </c>
      <c r="AV154" s="39" t="s">
        <v>42</v>
      </c>
      <c r="AW154" s="39">
        <v>-112945</v>
      </c>
      <c r="AX154" s="2">
        <v>300.06024330000002</v>
      </c>
      <c r="AY154" s="2" t="str">
        <f>IF(AND(Table1[[#This Row],[Z3 SMT2-1 PdMaxres Cost]]=Table1[[#This Row],[ORTools FZN2 Cost]],Table1[[#This Row],[ORTools FZN2 State]]="Optimal"),1,"")</f>
        <v/>
      </c>
      <c r="AZ154" s="5" t="s">
        <v>42</v>
      </c>
      <c r="BA154" s="2">
        <v>-112945</v>
      </c>
      <c r="BB154" s="39">
        <v>300.0681429</v>
      </c>
      <c r="BC154" s="39" t="str">
        <f>IF(AND(Table1[[#This Row],[Z3 SMT2-1 WMax Cost]]=Table1[[#This Row],[ORTools FZN2 Cost]],Table1[[#This Row],[ORTools FZN2 State]]="Optimal"),1,"")</f>
        <v/>
      </c>
      <c r="BD154" s="39" t="s">
        <v>42</v>
      </c>
      <c r="BE154" s="39">
        <v>-112945</v>
      </c>
      <c r="BF154" s="2">
        <v>300.07261010000002</v>
      </c>
      <c r="BG154" s="2" t="str">
        <f>IF(AND(Table1[[#This Row],[Z3 SMT2-2 Maxres Cost]]=Table1[[#This Row],[ORTools FZN2 Cost]],Table1[[#This Row],[ORTools FZN2 State]]="Optimal"),1,"")</f>
        <v/>
      </c>
      <c r="BH154" s="5" t="s">
        <v>42</v>
      </c>
      <c r="BI154" s="2">
        <v>-112945</v>
      </c>
      <c r="BJ154" s="39">
        <v>300.05143299999997</v>
      </c>
      <c r="BK154" s="39" t="str">
        <f>IF(AND(Table1[[#This Row],[Z3 SMT2-2 PdMaxres Cost]]=Table1[[#This Row],[ORTools FZN2 Cost]],Table1[[#This Row],[ORTools FZN2 State]]="Optimal"),1,"")</f>
        <v/>
      </c>
      <c r="BL154" s="39" t="s">
        <v>42</v>
      </c>
      <c r="BM154" s="39">
        <v>-112945</v>
      </c>
      <c r="BN154" s="2">
        <v>300.04327840000002</v>
      </c>
      <c r="BO154" s="4" t="str">
        <f>IF(AND(Table1[[#This Row],[Z3 SMT2-2 PdMaxres Cost]]=Table1[[#This Row],[ORTools FZN2 Cost]],Table1[[#This Row],[ORTools FZN2 State]]="Optimal"),1,"")</f>
        <v/>
      </c>
      <c r="BP154" s="5" t="s">
        <v>26</v>
      </c>
      <c r="BQ154" s="2">
        <v>894973</v>
      </c>
      <c r="BR154" s="2">
        <v>300.0986949</v>
      </c>
      <c r="BS154" s="2" t="str">
        <f>IF(AND(Table1[[#This Row],[Gurobi MB Cost]]=Table1[[#This Row],[ORTools FZN2 Cost]],Table1[[#This Row],[ORTools FZN2 State]]="Optimal",Table1[[#This Row],[Gurobi MB State]]="Suboptimal"),1,"")</f>
        <v/>
      </c>
      <c r="BT15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4" s="5" t="s">
        <v>42</v>
      </c>
      <c r="BV154" s="2">
        <v>-112945</v>
      </c>
      <c r="BW154" s="2">
        <v>300.12811219999998</v>
      </c>
      <c r="BX154" s="2" t="str">
        <f>IF(AND(Table1[[#This Row],[Gurobi MD Cost]]=Table1[[#This Row],[ORTools FZN2 Cost]],Table1[[#This Row],[ORTools FZN2 State]]="Optimal",Table1[[#This Row],[Gurobi MD State]]="Suboptimal"),1,"")</f>
        <v/>
      </c>
      <c r="BY15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4" s="5" t="s">
        <v>42</v>
      </c>
      <c r="CA154" s="2">
        <v>-112945</v>
      </c>
      <c r="CB154" s="2">
        <v>300.109713</v>
      </c>
      <c r="CC154" s="2" t="str">
        <f>IF(AND(Table1[[#This Row],[Gurobi MI Cost]]=Table1[[#This Row],[ORTools FZN2 Cost]],Table1[[#This Row],[ORTools FZN2 State]]="Optimal",Table1[[#This Row],[Gurobi MI State]]="Suboptimal"),1,"")</f>
        <v/>
      </c>
      <c r="CD15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4" s="39" t="s">
        <v>42</v>
      </c>
      <c r="CF154" s="2">
        <v>-112945</v>
      </c>
      <c r="CG154" s="39">
        <v>306.08328330000001</v>
      </c>
      <c r="CH154" s="39" t="s">
        <v>42</v>
      </c>
      <c r="CI154" s="39">
        <v>-112945</v>
      </c>
      <c r="CJ154" s="2">
        <v>306.03151550000001</v>
      </c>
      <c r="CK154" s="5" t="s">
        <v>26</v>
      </c>
      <c r="CL154" s="2">
        <v>671241</v>
      </c>
      <c r="CM154" s="2">
        <v>300.01900000000001</v>
      </c>
      <c r="CN154" s="5" t="s">
        <v>26</v>
      </c>
      <c r="CO154" s="2">
        <v>2455412</v>
      </c>
      <c r="CP154" s="2">
        <v>301.83573000000001</v>
      </c>
      <c r="CQ154" s="5" t="s">
        <v>25</v>
      </c>
      <c r="CR154" s="2">
        <v>671241</v>
      </c>
      <c r="CS154" s="2">
        <v>47.7331881</v>
      </c>
      <c r="CT154" s="6" t="s">
        <v>25</v>
      </c>
      <c r="CU154" s="4">
        <v>671241</v>
      </c>
      <c r="CV154" s="4">
        <v>22.980739199999999</v>
      </c>
      <c r="CW154" s="39" t="s">
        <v>42</v>
      </c>
      <c r="CX154" s="39"/>
      <c r="CY154" s="2">
        <v>300.0093</v>
      </c>
      <c r="CZ154" s="2" t="str">
        <f>IF(AND(Table1[[#This Row],[Cplex MZ1 Cost]]=Table1[[#This Row],[ORTools FZN2 Cost]],Table1[[#This Row],[ORTools FZN2 State]]="Optimal",Table1[[#This Row],[Cplex MZ1 State]]="Suboptimal"),1,"")</f>
        <v/>
      </c>
      <c r="DA154" s="5" t="s">
        <v>42</v>
      </c>
      <c r="DB154" s="2"/>
      <c r="DC154" s="2">
        <v>300.01440000000002</v>
      </c>
      <c r="DD154" s="2" t="str">
        <f>IF(AND(Table1[[#This Row],[Cplex MZ2 Cost]]=Table1[[#This Row],[ORTools FZN2 Cost]],Table1[[#This Row],[ORTools FZN2 State]]="Optimal",Table1[[#This Row],[Cplex MZ2 State]]="Suboptimal"),1,"")</f>
        <v/>
      </c>
      <c r="DE154" s="39" t="s">
        <v>42</v>
      </c>
      <c r="DF154" s="39"/>
      <c r="DG154" s="2">
        <v>300.00580000000002</v>
      </c>
      <c r="DH154" s="2" t="str">
        <f>IF(AND(Table1[[#This Row],[Gurobi MZ1 Cost]]=Table1[[#This Row],[ORTools FZN2 Cost]],Table1[[#This Row],[ORTools FZN2 State]]="Optimal",Table1[[#This Row],[Gurobi MZ1 State]]="Suboptimal"),1,"")</f>
        <v/>
      </c>
      <c r="DI154" s="5" t="s">
        <v>42</v>
      </c>
      <c r="DJ154" s="2"/>
      <c r="DK154" s="2">
        <v>300.005</v>
      </c>
      <c r="DL154" s="4" t="str">
        <f>IF(AND(Table1[[#This Row],[Gurobi MZ2 Cost]]=Table1[[#This Row],[ORTools FZN2 Cost]],Table1[[#This Row],[ORTools FZN2 State]]="Optimal",Table1[[#This Row],[Gurobi MZ2 State]]="Suboptimal"),1,"")</f>
        <v/>
      </c>
      <c r="DM154" s="39" t="s">
        <v>26</v>
      </c>
      <c r="DN154" s="12">
        <v>671241</v>
      </c>
      <c r="DO154" s="69">
        <v>300.078000000001</v>
      </c>
      <c r="DP154" s="11">
        <f>IF(AND(Table1[[#This Row],[Cplex MC nonDual Cost]]=Table1[[#This Row],[ORTools FZN2 Cost]],Table1[[#This Row],[ORTools FZN2 State]]="Optimal",Table1[[#This Row],[Cplex MC nonDual State]]="Suboptimal"),1,"")</f>
        <v>1</v>
      </c>
      <c r="DQ154" s="5" t="s">
        <v>26</v>
      </c>
      <c r="DR154" s="2">
        <v>1566016</v>
      </c>
      <c r="DS154" s="2">
        <v>300.0129</v>
      </c>
      <c r="DT154" s="2" t="str">
        <f>IF(AND(Table1[[#This Row],[Cplex MIP DM''z Cost]]=Table1[[#This Row],[ORTools FZN2 Cost]],Table1[[#This Row],[ORTools FZN2 State]]="Optimal",Table1[[#This Row],[Cplex MIP DM''z  State]]="Suboptimal"),1,"")</f>
        <v/>
      </c>
      <c r="DU15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4" s="5" t="s">
        <v>26</v>
      </c>
      <c r="DW154" s="2">
        <v>1900047</v>
      </c>
      <c r="DX154" s="2">
        <v>300.01589999999999</v>
      </c>
      <c r="DY154" s="4" t="str">
        <f>IF(AND(Table1[[#This Row],[Gurobi DM''z  Cost]]=Table1[[#This Row],[ORTools FZN2 Cost]],Table1[[#This Row],[ORTools FZN2 State]]="Optimal",Table1[[#This Row],[Gurobi DM''z  State]]="Suboptimal"),1,"")</f>
        <v/>
      </c>
      <c r="DZ15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5" spans="1:130" ht="15.75" x14ac:dyDescent="0.25">
      <c r="A155" s="47" t="s">
        <v>181</v>
      </c>
      <c r="B155" s="5">
        <v>28</v>
      </c>
      <c r="C155" s="2">
        <v>14</v>
      </c>
      <c r="D155" s="5">
        <v>38</v>
      </c>
      <c r="E155" s="2">
        <v>24</v>
      </c>
      <c r="F155" s="5">
        <v>28</v>
      </c>
      <c r="G155" s="2">
        <v>28</v>
      </c>
      <c r="H155" s="4">
        <f t="shared" si="2"/>
        <v>0</v>
      </c>
      <c r="I155" s="4">
        <f>Table1[[#This Row],[B]]+Table1[[#This Row],[Atomic Constraints]]+Table1[[#This Row],[Soft Atomic Constraints]]+Table1[[#This Row],[Disjunctive Constraints]]+Table1[[#This Row],[Direct Successors]]</f>
        <v>132</v>
      </c>
      <c r="J155" s="5" t="s">
        <v>25</v>
      </c>
      <c r="K155" s="2">
        <v>0</v>
      </c>
      <c r="L155" s="2">
        <v>1.3050554000000001</v>
      </c>
      <c r="M155" s="2" t="str">
        <f>IF(AND(Table1[[#This Row],[Chuffed MZ1 Cost]]=Table1[[#This Row],[ORTools FZN2 Cost]],Table1[[#This Row],[ORTools FZN2 State]]="Optimal",Table1[[#This Row],[Chuffed MZ1 State]]="Suboptimal"),1,"")</f>
        <v/>
      </c>
      <c r="N155" s="5" t="s">
        <v>25</v>
      </c>
      <c r="O155" s="2">
        <v>0</v>
      </c>
      <c r="P155" s="2">
        <v>1.7511702</v>
      </c>
      <c r="Q155" s="2" t="str">
        <f>IF(AND(Table1[[#This Row],[Chuffed MZ2 Cost]]=Table1[[#This Row],[ORTools FZN2 Cost]],Table1[[#This Row],[ORTools FZN2 State]]="Optimal",Table1[[#This Row],[Chuffed MZ2 State]]="Suboptimal"),1,"")</f>
        <v/>
      </c>
      <c r="R155" s="5" t="s">
        <v>25</v>
      </c>
      <c r="S155" s="2">
        <v>0</v>
      </c>
      <c r="T155" s="2">
        <v>0.33100000000195001</v>
      </c>
      <c r="U155" s="2"/>
      <c r="V155" s="5" t="s">
        <v>25</v>
      </c>
      <c r="W155" s="2">
        <v>0</v>
      </c>
      <c r="X155" s="2">
        <v>1.1732746000000001</v>
      </c>
      <c r="Y155" s="2" t="str">
        <f>IF(AND(Table1[[#This Row],[ORTools FZN1 Cost]]=Table1[[#This Row],[ORTools FZN2 Cost]],Table1[[#This Row],[ORTools FZN2 State]]="Optimal",Table1[[#This Row],[ORTools FZN1 State]]="Suboptimal"),1,"")</f>
        <v/>
      </c>
      <c r="Z155" s="5" t="s">
        <v>25</v>
      </c>
      <c r="AA155" s="2">
        <v>0</v>
      </c>
      <c r="AB155" s="2">
        <v>1.1959527999999999</v>
      </c>
      <c r="AC155" s="39" t="s">
        <v>25</v>
      </c>
      <c r="AD155" s="39">
        <v>0</v>
      </c>
      <c r="AE155" s="2">
        <v>6.9812645</v>
      </c>
      <c r="AF155" s="2" t="str">
        <f>IF(AND(Table1[[#This Row],[Cplex MB Cost]]=Table1[[#This Row],[ORTools FZN2 Cost]],Table1[[#This Row],[ORTools FZN2 State]]="Optimal",Table1[[#This Row],[Cplex MB State]]="Suboptimal"),1,"")</f>
        <v/>
      </c>
      <c r="AG155" s="4">
        <f>IF(AND(AC155="Optimal",AD155&lt;&gt;AA155,Table1[[#This Row],[Example]]&lt;&gt;"R001",Table1[[#This Row],[Example]]&lt;&gt;"R002"),AD155-AA155,)</f>
        <v>0</v>
      </c>
      <c r="AH155" s="5" t="s">
        <v>25</v>
      </c>
      <c r="AI155" s="2">
        <v>0</v>
      </c>
      <c r="AJ155" s="2">
        <v>8.2538847000000004</v>
      </c>
      <c r="AK155" s="2" t="str">
        <f>IF(AND(Table1[[#This Row],[Cplex MD Cost]]=Table1[[#This Row],[ORTools FZN2 Cost]],Table1[[#This Row],[ORTools FZN2 State]]="Optimal",Table1[[#This Row],[Cplex MD State]]="Suboptimal"),1,"")</f>
        <v/>
      </c>
      <c r="AL155" s="4">
        <f>IF(AND(AH155="Optimal",AI155&lt;&gt;AA155,Table1[[#This Row],[Example]]&lt;&gt;"R001",Table1[[#This Row],[Example]]&lt;&gt;"R002"),AI155-AA155,)</f>
        <v>0</v>
      </c>
      <c r="AM155" s="39" t="s">
        <v>25</v>
      </c>
      <c r="AN155" s="39">
        <v>0</v>
      </c>
      <c r="AO155" s="2">
        <v>1.6440192</v>
      </c>
      <c r="AP15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5" s="2" t="str">
        <f>IF(AND(Table1[[#This Row],[Cplex MI Cost]]=Table1[[#This Row],[ORTools FZN2 Cost]],Table1[[#This Row],[ORTools FZN2 State]]="Optimal",Table1[[#This Row],[Cplex MI State]]="Suboptimal"),1,"")</f>
        <v/>
      </c>
      <c r="AR155" s="12" t="s">
        <v>26</v>
      </c>
      <c r="AS155" s="12">
        <v>0</v>
      </c>
      <c r="AT155" s="12">
        <v>53.126370000000001</v>
      </c>
      <c r="AU155" s="12">
        <f>IF(AND(Table1[[#This Row],[Z3 SMT2-1 Maxres Cost]]=Table1[[#This Row],[ORTools FZN2 Cost]],Table1[[#This Row],[ORTools FZN2 State]]="Optimal"),1,"")</f>
        <v>1</v>
      </c>
      <c r="AV155" s="12" t="s">
        <v>26</v>
      </c>
      <c r="AW155" s="12">
        <v>0</v>
      </c>
      <c r="AX155" s="12">
        <v>53.2305013</v>
      </c>
      <c r="AY155" s="12">
        <f>IF(AND(Table1[[#This Row],[Z3 SMT2-1 PdMaxres Cost]]=Table1[[#This Row],[ORTools FZN2 Cost]],Table1[[#This Row],[ORTools FZN2 State]]="Optimal"),1,"")</f>
        <v>1</v>
      </c>
      <c r="AZ155" s="12" t="s">
        <v>26</v>
      </c>
      <c r="BA155" s="12">
        <v>0</v>
      </c>
      <c r="BB155" s="12">
        <v>60.936980800000001</v>
      </c>
      <c r="BC155" s="12">
        <f>IF(AND(Table1[[#This Row],[Z3 SMT2-1 WMax Cost]]=Table1[[#This Row],[ORTools FZN2 Cost]],Table1[[#This Row],[ORTools FZN2 State]]="Optimal"),1,"")</f>
        <v>1</v>
      </c>
      <c r="BD155" s="12" t="s">
        <v>26</v>
      </c>
      <c r="BE155" s="12">
        <v>0</v>
      </c>
      <c r="BF155" s="12">
        <v>25.963186100000001</v>
      </c>
      <c r="BG155" s="12">
        <f>IF(AND(Table1[[#This Row],[Z3 SMT2-2 Maxres Cost]]=Table1[[#This Row],[ORTools FZN2 Cost]],Table1[[#This Row],[ORTools FZN2 State]]="Optimal"),1,"")</f>
        <v>1</v>
      </c>
      <c r="BH155" s="12" t="s">
        <v>26</v>
      </c>
      <c r="BI155" s="12">
        <v>0</v>
      </c>
      <c r="BJ155" s="12">
        <v>25.919589500000001</v>
      </c>
      <c r="BK155" s="12">
        <f>IF(AND(Table1[[#This Row],[Z3 SMT2-2 PdMaxres Cost]]=Table1[[#This Row],[ORTools FZN2 Cost]],Table1[[#This Row],[ORTools FZN2 State]]="Optimal"),1,"")</f>
        <v>1</v>
      </c>
      <c r="BL155" s="12" t="s">
        <v>26</v>
      </c>
      <c r="BM155" s="12">
        <v>0</v>
      </c>
      <c r="BN155" s="12">
        <v>25.692571600000001</v>
      </c>
      <c r="BO155" s="11">
        <f>IF(AND(Table1[[#This Row],[Z3 SMT2-2 PdMaxres Cost]]=Table1[[#This Row],[ORTools FZN2 Cost]],Table1[[#This Row],[ORTools FZN2 State]]="Optimal"),1,"")</f>
        <v>1</v>
      </c>
      <c r="BP155" s="5" t="s">
        <v>25</v>
      </c>
      <c r="BQ155" s="2">
        <v>0</v>
      </c>
      <c r="BR155" s="2">
        <v>1.0771678</v>
      </c>
      <c r="BS155" s="2" t="str">
        <f>IF(AND(Table1[[#This Row],[Gurobi MB Cost]]=Table1[[#This Row],[ORTools FZN2 Cost]],Table1[[#This Row],[ORTools FZN2 State]]="Optimal",Table1[[#This Row],[Gurobi MB State]]="Suboptimal"),1,"")</f>
        <v/>
      </c>
      <c r="BT15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5" s="5" t="s">
        <v>25</v>
      </c>
      <c r="BV155" s="2">
        <v>0</v>
      </c>
      <c r="BW155" s="2">
        <v>20.151131199999998</v>
      </c>
      <c r="BX155" s="2" t="str">
        <f>IF(AND(Table1[[#This Row],[Gurobi MD Cost]]=Table1[[#This Row],[ORTools FZN2 Cost]],Table1[[#This Row],[ORTools FZN2 State]]="Optimal",Table1[[#This Row],[Gurobi MD State]]="Suboptimal"),1,"")</f>
        <v/>
      </c>
      <c r="BY15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5" s="5" t="s">
        <v>25</v>
      </c>
      <c r="CA155" s="2">
        <v>0</v>
      </c>
      <c r="CB155" s="2">
        <v>2.3368620999999998</v>
      </c>
      <c r="CC155" s="2" t="str">
        <f>IF(AND(Table1[[#This Row],[Gurobi MI Cost]]=Table1[[#This Row],[ORTools FZN2 Cost]],Table1[[#This Row],[ORTools FZN2 State]]="Optimal",Table1[[#This Row],[Gurobi MI State]]="Suboptimal"),1,"")</f>
        <v/>
      </c>
      <c r="CD15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5" s="39" t="s">
        <v>42</v>
      </c>
      <c r="CF155" s="2">
        <v>-22765</v>
      </c>
      <c r="CG155" s="39">
        <v>306.04626990000003</v>
      </c>
      <c r="CH155" s="39" t="s">
        <v>42</v>
      </c>
      <c r="CI155" s="39">
        <v>-22765</v>
      </c>
      <c r="CJ155" s="2">
        <v>306.08538959999998</v>
      </c>
      <c r="CK155" s="5" t="s">
        <v>25</v>
      </c>
      <c r="CL155" s="2">
        <v>0</v>
      </c>
      <c r="CM155" s="2">
        <v>0.31300000000192102</v>
      </c>
      <c r="CN155" s="5" t="s">
        <v>25</v>
      </c>
      <c r="CO155" s="2">
        <v>0</v>
      </c>
      <c r="CP155" s="2">
        <v>1.5841031000000001</v>
      </c>
      <c r="CQ155" s="5" t="s">
        <v>25</v>
      </c>
      <c r="CR155" s="2">
        <v>0</v>
      </c>
      <c r="CS155" s="2">
        <v>2.8694682</v>
      </c>
      <c r="CT155" s="6" t="s">
        <v>25</v>
      </c>
      <c r="CU155" s="4">
        <v>0</v>
      </c>
      <c r="CV155" s="4">
        <v>3.9246018</v>
      </c>
      <c r="CW155" s="39" t="s">
        <v>25</v>
      </c>
      <c r="CX155" s="39">
        <v>0</v>
      </c>
      <c r="CY155" s="2">
        <v>9.7190999999999992</v>
      </c>
      <c r="CZ155" s="2" t="str">
        <f>IF(AND(Table1[[#This Row],[Cplex MZ1 Cost]]=Table1[[#This Row],[ORTools FZN2 Cost]],Table1[[#This Row],[ORTools FZN2 State]]="Optimal",Table1[[#This Row],[Cplex MZ1 State]]="Suboptimal"),1,"")</f>
        <v/>
      </c>
      <c r="DA155" s="5" t="s">
        <v>25</v>
      </c>
      <c r="DB155" s="2">
        <v>0</v>
      </c>
      <c r="DC155" s="2">
        <v>3.7766000000000002</v>
      </c>
      <c r="DD155" s="2" t="str">
        <f>IF(AND(Table1[[#This Row],[Cplex MZ2 Cost]]=Table1[[#This Row],[ORTools FZN2 Cost]],Table1[[#This Row],[ORTools FZN2 State]]="Optimal",Table1[[#This Row],[Cplex MZ2 State]]="Suboptimal"),1,"")</f>
        <v/>
      </c>
      <c r="DE155" s="39" t="s">
        <v>25</v>
      </c>
      <c r="DF155" s="39">
        <v>0</v>
      </c>
      <c r="DG155" s="2">
        <v>9.5187000000000008</v>
      </c>
      <c r="DH155" s="2" t="str">
        <f>IF(AND(Table1[[#This Row],[Gurobi MZ1 Cost]]=Table1[[#This Row],[ORTools FZN2 Cost]],Table1[[#This Row],[ORTools FZN2 State]]="Optimal",Table1[[#This Row],[Gurobi MZ1 State]]="Suboptimal"),1,"")</f>
        <v/>
      </c>
      <c r="DI155" s="5" t="s">
        <v>25</v>
      </c>
      <c r="DJ155" s="2">
        <v>0</v>
      </c>
      <c r="DK155" s="2">
        <v>5.8582999999999998</v>
      </c>
      <c r="DL155" s="4" t="str">
        <f>IF(AND(Table1[[#This Row],[Gurobi MZ2 Cost]]=Table1[[#This Row],[ORTools FZN2 Cost]],Table1[[#This Row],[ORTools FZN2 State]]="Optimal",Table1[[#This Row],[Gurobi MZ2 State]]="Suboptimal"),1,"")</f>
        <v/>
      </c>
      <c r="DM155" s="39" t="s">
        <v>25</v>
      </c>
      <c r="DN155" s="39">
        <v>0</v>
      </c>
      <c r="DO155" s="65">
        <v>0.32300000000031998</v>
      </c>
      <c r="DP155" s="4" t="str">
        <f>IF(AND(Table1[[#This Row],[Cplex MC nonDual Cost]]=Table1[[#This Row],[ORTools FZN2 Cost]],Table1[[#This Row],[ORTools FZN2 State]]="Optimal",Table1[[#This Row],[Cplex MC nonDual State]]="Suboptimal"),1,"")</f>
        <v/>
      </c>
      <c r="DQ155" s="5" t="s">
        <v>25</v>
      </c>
      <c r="DR155" s="2">
        <v>0</v>
      </c>
      <c r="DS155" s="2">
        <v>3.4748000000000001</v>
      </c>
      <c r="DT155" s="2" t="str">
        <f>IF(AND(Table1[[#This Row],[Cplex MIP DM''z Cost]]=Table1[[#This Row],[ORTools FZN2 Cost]],Table1[[#This Row],[ORTools FZN2 State]]="Optimal",Table1[[#This Row],[Cplex MIP DM''z  State]]="Suboptimal"),1,"")</f>
        <v/>
      </c>
      <c r="DU15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5" s="5" t="s">
        <v>25</v>
      </c>
      <c r="DW155" s="2">
        <v>0</v>
      </c>
      <c r="DX155" s="2">
        <v>36.454000000000001</v>
      </c>
      <c r="DY155" s="4" t="str">
        <f>IF(AND(Table1[[#This Row],[Gurobi DM''z  Cost]]=Table1[[#This Row],[ORTools FZN2 Cost]],Table1[[#This Row],[ORTools FZN2 State]]="Optimal",Table1[[#This Row],[Gurobi DM''z  State]]="Suboptimal"),1,"")</f>
        <v/>
      </c>
      <c r="DZ15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6" spans="1:130" ht="15.75" x14ac:dyDescent="0.25">
      <c r="A156" s="46" t="s">
        <v>182</v>
      </c>
      <c r="B156" s="5">
        <v>34</v>
      </c>
      <c r="C156" s="2">
        <v>17</v>
      </c>
      <c r="D156" s="5">
        <v>59</v>
      </c>
      <c r="E156" s="2">
        <v>30</v>
      </c>
      <c r="F156" s="5">
        <v>26</v>
      </c>
      <c r="G156" s="2">
        <v>0</v>
      </c>
      <c r="H156" s="4">
        <f t="shared" si="2"/>
        <v>0</v>
      </c>
      <c r="I156" s="4">
        <f>Table1[[#This Row],[B]]+Table1[[#This Row],[Atomic Constraints]]+Table1[[#This Row],[Soft Atomic Constraints]]+Table1[[#This Row],[Disjunctive Constraints]]+Table1[[#This Row],[Direct Successors]]</f>
        <v>132</v>
      </c>
      <c r="J156" s="5" t="s">
        <v>25</v>
      </c>
      <c r="K156" s="2">
        <v>0</v>
      </c>
      <c r="L156" s="2">
        <v>2.2742981000000002</v>
      </c>
      <c r="M156" s="2" t="str">
        <f>IF(AND(Table1[[#This Row],[Chuffed MZ1 Cost]]=Table1[[#This Row],[ORTools FZN2 Cost]],Table1[[#This Row],[ORTools FZN2 State]]="Optimal",Table1[[#This Row],[Chuffed MZ1 State]]="Suboptimal"),1,"")</f>
        <v/>
      </c>
      <c r="N156" s="5" t="s">
        <v>25</v>
      </c>
      <c r="O156" s="2">
        <v>0</v>
      </c>
      <c r="P156" s="2">
        <v>3.5557975000000002</v>
      </c>
      <c r="Q156" s="2" t="str">
        <f>IF(AND(Table1[[#This Row],[Chuffed MZ2 Cost]]=Table1[[#This Row],[ORTools FZN2 Cost]],Table1[[#This Row],[ORTools FZN2 State]]="Optimal",Table1[[#This Row],[Chuffed MZ2 State]]="Suboptimal"),1,"")</f>
        <v/>
      </c>
      <c r="R156" s="5" t="s">
        <v>25</v>
      </c>
      <c r="S156" s="2">
        <v>0</v>
      </c>
      <c r="T156" s="2">
        <v>0.281000000002678</v>
      </c>
      <c r="U156" s="2"/>
      <c r="V156" s="5" t="s">
        <v>25</v>
      </c>
      <c r="W156" s="2">
        <v>0</v>
      </c>
      <c r="X156" s="2">
        <v>3.6349532</v>
      </c>
      <c r="Y156" s="2" t="str">
        <f>IF(AND(Table1[[#This Row],[ORTools FZN1 Cost]]=Table1[[#This Row],[ORTools FZN2 Cost]],Table1[[#This Row],[ORTools FZN2 State]]="Optimal",Table1[[#This Row],[ORTools FZN1 State]]="Suboptimal"),1,"")</f>
        <v/>
      </c>
      <c r="Z156" s="5" t="s">
        <v>25</v>
      </c>
      <c r="AA156" s="2">
        <v>0</v>
      </c>
      <c r="AB156" s="2">
        <v>3.3306943000000002</v>
      </c>
      <c r="AC156" s="39" t="s">
        <v>25</v>
      </c>
      <c r="AD156" s="39">
        <v>0</v>
      </c>
      <c r="AE156" s="2">
        <v>32.2009319</v>
      </c>
      <c r="AF156" s="2" t="str">
        <f>IF(AND(Table1[[#This Row],[Cplex MB Cost]]=Table1[[#This Row],[ORTools FZN2 Cost]],Table1[[#This Row],[ORTools FZN2 State]]="Optimal",Table1[[#This Row],[Cplex MB State]]="Suboptimal"),1,"")</f>
        <v/>
      </c>
      <c r="AG156" s="4">
        <f>IF(AND(AC156="Optimal",AD156&lt;&gt;AA156,Table1[[#This Row],[Example]]&lt;&gt;"R001",Table1[[#This Row],[Example]]&lt;&gt;"R002"),AD156-AA156,)</f>
        <v>0</v>
      </c>
      <c r="AH156" s="5" t="s">
        <v>25</v>
      </c>
      <c r="AI156" s="2">
        <v>0</v>
      </c>
      <c r="AJ156" s="2">
        <v>197.7084371</v>
      </c>
      <c r="AK156" s="2" t="str">
        <f>IF(AND(Table1[[#This Row],[Cplex MD Cost]]=Table1[[#This Row],[ORTools FZN2 Cost]],Table1[[#This Row],[ORTools FZN2 State]]="Optimal",Table1[[#This Row],[Cplex MD State]]="Suboptimal"),1,"")</f>
        <v/>
      </c>
      <c r="AL156" s="2">
        <f>IF(AND(AH156="Optimal",AI156&lt;&gt;AA156,Table1[[#This Row],[Example]]&lt;&gt;"R001",Table1[[#This Row],[Example]]&lt;&gt;"R002"),AI156-AA156,)</f>
        <v>0</v>
      </c>
      <c r="AM156" s="39" t="s">
        <v>25</v>
      </c>
      <c r="AN156" s="39">
        <v>0</v>
      </c>
      <c r="AO156" s="2">
        <v>3.4516724999999999</v>
      </c>
      <c r="AP15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6" s="4" t="str">
        <f>IF(AND(Table1[[#This Row],[Cplex MI Cost]]=Table1[[#This Row],[ORTools FZN2 Cost]],Table1[[#This Row],[ORTools FZN2 State]]="Optimal",Table1[[#This Row],[Cplex MI State]]="Suboptimal"),1,"")</f>
        <v/>
      </c>
      <c r="AR156" s="5" t="s">
        <v>42</v>
      </c>
      <c r="AS156" s="2">
        <v>-40495</v>
      </c>
      <c r="AT156" s="2">
        <v>300.04367780000001</v>
      </c>
      <c r="AU156" s="2" t="str">
        <f>IF(AND(Table1[[#This Row],[Z3 SMT2-1 Maxres Cost]]=Table1[[#This Row],[ORTools FZN2 Cost]],Table1[[#This Row],[ORTools FZN2 State]]="Optimal"),1,"")</f>
        <v/>
      </c>
      <c r="AV156" s="39" t="s">
        <v>42</v>
      </c>
      <c r="AW156" s="39">
        <v>-40495</v>
      </c>
      <c r="AX156" s="2">
        <v>300.04012030000001</v>
      </c>
      <c r="AY156" s="2" t="str">
        <f>IF(AND(Table1[[#This Row],[Z3 SMT2-1 PdMaxres Cost]]=Table1[[#This Row],[ORTools FZN2 Cost]],Table1[[#This Row],[ORTools FZN2 State]]="Optimal"),1,"")</f>
        <v/>
      </c>
      <c r="AZ156" s="5" t="s">
        <v>42</v>
      </c>
      <c r="BA156" s="2">
        <v>-40495</v>
      </c>
      <c r="BB156" s="39">
        <v>300.08835859999999</v>
      </c>
      <c r="BC156" s="39" t="str">
        <f>IF(AND(Table1[[#This Row],[Z3 SMT2-1 WMax Cost]]=Table1[[#This Row],[ORTools FZN2 Cost]],Table1[[#This Row],[ORTools FZN2 State]]="Optimal"),1,"")</f>
        <v/>
      </c>
      <c r="BD156" s="12" t="s">
        <v>26</v>
      </c>
      <c r="BE156" s="12">
        <v>0</v>
      </c>
      <c r="BF156" s="12">
        <v>286.63751020000001</v>
      </c>
      <c r="BG156" s="12">
        <f>IF(AND(Table1[[#This Row],[Z3 SMT2-2 Maxres Cost]]=Table1[[#This Row],[ORTools FZN2 Cost]],Table1[[#This Row],[ORTools FZN2 State]]="Optimal"),1,"")</f>
        <v>1</v>
      </c>
      <c r="BH156" s="12" t="s">
        <v>26</v>
      </c>
      <c r="BI156" s="12">
        <v>0</v>
      </c>
      <c r="BJ156" s="12">
        <v>284.93691890000002</v>
      </c>
      <c r="BK156" s="12">
        <f>IF(AND(Table1[[#This Row],[Z3 SMT2-2 PdMaxres Cost]]=Table1[[#This Row],[ORTools FZN2 Cost]],Table1[[#This Row],[ORTools FZN2 State]]="Optimal"),1,"")</f>
        <v>1</v>
      </c>
      <c r="BL156" s="12" t="s">
        <v>26</v>
      </c>
      <c r="BM156" s="12">
        <v>0</v>
      </c>
      <c r="BN156" s="12">
        <v>284.02391720000003</v>
      </c>
      <c r="BO156" s="11">
        <f>IF(AND(Table1[[#This Row],[Z3 SMT2-2 PdMaxres Cost]]=Table1[[#This Row],[ORTools FZN2 Cost]],Table1[[#This Row],[ORTools FZN2 State]]="Optimal"),1,"")</f>
        <v>1</v>
      </c>
      <c r="BP156" s="5" t="s">
        <v>25</v>
      </c>
      <c r="BQ156" s="2">
        <v>0</v>
      </c>
      <c r="BR156" s="2">
        <v>13.379904399999999</v>
      </c>
      <c r="BS156" s="2" t="str">
        <f>IF(AND(Table1[[#This Row],[Gurobi MB Cost]]=Table1[[#This Row],[ORTools FZN2 Cost]],Table1[[#This Row],[ORTools FZN2 State]]="Optimal",Table1[[#This Row],[Gurobi MB State]]="Suboptimal"),1,"")</f>
        <v/>
      </c>
      <c r="BT15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6" s="5" t="s">
        <v>25</v>
      </c>
      <c r="BV156" s="2">
        <v>0</v>
      </c>
      <c r="BW156" s="2">
        <v>74.641357499999998</v>
      </c>
      <c r="BX156" s="2" t="str">
        <f>IF(AND(Table1[[#This Row],[Gurobi MD Cost]]=Table1[[#This Row],[ORTools FZN2 Cost]],Table1[[#This Row],[ORTools FZN2 State]]="Optimal",Table1[[#This Row],[Gurobi MD State]]="Suboptimal"),1,"")</f>
        <v/>
      </c>
      <c r="BY15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6" s="5" t="s">
        <v>25</v>
      </c>
      <c r="CA156" s="2">
        <v>0</v>
      </c>
      <c r="CB156" s="2">
        <v>27.430269500000001</v>
      </c>
      <c r="CC156" s="2" t="str">
        <f>IF(AND(Table1[[#This Row],[Gurobi MI Cost]]=Table1[[#This Row],[ORTools FZN2 Cost]],Table1[[#This Row],[ORTools FZN2 State]]="Optimal",Table1[[#This Row],[Gurobi MI State]]="Suboptimal"),1,"")</f>
        <v/>
      </c>
      <c r="CD15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6" s="39" t="s">
        <v>42</v>
      </c>
      <c r="CF156" s="2">
        <v>-40495</v>
      </c>
      <c r="CG156" s="39">
        <v>306.094764</v>
      </c>
      <c r="CH156" s="39" t="s">
        <v>42</v>
      </c>
      <c r="CI156" s="39">
        <v>-40495</v>
      </c>
      <c r="CJ156" s="2">
        <v>306.0450434</v>
      </c>
      <c r="CK156" s="5" t="s">
        <v>25</v>
      </c>
      <c r="CL156" s="2">
        <v>0</v>
      </c>
      <c r="CM156" s="2">
        <v>0.26499999999941798</v>
      </c>
      <c r="CN156" s="5" t="s">
        <v>25</v>
      </c>
      <c r="CO156" s="2">
        <v>0</v>
      </c>
      <c r="CP156" s="2">
        <v>133.9552869</v>
      </c>
      <c r="CQ156" s="5" t="s">
        <v>25</v>
      </c>
      <c r="CR156" s="2">
        <v>0</v>
      </c>
      <c r="CS156" s="2">
        <v>5.7339504999999997</v>
      </c>
      <c r="CT156" s="6" t="s">
        <v>25</v>
      </c>
      <c r="CU156" s="4">
        <v>0</v>
      </c>
      <c r="CV156" s="4">
        <v>6.8481950999999999</v>
      </c>
      <c r="CW156" s="39" t="s">
        <v>25</v>
      </c>
      <c r="CX156" s="39">
        <v>0</v>
      </c>
      <c r="CY156" s="2">
        <v>234.57310000000001</v>
      </c>
      <c r="CZ156" s="2" t="str">
        <f>IF(AND(Table1[[#This Row],[Cplex MZ1 Cost]]=Table1[[#This Row],[ORTools FZN2 Cost]],Table1[[#This Row],[ORTools FZN2 State]]="Optimal",Table1[[#This Row],[Cplex MZ1 State]]="Suboptimal"),1,"")</f>
        <v/>
      </c>
      <c r="DA156" s="5" t="s">
        <v>25</v>
      </c>
      <c r="DB156" s="2">
        <v>0</v>
      </c>
      <c r="DC156" s="2">
        <v>70.296999999999997</v>
      </c>
      <c r="DD156" s="2" t="str">
        <f>IF(AND(Table1[[#This Row],[Cplex MZ2 Cost]]=Table1[[#This Row],[ORTools FZN2 Cost]],Table1[[#This Row],[ORTools FZN2 State]]="Optimal",Table1[[#This Row],[Cplex MZ2 State]]="Suboptimal"),1,"")</f>
        <v/>
      </c>
      <c r="DE156" s="39" t="s">
        <v>25</v>
      </c>
      <c r="DF156" s="39">
        <v>0</v>
      </c>
      <c r="DG156" s="2">
        <v>144.29069999999999</v>
      </c>
      <c r="DH156" s="2" t="str">
        <f>IF(AND(Table1[[#This Row],[Gurobi MZ1 Cost]]=Table1[[#This Row],[ORTools FZN2 Cost]],Table1[[#This Row],[ORTools FZN2 State]]="Optimal",Table1[[#This Row],[Gurobi MZ1 State]]="Suboptimal"),1,"")</f>
        <v/>
      </c>
      <c r="DI156" s="5" t="s">
        <v>25</v>
      </c>
      <c r="DJ156" s="2">
        <v>0</v>
      </c>
      <c r="DK156" s="2">
        <v>110.7086</v>
      </c>
      <c r="DL156" s="4" t="str">
        <f>IF(AND(Table1[[#This Row],[Gurobi MZ2 Cost]]=Table1[[#This Row],[ORTools FZN2 Cost]],Table1[[#This Row],[ORTools FZN2 State]]="Optimal",Table1[[#This Row],[Gurobi MZ2 State]]="Suboptimal"),1,"")</f>
        <v/>
      </c>
      <c r="DM156" s="39" t="s">
        <v>25</v>
      </c>
      <c r="DN156" s="39">
        <v>0</v>
      </c>
      <c r="DO156" s="65">
        <v>0.87300000000322997</v>
      </c>
      <c r="DP156" s="4" t="str">
        <f>IF(AND(Table1[[#This Row],[Cplex MC nonDual Cost]]=Table1[[#This Row],[ORTools FZN2 Cost]],Table1[[#This Row],[ORTools FZN2 State]]="Optimal",Table1[[#This Row],[Cplex MC nonDual State]]="Suboptimal"),1,"")</f>
        <v/>
      </c>
      <c r="DQ156" s="5" t="s">
        <v>25</v>
      </c>
      <c r="DR156" s="2">
        <v>0</v>
      </c>
      <c r="DS156" s="2">
        <v>47.249699999999997</v>
      </c>
      <c r="DT156" s="2" t="str">
        <f>IF(AND(Table1[[#This Row],[Cplex MIP DM''z Cost]]=Table1[[#This Row],[ORTools FZN2 Cost]],Table1[[#This Row],[ORTools FZN2 State]]="Optimal",Table1[[#This Row],[Cplex MIP DM''z  State]]="Suboptimal"),1,"")</f>
        <v/>
      </c>
      <c r="DU15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6" s="5" t="s">
        <v>25</v>
      </c>
      <c r="DW156" s="2">
        <v>0</v>
      </c>
      <c r="DX156" s="2">
        <v>131.64580000000001</v>
      </c>
      <c r="DY156" s="4" t="str">
        <f>IF(AND(Table1[[#This Row],[Gurobi DM''z  Cost]]=Table1[[#This Row],[ORTools FZN2 Cost]],Table1[[#This Row],[ORTools FZN2 State]]="Optimal",Table1[[#This Row],[Gurobi DM''z  State]]="Suboptimal"),1,"")</f>
        <v/>
      </c>
      <c r="DZ15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7" spans="1:130" ht="15.75" x14ac:dyDescent="0.25">
      <c r="A157" s="47" t="s">
        <v>183</v>
      </c>
      <c r="B157" s="5">
        <v>12</v>
      </c>
      <c r="C157" s="2">
        <v>6</v>
      </c>
      <c r="D157" s="5">
        <v>7</v>
      </c>
      <c r="E157" s="2">
        <v>9</v>
      </c>
      <c r="F157" s="5">
        <v>4</v>
      </c>
      <c r="G157" s="2">
        <v>0</v>
      </c>
      <c r="H157" s="4">
        <f t="shared" si="2"/>
        <v>0</v>
      </c>
      <c r="I157" s="4">
        <f>Table1[[#This Row],[B]]+Table1[[#This Row],[Atomic Constraints]]+Table1[[#This Row],[Soft Atomic Constraints]]+Table1[[#This Row],[Disjunctive Constraints]]+Table1[[#This Row],[Direct Successors]]</f>
        <v>26</v>
      </c>
      <c r="J157" s="5" t="s">
        <v>25</v>
      </c>
      <c r="K157" s="2">
        <v>2</v>
      </c>
      <c r="L157" s="2">
        <v>0.66562319999999997</v>
      </c>
      <c r="M157" s="2" t="str">
        <f>IF(AND(Table1[[#This Row],[Chuffed MZ1 Cost]]=Table1[[#This Row],[ORTools FZN2 Cost]],Table1[[#This Row],[ORTools FZN2 State]]="Optimal",Table1[[#This Row],[Chuffed MZ1 State]]="Suboptimal"),1,"")</f>
        <v/>
      </c>
      <c r="N157" s="5" t="s">
        <v>25</v>
      </c>
      <c r="O157" s="2">
        <v>2</v>
      </c>
      <c r="P157" s="2">
        <v>0.65333090000000005</v>
      </c>
      <c r="Q157" s="2" t="str">
        <f>IF(AND(Table1[[#This Row],[Chuffed MZ2 Cost]]=Table1[[#This Row],[ORTools FZN2 Cost]],Table1[[#This Row],[ORTools FZN2 State]]="Optimal",Table1[[#This Row],[Chuffed MZ2 State]]="Suboptimal"),1,"")</f>
        <v/>
      </c>
      <c r="R157" s="5" t="s">
        <v>25</v>
      </c>
      <c r="S157" s="2">
        <v>2</v>
      </c>
      <c r="T157" s="2">
        <v>7.2000000000116401E-2</v>
      </c>
      <c r="U157" s="2"/>
      <c r="V157" s="5" t="s">
        <v>25</v>
      </c>
      <c r="W157" s="2">
        <v>2</v>
      </c>
      <c r="X157" s="2">
        <v>0.1942371</v>
      </c>
      <c r="Y157" s="2" t="str">
        <f>IF(AND(Table1[[#This Row],[ORTools FZN1 Cost]]=Table1[[#This Row],[ORTools FZN2 Cost]],Table1[[#This Row],[ORTools FZN2 State]]="Optimal",Table1[[#This Row],[ORTools FZN1 State]]="Suboptimal"),1,"")</f>
        <v/>
      </c>
      <c r="Z157" s="5" t="s">
        <v>25</v>
      </c>
      <c r="AA157" s="2">
        <v>2</v>
      </c>
      <c r="AB157" s="2">
        <v>0.19943050000000001</v>
      </c>
      <c r="AC157" s="39" t="s">
        <v>25</v>
      </c>
      <c r="AD157" s="39">
        <v>2</v>
      </c>
      <c r="AE157" s="2">
        <v>0.45316840000000003</v>
      </c>
      <c r="AF157" s="2" t="str">
        <f>IF(AND(Table1[[#This Row],[Cplex MB Cost]]=Table1[[#This Row],[ORTools FZN2 Cost]],Table1[[#This Row],[ORTools FZN2 State]]="Optimal",Table1[[#This Row],[Cplex MB State]]="Suboptimal"),1,"")</f>
        <v/>
      </c>
      <c r="AG157" s="4">
        <f>IF(AND(AC157="Optimal",AD157&lt;&gt;AA157,Table1[[#This Row],[Example]]&lt;&gt;"R001",Table1[[#This Row],[Example]]&lt;&gt;"R002"),AD157-AA157,)</f>
        <v>0</v>
      </c>
      <c r="AH157" s="5" t="s">
        <v>25</v>
      </c>
      <c r="AI157" s="2">
        <v>2</v>
      </c>
      <c r="AJ157" s="2">
        <v>1.5058693000000001</v>
      </c>
      <c r="AK157" s="2" t="str">
        <f>IF(AND(Table1[[#This Row],[Cplex MD Cost]]=Table1[[#This Row],[ORTools FZN2 Cost]],Table1[[#This Row],[ORTools FZN2 State]]="Optimal",Table1[[#This Row],[Cplex MD State]]="Suboptimal"),1,"")</f>
        <v/>
      </c>
      <c r="AL157" s="4">
        <f>IF(AND(AH157="Optimal",AI157&lt;&gt;AA157,Table1[[#This Row],[Example]]&lt;&gt;"R001",Table1[[#This Row],[Example]]&lt;&gt;"R002"),AI157-AA157,)</f>
        <v>0</v>
      </c>
      <c r="AM157" s="39" t="s">
        <v>25</v>
      </c>
      <c r="AN157" s="39">
        <v>2</v>
      </c>
      <c r="AO157" s="2">
        <v>0.18757070000000001</v>
      </c>
      <c r="AP15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7" s="2" t="str">
        <f>IF(AND(Table1[[#This Row],[Cplex MI Cost]]=Table1[[#This Row],[ORTools FZN2 Cost]],Table1[[#This Row],[ORTools FZN2 State]]="Optimal",Table1[[#This Row],[Cplex MI State]]="Suboptimal"),1,"")</f>
        <v/>
      </c>
      <c r="AR157" s="12" t="s">
        <v>26</v>
      </c>
      <c r="AS157" s="12">
        <v>2</v>
      </c>
      <c r="AT157" s="12">
        <v>1.2075800999999999</v>
      </c>
      <c r="AU157" s="12">
        <f>IF(AND(Table1[[#This Row],[Z3 SMT2-1 Maxres Cost]]=Table1[[#This Row],[ORTools FZN2 Cost]],Table1[[#This Row],[ORTools FZN2 State]]="Optimal"),1,"")</f>
        <v>1</v>
      </c>
      <c r="AV157" s="12" t="s">
        <v>26</v>
      </c>
      <c r="AW157" s="12">
        <v>2</v>
      </c>
      <c r="AX157" s="12">
        <v>1.2091643000000001</v>
      </c>
      <c r="AY157" s="12">
        <f>IF(AND(Table1[[#This Row],[Z3 SMT2-1 PdMaxres Cost]]=Table1[[#This Row],[ORTools FZN2 Cost]],Table1[[#This Row],[ORTools FZN2 State]]="Optimal"),1,"")</f>
        <v>1</v>
      </c>
      <c r="AZ157" s="12" t="s">
        <v>26</v>
      </c>
      <c r="BA157" s="12">
        <v>2</v>
      </c>
      <c r="BB157" s="12">
        <v>1.3733157</v>
      </c>
      <c r="BC157" s="12">
        <f>IF(AND(Table1[[#This Row],[Z3 SMT2-1 WMax Cost]]=Table1[[#This Row],[ORTools FZN2 Cost]],Table1[[#This Row],[ORTools FZN2 State]]="Optimal"),1,"")</f>
        <v>1</v>
      </c>
      <c r="BD157" s="12" t="s">
        <v>26</v>
      </c>
      <c r="BE157" s="12">
        <v>2</v>
      </c>
      <c r="BF157" s="12">
        <v>1.1293252</v>
      </c>
      <c r="BG157" s="12">
        <f>IF(AND(Table1[[#This Row],[Z3 SMT2-2 Maxres Cost]]=Table1[[#This Row],[ORTools FZN2 Cost]],Table1[[#This Row],[ORTools FZN2 State]]="Optimal"),1,"")</f>
        <v>1</v>
      </c>
      <c r="BH157" s="12" t="s">
        <v>26</v>
      </c>
      <c r="BI157" s="12">
        <v>2</v>
      </c>
      <c r="BJ157" s="12">
        <v>1.1202109</v>
      </c>
      <c r="BK157" s="12">
        <f>IF(AND(Table1[[#This Row],[Z3 SMT2-2 PdMaxres Cost]]=Table1[[#This Row],[ORTools FZN2 Cost]],Table1[[#This Row],[ORTools FZN2 State]]="Optimal"),1,"")</f>
        <v>1</v>
      </c>
      <c r="BL157" s="12" t="s">
        <v>26</v>
      </c>
      <c r="BM157" s="12">
        <v>2</v>
      </c>
      <c r="BN157" s="12">
        <v>1.169265</v>
      </c>
      <c r="BO157" s="11">
        <f>IF(AND(Table1[[#This Row],[Z3 SMT2-2 PdMaxres Cost]]=Table1[[#This Row],[ORTools FZN2 Cost]],Table1[[#This Row],[ORTools FZN2 State]]="Optimal"),1,"")</f>
        <v>1</v>
      </c>
      <c r="BP157" s="5" t="s">
        <v>25</v>
      </c>
      <c r="BQ157" s="2">
        <v>2</v>
      </c>
      <c r="BR157" s="2">
        <v>0.41749920000000001</v>
      </c>
      <c r="BS157" s="2" t="str">
        <f>IF(AND(Table1[[#This Row],[Gurobi MB Cost]]=Table1[[#This Row],[ORTools FZN2 Cost]],Table1[[#This Row],[ORTools FZN2 State]]="Optimal",Table1[[#This Row],[Gurobi MB State]]="Suboptimal"),1,"")</f>
        <v/>
      </c>
      <c r="BT15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7" s="5" t="s">
        <v>25</v>
      </c>
      <c r="BV157" s="2">
        <v>2</v>
      </c>
      <c r="BW157" s="2">
        <v>2.5124941999999999</v>
      </c>
      <c r="BX157" s="2" t="str">
        <f>IF(AND(Table1[[#This Row],[Gurobi MD Cost]]=Table1[[#This Row],[ORTools FZN2 Cost]],Table1[[#This Row],[ORTools FZN2 State]]="Optimal",Table1[[#This Row],[Gurobi MD State]]="Suboptimal"),1,"")</f>
        <v/>
      </c>
      <c r="BY15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7" s="5" t="s">
        <v>25</v>
      </c>
      <c r="CA157" s="2">
        <v>2</v>
      </c>
      <c r="CB157" s="2">
        <v>0.40711530000000001</v>
      </c>
      <c r="CC157" s="2" t="str">
        <f>IF(AND(Table1[[#This Row],[Gurobi MI Cost]]=Table1[[#This Row],[ORTools FZN2 Cost]],Table1[[#This Row],[ORTools FZN2 State]]="Optimal",Table1[[#This Row],[Gurobi MI State]]="Suboptimal"),1,"")</f>
        <v/>
      </c>
      <c r="CD15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7" s="39" t="s">
        <v>42</v>
      </c>
      <c r="CF157" s="2">
        <v>-1885</v>
      </c>
      <c r="CG157" s="39">
        <v>306.00119869999997</v>
      </c>
      <c r="CH157" s="39" t="s">
        <v>42</v>
      </c>
      <c r="CI157" s="39">
        <v>-1885</v>
      </c>
      <c r="CJ157" s="2">
        <v>306.07224919999999</v>
      </c>
      <c r="CK157" s="5" t="s">
        <v>25</v>
      </c>
      <c r="CL157" s="2">
        <v>2</v>
      </c>
      <c r="CM157" s="2">
        <v>7.3000000000320101E-2</v>
      </c>
      <c r="CN157" s="5" t="s">
        <v>25</v>
      </c>
      <c r="CO157" s="2">
        <v>2</v>
      </c>
      <c r="CP157" s="2">
        <v>0.72458449999999996</v>
      </c>
      <c r="CQ157" s="5" t="s">
        <v>25</v>
      </c>
      <c r="CR157" s="2">
        <v>2</v>
      </c>
      <c r="CS157" s="2">
        <v>0.3110253</v>
      </c>
      <c r="CT157" s="6" t="s">
        <v>25</v>
      </c>
      <c r="CU157" s="4">
        <v>2</v>
      </c>
      <c r="CV157" s="4">
        <v>0.36513139999999999</v>
      </c>
      <c r="CW157" s="39" t="s">
        <v>25</v>
      </c>
      <c r="CX157" s="39">
        <v>2</v>
      </c>
      <c r="CY157" s="2">
        <v>0.62619999999999998</v>
      </c>
      <c r="CZ157" s="2" t="str">
        <f>IF(AND(Table1[[#This Row],[Cplex MZ1 Cost]]=Table1[[#This Row],[ORTools FZN2 Cost]],Table1[[#This Row],[ORTools FZN2 State]]="Optimal",Table1[[#This Row],[Cplex MZ1 State]]="Suboptimal"),1,"")</f>
        <v/>
      </c>
      <c r="DA157" s="5" t="s">
        <v>25</v>
      </c>
      <c r="DB157" s="2">
        <v>2</v>
      </c>
      <c r="DC157" s="2">
        <v>0.87860000000000005</v>
      </c>
      <c r="DD157" s="2" t="str">
        <f>IF(AND(Table1[[#This Row],[Cplex MZ2 Cost]]=Table1[[#This Row],[ORTools FZN2 Cost]],Table1[[#This Row],[ORTools FZN2 State]]="Optimal",Table1[[#This Row],[Cplex MZ2 State]]="Suboptimal"),1,"")</f>
        <v/>
      </c>
      <c r="DE157" s="39" t="s">
        <v>25</v>
      </c>
      <c r="DF157" s="39">
        <v>2</v>
      </c>
      <c r="DG157" s="2">
        <v>1.0568</v>
      </c>
      <c r="DH157" s="2" t="str">
        <f>IF(AND(Table1[[#This Row],[Gurobi MZ1 Cost]]=Table1[[#This Row],[ORTools FZN2 Cost]],Table1[[#This Row],[ORTools FZN2 State]]="Optimal",Table1[[#This Row],[Gurobi MZ1 State]]="Suboptimal"),1,"")</f>
        <v/>
      </c>
      <c r="DI157" s="5" t="s">
        <v>25</v>
      </c>
      <c r="DJ157" s="2">
        <v>2</v>
      </c>
      <c r="DK157" s="2">
        <v>0.59870000000000001</v>
      </c>
      <c r="DL157" s="4" t="str">
        <f>IF(AND(Table1[[#This Row],[Gurobi MZ2 Cost]]=Table1[[#This Row],[ORTools FZN2 Cost]],Table1[[#This Row],[ORTools FZN2 State]]="Optimal",Table1[[#This Row],[Gurobi MZ2 State]]="Suboptimal"),1,"")</f>
        <v/>
      </c>
      <c r="DM157" s="39" t="s">
        <v>25</v>
      </c>
      <c r="DN157" s="39">
        <v>2</v>
      </c>
      <c r="DO157" s="65">
        <v>6.90000000031432E-2</v>
      </c>
      <c r="DP157" s="4" t="str">
        <f>IF(AND(Table1[[#This Row],[Cplex MC nonDual Cost]]=Table1[[#This Row],[ORTools FZN2 Cost]],Table1[[#This Row],[ORTools FZN2 State]]="Optimal",Table1[[#This Row],[Cplex MC nonDual State]]="Suboptimal"),1,"")</f>
        <v/>
      </c>
      <c r="DQ157" s="5" t="s">
        <v>25</v>
      </c>
      <c r="DR157" s="2">
        <v>2</v>
      </c>
      <c r="DS157" s="2">
        <v>0.4632</v>
      </c>
      <c r="DT157" s="2" t="str">
        <f>IF(AND(Table1[[#This Row],[Cplex MIP DM''z Cost]]=Table1[[#This Row],[ORTools FZN2 Cost]],Table1[[#This Row],[ORTools FZN2 State]]="Optimal",Table1[[#This Row],[Cplex MIP DM''z  State]]="Suboptimal"),1,"")</f>
        <v/>
      </c>
      <c r="DU15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7" s="5" t="s">
        <v>25</v>
      </c>
      <c r="DW157" s="2">
        <v>2</v>
      </c>
      <c r="DX157" s="2">
        <v>0.53969999999999996</v>
      </c>
      <c r="DY157" s="4" t="str">
        <f>IF(AND(Table1[[#This Row],[Gurobi DM''z  Cost]]=Table1[[#This Row],[ORTools FZN2 Cost]],Table1[[#This Row],[ORTools FZN2 State]]="Optimal",Table1[[#This Row],[Gurobi DM''z  State]]="Suboptimal"),1,"")</f>
        <v/>
      </c>
      <c r="DZ15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8" spans="1:130" ht="15.75" x14ac:dyDescent="0.25">
      <c r="A158" s="46" t="s">
        <v>184</v>
      </c>
      <c r="B158" s="5">
        <v>24</v>
      </c>
      <c r="C158" s="2">
        <v>12</v>
      </c>
      <c r="D158" s="5">
        <v>38</v>
      </c>
      <c r="E158" s="2">
        <v>20</v>
      </c>
      <c r="F158" s="5">
        <v>15</v>
      </c>
      <c r="G158" s="2">
        <v>0</v>
      </c>
      <c r="H158" s="4">
        <f t="shared" si="2"/>
        <v>0</v>
      </c>
      <c r="I158" s="4">
        <f>Table1[[#This Row],[B]]+Table1[[#This Row],[Atomic Constraints]]+Table1[[#This Row],[Soft Atomic Constraints]]+Table1[[#This Row],[Disjunctive Constraints]]+Table1[[#This Row],[Direct Successors]]</f>
        <v>85</v>
      </c>
      <c r="J158" s="5" t="s">
        <v>25</v>
      </c>
      <c r="K158" s="2">
        <v>4</v>
      </c>
      <c r="L158" s="2">
        <v>1.1136907</v>
      </c>
      <c r="M158" s="2" t="str">
        <f>IF(AND(Table1[[#This Row],[Chuffed MZ1 Cost]]=Table1[[#This Row],[ORTools FZN2 Cost]],Table1[[#This Row],[ORTools FZN2 State]]="Optimal",Table1[[#This Row],[Chuffed MZ1 State]]="Suboptimal"),1,"")</f>
        <v/>
      </c>
      <c r="N158" s="5" t="s">
        <v>25</v>
      </c>
      <c r="O158" s="2">
        <v>4</v>
      </c>
      <c r="P158" s="2">
        <v>1.0495384000000001</v>
      </c>
      <c r="Q158" s="2" t="str">
        <f>IF(AND(Table1[[#This Row],[Chuffed MZ2 Cost]]=Table1[[#This Row],[ORTools FZN2 Cost]],Table1[[#This Row],[ORTools FZN2 State]]="Optimal",Table1[[#This Row],[Chuffed MZ2 State]]="Suboptimal"),1,"")</f>
        <v/>
      </c>
      <c r="R158" s="6" t="s">
        <v>25</v>
      </c>
      <c r="S158" s="4">
        <v>4</v>
      </c>
      <c r="T158" s="4">
        <v>0.28600000000005799</v>
      </c>
      <c r="U158" s="4"/>
      <c r="V158" s="5" t="s">
        <v>25</v>
      </c>
      <c r="W158" s="2">
        <v>4</v>
      </c>
      <c r="X158" s="2">
        <v>1.2669071000000001</v>
      </c>
      <c r="Y158" s="2" t="str">
        <f>IF(AND(Table1[[#This Row],[ORTools FZN1 Cost]]=Table1[[#This Row],[ORTools FZN2 Cost]],Table1[[#This Row],[ORTools FZN2 State]]="Optimal",Table1[[#This Row],[ORTools FZN1 State]]="Suboptimal"),1,"")</f>
        <v/>
      </c>
      <c r="Z158" s="5" t="s">
        <v>25</v>
      </c>
      <c r="AA158" s="2">
        <v>4</v>
      </c>
      <c r="AB158" s="2">
        <v>1.1951072</v>
      </c>
      <c r="AC158" s="39" t="s">
        <v>25</v>
      </c>
      <c r="AD158" s="39">
        <v>4</v>
      </c>
      <c r="AE158" s="2">
        <v>4.0630945000000001</v>
      </c>
      <c r="AF158" s="2" t="str">
        <f>IF(AND(Table1[[#This Row],[Cplex MB Cost]]=Table1[[#This Row],[ORTools FZN2 Cost]],Table1[[#This Row],[ORTools FZN2 State]]="Optimal",Table1[[#This Row],[Cplex MB State]]="Suboptimal"),1,"")</f>
        <v/>
      </c>
      <c r="AG158" s="4">
        <f>IF(AND(AC158="Optimal",AD158&lt;&gt;AA158,Table1[[#This Row],[Example]]&lt;&gt;"R001",Table1[[#This Row],[Example]]&lt;&gt;"R002"),AD158-AA158,)</f>
        <v>0</v>
      </c>
      <c r="AH158" s="5" t="s">
        <v>25</v>
      </c>
      <c r="AI158" s="2">
        <v>4</v>
      </c>
      <c r="AJ158" s="2">
        <v>50.2060143</v>
      </c>
      <c r="AK158" s="2" t="str">
        <f>IF(AND(Table1[[#This Row],[Cplex MD Cost]]=Table1[[#This Row],[ORTools FZN2 Cost]],Table1[[#This Row],[ORTools FZN2 State]]="Optimal",Table1[[#This Row],[Cplex MD State]]="Suboptimal"),1,"")</f>
        <v/>
      </c>
      <c r="AL158" s="4">
        <f>IF(AND(AH158="Optimal",AI158&lt;&gt;AA158,Table1[[#This Row],[Example]]&lt;&gt;"R001",Table1[[#This Row],[Example]]&lt;&gt;"R002"),AI158-AA158,)</f>
        <v>0</v>
      </c>
      <c r="AM158" s="39" t="s">
        <v>25</v>
      </c>
      <c r="AN158" s="39">
        <v>4</v>
      </c>
      <c r="AO158" s="2">
        <v>1.0875037000000001</v>
      </c>
      <c r="AP15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8" s="4" t="str">
        <f>IF(AND(Table1[[#This Row],[Cplex MI Cost]]=Table1[[#This Row],[ORTools FZN2 Cost]],Table1[[#This Row],[ORTools FZN2 State]]="Optimal",Table1[[#This Row],[Cplex MI State]]="Suboptimal"),1,"")</f>
        <v/>
      </c>
      <c r="AR158" s="12" t="s">
        <v>26</v>
      </c>
      <c r="AS158" s="12">
        <v>4</v>
      </c>
      <c r="AT158" s="12">
        <v>46.496038900000002</v>
      </c>
      <c r="AU158" s="12">
        <f>IF(AND(Table1[[#This Row],[Z3 SMT2-1 Maxres Cost]]=Table1[[#This Row],[ORTools FZN2 Cost]],Table1[[#This Row],[ORTools FZN2 State]]="Optimal"),1,"")</f>
        <v>1</v>
      </c>
      <c r="AV158" s="12" t="s">
        <v>26</v>
      </c>
      <c r="AW158" s="12">
        <v>4</v>
      </c>
      <c r="AX158" s="12">
        <v>47.2046846</v>
      </c>
      <c r="AY158" s="12">
        <f>IF(AND(Table1[[#This Row],[Z3 SMT2-1 PdMaxres Cost]]=Table1[[#This Row],[ORTools FZN2 Cost]],Table1[[#This Row],[ORTools FZN2 State]]="Optimal"),1,"")</f>
        <v>1</v>
      </c>
      <c r="AZ158" s="12" t="s">
        <v>26</v>
      </c>
      <c r="BA158" s="12">
        <v>4</v>
      </c>
      <c r="BB158" s="12">
        <v>56.041089200000002</v>
      </c>
      <c r="BC158" s="12">
        <f>IF(AND(Table1[[#This Row],[Z3 SMT2-1 WMax Cost]]=Table1[[#This Row],[ORTools FZN2 Cost]],Table1[[#This Row],[ORTools FZN2 State]]="Optimal"),1,"")</f>
        <v>1</v>
      </c>
      <c r="BD158" s="12" t="s">
        <v>26</v>
      </c>
      <c r="BE158" s="12">
        <v>4</v>
      </c>
      <c r="BF158" s="12">
        <v>39.269686299999996</v>
      </c>
      <c r="BG158" s="12">
        <f>IF(AND(Table1[[#This Row],[Z3 SMT2-2 Maxres Cost]]=Table1[[#This Row],[ORTools FZN2 Cost]],Table1[[#This Row],[ORTools FZN2 State]]="Optimal"),1,"")</f>
        <v>1</v>
      </c>
      <c r="BH158" s="12" t="s">
        <v>26</v>
      </c>
      <c r="BI158" s="12">
        <v>4</v>
      </c>
      <c r="BJ158" s="12">
        <v>37.893580300000004</v>
      </c>
      <c r="BK158" s="12">
        <f>IF(AND(Table1[[#This Row],[Z3 SMT2-2 PdMaxres Cost]]=Table1[[#This Row],[ORTools FZN2 Cost]],Table1[[#This Row],[ORTools FZN2 State]]="Optimal"),1,"")</f>
        <v>1</v>
      </c>
      <c r="BL158" s="12" t="s">
        <v>26</v>
      </c>
      <c r="BM158" s="12">
        <v>4</v>
      </c>
      <c r="BN158" s="12">
        <v>37.841798900000001</v>
      </c>
      <c r="BO158" s="11">
        <f>IF(AND(Table1[[#This Row],[Z3 SMT2-2 PdMaxres Cost]]=Table1[[#This Row],[ORTools FZN2 Cost]],Table1[[#This Row],[ORTools FZN2 State]]="Optimal"),1,"")</f>
        <v>1</v>
      </c>
      <c r="BP158" s="5" t="s">
        <v>25</v>
      </c>
      <c r="BQ158" s="2">
        <v>4</v>
      </c>
      <c r="BR158" s="2">
        <v>3.7949296000000001</v>
      </c>
      <c r="BS158" s="2" t="str">
        <f>IF(AND(Table1[[#This Row],[Gurobi MB Cost]]=Table1[[#This Row],[ORTools FZN2 Cost]],Table1[[#This Row],[ORTools FZN2 State]]="Optimal",Table1[[#This Row],[Gurobi MB State]]="Suboptimal"),1,"")</f>
        <v/>
      </c>
      <c r="BT15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8" s="5" t="s">
        <v>25</v>
      </c>
      <c r="BV158" s="2">
        <v>4</v>
      </c>
      <c r="BW158" s="2">
        <v>29.576291900000001</v>
      </c>
      <c r="BX158" s="2" t="str">
        <f>IF(AND(Table1[[#This Row],[Gurobi MD Cost]]=Table1[[#This Row],[ORTools FZN2 Cost]],Table1[[#This Row],[ORTools FZN2 State]]="Optimal",Table1[[#This Row],[Gurobi MD State]]="Suboptimal"),1,"")</f>
        <v/>
      </c>
      <c r="BY15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8" s="5" t="s">
        <v>25</v>
      </c>
      <c r="CA158" s="2">
        <v>4</v>
      </c>
      <c r="CB158" s="2">
        <v>7.1969874999999996</v>
      </c>
      <c r="CC158" s="2" t="str">
        <f>IF(AND(Table1[[#This Row],[Gurobi MI Cost]]=Table1[[#This Row],[ORTools FZN2 Cost]],Table1[[#This Row],[ORTools FZN2 State]]="Optimal",Table1[[#This Row],[Gurobi MI State]]="Suboptimal"),1,"")</f>
        <v/>
      </c>
      <c r="CD15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8" s="39" t="s">
        <v>42</v>
      </c>
      <c r="CF158" s="2">
        <v>-14425</v>
      </c>
      <c r="CG158" s="39">
        <v>306.05717470000002</v>
      </c>
      <c r="CH158" s="39" t="s">
        <v>42</v>
      </c>
      <c r="CI158" s="39">
        <v>-14425</v>
      </c>
      <c r="CJ158" s="2">
        <v>306.09462200000002</v>
      </c>
      <c r="CK158" s="5" t="s">
        <v>25</v>
      </c>
      <c r="CL158" s="2">
        <v>4</v>
      </c>
      <c r="CM158" s="2">
        <v>0.44399999999950501</v>
      </c>
      <c r="CN158" s="5" t="s">
        <v>25</v>
      </c>
      <c r="CO158" s="2">
        <v>4</v>
      </c>
      <c r="CP158" s="2">
        <v>2.8452082000000001</v>
      </c>
      <c r="CQ158" s="5" t="s">
        <v>25</v>
      </c>
      <c r="CR158" s="2">
        <v>4</v>
      </c>
      <c r="CS158" s="2">
        <v>2.4318816000000001</v>
      </c>
      <c r="CT158" s="6" t="s">
        <v>25</v>
      </c>
      <c r="CU158" s="4">
        <v>4</v>
      </c>
      <c r="CV158" s="4">
        <v>2.1987738999999999</v>
      </c>
      <c r="CW158" s="39" t="s">
        <v>25</v>
      </c>
      <c r="CX158" s="39">
        <v>4</v>
      </c>
      <c r="CY158" s="2">
        <v>29.998200000000001</v>
      </c>
      <c r="CZ158" s="2" t="str">
        <f>IF(AND(Table1[[#This Row],[Cplex MZ1 Cost]]=Table1[[#This Row],[ORTools FZN2 Cost]],Table1[[#This Row],[ORTools FZN2 State]]="Optimal",Table1[[#This Row],[Cplex MZ1 State]]="Suboptimal"),1,"")</f>
        <v/>
      </c>
      <c r="DA158" s="5" t="s">
        <v>25</v>
      </c>
      <c r="DB158" s="2">
        <v>4</v>
      </c>
      <c r="DC158" s="2">
        <v>35.198900000000002</v>
      </c>
      <c r="DD158" s="2" t="str">
        <f>IF(AND(Table1[[#This Row],[Cplex MZ2 Cost]]=Table1[[#This Row],[ORTools FZN2 Cost]],Table1[[#This Row],[ORTools FZN2 State]]="Optimal",Table1[[#This Row],[Cplex MZ2 State]]="Suboptimal"),1,"")</f>
        <v/>
      </c>
      <c r="DE158" s="39" t="s">
        <v>25</v>
      </c>
      <c r="DF158" s="39">
        <v>4</v>
      </c>
      <c r="DG158" s="2">
        <v>35.676699999999997</v>
      </c>
      <c r="DH158" s="2" t="str">
        <f>IF(AND(Table1[[#This Row],[Gurobi MZ1 Cost]]=Table1[[#This Row],[ORTools FZN2 Cost]],Table1[[#This Row],[ORTools FZN2 State]]="Optimal",Table1[[#This Row],[Gurobi MZ1 State]]="Suboptimal"),1,"")</f>
        <v/>
      </c>
      <c r="DI158" s="5" t="s">
        <v>25</v>
      </c>
      <c r="DJ158" s="2">
        <v>4</v>
      </c>
      <c r="DK158" s="2">
        <v>5.5556000000000001</v>
      </c>
      <c r="DL158" s="4" t="str">
        <f>IF(AND(Table1[[#This Row],[Gurobi MZ2 Cost]]=Table1[[#This Row],[ORTools FZN2 Cost]],Table1[[#This Row],[ORTools FZN2 State]]="Optimal",Table1[[#This Row],[Gurobi MZ2 State]]="Suboptimal"),1,"")</f>
        <v/>
      </c>
      <c r="DM158" s="39" t="s">
        <v>25</v>
      </c>
      <c r="DN158" s="39">
        <v>4</v>
      </c>
      <c r="DO158" s="65">
        <v>0.80400000000008698</v>
      </c>
      <c r="DP158" s="4" t="str">
        <f>IF(AND(Table1[[#This Row],[Cplex MC nonDual Cost]]=Table1[[#This Row],[ORTools FZN2 Cost]],Table1[[#This Row],[ORTools FZN2 State]]="Optimal",Table1[[#This Row],[Cplex MC nonDual State]]="Suboptimal"),1,"")</f>
        <v/>
      </c>
      <c r="DQ158" s="5" t="s">
        <v>25</v>
      </c>
      <c r="DR158" s="2">
        <v>4</v>
      </c>
      <c r="DS158" s="2">
        <v>9.2632999999999992</v>
      </c>
      <c r="DT158" s="2" t="str">
        <f>IF(AND(Table1[[#This Row],[Cplex MIP DM''z Cost]]=Table1[[#This Row],[ORTools FZN2 Cost]],Table1[[#This Row],[ORTools FZN2 State]]="Optimal",Table1[[#This Row],[Cplex MIP DM''z  State]]="Suboptimal"),1,"")</f>
        <v/>
      </c>
      <c r="DU15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8" s="5" t="s">
        <v>25</v>
      </c>
      <c r="DW158" s="2">
        <v>4</v>
      </c>
      <c r="DX158" s="2">
        <v>34.779600000000002</v>
      </c>
      <c r="DY158" s="4" t="str">
        <f>IF(AND(Table1[[#This Row],[Gurobi DM''z  Cost]]=Table1[[#This Row],[ORTools FZN2 Cost]],Table1[[#This Row],[ORTools FZN2 State]]="Optimal",Table1[[#This Row],[Gurobi DM''z  State]]="Suboptimal"),1,"")</f>
        <v/>
      </c>
      <c r="DZ15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59" spans="1:130" ht="15.75" x14ac:dyDescent="0.25">
      <c r="A159" s="47" t="s">
        <v>185</v>
      </c>
      <c r="B159" s="5">
        <v>24</v>
      </c>
      <c r="C159" s="2">
        <v>12</v>
      </c>
      <c r="D159" s="5">
        <v>45</v>
      </c>
      <c r="E159" s="2">
        <v>17</v>
      </c>
      <c r="F159" s="5">
        <v>14</v>
      </c>
      <c r="G159" s="2">
        <v>0</v>
      </c>
      <c r="H159" s="4">
        <f t="shared" si="2"/>
        <v>0</v>
      </c>
      <c r="I159" s="4">
        <f>Table1[[#This Row],[B]]+Table1[[#This Row],[Atomic Constraints]]+Table1[[#This Row],[Soft Atomic Constraints]]+Table1[[#This Row],[Disjunctive Constraints]]+Table1[[#This Row],[Direct Successors]]</f>
        <v>88</v>
      </c>
      <c r="J159" s="5" t="s">
        <v>25</v>
      </c>
      <c r="K159" s="2">
        <v>55925</v>
      </c>
      <c r="L159" s="2">
        <v>33.840943000000003</v>
      </c>
      <c r="M159" s="2" t="str">
        <f>IF(AND(Table1[[#This Row],[Chuffed MZ1 Cost]]=Table1[[#This Row],[ORTools FZN2 Cost]],Table1[[#This Row],[ORTools FZN2 State]]="Optimal",Table1[[#This Row],[Chuffed MZ1 State]]="Suboptimal"),1,"")</f>
        <v/>
      </c>
      <c r="N159" s="5" t="s">
        <v>25</v>
      </c>
      <c r="O159" s="2">
        <v>55925</v>
      </c>
      <c r="P159" s="2">
        <v>14.4695462</v>
      </c>
      <c r="Q159" s="2" t="str">
        <f>IF(AND(Table1[[#This Row],[Chuffed MZ2 Cost]]=Table1[[#This Row],[ORTools FZN2 Cost]],Table1[[#This Row],[ORTools FZN2 State]]="Optimal",Table1[[#This Row],[Chuffed MZ2 State]]="Suboptimal"),1,"")</f>
        <v/>
      </c>
      <c r="R159" s="11" t="s">
        <v>26</v>
      </c>
      <c r="S159" s="11">
        <v>55925</v>
      </c>
      <c r="T159" s="11">
        <v>300.03200000000299</v>
      </c>
      <c r="U159" s="11">
        <v>1</v>
      </c>
      <c r="V159" s="5" t="s">
        <v>25</v>
      </c>
      <c r="W159" s="2">
        <v>55925</v>
      </c>
      <c r="X159" s="2">
        <v>4.2784196000000003</v>
      </c>
      <c r="Y159" s="2" t="str">
        <f>IF(AND(Table1[[#This Row],[ORTools FZN1 Cost]]=Table1[[#This Row],[ORTools FZN2 Cost]],Table1[[#This Row],[ORTools FZN2 State]]="Optimal",Table1[[#This Row],[ORTools FZN1 State]]="Suboptimal"),1,"")</f>
        <v/>
      </c>
      <c r="Z159" s="5" t="s">
        <v>25</v>
      </c>
      <c r="AA159" s="2">
        <v>55925</v>
      </c>
      <c r="AB159" s="2">
        <v>3.3020024000000001</v>
      </c>
      <c r="AC159" s="39" t="s">
        <v>25</v>
      </c>
      <c r="AD159" s="39">
        <v>55925</v>
      </c>
      <c r="AE159" s="2">
        <v>38.380023700000002</v>
      </c>
      <c r="AF159" s="2" t="str">
        <f>IF(AND(Table1[[#This Row],[Cplex MB Cost]]=Table1[[#This Row],[ORTools FZN2 Cost]],Table1[[#This Row],[ORTools FZN2 State]]="Optimal",Table1[[#This Row],[Cplex MB State]]="Suboptimal"),1,"")</f>
        <v/>
      </c>
      <c r="AG159" s="4">
        <f>IF(AND(AC159="Optimal",AD159&lt;&gt;AA159,Table1[[#This Row],[Example]]&lt;&gt;"R001",Table1[[#This Row],[Example]]&lt;&gt;"R002"),AD159-AA159,)</f>
        <v>0</v>
      </c>
      <c r="AH159" s="5" t="s">
        <v>26</v>
      </c>
      <c r="AI159" s="2">
        <v>55996</v>
      </c>
      <c r="AJ159" s="2">
        <v>300.22121049999998</v>
      </c>
      <c r="AK159" s="2" t="str">
        <f>IF(AND(Table1[[#This Row],[Cplex MD Cost]]=Table1[[#This Row],[ORTools FZN2 Cost]],Table1[[#This Row],[ORTools FZN2 State]]="Optimal",Table1[[#This Row],[Cplex MD State]]="Suboptimal"),1,"")</f>
        <v/>
      </c>
      <c r="AL159" s="4">
        <f>IF(AND(AH159="Optimal",AI159&lt;&gt;AA159,Table1[[#This Row],[Example]]&lt;&gt;"R001",Table1[[#This Row],[Example]]&lt;&gt;"R002"),AI159-AA159,)</f>
        <v>0</v>
      </c>
      <c r="AM159" s="39" t="s">
        <v>26</v>
      </c>
      <c r="AN159" s="39">
        <v>55926</v>
      </c>
      <c r="AO159" s="2">
        <v>300.03474820000002</v>
      </c>
      <c r="AP15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59" s="4" t="str">
        <f>IF(AND(Table1[[#This Row],[Cplex MI Cost]]=Table1[[#This Row],[ORTools FZN2 Cost]],Table1[[#This Row],[ORTools FZN2 State]]="Optimal",Table1[[#This Row],[Cplex MI State]]="Suboptimal"),1,"")</f>
        <v/>
      </c>
      <c r="AR159" s="12" t="s">
        <v>26</v>
      </c>
      <c r="AS159" s="12">
        <v>55925</v>
      </c>
      <c r="AT159" s="12">
        <v>158.70201349999999</v>
      </c>
      <c r="AU159" s="12">
        <f>IF(AND(Table1[[#This Row],[Z3 SMT2-1 Maxres Cost]]=Table1[[#This Row],[ORTools FZN2 Cost]],Table1[[#This Row],[ORTools FZN2 State]]="Optimal"),1,"")</f>
        <v>1</v>
      </c>
      <c r="AV159" s="12" t="s">
        <v>26</v>
      </c>
      <c r="AW159" s="12">
        <v>55925</v>
      </c>
      <c r="AX159" s="12">
        <v>160.43235540000001</v>
      </c>
      <c r="AY159" s="12">
        <f>IF(AND(Table1[[#This Row],[Z3 SMT2-1 PdMaxres Cost]]=Table1[[#This Row],[ORTools FZN2 Cost]],Table1[[#This Row],[ORTools FZN2 State]]="Optimal"),1,"")</f>
        <v>1</v>
      </c>
      <c r="AZ159" s="12" t="s">
        <v>26</v>
      </c>
      <c r="BA159" s="12">
        <v>55925</v>
      </c>
      <c r="BB159" s="12">
        <v>190.20791929999999</v>
      </c>
      <c r="BC159" s="12">
        <f>IF(AND(Table1[[#This Row],[Z3 SMT2-1 WMax Cost]]=Table1[[#This Row],[ORTools FZN2 Cost]],Table1[[#This Row],[ORTools FZN2 State]]="Optimal"),1,"")</f>
        <v>1</v>
      </c>
      <c r="BD159" s="12" t="s">
        <v>26</v>
      </c>
      <c r="BE159" s="12">
        <v>55925</v>
      </c>
      <c r="BF159" s="12">
        <v>119.414033</v>
      </c>
      <c r="BG159" s="12">
        <f>IF(AND(Table1[[#This Row],[Z3 SMT2-2 Maxres Cost]]=Table1[[#This Row],[ORTools FZN2 Cost]],Table1[[#This Row],[ORTools FZN2 State]]="Optimal"),1,"")</f>
        <v>1</v>
      </c>
      <c r="BH159" s="12" t="s">
        <v>26</v>
      </c>
      <c r="BI159" s="12">
        <v>55925</v>
      </c>
      <c r="BJ159" s="12">
        <v>119.50685729999999</v>
      </c>
      <c r="BK159" s="12">
        <f>IF(AND(Table1[[#This Row],[Z3 SMT2-2 PdMaxres Cost]]=Table1[[#This Row],[ORTools FZN2 Cost]],Table1[[#This Row],[ORTools FZN2 State]]="Optimal"),1,"")</f>
        <v>1</v>
      </c>
      <c r="BL159" s="12" t="s">
        <v>26</v>
      </c>
      <c r="BM159" s="12">
        <v>55925</v>
      </c>
      <c r="BN159" s="12">
        <v>117.4190833</v>
      </c>
      <c r="BO159" s="11">
        <f>IF(AND(Table1[[#This Row],[Z3 SMT2-2 PdMaxres Cost]]=Table1[[#This Row],[ORTools FZN2 Cost]],Table1[[#This Row],[ORTools FZN2 State]]="Optimal"),1,"")</f>
        <v>1</v>
      </c>
      <c r="BP159" s="5" t="s">
        <v>25</v>
      </c>
      <c r="BQ159" s="2">
        <v>55925</v>
      </c>
      <c r="BR159" s="2">
        <v>19.3337751</v>
      </c>
      <c r="BS159" s="2" t="str">
        <f>IF(AND(Table1[[#This Row],[Gurobi MB Cost]]=Table1[[#This Row],[ORTools FZN2 Cost]],Table1[[#This Row],[ORTools FZN2 State]]="Optimal",Table1[[#This Row],[Gurobi MB State]]="Suboptimal"),1,"")</f>
        <v/>
      </c>
      <c r="BT15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59" s="5" t="s">
        <v>26</v>
      </c>
      <c r="BV159" s="2">
        <v>55926</v>
      </c>
      <c r="BW159" s="2">
        <v>300.0638419</v>
      </c>
      <c r="BX159" s="2" t="str">
        <f>IF(AND(Table1[[#This Row],[Gurobi MD Cost]]=Table1[[#This Row],[ORTools FZN2 Cost]],Table1[[#This Row],[ORTools FZN2 State]]="Optimal",Table1[[#This Row],[Gurobi MD State]]="Suboptimal"),1,"")</f>
        <v/>
      </c>
      <c r="BY15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59" s="5" t="s">
        <v>25</v>
      </c>
      <c r="CA159" s="2">
        <v>55925</v>
      </c>
      <c r="CB159" s="2">
        <v>35.487694699999999</v>
      </c>
      <c r="CC159" s="2" t="str">
        <f>IF(AND(Table1[[#This Row],[Gurobi MI Cost]]=Table1[[#This Row],[ORTools FZN2 Cost]],Table1[[#This Row],[ORTools FZN2 State]]="Optimal",Table1[[#This Row],[Gurobi MI State]]="Suboptimal"),1,"")</f>
        <v/>
      </c>
      <c r="CD15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59" s="39" t="s">
        <v>42</v>
      </c>
      <c r="CF159" s="2">
        <v>-14425</v>
      </c>
      <c r="CG159" s="39">
        <v>306.1203782</v>
      </c>
      <c r="CH159" s="39" t="s">
        <v>42</v>
      </c>
      <c r="CI159" s="39">
        <v>-14425</v>
      </c>
      <c r="CJ159" s="2">
        <v>306.07142490000001</v>
      </c>
      <c r="CK159" s="5" t="s">
        <v>26</v>
      </c>
      <c r="CL159" s="2">
        <v>55925</v>
      </c>
      <c r="CM159" s="2">
        <v>300.02799999999797</v>
      </c>
      <c r="CN159" s="5" t="s">
        <v>25</v>
      </c>
      <c r="CO159" s="2">
        <v>55925</v>
      </c>
      <c r="CP159" s="2">
        <v>4.1739614999999999</v>
      </c>
      <c r="CQ159" s="5" t="s">
        <v>25</v>
      </c>
      <c r="CR159" s="2">
        <v>55925</v>
      </c>
      <c r="CS159" s="2">
        <v>6.2806971999999996</v>
      </c>
      <c r="CT159" s="6" t="s">
        <v>25</v>
      </c>
      <c r="CU159" s="4">
        <v>55925</v>
      </c>
      <c r="CV159" s="4">
        <v>5.0319960999999997</v>
      </c>
      <c r="CW159" s="39" t="s">
        <v>26</v>
      </c>
      <c r="CX159" s="39">
        <v>55926</v>
      </c>
      <c r="CY159" s="2">
        <v>300.0145</v>
      </c>
      <c r="CZ159" s="2" t="str">
        <f>IF(AND(Table1[[#This Row],[Cplex MZ1 Cost]]=Table1[[#This Row],[ORTools FZN2 Cost]],Table1[[#This Row],[ORTools FZN2 State]]="Optimal",Table1[[#This Row],[Cplex MZ1 State]]="Suboptimal"),1,"")</f>
        <v/>
      </c>
      <c r="DA159" s="5" t="s">
        <v>26</v>
      </c>
      <c r="DB159" s="2">
        <v>55928</v>
      </c>
      <c r="DC159" s="2">
        <v>300.01369999999997</v>
      </c>
      <c r="DD159" s="2" t="str">
        <f>IF(AND(Table1[[#This Row],[Cplex MZ2 Cost]]=Table1[[#This Row],[ORTools FZN2 Cost]],Table1[[#This Row],[ORTools FZN2 State]]="Optimal",Table1[[#This Row],[Cplex MZ2 State]]="Suboptimal"),1,"")</f>
        <v/>
      </c>
      <c r="DE159" s="39" t="s">
        <v>26</v>
      </c>
      <c r="DF159" s="39">
        <v>55926</v>
      </c>
      <c r="DG159" s="2">
        <v>300.00380000000001</v>
      </c>
      <c r="DH159" s="2" t="str">
        <f>IF(AND(Table1[[#This Row],[Gurobi MZ1 Cost]]=Table1[[#This Row],[ORTools FZN2 Cost]],Table1[[#This Row],[ORTools FZN2 State]]="Optimal",Table1[[#This Row],[Gurobi MZ1 State]]="Suboptimal"),1,"")</f>
        <v/>
      </c>
      <c r="DI159" s="5" t="s">
        <v>26</v>
      </c>
      <c r="DJ159" s="2">
        <v>55926</v>
      </c>
      <c r="DK159" s="2">
        <v>300.005</v>
      </c>
      <c r="DL159" s="4" t="str">
        <f>IF(AND(Table1[[#This Row],[Gurobi MZ2 Cost]]=Table1[[#This Row],[ORTools FZN2 Cost]],Table1[[#This Row],[ORTools FZN2 State]]="Optimal",Table1[[#This Row],[Gurobi MZ2 State]]="Suboptimal"),1,"")</f>
        <v/>
      </c>
      <c r="DM159" s="39" t="s">
        <v>26</v>
      </c>
      <c r="DN159" s="12">
        <v>55925</v>
      </c>
      <c r="DO159" s="69">
        <v>300.02499999999702</v>
      </c>
      <c r="DP159" s="11">
        <f>IF(AND(Table1[[#This Row],[Cplex MC nonDual Cost]]=Table1[[#This Row],[ORTools FZN2 Cost]],Table1[[#This Row],[ORTools FZN2 State]]="Optimal",Table1[[#This Row],[Cplex MC nonDual State]]="Suboptimal"),1,"")</f>
        <v>1</v>
      </c>
      <c r="DQ159" s="5" t="s">
        <v>26</v>
      </c>
      <c r="DR159" s="2">
        <v>55926</v>
      </c>
      <c r="DS159" s="2">
        <v>300.0163</v>
      </c>
      <c r="DT159" s="2" t="str">
        <f>IF(AND(Table1[[#This Row],[Cplex MIP DM''z Cost]]=Table1[[#This Row],[ORTools FZN2 Cost]],Table1[[#This Row],[ORTools FZN2 State]]="Optimal",Table1[[#This Row],[Cplex MIP DM''z  State]]="Suboptimal"),1,"")</f>
        <v/>
      </c>
      <c r="DU15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59" s="5" t="s">
        <v>26</v>
      </c>
      <c r="DW159" s="2">
        <v>55925</v>
      </c>
      <c r="DX159" s="2">
        <v>299.99590000000001</v>
      </c>
      <c r="DY159" s="4">
        <f>IF(AND(Table1[[#This Row],[Gurobi DM''z  Cost]]=Table1[[#This Row],[ORTools FZN2 Cost]],Table1[[#This Row],[ORTools FZN2 State]]="Optimal",Table1[[#This Row],[Gurobi DM''z  State]]="Suboptimal"),1,"")</f>
        <v>1</v>
      </c>
      <c r="DZ15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0" spans="1:130" ht="15.75" x14ac:dyDescent="0.25">
      <c r="A160" s="46" t="s">
        <v>186</v>
      </c>
      <c r="B160" s="5">
        <v>16</v>
      </c>
      <c r="C160" s="2">
        <v>8</v>
      </c>
      <c r="D160" s="5">
        <v>16</v>
      </c>
      <c r="E160" s="2">
        <v>12</v>
      </c>
      <c r="F160" s="5">
        <v>6</v>
      </c>
      <c r="G160" s="2">
        <v>0</v>
      </c>
      <c r="H160" s="4">
        <f t="shared" si="2"/>
        <v>0</v>
      </c>
      <c r="I160" s="4">
        <f>Table1[[#This Row],[B]]+Table1[[#This Row],[Atomic Constraints]]+Table1[[#This Row],[Soft Atomic Constraints]]+Table1[[#This Row],[Disjunctive Constraints]]+Table1[[#This Row],[Direct Successors]]</f>
        <v>42</v>
      </c>
      <c r="J160" s="5" t="s">
        <v>25</v>
      </c>
      <c r="K160" s="2">
        <v>8793</v>
      </c>
      <c r="L160" s="2">
        <v>2.7393041</v>
      </c>
      <c r="M160" s="2" t="str">
        <f>IF(AND(Table1[[#This Row],[Chuffed MZ1 Cost]]=Table1[[#This Row],[ORTools FZN2 Cost]],Table1[[#This Row],[ORTools FZN2 State]]="Optimal",Table1[[#This Row],[Chuffed MZ1 State]]="Suboptimal"),1,"")</f>
        <v/>
      </c>
      <c r="N160" s="5" t="s">
        <v>25</v>
      </c>
      <c r="O160" s="2">
        <v>8793</v>
      </c>
      <c r="P160" s="2">
        <v>2.6069933000000001</v>
      </c>
      <c r="Q160" s="2" t="str">
        <f>IF(AND(Table1[[#This Row],[Chuffed MZ2 Cost]]=Table1[[#This Row],[ORTools FZN2 Cost]],Table1[[#This Row],[ORTools FZN2 State]]="Optimal",Table1[[#This Row],[Chuffed MZ2 State]]="Suboptimal"),1,"")</f>
        <v/>
      </c>
      <c r="R160" s="6" t="s">
        <v>25</v>
      </c>
      <c r="S160" s="4">
        <v>8793</v>
      </c>
      <c r="T160" s="4">
        <v>2.2349999999969401</v>
      </c>
      <c r="U160" s="4"/>
      <c r="V160" s="5" t="s">
        <v>25</v>
      </c>
      <c r="W160" s="2">
        <v>8793</v>
      </c>
      <c r="X160" s="2">
        <v>0.5295919</v>
      </c>
      <c r="Y160" s="2" t="str">
        <f>IF(AND(Table1[[#This Row],[ORTools FZN1 Cost]]=Table1[[#This Row],[ORTools FZN2 Cost]],Table1[[#This Row],[ORTools FZN2 State]]="Optimal",Table1[[#This Row],[ORTools FZN1 State]]="Suboptimal"),1,"")</f>
        <v/>
      </c>
      <c r="Z160" s="5" t="s">
        <v>25</v>
      </c>
      <c r="AA160" s="2">
        <v>8793</v>
      </c>
      <c r="AB160" s="2">
        <v>0.65177989999999997</v>
      </c>
      <c r="AC160" s="39" t="s">
        <v>25</v>
      </c>
      <c r="AD160" s="39">
        <v>8793</v>
      </c>
      <c r="AE160" s="2">
        <v>3.4950819000000002</v>
      </c>
      <c r="AF160" s="2" t="str">
        <f>IF(AND(Table1[[#This Row],[Cplex MB Cost]]=Table1[[#This Row],[ORTools FZN2 Cost]],Table1[[#This Row],[ORTools FZN2 State]]="Optimal",Table1[[#This Row],[Cplex MB State]]="Suboptimal"),1,"")</f>
        <v/>
      </c>
      <c r="AG160" s="4">
        <f>IF(AND(AC160="Optimal",AD160&lt;&gt;AA160,Table1[[#This Row],[Example]]&lt;&gt;"R001",Table1[[#This Row],[Example]]&lt;&gt;"R002"),AD160-AA160,)</f>
        <v>0</v>
      </c>
      <c r="AH160" s="5" t="s">
        <v>25</v>
      </c>
      <c r="AI160" s="2">
        <v>8793</v>
      </c>
      <c r="AJ160" s="2">
        <v>46.937358799999998</v>
      </c>
      <c r="AK160" s="2" t="str">
        <f>IF(AND(Table1[[#This Row],[Cplex MD Cost]]=Table1[[#This Row],[ORTools FZN2 Cost]],Table1[[#This Row],[ORTools FZN2 State]]="Optimal",Table1[[#This Row],[Cplex MD State]]="Suboptimal"),1,"")</f>
        <v/>
      </c>
      <c r="AL160" s="4">
        <f>IF(AND(AH160="Optimal",AI160&lt;&gt;AA160,Table1[[#This Row],[Example]]&lt;&gt;"R001",Table1[[#This Row],[Example]]&lt;&gt;"R002"),AI160-AA160,)</f>
        <v>0</v>
      </c>
      <c r="AM160" s="39" t="s">
        <v>25</v>
      </c>
      <c r="AN160" s="39">
        <v>8793</v>
      </c>
      <c r="AO160" s="2">
        <v>6.5486388</v>
      </c>
      <c r="AP16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0" s="4" t="str">
        <f>IF(AND(Table1[[#This Row],[Cplex MI Cost]]=Table1[[#This Row],[ORTools FZN2 Cost]],Table1[[#This Row],[ORTools FZN2 State]]="Optimal",Table1[[#This Row],[Cplex MI State]]="Suboptimal"),1,"")</f>
        <v/>
      </c>
      <c r="AR160" s="12" t="s">
        <v>26</v>
      </c>
      <c r="AS160" s="12">
        <v>8793</v>
      </c>
      <c r="AT160" s="12">
        <v>6.9912656999999996</v>
      </c>
      <c r="AU160" s="12">
        <f>IF(AND(Table1[[#This Row],[Z3 SMT2-1 Maxres Cost]]=Table1[[#This Row],[ORTools FZN2 Cost]],Table1[[#This Row],[ORTools FZN2 State]]="Optimal"),1,"")</f>
        <v>1</v>
      </c>
      <c r="AV160" s="12" t="s">
        <v>26</v>
      </c>
      <c r="AW160" s="12">
        <v>8793</v>
      </c>
      <c r="AX160" s="12">
        <v>7.0065577000000001</v>
      </c>
      <c r="AY160" s="12">
        <f>IF(AND(Table1[[#This Row],[Z3 SMT2-1 PdMaxres Cost]]=Table1[[#This Row],[ORTools FZN2 Cost]],Table1[[#This Row],[ORTools FZN2 State]]="Optimal"),1,"")</f>
        <v>1</v>
      </c>
      <c r="AZ160" s="12" t="s">
        <v>26</v>
      </c>
      <c r="BA160" s="12">
        <v>8793</v>
      </c>
      <c r="BB160" s="12">
        <v>7.7393144999999999</v>
      </c>
      <c r="BC160" s="12">
        <f>IF(AND(Table1[[#This Row],[Z3 SMT2-1 WMax Cost]]=Table1[[#This Row],[ORTools FZN2 Cost]],Table1[[#This Row],[ORTools FZN2 State]]="Optimal"),1,"")</f>
        <v>1</v>
      </c>
      <c r="BD160" s="12" t="s">
        <v>26</v>
      </c>
      <c r="BE160" s="12">
        <v>8793</v>
      </c>
      <c r="BF160" s="12">
        <v>6.4478705999999999</v>
      </c>
      <c r="BG160" s="12">
        <f>IF(AND(Table1[[#This Row],[Z3 SMT2-2 Maxres Cost]]=Table1[[#This Row],[ORTools FZN2 Cost]],Table1[[#This Row],[ORTools FZN2 State]]="Optimal"),1,"")</f>
        <v>1</v>
      </c>
      <c r="BH160" s="12" t="s">
        <v>26</v>
      </c>
      <c r="BI160" s="12">
        <v>8793</v>
      </c>
      <c r="BJ160" s="12">
        <v>6.3952787000000004</v>
      </c>
      <c r="BK160" s="12">
        <f>IF(AND(Table1[[#This Row],[Z3 SMT2-2 PdMaxres Cost]]=Table1[[#This Row],[ORTools FZN2 Cost]],Table1[[#This Row],[ORTools FZN2 State]]="Optimal"),1,"")</f>
        <v>1</v>
      </c>
      <c r="BL160" s="12" t="s">
        <v>26</v>
      </c>
      <c r="BM160" s="12">
        <v>8793</v>
      </c>
      <c r="BN160" s="12">
        <v>6.5232421</v>
      </c>
      <c r="BO160" s="11">
        <f>IF(AND(Table1[[#This Row],[Z3 SMT2-2 PdMaxres Cost]]=Table1[[#This Row],[ORTools FZN2 Cost]],Table1[[#This Row],[ORTools FZN2 State]]="Optimal"),1,"")</f>
        <v>1</v>
      </c>
      <c r="BP160" s="5" t="s">
        <v>25</v>
      </c>
      <c r="BQ160" s="2">
        <v>8793</v>
      </c>
      <c r="BR160" s="2">
        <v>3.4591785000000002</v>
      </c>
      <c r="BS160" s="2" t="str">
        <f>IF(AND(Table1[[#This Row],[Gurobi MB Cost]]=Table1[[#This Row],[ORTools FZN2 Cost]],Table1[[#This Row],[ORTools FZN2 State]]="Optimal",Table1[[#This Row],[Gurobi MB State]]="Suboptimal"),1,"")</f>
        <v/>
      </c>
      <c r="BT16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0" s="5" t="s">
        <v>25</v>
      </c>
      <c r="BV160" s="2">
        <v>8793</v>
      </c>
      <c r="BW160" s="2">
        <v>21.724184300000001</v>
      </c>
      <c r="BX160" s="2" t="str">
        <f>IF(AND(Table1[[#This Row],[Gurobi MD Cost]]=Table1[[#This Row],[ORTools FZN2 Cost]],Table1[[#This Row],[ORTools FZN2 State]]="Optimal",Table1[[#This Row],[Gurobi MD State]]="Suboptimal"),1,"")</f>
        <v/>
      </c>
      <c r="BY16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0" s="5" t="s">
        <v>25</v>
      </c>
      <c r="CA160" s="2">
        <v>8793</v>
      </c>
      <c r="CB160" s="2">
        <v>2.7383886</v>
      </c>
      <c r="CC160" s="2" t="str">
        <f>IF(AND(Table1[[#This Row],[Gurobi MI Cost]]=Table1[[#This Row],[ORTools FZN2 Cost]],Table1[[#This Row],[ORTools FZN2 State]]="Optimal",Table1[[#This Row],[Gurobi MI State]]="Suboptimal"),1,"")</f>
        <v/>
      </c>
      <c r="CD16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0" s="39" t="s">
        <v>42</v>
      </c>
      <c r="CF160" s="2">
        <v>-4369</v>
      </c>
      <c r="CG160" s="39">
        <v>306.05139000000003</v>
      </c>
      <c r="CH160" s="39" t="s">
        <v>42</v>
      </c>
      <c r="CI160" s="39">
        <v>-4369</v>
      </c>
      <c r="CJ160" s="2">
        <v>306.03008590000002</v>
      </c>
      <c r="CK160" s="5" t="s">
        <v>25</v>
      </c>
      <c r="CL160" s="2">
        <v>8793</v>
      </c>
      <c r="CM160" s="2">
        <v>0.74099999999816601</v>
      </c>
      <c r="CN160" s="5" t="s">
        <v>25</v>
      </c>
      <c r="CO160" s="2">
        <v>8793</v>
      </c>
      <c r="CP160" s="2">
        <v>1.1397191</v>
      </c>
      <c r="CQ160" s="5" t="s">
        <v>25</v>
      </c>
      <c r="CR160" s="2">
        <v>8793</v>
      </c>
      <c r="CS160" s="2">
        <v>1.0412367</v>
      </c>
      <c r="CT160" s="6" t="s">
        <v>25</v>
      </c>
      <c r="CU160" s="4">
        <v>8793</v>
      </c>
      <c r="CV160" s="4">
        <v>0.89358870000000001</v>
      </c>
      <c r="CW160" s="39" t="s">
        <v>25</v>
      </c>
      <c r="CX160" s="39">
        <v>8793</v>
      </c>
      <c r="CY160" s="2">
        <v>3.6743999999999999</v>
      </c>
      <c r="CZ160" s="2" t="str">
        <f>IF(AND(Table1[[#This Row],[Cplex MZ1 Cost]]=Table1[[#This Row],[ORTools FZN2 Cost]],Table1[[#This Row],[ORTools FZN2 State]]="Optimal",Table1[[#This Row],[Cplex MZ1 State]]="Suboptimal"),1,"")</f>
        <v/>
      </c>
      <c r="DA160" s="5" t="s">
        <v>25</v>
      </c>
      <c r="DB160" s="2">
        <v>8793</v>
      </c>
      <c r="DC160" s="2">
        <v>14.1477</v>
      </c>
      <c r="DD160" s="2" t="str">
        <f>IF(AND(Table1[[#This Row],[Cplex MZ2 Cost]]=Table1[[#This Row],[ORTools FZN2 Cost]],Table1[[#This Row],[ORTools FZN2 State]]="Optimal",Table1[[#This Row],[Cplex MZ2 State]]="Suboptimal"),1,"")</f>
        <v/>
      </c>
      <c r="DE160" s="39" t="s">
        <v>25</v>
      </c>
      <c r="DF160" s="39">
        <v>8793</v>
      </c>
      <c r="DG160" s="2">
        <v>33.872500000000002</v>
      </c>
      <c r="DH160" s="2" t="str">
        <f>IF(AND(Table1[[#This Row],[Gurobi MZ1 Cost]]=Table1[[#This Row],[ORTools FZN2 Cost]],Table1[[#This Row],[ORTools FZN2 State]]="Optimal",Table1[[#This Row],[Gurobi MZ1 State]]="Suboptimal"),1,"")</f>
        <v/>
      </c>
      <c r="DI160" s="5" t="s">
        <v>25</v>
      </c>
      <c r="DJ160" s="2">
        <v>8793</v>
      </c>
      <c r="DK160" s="2">
        <v>57.293100000000003</v>
      </c>
      <c r="DL160" s="4" t="str">
        <f>IF(AND(Table1[[#This Row],[Gurobi MZ2 Cost]]=Table1[[#This Row],[ORTools FZN2 Cost]],Table1[[#This Row],[ORTools FZN2 State]]="Optimal",Table1[[#This Row],[Gurobi MZ2 State]]="Suboptimal"),1,"")</f>
        <v/>
      </c>
      <c r="DM160" s="39" t="s">
        <v>25</v>
      </c>
      <c r="DN160" s="39">
        <v>8793</v>
      </c>
      <c r="DO160" s="65">
        <v>5.3709999999991798</v>
      </c>
      <c r="DP160" s="4" t="str">
        <f>IF(AND(Table1[[#This Row],[Cplex MC nonDual Cost]]=Table1[[#This Row],[ORTools FZN2 Cost]],Table1[[#This Row],[ORTools FZN2 State]]="Optimal",Table1[[#This Row],[Cplex MC nonDual State]]="Suboptimal"),1,"")</f>
        <v/>
      </c>
      <c r="DQ160" s="5" t="s">
        <v>25</v>
      </c>
      <c r="DR160" s="2">
        <v>8793</v>
      </c>
      <c r="DS160" s="2">
        <v>9.7476000000000003</v>
      </c>
      <c r="DT160" s="2" t="str">
        <f>IF(AND(Table1[[#This Row],[Cplex MIP DM''z Cost]]=Table1[[#This Row],[ORTools FZN2 Cost]],Table1[[#This Row],[ORTools FZN2 State]]="Optimal",Table1[[#This Row],[Cplex MIP DM''z  State]]="Suboptimal"),1,"")</f>
        <v/>
      </c>
      <c r="DU16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0" s="5" t="s">
        <v>25</v>
      </c>
      <c r="DW160" s="2">
        <v>8793</v>
      </c>
      <c r="DX160" s="2">
        <v>41.138599999999997</v>
      </c>
      <c r="DY160" s="4" t="str">
        <f>IF(AND(Table1[[#This Row],[Gurobi DM''z  Cost]]=Table1[[#This Row],[ORTools FZN2 Cost]],Table1[[#This Row],[ORTools FZN2 State]]="Optimal",Table1[[#This Row],[Gurobi DM''z  State]]="Suboptimal"),1,"")</f>
        <v/>
      </c>
      <c r="DZ16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1" spans="1:130" ht="15.75" x14ac:dyDescent="0.25">
      <c r="A161" s="47" t="s">
        <v>187</v>
      </c>
      <c r="B161" s="5">
        <v>60</v>
      </c>
      <c r="C161" s="2">
        <v>30</v>
      </c>
      <c r="D161" s="5">
        <v>488</v>
      </c>
      <c r="E161" s="2">
        <v>34</v>
      </c>
      <c r="F161" s="5">
        <v>52</v>
      </c>
      <c r="G161" s="2">
        <v>0</v>
      </c>
      <c r="H161" s="4">
        <f t="shared" si="2"/>
        <v>0</v>
      </c>
      <c r="I161" s="4">
        <f>Table1[[#This Row],[B]]+Table1[[#This Row],[Atomic Constraints]]+Table1[[#This Row],[Soft Atomic Constraints]]+Table1[[#This Row],[Disjunctive Constraints]]+Table1[[#This Row],[Direct Successors]]</f>
        <v>604</v>
      </c>
      <c r="J161" s="5" t="s">
        <v>26</v>
      </c>
      <c r="K161" s="2">
        <v>5867296</v>
      </c>
      <c r="L161" s="2">
        <v>302.53108680000003</v>
      </c>
      <c r="M161" s="2" t="str">
        <f>IF(AND(Table1[[#This Row],[Chuffed MZ1 Cost]]=Table1[[#This Row],[ORTools FZN2 Cost]],Table1[[#This Row],[ORTools FZN2 State]]="Optimal",Table1[[#This Row],[Chuffed MZ1 State]]="Suboptimal"),1,"")</f>
        <v/>
      </c>
      <c r="N161" s="5" t="s">
        <v>26</v>
      </c>
      <c r="O161" s="2">
        <v>4783756</v>
      </c>
      <c r="P161" s="2">
        <v>302.7567884</v>
      </c>
      <c r="Q161" s="2" t="str">
        <f>IF(AND(Table1[[#This Row],[Chuffed MZ2 Cost]]=Table1[[#This Row],[ORTools FZN2 Cost]],Table1[[#This Row],[ORTools FZN2 State]]="Optimal",Table1[[#This Row],[Chuffed MZ2 State]]="Suboptimal"),1,"")</f>
        <v/>
      </c>
      <c r="R161" s="6" t="s">
        <v>26</v>
      </c>
      <c r="S161" s="4">
        <v>2396054</v>
      </c>
      <c r="T161" s="4">
        <v>300.07</v>
      </c>
      <c r="U161" s="4"/>
      <c r="V161" s="5" t="s">
        <v>25</v>
      </c>
      <c r="W161" s="2">
        <v>2176754</v>
      </c>
      <c r="X161" s="2">
        <v>68.581385900000001</v>
      </c>
      <c r="Y161" s="2" t="str">
        <f>IF(AND(Table1[[#This Row],[ORTools FZN1 Cost]]=Table1[[#This Row],[ORTools FZN2 Cost]],Table1[[#This Row],[ORTools FZN2 State]]="Optimal",Table1[[#This Row],[ORTools FZN1 State]]="Suboptimal"),1,"")</f>
        <v/>
      </c>
      <c r="Z161" s="5" t="s">
        <v>25</v>
      </c>
      <c r="AA161" s="2">
        <v>2176754</v>
      </c>
      <c r="AB161" s="2">
        <v>71.237184900000003</v>
      </c>
      <c r="AC161" s="39" t="s">
        <v>42</v>
      </c>
      <c r="AD161" s="39">
        <v>-219661</v>
      </c>
      <c r="AE161" s="2">
        <v>300.16290020000002</v>
      </c>
      <c r="AF161" s="2" t="str">
        <f>IF(AND(Table1[[#This Row],[Cplex MB Cost]]=Table1[[#This Row],[ORTools FZN2 Cost]],Table1[[#This Row],[ORTools FZN2 State]]="Optimal",Table1[[#This Row],[Cplex MB State]]="Suboptimal"),1,"")</f>
        <v/>
      </c>
      <c r="AG161" s="4">
        <f>IF(AND(AC161="Optimal",AD161&lt;&gt;AA161,Table1[[#This Row],[Example]]&lt;&gt;"R001",Table1[[#This Row],[Example]]&lt;&gt;"R002"),AD161-AA161,)</f>
        <v>0</v>
      </c>
      <c r="AH161" s="5" t="s">
        <v>42</v>
      </c>
      <c r="AI161" s="2">
        <v>-219661</v>
      </c>
      <c r="AJ161" s="2">
        <v>300.28055849999998</v>
      </c>
      <c r="AK161" s="2" t="str">
        <f>IF(AND(Table1[[#This Row],[Cplex MD Cost]]=Table1[[#This Row],[ORTools FZN2 Cost]],Table1[[#This Row],[ORTools FZN2 State]]="Optimal",Table1[[#This Row],[Cplex MD State]]="Suboptimal"),1,"")</f>
        <v/>
      </c>
      <c r="AL161" s="2">
        <f>IF(AND(AH161="Optimal",AI161&lt;&gt;AA161,Table1[[#This Row],[Example]]&lt;&gt;"R001",Table1[[#This Row],[Example]]&lt;&gt;"R002"),AI161-AA161,)</f>
        <v>0</v>
      </c>
      <c r="AM161" s="39" t="s">
        <v>26</v>
      </c>
      <c r="AN161" s="39">
        <v>5006474</v>
      </c>
      <c r="AO161" s="2">
        <v>300.09298610000002</v>
      </c>
      <c r="AP16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1" s="2" t="str">
        <f>IF(AND(Table1[[#This Row],[Cplex MI Cost]]=Table1[[#This Row],[ORTools FZN2 Cost]],Table1[[#This Row],[ORTools FZN2 State]]="Optimal",Table1[[#This Row],[Cplex MI State]]="Suboptimal"),1,"")</f>
        <v/>
      </c>
      <c r="AR161" s="5" t="s">
        <v>42</v>
      </c>
      <c r="AS161" s="2">
        <v>-219661</v>
      </c>
      <c r="AT161" s="2">
        <v>300.06981519999999</v>
      </c>
      <c r="AU161" s="2" t="str">
        <f>IF(AND(Table1[[#This Row],[Z3 SMT2-1 Maxres Cost]]=Table1[[#This Row],[ORTools FZN2 Cost]],Table1[[#This Row],[ORTools FZN2 State]]="Optimal"),1,"")</f>
        <v/>
      </c>
      <c r="AV161" s="39" t="s">
        <v>42</v>
      </c>
      <c r="AW161" s="39">
        <v>-219661</v>
      </c>
      <c r="AX161" s="2">
        <v>300.05756070000001</v>
      </c>
      <c r="AY161" s="2" t="str">
        <f>IF(AND(Table1[[#This Row],[Z3 SMT2-1 PdMaxres Cost]]=Table1[[#This Row],[ORTools FZN2 Cost]],Table1[[#This Row],[ORTools FZN2 State]]="Optimal"),1,"")</f>
        <v/>
      </c>
      <c r="AZ161" s="5" t="s">
        <v>42</v>
      </c>
      <c r="BA161" s="2">
        <v>-219661</v>
      </c>
      <c r="BB161" s="39">
        <v>300.29199549999998</v>
      </c>
      <c r="BC161" s="39" t="str">
        <f>IF(AND(Table1[[#This Row],[Z3 SMT2-1 WMax Cost]]=Table1[[#This Row],[ORTools FZN2 Cost]],Table1[[#This Row],[ORTools FZN2 State]]="Optimal"),1,"")</f>
        <v/>
      </c>
      <c r="BD161" s="39" t="s">
        <v>42</v>
      </c>
      <c r="BE161" s="39">
        <v>-219661</v>
      </c>
      <c r="BF161" s="2">
        <v>300.05663079999999</v>
      </c>
      <c r="BG161" s="2" t="str">
        <f>IF(AND(Table1[[#This Row],[Z3 SMT2-2 Maxres Cost]]=Table1[[#This Row],[ORTools FZN2 Cost]],Table1[[#This Row],[ORTools FZN2 State]]="Optimal"),1,"")</f>
        <v/>
      </c>
      <c r="BH161" s="5" t="s">
        <v>42</v>
      </c>
      <c r="BI161" s="2">
        <v>-219661</v>
      </c>
      <c r="BJ161" s="39">
        <v>300.05582509999999</v>
      </c>
      <c r="BK161" s="39" t="str">
        <f>IF(AND(Table1[[#This Row],[Z3 SMT2-2 PdMaxres Cost]]=Table1[[#This Row],[ORTools FZN2 Cost]],Table1[[#This Row],[ORTools FZN2 State]]="Optimal"),1,"")</f>
        <v/>
      </c>
      <c r="BL161" s="39" t="s">
        <v>42</v>
      </c>
      <c r="BM161" s="39">
        <v>-219661</v>
      </c>
      <c r="BN161" s="2">
        <v>300.05476440000001</v>
      </c>
      <c r="BO161" s="4" t="str">
        <f>IF(AND(Table1[[#This Row],[Z3 SMT2-2 PdMaxres Cost]]=Table1[[#This Row],[ORTools FZN2 Cost]],Table1[[#This Row],[ORTools FZN2 State]]="Optimal"),1,"")</f>
        <v/>
      </c>
      <c r="BP161" s="5" t="s">
        <v>42</v>
      </c>
      <c r="BQ161" s="2">
        <v>-219661</v>
      </c>
      <c r="BR161" s="2">
        <v>300.17603029999998</v>
      </c>
      <c r="BS161" s="2" t="str">
        <f>IF(AND(Table1[[#This Row],[Gurobi MB Cost]]=Table1[[#This Row],[ORTools FZN2 Cost]],Table1[[#This Row],[ORTools FZN2 State]]="Optimal",Table1[[#This Row],[Gurobi MB State]]="Suboptimal"),1,"")</f>
        <v/>
      </c>
      <c r="BT16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1" s="5" t="s">
        <v>42</v>
      </c>
      <c r="BV161" s="2">
        <v>-219661</v>
      </c>
      <c r="BW161" s="2">
        <v>300.0957745</v>
      </c>
      <c r="BX161" s="2" t="str">
        <f>IF(AND(Table1[[#This Row],[Gurobi MD Cost]]=Table1[[#This Row],[ORTools FZN2 Cost]],Table1[[#This Row],[ORTools FZN2 State]]="Optimal",Table1[[#This Row],[Gurobi MD State]]="Suboptimal"),1,"")</f>
        <v/>
      </c>
      <c r="BY16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1" s="5" t="s">
        <v>42</v>
      </c>
      <c r="CA161" s="2">
        <v>-219661</v>
      </c>
      <c r="CB161" s="2">
        <v>300.10921239999999</v>
      </c>
      <c r="CC161" s="2" t="str">
        <f>IF(AND(Table1[[#This Row],[Gurobi MI Cost]]=Table1[[#This Row],[ORTools FZN2 Cost]],Table1[[#This Row],[ORTools FZN2 State]]="Optimal",Table1[[#This Row],[Gurobi MI State]]="Suboptimal"),1,"")</f>
        <v/>
      </c>
      <c r="CD16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1" s="39" t="s">
        <v>42</v>
      </c>
      <c r="CF161" s="2">
        <v>-219661</v>
      </c>
      <c r="CG161" s="39">
        <v>306.22567709999998</v>
      </c>
      <c r="CH161" s="39" t="s">
        <v>42</v>
      </c>
      <c r="CI161" s="39">
        <v>-219661</v>
      </c>
      <c r="CJ161" s="2">
        <v>306.17149239999998</v>
      </c>
      <c r="CK161" s="5" t="s">
        <v>26</v>
      </c>
      <c r="CL161" s="2">
        <v>2176754</v>
      </c>
      <c r="CM161" s="2">
        <v>300.10500000000002</v>
      </c>
      <c r="CN161" s="5" t="s">
        <v>26</v>
      </c>
      <c r="CO161" s="2">
        <v>6317291</v>
      </c>
      <c r="CP161" s="2">
        <v>302.54493209999998</v>
      </c>
      <c r="CQ161" s="5" t="s">
        <v>25</v>
      </c>
      <c r="CR161" s="2">
        <v>2176754</v>
      </c>
      <c r="CS161" s="2">
        <v>88.8585688</v>
      </c>
      <c r="CT161" s="6" t="s">
        <v>25</v>
      </c>
      <c r="CU161" s="4">
        <v>2176754</v>
      </c>
      <c r="CV161" s="4">
        <v>51.795361399999997</v>
      </c>
      <c r="CW161" s="39" t="s">
        <v>26</v>
      </c>
      <c r="CX161" s="39">
        <v>4808349</v>
      </c>
      <c r="CY161" s="2">
        <v>300.03039999999999</v>
      </c>
      <c r="CZ161" s="2" t="str">
        <f>IF(AND(Table1[[#This Row],[Cplex MZ1 Cost]]=Table1[[#This Row],[ORTools FZN2 Cost]],Table1[[#This Row],[ORTools FZN2 State]]="Optimal",Table1[[#This Row],[Cplex MZ1 State]]="Suboptimal"),1,"")</f>
        <v/>
      </c>
      <c r="DA161" s="5" t="s">
        <v>26</v>
      </c>
      <c r="DB161" s="2">
        <v>3696373</v>
      </c>
      <c r="DC161" s="2">
        <v>300.03640000000001</v>
      </c>
      <c r="DD161" s="2" t="str">
        <f>IF(AND(Table1[[#This Row],[Cplex MZ2 Cost]]=Table1[[#This Row],[ORTools FZN2 Cost]],Table1[[#This Row],[ORTools FZN2 State]]="Optimal",Table1[[#This Row],[Cplex MZ2 State]]="Suboptimal"),1,"")</f>
        <v/>
      </c>
      <c r="DE161" s="39" t="s">
        <v>42</v>
      </c>
      <c r="DF161" s="39"/>
      <c r="DG161" s="2">
        <v>300.13040000000001</v>
      </c>
      <c r="DH161" s="2" t="str">
        <f>IF(AND(Table1[[#This Row],[Gurobi MZ1 Cost]]=Table1[[#This Row],[ORTools FZN2 Cost]],Table1[[#This Row],[ORTools FZN2 State]]="Optimal",Table1[[#This Row],[Gurobi MZ1 State]]="Suboptimal"),1,"")</f>
        <v/>
      </c>
      <c r="DI161" s="5" t="s">
        <v>42</v>
      </c>
      <c r="DJ161" s="2"/>
      <c r="DK161" s="2">
        <v>300.00490000000002</v>
      </c>
      <c r="DL161" s="4" t="str">
        <f>IF(AND(Table1[[#This Row],[Gurobi MZ2 Cost]]=Table1[[#This Row],[ORTools FZN2 Cost]],Table1[[#This Row],[ORTools FZN2 State]]="Optimal",Table1[[#This Row],[Gurobi MZ2 State]]="Suboptimal"),1,"")</f>
        <v/>
      </c>
      <c r="DM161" s="39" t="s">
        <v>26</v>
      </c>
      <c r="DN161" s="39">
        <v>2180231</v>
      </c>
      <c r="DO161" s="65">
        <v>300.167000000001</v>
      </c>
      <c r="DP161" s="4" t="str">
        <f>IF(AND(Table1[[#This Row],[Cplex MC nonDual Cost]]=Table1[[#This Row],[ORTools FZN2 Cost]],Table1[[#This Row],[ORTools FZN2 State]]="Optimal",Table1[[#This Row],[Cplex MC nonDual State]]="Suboptimal"),1,"")</f>
        <v/>
      </c>
      <c r="DQ161" s="5" t="s">
        <v>26</v>
      </c>
      <c r="DR161" s="2">
        <v>3699259</v>
      </c>
      <c r="DS161" s="2">
        <v>300.02199999999999</v>
      </c>
      <c r="DT161" s="2" t="str">
        <f>IF(AND(Table1[[#This Row],[Cplex MIP DM''z Cost]]=Table1[[#This Row],[ORTools FZN2 Cost]],Table1[[#This Row],[ORTools FZN2 State]]="Optimal",Table1[[#This Row],[Cplex MIP DM''z  State]]="Suboptimal"),1,"")</f>
        <v/>
      </c>
      <c r="DU16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1" s="5" t="s">
        <v>42</v>
      </c>
      <c r="DW161" s="2"/>
      <c r="DX161" s="2">
        <v>300.01209999999998</v>
      </c>
      <c r="DY161" s="4" t="str">
        <f>IF(AND(Table1[[#This Row],[Gurobi DM''z  Cost]]=Table1[[#This Row],[ORTools FZN2 Cost]],Table1[[#This Row],[ORTools FZN2 State]]="Optimal",Table1[[#This Row],[Gurobi DM''z  State]]="Suboptimal"),1,"")</f>
        <v/>
      </c>
      <c r="DZ16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2" spans="1:130" ht="15.75" x14ac:dyDescent="0.25">
      <c r="A162" s="46" t="s">
        <v>188</v>
      </c>
      <c r="B162" s="5">
        <v>60</v>
      </c>
      <c r="C162" s="2">
        <v>30</v>
      </c>
      <c r="D162" s="5">
        <v>489</v>
      </c>
      <c r="E162" s="2">
        <v>34</v>
      </c>
      <c r="F162" s="5">
        <v>52</v>
      </c>
      <c r="G162" s="2">
        <v>0</v>
      </c>
      <c r="H162" s="4">
        <f t="shared" si="2"/>
        <v>0</v>
      </c>
      <c r="I162" s="4">
        <f>Table1[[#This Row],[B]]+Table1[[#This Row],[Atomic Constraints]]+Table1[[#This Row],[Soft Atomic Constraints]]+Table1[[#This Row],[Disjunctive Constraints]]+Table1[[#This Row],[Direct Successors]]</f>
        <v>605</v>
      </c>
      <c r="J162" s="5" t="s">
        <v>26</v>
      </c>
      <c r="K162" s="2">
        <v>5233998</v>
      </c>
      <c r="L162" s="2">
        <v>302.62168370000001</v>
      </c>
      <c r="M162" s="2" t="str">
        <f>IF(AND(Table1[[#This Row],[Chuffed MZ1 Cost]]=Table1[[#This Row],[ORTools FZN2 Cost]],Table1[[#This Row],[ORTools FZN2 State]]="Optimal",Table1[[#This Row],[Chuffed MZ1 State]]="Suboptimal"),1,"")</f>
        <v/>
      </c>
      <c r="N162" s="5" t="s">
        <v>26</v>
      </c>
      <c r="O162" s="2">
        <v>5028308</v>
      </c>
      <c r="P162" s="2">
        <v>302.61045869999998</v>
      </c>
      <c r="Q162" s="2" t="str">
        <f>IF(AND(Table1[[#This Row],[Chuffed MZ2 Cost]]=Table1[[#This Row],[ORTools FZN2 Cost]],Table1[[#This Row],[ORTools FZN2 State]]="Optimal",Table1[[#This Row],[Chuffed MZ2 State]]="Suboptimal"),1,"")</f>
        <v/>
      </c>
      <c r="R162" s="6" t="s">
        <v>26</v>
      </c>
      <c r="S162" s="4">
        <v>2180356</v>
      </c>
      <c r="T162" s="4">
        <v>300.12999999999698</v>
      </c>
      <c r="U162" s="4"/>
      <c r="V162" s="5" t="s">
        <v>25</v>
      </c>
      <c r="W162" s="2">
        <v>2176754</v>
      </c>
      <c r="X162" s="2">
        <v>71.7162589</v>
      </c>
      <c r="Y162" s="2" t="str">
        <f>IF(AND(Table1[[#This Row],[ORTools FZN1 Cost]]=Table1[[#This Row],[ORTools FZN2 Cost]],Table1[[#This Row],[ORTools FZN2 State]]="Optimal",Table1[[#This Row],[ORTools FZN1 State]]="Suboptimal"),1,"")</f>
        <v/>
      </c>
      <c r="Z162" s="5" t="s">
        <v>25</v>
      </c>
      <c r="AA162" s="2">
        <v>2176754</v>
      </c>
      <c r="AB162" s="2">
        <v>61.664323199999998</v>
      </c>
      <c r="AC162" s="39" t="s">
        <v>42</v>
      </c>
      <c r="AD162" s="39">
        <v>-219661</v>
      </c>
      <c r="AE162" s="2">
        <v>300.16879829999999</v>
      </c>
      <c r="AF162" s="2" t="str">
        <f>IF(AND(Table1[[#This Row],[Cplex MB Cost]]=Table1[[#This Row],[ORTools FZN2 Cost]],Table1[[#This Row],[ORTools FZN2 State]]="Optimal",Table1[[#This Row],[Cplex MB State]]="Suboptimal"),1,"")</f>
        <v/>
      </c>
      <c r="AG162" s="4">
        <f>IF(AND(AC162="Optimal",AD162&lt;&gt;AA162,Table1[[#This Row],[Example]]&lt;&gt;"R001",Table1[[#This Row],[Example]]&lt;&gt;"R002"),AD162-AA162,)</f>
        <v>0</v>
      </c>
      <c r="AH162" s="5" t="s">
        <v>42</v>
      </c>
      <c r="AI162" s="2">
        <v>-219661</v>
      </c>
      <c r="AJ162" s="2">
        <v>300.27376770000001</v>
      </c>
      <c r="AK162" s="2" t="str">
        <f>IF(AND(Table1[[#This Row],[Cplex MD Cost]]=Table1[[#This Row],[ORTools FZN2 Cost]],Table1[[#This Row],[ORTools FZN2 State]]="Optimal",Table1[[#This Row],[Cplex MD State]]="Suboptimal"),1,"")</f>
        <v/>
      </c>
      <c r="AL162" s="4">
        <f>IF(AND(AH162="Optimal",AI162&lt;&gt;AA162,Table1[[#This Row],[Example]]&lt;&gt;"R001",Table1[[#This Row],[Example]]&lt;&gt;"R002"),AI162-AA162,)</f>
        <v>0</v>
      </c>
      <c r="AM162" s="39" t="s">
        <v>26</v>
      </c>
      <c r="AN162" s="39">
        <v>5877553</v>
      </c>
      <c r="AO162" s="2">
        <v>300.04823440000001</v>
      </c>
      <c r="AP16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2" s="4" t="str">
        <f>IF(AND(Table1[[#This Row],[Cplex MI Cost]]=Table1[[#This Row],[ORTools FZN2 Cost]],Table1[[#This Row],[ORTools FZN2 State]]="Optimal",Table1[[#This Row],[Cplex MI State]]="Suboptimal"),1,"")</f>
        <v/>
      </c>
      <c r="AR162" s="5" t="s">
        <v>42</v>
      </c>
      <c r="AS162" s="2">
        <v>-219661</v>
      </c>
      <c r="AT162" s="2">
        <v>300.06104820000002</v>
      </c>
      <c r="AU162" s="2" t="str">
        <f>IF(AND(Table1[[#This Row],[Z3 SMT2-1 Maxres Cost]]=Table1[[#This Row],[ORTools FZN2 Cost]],Table1[[#This Row],[ORTools FZN2 State]]="Optimal"),1,"")</f>
        <v/>
      </c>
      <c r="AV162" s="39" t="s">
        <v>42</v>
      </c>
      <c r="AW162" s="39">
        <v>-219661</v>
      </c>
      <c r="AX162" s="2">
        <v>300.05643859999998</v>
      </c>
      <c r="AY162" s="2" t="str">
        <f>IF(AND(Table1[[#This Row],[Z3 SMT2-1 PdMaxres Cost]]=Table1[[#This Row],[ORTools FZN2 Cost]],Table1[[#This Row],[ORTools FZN2 State]]="Optimal"),1,"")</f>
        <v/>
      </c>
      <c r="AZ162" s="5" t="s">
        <v>42</v>
      </c>
      <c r="BA162" s="2">
        <v>-219661</v>
      </c>
      <c r="BB162" s="39">
        <v>300.08725370000002</v>
      </c>
      <c r="BC162" s="39" t="str">
        <f>IF(AND(Table1[[#This Row],[Z3 SMT2-1 WMax Cost]]=Table1[[#This Row],[ORTools FZN2 Cost]],Table1[[#This Row],[ORTools FZN2 State]]="Optimal"),1,"")</f>
        <v/>
      </c>
      <c r="BD162" s="39" t="s">
        <v>42</v>
      </c>
      <c r="BE162" s="39">
        <v>-219661</v>
      </c>
      <c r="BF162" s="2">
        <v>300.06026500000002</v>
      </c>
      <c r="BG162" s="2" t="str">
        <f>IF(AND(Table1[[#This Row],[Z3 SMT2-2 Maxres Cost]]=Table1[[#This Row],[ORTools FZN2 Cost]],Table1[[#This Row],[ORTools FZN2 State]]="Optimal"),1,"")</f>
        <v/>
      </c>
      <c r="BH162" s="5" t="s">
        <v>42</v>
      </c>
      <c r="BI162" s="2">
        <v>-219661</v>
      </c>
      <c r="BJ162" s="39">
        <v>300.05908549999998</v>
      </c>
      <c r="BK162" s="39" t="str">
        <f>IF(AND(Table1[[#This Row],[Z3 SMT2-2 PdMaxres Cost]]=Table1[[#This Row],[ORTools FZN2 Cost]],Table1[[#This Row],[ORTools FZN2 State]]="Optimal"),1,"")</f>
        <v/>
      </c>
      <c r="BL162" s="39" t="s">
        <v>42</v>
      </c>
      <c r="BM162" s="39">
        <v>-219661</v>
      </c>
      <c r="BN162" s="2">
        <v>300.06046500000002</v>
      </c>
      <c r="BO162" s="4" t="str">
        <f>IF(AND(Table1[[#This Row],[Z3 SMT2-2 PdMaxres Cost]]=Table1[[#This Row],[ORTools FZN2 Cost]],Table1[[#This Row],[ORTools FZN2 State]]="Optimal"),1,"")</f>
        <v/>
      </c>
      <c r="BP162" s="5" t="s">
        <v>42</v>
      </c>
      <c r="BQ162" s="2">
        <v>-219661</v>
      </c>
      <c r="BR162" s="2">
        <v>304.17899319999998</v>
      </c>
      <c r="BS162" s="2" t="str">
        <f>IF(AND(Table1[[#This Row],[Gurobi MB Cost]]=Table1[[#This Row],[ORTools FZN2 Cost]],Table1[[#This Row],[ORTools FZN2 State]]="Optimal",Table1[[#This Row],[Gurobi MB State]]="Suboptimal"),1,"")</f>
        <v/>
      </c>
      <c r="BT16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2" s="5" t="s">
        <v>42</v>
      </c>
      <c r="BV162" s="2">
        <v>-219661</v>
      </c>
      <c r="BW162" s="2">
        <v>300.63925810000001</v>
      </c>
      <c r="BX162" s="2" t="str">
        <f>IF(AND(Table1[[#This Row],[Gurobi MD Cost]]=Table1[[#This Row],[ORTools FZN2 Cost]],Table1[[#This Row],[ORTools FZN2 State]]="Optimal",Table1[[#This Row],[Gurobi MD State]]="Suboptimal"),1,"")</f>
        <v/>
      </c>
      <c r="BY16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2" s="5" t="s">
        <v>42</v>
      </c>
      <c r="CA162" s="2">
        <v>-219661</v>
      </c>
      <c r="CB162" s="2">
        <v>300.14427189999998</v>
      </c>
      <c r="CC162" s="2" t="str">
        <f>IF(AND(Table1[[#This Row],[Gurobi MI Cost]]=Table1[[#This Row],[ORTools FZN2 Cost]],Table1[[#This Row],[ORTools FZN2 State]]="Optimal",Table1[[#This Row],[Gurobi MI State]]="Suboptimal"),1,"")</f>
        <v/>
      </c>
      <c r="CD16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2" s="39" t="s">
        <v>42</v>
      </c>
      <c r="CF162" s="2">
        <v>-219661</v>
      </c>
      <c r="CG162" s="39">
        <v>306.14799379999999</v>
      </c>
      <c r="CH162" s="39" t="s">
        <v>42</v>
      </c>
      <c r="CI162" s="39">
        <v>-219661</v>
      </c>
      <c r="CJ162" s="2">
        <v>306.16333880000002</v>
      </c>
      <c r="CK162" s="5" t="s">
        <v>26</v>
      </c>
      <c r="CL162" s="2">
        <v>2176754</v>
      </c>
      <c r="CM162" s="2">
        <v>300.16599999999698</v>
      </c>
      <c r="CN162" s="5" t="s">
        <v>26</v>
      </c>
      <c r="CO162" s="2">
        <v>6108495</v>
      </c>
      <c r="CP162" s="2">
        <v>302.58552959999997</v>
      </c>
      <c r="CQ162" s="5" t="s">
        <v>25</v>
      </c>
      <c r="CR162" s="2">
        <v>2176754</v>
      </c>
      <c r="CS162" s="2">
        <v>94.3957312</v>
      </c>
      <c r="CT162" s="6" t="s">
        <v>25</v>
      </c>
      <c r="CU162" s="4">
        <v>2176754</v>
      </c>
      <c r="CV162" s="4">
        <v>40.096851899999997</v>
      </c>
      <c r="CW162" s="39" t="s">
        <v>26</v>
      </c>
      <c r="CX162" s="39">
        <v>5877492</v>
      </c>
      <c r="CY162" s="2">
        <v>300.03030000000001</v>
      </c>
      <c r="CZ162" s="2" t="str">
        <f>IF(AND(Table1[[#This Row],[Cplex MZ1 Cost]]=Table1[[#This Row],[ORTools FZN2 Cost]],Table1[[#This Row],[ORTools FZN2 State]]="Optimal",Table1[[#This Row],[Cplex MZ1 State]]="Suboptimal"),1,"")</f>
        <v/>
      </c>
      <c r="DA162" s="5" t="s">
        <v>42</v>
      </c>
      <c r="DB162" s="2"/>
      <c r="DC162" s="2">
        <v>300.02080000000001</v>
      </c>
      <c r="DD162" s="2" t="str">
        <f>IF(AND(Table1[[#This Row],[Cplex MZ2 Cost]]=Table1[[#This Row],[ORTools FZN2 Cost]],Table1[[#This Row],[ORTools FZN2 State]]="Optimal",Table1[[#This Row],[Cplex MZ2 State]]="Suboptimal"),1,"")</f>
        <v/>
      </c>
      <c r="DE162" s="39" t="s">
        <v>42</v>
      </c>
      <c r="DF162" s="39"/>
      <c r="DG162" s="2">
        <v>300.00799999999998</v>
      </c>
      <c r="DH162" s="2" t="str">
        <f>IF(AND(Table1[[#This Row],[Gurobi MZ1 Cost]]=Table1[[#This Row],[ORTools FZN2 Cost]],Table1[[#This Row],[ORTools FZN2 State]]="Optimal",Table1[[#This Row],[Gurobi MZ1 State]]="Suboptimal"),1,"")</f>
        <v/>
      </c>
      <c r="DI162" s="5" t="s">
        <v>42</v>
      </c>
      <c r="DJ162" s="2"/>
      <c r="DK162" s="2">
        <v>300.00560000000002</v>
      </c>
      <c r="DL162" s="4" t="str">
        <f>IF(AND(Table1[[#This Row],[Gurobi MZ2 Cost]]=Table1[[#This Row],[ORTools FZN2 Cost]],Table1[[#This Row],[ORTools FZN2 State]]="Optimal",Table1[[#This Row],[Gurobi MZ2 State]]="Suboptimal"),1,"")</f>
        <v/>
      </c>
      <c r="DM162" s="39" t="s">
        <v>26</v>
      </c>
      <c r="DN162" s="39">
        <v>2180174</v>
      </c>
      <c r="DO162" s="65">
        <v>300.12599999999998</v>
      </c>
      <c r="DP162" s="4" t="str">
        <f>IF(AND(Table1[[#This Row],[Cplex MC nonDual Cost]]=Table1[[#This Row],[ORTools FZN2 Cost]],Table1[[#This Row],[ORTools FZN2 State]]="Optimal",Table1[[#This Row],[Cplex MC nonDual State]]="Suboptimal"),1,"")</f>
        <v/>
      </c>
      <c r="DQ162" s="5" t="s">
        <v>42</v>
      </c>
      <c r="DR162" s="2"/>
      <c r="DS162" s="2">
        <v>300.00880000000001</v>
      </c>
      <c r="DT162" s="2" t="str">
        <f>IF(AND(Table1[[#This Row],[Cplex MIP DM''z Cost]]=Table1[[#This Row],[ORTools FZN2 Cost]],Table1[[#This Row],[ORTools FZN2 State]]="Optimal",Table1[[#This Row],[Cplex MIP DM''z  State]]="Suboptimal"),1,"")</f>
        <v/>
      </c>
      <c r="DU16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2" s="5" t="s">
        <v>42</v>
      </c>
      <c r="DW162" s="2"/>
      <c r="DX162" s="2">
        <v>300.0222</v>
      </c>
      <c r="DY162" s="4" t="str">
        <f>IF(AND(Table1[[#This Row],[Gurobi DM''z  Cost]]=Table1[[#This Row],[ORTools FZN2 Cost]],Table1[[#This Row],[ORTools FZN2 State]]="Optimal",Table1[[#This Row],[Gurobi DM''z  State]]="Suboptimal"),1,"")</f>
        <v/>
      </c>
      <c r="DZ16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3" spans="1:130" ht="15.75" x14ac:dyDescent="0.25">
      <c r="A163" s="47" t="s">
        <v>189</v>
      </c>
      <c r="B163" s="5">
        <v>60</v>
      </c>
      <c r="C163" s="2">
        <v>30</v>
      </c>
      <c r="D163" s="5">
        <v>511</v>
      </c>
      <c r="E163" s="2">
        <v>37</v>
      </c>
      <c r="F163" s="5">
        <v>64</v>
      </c>
      <c r="G163" s="2">
        <v>0</v>
      </c>
      <c r="H163" s="4">
        <f t="shared" si="2"/>
        <v>0</v>
      </c>
      <c r="I163" s="4">
        <f>Table1[[#This Row],[B]]+Table1[[#This Row],[Atomic Constraints]]+Table1[[#This Row],[Soft Atomic Constraints]]+Table1[[#This Row],[Disjunctive Constraints]]+Table1[[#This Row],[Direct Successors]]</f>
        <v>642</v>
      </c>
      <c r="J163" s="5" t="s">
        <v>26</v>
      </c>
      <c r="K163" s="2">
        <v>5913913</v>
      </c>
      <c r="L163" s="2">
        <v>302.60179909999999</v>
      </c>
      <c r="M163" s="2" t="str">
        <f>IF(AND(Table1[[#This Row],[Chuffed MZ1 Cost]]=Table1[[#This Row],[ORTools FZN2 Cost]],Table1[[#This Row],[ORTools FZN2 State]]="Optimal",Table1[[#This Row],[Chuffed MZ1 State]]="Suboptimal"),1,"")</f>
        <v/>
      </c>
      <c r="N163" s="5" t="s">
        <v>26</v>
      </c>
      <c r="O163" s="2">
        <v>5247859</v>
      </c>
      <c r="P163" s="2">
        <v>302.61615549999999</v>
      </c>
      <c r="Q163" s="2" t="str">
        <f>IF(AND(Table1[[#This Row],[Chuffed MZ2 Cost]]=Table1[[#This Row],[ORTools FZN2 Cost]],Table1[[#This Row],[ORTools FZN2 State]]="Optimal",Table1[[#This Row],[Chuffed MZ2 State]]="Suboptimal"),1,"")</f>
        <v/>
      </c>
      <c r="R163" s="6" t="s">
        <v>26</v>
      </c>
      <c r="S163" s="4">
        <v>1960878</v>
      </c>
      <c r="T163" s="4">
        <v>300.14699999999698</v>
      </c>
      <c r="U163" s="4"/>
      <c r="V163" s="5" t="s">
        <v>25</v>
      </c>
      <c r="W163" s="2">
        <v>1960758</v>
      </c>
      <c r="X163" s="2">
        <v>80.945881499999999</v>
      </c>
      <c r="Y163" s="2" t="str">
        <f>IF(AND(Table1[[#This Row],[ORTools FZN1 Cost]]=Table1[[#This Row],[ORTools FZN2 Cost]],Table1[[#This Row],[ORTools FZN2 State]]="Optimal",Table1[[#This Row],[ORTools FZN1 State]]="Suboptimal"),1,"")</f>
        <v/>
      </c>
      <c r="Z163" s="5" t="s">
        <v>25</v>
      </c>
      <c r="AA163" s="2">
        <v>1960758</v>
      </c>
      <c r="AB163" s="2">
        <v>66.063435600000005</v>
      </c>
      <c r="AC163" s="39" t="s">
        <v>42</v>
      </c>
      <c r="AD163" s="39">
        <v>-219661</v>
      </c>
      <c r="AE163" s="2">
        <v>300.1451644</v>
      </c>
      <c r="AF163" s="2" t="str">
        <f>IF(AND(Table1[[#This Row],[Cplex MB Cost]]=Table1[[#This Row],[ORTools FZN2 Cost]],Table1[[#This Row],[ORTools FZN2 State]]="Optimal",Table1[[#This Row],[Cplex MB State]]="Suboptimal"),1,"")</f>
        <v/>
      </c>
      <c r="AG163" s="4">
        <f>IF(AND(AC163="Optimal",AD163&lt;&gt;AA163,Table1[[#This Row],[Example]]&lt;&gt;"R001",Table1[[#This Row],[Example]]&lt;&gt;"R002"),AD163-AA163,)</f>
        <v>0</v>
      </c>
      <c r="AH163" s="5" t="s">
        <v>42</v>
      </c>
      <c r="AI163" s="2">
        <v>-219661</v>
      </c>
      <c r="AJ163" s="2">
        <v>300.47016880000001</v>
      </c>
      <c r="AK163" s="2" t="str">
        <f>IF(AND(Table1[[#This Row],[Cplex MD Cost]]=Table1[[#This Row],[ORTools FZN2 Cost]],Table1[[#This Row],[ORTools FZN2 State]]="Optimal",Table1[[#This Row],[Cplex MD State]]="Suboptimal"),1,"")</f>
        <v/>
      </c>
      <c r="AL163" s="2">
        <f>IF(AND(AH163="Optimal",AI163&lt;&gt;AA163,Table1[[#This Row],[Example]]&lt;&gt;"R001",Table1[[#This Row],[Example]]&lt;&gt;"R002"),AI163-AA163,)</f>
        <v>0</v>
      </c>
      <c r="AM163" s="39" t="s">
        <v>51</v>
      </c>
      <c r="AN163" s="39">
        <v>-219661</v>
      </c>
      <c r="AO163" s="2">
        <v>9.5446404999999999</v>
      </c>
      <c r="AP16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3" s="2" t="str">
        <f>IF(AND(Table1[[#This Row],[Cplex MI Cost]]=Table1[[#This Row],[ORTools FZN2 Cost]],Table1[[#This Row],[ORTools FZN2 State]]="Optimal",Table1[[#This Row],[Cplex MI State]]="Suboptimal"),1,"")</f>
        <v/>
      </c>
      <c r="AR163" s="5" t="s">
        <v>42</v>
      </c>
      <c r="AS163" s="2">
        <v>-219661</v>
      </c>
      <c r="AT163" s="2">
        <v>300.07224830000001</v>
      </c>
      <c r="AU163" s="2" t="str">
        <f>IF(AND(Table1[[#This Row],[Z3 SMT2-1 Maxres Cost]]=Table1[[#This Row],[ORTools FZN2 Cost]],Table1[[#This Row],[ORTools FZN2 State]]="Optimal"),1,"")</f>
        <v/>
      </c>
      <c r="AV163" s="39" t="s">
        <v>42</v>
      </c>
      <c r="AW163" s="39">
        <v>-219661</v>
      </c>
      <c r="AX163" s="2">
        <v>300.06491699999998</v>
      </c>
      <c r="AY163" s="2" t="str">
        <f>IF(AND(Table1[[#This Row],[Z3 SMT2-1 PdMaxres Cost]]=Table1[[#This Row],[ORTools FZN2 Cost]],Table1[[#This Row],[ORTools FZN2 State]]="Optimal"),1,"")</f>
        <v/>
      </c>
      <c r="AZ163" s="5" t="s">
        <v>42</v>
      </c>
      <c r="BA163" s="2">
        <v>-219661</v>
      </c>
      <c r="BB163" s="39">
        <v>300.07406950000001</v>
      </c>
      <c r="BC163" s="39" t="str">
        <f>IF(AND(Table1[[#This Row],[Z3 SMT2-1 WMax Cost]]=Table1[[#This Row],[ORTools FZN2 Cost]],Table1[[#This Row],[ORTools FZN2 State]]="Optimal"),1,"")</f>
        <v/>
      </c>
      <c r="BD163" s="39" t="s">
        <v>42</v>
      </c>
      <c r="BE163" s="39">
        <v>-219661</v>
      </c>
      <c r="BF163" s="2">
        <v>300.04942160000002</v>
      </c>
      <c r="BG163" s="2" t="str">
        <f>IF(AND(Table1[[#This Row],[Z3 SMT2-2 Maxres Cost]]=Table1[[#This Row],[ORTools FZN2 Cost]],Table1[[#This Row],[ORTools FZN2 State]]="Optimal"),1,"")</f>
        <v/>
      </c>
      <c r="BH163" s="5" t="s">
        <v>42</v>
      </c>
      <c r="BI163" s="2">
        <v>-219661</v>
      </c>
      <c r="BJ163" s="39">
        <v>300.06612589999997</v>
      </c>
      <c r="BK163" s="39" t="str">
        <f>IF(AND(Table1[[#This Row],[Z3 SMT2-2 PdMaxres Cost]]=Table1[[#This Row],[ORTools FZN2 Cost]],Table1[[#This Row],[ORTools FZN2 State]]="Optimal"),1,"")</f>
        <v/>
      </c>
      <c r="BL163" s="39" t="s">
        <v>42</v>
      </c>
      <c r="BM163" s="39">
        <v>-219661</v>
      </c>
      <c r="BN163" s="2">
        <v>300.07007820000001</v>
      </c>
      <c r="BO163" s="4" t="str">
        <f>IF(AND(Table1[[#This Row],[Z3 SMT2-2 PdMaxres Cost]]=Table1[[#This Row],[ORTools FZN2 Cost]],Table1[[#This Row],[ORTools FZN2 State]]="Optimal"),1,"")</f>
        <v/>
      </c>
      <c r="BP163" s="5" t="s">
        <v>42</v>
      </c>
      <c r="BQ163" s="2">
        <v>-219661</v>
      </c>
      <c r="BR163" s="2">
        <v>301.10790800000001</v>
      </c>
      <c r="BS163" s="2" t="str">
        <f>IF(AND(Table1[[#This Row],[Gurobi MB Cost]]=Table1[[#This Row],[ORTools FZN2 Cost]],Table1[[#This Row],[ORTools FZN2 State]]="Optimal",Table1[[#This Row],[Gurobi MB State]]="Suboptimal"),1,"")</f>
        <v/>
      </c>
      <c r="BT16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3" s="5" t="s">
        <v>42</v>
      </c>
      <c r="BV163" s="2">
        <v>-219661</v>
      </c>
      <c r="BW163" s="2">
        <v>300.20912010000001</v>
      </c>
      <c r="BX163" s="2" t="str">
        <f>IF(AND(Table1[[#This Row],[Gurobi MD Cost]]=Table1[[#This Row],[ORTools FZN2 Cost]],Table1[[#This Row],[ORTools FZN2 State]]="Optimal",Table1[[#This Row],[Gurobi MD State]]="Suboptimal"),1,"")</f>
        <v/>
      </c>
      <c r="BY16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3" s="5" t="s">
        <v>42</v>
      </c>
      <c r="CA163" s="2">
        <v>-219661</v>
      </c>
      <c r="CB163" s="2">
        <v>300.09953250000001</v>
      </c>
      <c r="CC163" s="2" t="str">
        <f>IF(AND(Table1[[#This Row],[Gurobi MI Cost]]=Table1[[#This Row],[ORTools FZN2 Cost]],Table1[[#This Row],[ORTools FZN2 State]]="Optimal",Table1[[#This Row],[Gurobi MI State]]="Suboptimal"),1,"")</f>
        <v/>
      </c>
      <c r="CD16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3" s="39" t="s">
        <v>42</v>
      </c>
      <c r="CF163" s="2">
        <v>-219661</v>
      </c>
      <c r="CG163" s="39">
        <v>306.14818880000001</v>
      </c>
      <c r="CH163" s="39" t="s">
        <v>42</v>
      </c>
      <c r="CI163" s="39">
        <v>-219661</v>
      </c>
      <c r="CJ163" s="2">
        <v>306.17187000000001</v>
      </c>
      <c r="CK163" s="5" t="s">
        <v>26</v>
      </c>
      <c r="CL163" s="2">
        <v>1960758</v>
      </c>
      <c r="CM163" s="2">
        <v>300.16500000000099</v>
      </c>
      <c r="CN163" s="5" t="s">
        <v>26</v>
      </c>
      <c r="CO163" s="2">
        <v>5434874</v>
      </c>
      <c r="CP163" s="2">
        <v>302.5572118</v>
      </c>
      <c r="CQ163" s="5" t="s">
        <v>25</v>
      </c>
      <c r="CR163" s="2">
        <v>1960758</v>
      </c>
      <c r="CS163" s="2">
        <v>81.809494200000003</v>
      </c>
      <c r="CT163" s="6" t="s">
        <v>25</v>
      </c>
      <c r="CU163" s="4">
        <v>1960758</v>
      </c>
      <c r="CV163" s="4">
        <v>39.128193099999997</v>
      </c>
      <c r="CW163" s="39" t="s">
        <v>26</v>
      </c>
      <c r="CX163" s="39">
        <v>5009653</v>
      </c>
      <c r="CY163" s="2">
        <v>300.01949999999999</v>
      </c>
      <c r="CZ163" s="2" t="str">
        <f>IF(AND(Table1[[#This Row],[Cplex MZ1 Cost]]=Table1[[#This Row],[ORTools FZN2 Cost]],Table1[[#This Row],[ORTools FZN2 State]]="Optimal",Table1[[#This Row],[Cplex MZ1 State]]="Suboptimal"),1,"")</f>
        <v/>
      </c>
      <c r="DA163" s="5" t="s">
        <v>42</v>
      </c>
      <c r="DB163" s="2"/>
      <c r="DC163" s="2">
        <v>300.01729999999998</v>
      </c>
      <c r="DD163" s="2" t="str">
        <f>IF(AND(Table1[[#This Row],[Cplex MZ2 Cost]]=Table1[[#This Row],[ORTools FZN2 Cost]],Table1[[#This Row],[ORTools FZN2 State]]="Optimal",Table1[[#This Row],[Cplex MZ2 State]]="Suboptimal"),1,"")</f>
        <v/>
      </c>
      <c r="DE163" s="39" t="s">
        <v>42</v>
      </c>
      <c r="DF163" s="39"/>
      <c r="DG163" s="2">
        <v>300.00779999999997</v>
      </c>
      <c r="DH163" s="2" t="str">
        <f>IF(AND(Table1[[#This Row],[Gurobi MZ1 Cost]]=Table1[[#This Row],[ORTools FZN2 Cost]],Table1[[#This Row],[ORTools FZN2 State]]="Optimal",Table1[[#This Row],[Gurobi MZ1 State]]="Suboptimal"),1,"")</f>
        <v/>
      </c>
      <c r="DI163" s="5" t="s">
        <v>42</v>
      </c>
      <c r="DJ163" s="2"/>
      <c r="DK163" s="2">
        <v>300.005</v>
      </c>
      <c r="DL163" s="4" t="str">
        <f>IF(AND(Table1[[#This Row],[Gurobi MZ2 Cost]]=Table1[[#This Row],[ORTools FZN2 Cost]],Table1[[#This Row],[ORTools FZN2 State]]="Optimal",Table1[[#This Row],[Gurobi MZ2 State]]="Suboptimal"),1,"")</f>
        <v/>
      </c>
      <c r="DM163" s="39" t="s">
        <v>26</v>
      </c>
      <c r="DN163" s="39">
        <v>2180231</v>
      </c>
      <c r="DO163" s="65">
        <v>300.15599999999898</v>
      </c>
      <c r="DP163" s="4" t="str">
        <f>IF(AND(Table1[[#This Row],[Cplex MC nonDual Cost]]=Table1[[#This Row],[ORTools FZN2 Cost]],Table1[[#This Row],[ORTools FZN2 State]]="Optimal",Table1[[#This Row],[Cplex MC nonDual State]]="Suboptimal"),1,"")</f>
        <v/>
      </c>
      <c r="DQ163" s="5" t="s">
        <v>26</v>
      </c>
      <c r="DR163" s="2">
        <v>4567453</v>
      </c>
      <c r="DS163" s="2">
        <v>300.01319999999998</v>
      </c>
      <c r="DT163" s="2" t="str">
        <f>IF(AND(Table1[[#This Row],[Cplex MIP DM''z Cost]]=Table1[[#This Row],[ORTools FZN2 Cost]],Table1[[#This Row],[ORTools FZN2 State]]="Optimal",Table1[[#This Row],[Cplex MIP DM''z  State]]="Suboptimal"),1,"")</f>
        <v/>
      </c>
      <c r="DU16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3" s="5" t="s">
        <v>42</v>
      </c>
      <c r="DW163" s="2"/>
      <c r="DX163" s="2">
        <v>300.50020000000001</v>
      </c>
      <c r="DY163" s="4" t="str">
        <f>IF(AND(Table1[[#This Row],[Gurobi DM''z  Cost]]=Table1[[#This Row],[ORTools FZN2 Cost]],Table1[[#This Row],[ORTools FZN2 State]]="Optimal",Table1[[#This Row],[Gurobi DM''z  State]]="Suboptimal"),1,"")</f>
        <v/>
      </c>
      <c r="DZ16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4" spans="1:130" ht="15.75" x14ac:dyDescent="0.25">
      <c r="A164" s="46" t="s">
        <v>190</v>
      </c>
      <c r="B164" s="5">
        <v>60</v>
      </c>
      <c r="C164" s="2">
        <v>30</v>
      </c>
      <c r="D164" s="5">
        <v>511</v>
      </c>
      <c r="E164" s="2">
        <v>37</v>
      </c>
      <c r="F164" s="5">
        <v>64</v>
      </c>
      <c r="G164" s="2">
        <v>0</v>
      </c>
      <c r="H164" s="4">
        <f t="shared" si="2"/>
        <v>0</v>
      </c>
      <c r="I164" s="4">
        <f>Table1[[#This Row],[B]]+Table1[[#This Row],[Atomic Constraints]]+Table1[[#This Row],[Soft Atomic Constraints]]+Table1[[#This Row],[Disjunctive Constraints]]+Table1[[#This Row],[Direct Successors]]</f>
        <v>642</v>
      </c>
      <c r="J164" s="5" t="s">
        <v>26</v>
      </c>
      <c r="K164" s="2">
        <v>5913913</v>
      </c>
      <c r="L164" s="2">
        <v>302.56371919999998</v>
      </c>
      <c r="M164" s="2" t="str">
        <f>IF(AND(Table1[[#This Row],[Chuffed MZ1 Cost]]=Table1[[#This Row],[ORTools FZN2 Cost]],Table1[[#This Row],[ORTools FZN2 State]]="Optimal",Table1[[#This Row],[Chuffed MZ1 State]]="Suboptimal"),1,"")</f>
        <v/>
      </c>
      <c r="N164" s="5" t="s">
        <v>26</v>
      </c>
      <c r="O164" s="2">
        <v>5024708</v>
      </c>
      <c r="P164" s="2">
        <v>302.62319760000003</v>
      </c>
      <c r="Q164" s="2" t="str">
        <f>IF(AND(Table1[[#This Row],[Chuffed MZ2 Cost]]=Table1[[#This Row],[ORTools FZN2 Cost]],Table1[[#This Row],[ORTools FZN2 State]]="Optimal",Table1[[#This Row],[Chuffed MZ2 State]]="Suboptimal"),1,"")</f>
        <v/>
      </c>
      <c r="R164" s="6" t="s">
        <v>26</v>
      </c>
      <c r="S164" s="4">
        <v>1960878</v>
      </c>
      <c r="T164" s="4">
        <v>300.167000000001</v>
      </c>
      <c r="U164" s="4"/>
      <c r="V164" s="5" t="s">
        <v>25</v>
      </c>
      <c r="W164" s="2">
        <v>1960758</v>
      </c>
      <c r="X164" s="2">
        <v>81.785608699999997</v>
      </c>
      <c r="Y164" s="2" t="str">
        <f>IF(AND(Table1[[#This Row],[ORTools FZN1 Cost]]=Table1[[#This Row],[ORTools FZN2 Cost]],Table1[[#This Row],[ORTools FZN2 State]]="Optimal",Table1[[#This Row],[ORTools FZN1 State]]="Suboptimal"),1,"")</f>
        <v/>
      </c>
      <c r="Z164" s="5" t="s">
        <v>25</v>
      </c>
      <c r="AA164" s="2">
        <v>1960758</v>
      </c>
      <c r="AB164" s="2">
        <v>75.963123199999998</v>
      </c>
      <c r="AC164" s="39" t="s">
        <v>42</v>
      </c>
      <c r="AD164" s="39">
        <v>-219661</v>
      </c>
      <c r="AE164" s="2">
        <v>300.15301190000002</v>
      </c>
      <c r="AF164" s="2" t="str">
        <f>IF(AND(Table1[[#This Row],[Cplex MB Cost]]=Table1[[#This Row],[ORTools FZN2 Cost]],Table1[[#This Row],[ORTools FZN2 State]]="Optimal",Table1[[#This Row],[Cplex MB State]]="Suboptimal"),1,"")</f>
        <v/>
      </c>
      <c r="AG164" s="4">
        <f>IF(AND(AC164="Optimal",AD164&lt;&gt;AA164,Table1[[#This Row],[Example]]&lt;&gt;"R001",Table1[[#This Row],[Example]]&lt;&gt;"R002"),AD164-AA164,)</f>
        <v>0</v>
      </c>
      <c r="AH164" s="5" t="s">
        <v>42</v>
      </c>
      <c r="AI164" s="2">
        <v>-219661</v>
      </c>
      <c r="AJ164" s="2">
        <v>300.46653900000001</v>
      </c>
      <c r="AK164" s="2" t="str">
        <f>IF(AND(Table1[[#This Row],[Cplex MD Cost]]=Table1[[#This Row],[ORTools FZN2 Cost]],Table1[[#This Row],[ORTools FZN2 State]]="Optimal",Table1[[#This Row],[Cplex MD State]]="Suboptimal"),1,"")</f>
        <v/>
      </c>
      <c r="AL164" s="4">
        <f>IF(AND(AH164="Optimal",AI164&lt;&gt;AA164,Table1[[#This Row],[Example]]&lt;&gt;"R001",Table1[[#This Row],[Example]]&lt;&gt;"R002"),AI164-AA164,)</f>
        <v>0</v>
      </c>
      <c r="AM164" s="39" t="s">
        <v>51</v>
      </c>
      <c r="AN164" s="39">
        <v>-219661</v>
      </c>
      <c r="AO164" s="2">
        <v>12.3835652</v>
      </c>
      <c r="AP16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4" s="4" t="str">
        <f>IF(AND(Table1[[#This Row],[Cplex MI Cost]]=Table1[[#This Row],[ORTools FZN2 Cost]],Table1[[#This Row],[ORTools FZN2 State]]="Optimal",Table1[[#This Row],[Cplex MI State]]="Suboptimal"),1,"")</f>
        <v/>
      </c>
      <c r="AR164" s="5" t="s">
        <v>42</v>
      </c>
      <c r="AS164" s="2">
        <v>-219661</v>
      </c>
      <c r="AT164" s="2">
        <v>300.07309859999998</v>
      </c>
      <c r="AU164" s="2" t="str">
        <f>IF(AND(Table1[[#This Row],[Z3 SMT2-1 Maxres Cost]]=Table1[[#This Row],[ORTools FZN2 Cost]],Table1[[#This Row],[ORTools FZN2 State]]="Optimal"),1,"")</f>
        <v/>
      </c>
      <c r="AV164" s="39" t="s">
        <v>42</v>
      </c>
      <c r="AW164" s="39">
        <v>-219661</v>
      </c>
      <c r="AX164" s="2">
        <v>300.06272940000002</v>
      </c>
      <c r="AY164" s="2" t="str">
        <f>IF(AND(Table1[[#This Row],[Z3 SMT2-1 PdMaxres Cost]]=Table1[[#This Row],[ORTools FZN2 Cost]],Table1[[#This Row],[ORTools FZN2 State]]="Optimal"),1,"")</f>
        <v/>
      </c>
      <c r="AZ164" s="5" t="s">
        <v>42</v>
      </c>
      <c r="BA164" s="2">
        <v>-219661</v>
      </c>
      <c r="BB164" s="39">
        <v>300.07821510000002</v>
      </c>
      <c r="BC164" s="39" t="str">
        <f>IF(AND(Table1[[#This Row],[Z3 SMT2-1 WMax Cost]]=Table1[[#This Row],[ORTools FZN2 Cost]],Table1[[#This Row],[ORTools FZN2 State]]="Optimal"),1,"")</f>
        <v/>
      </c>
      <c r="BD164" s="39" t="s">
        <v>42</v>
      </c>
      <c r="BE164" s="39">
        <v>-219661</v>
      </c>
      <c r="BF164" s="2">
        <v>300.06168719999999</v>
      </c>
      <c r="BG164" s="2" t="str">
        <f>IF(AND(Table1[[#This Row],[Z3 SMT2-2 Maxres Cost]]=Table1[[#This Row],[ORTools FZN2 Cost]],Table1[[#This Row],[ORTools FZN2 State]]="Optimal"),1,"")</f>
        <v/>
      </c>
      <c r="BH164" s="5" t="s">
        <v>42</v>
      </c>
      <c r="BI164" s="2">
        <v>-219661</v>
      </c>
      <c r="BJ164" s="39">
        <v>300.05219510000001</v>
      </c>
      <c r="BK164" s="39" t="str">
        <f>IF(AND(Table1[[#This Row],[Z3 SMT2-2 PdMaxres Cost]]=Table1[[#This Row],[ORTools FZN2 Cost]],Table1[[#This Row],[ORTools FZN2 State]]="Optimal"),1,"")</f>
        <v/>
      </c>
      <c r="BL164" s="39" t="s">
        <v>42</v>
      </c>
      <c r="BM164" s="39">
        <v>-219661</v>
      </c>
      <c r="BN164" s="2">
        <v>300.05382980000002</v>
      </c>
      <c r="BO164" s="4" t="str">
        <f>IF(AND(Table1[[#This Row],[Z3 SMT2-2 PdMaxres Cost]]=Table1[[#This Row],[ORTools FZN2 Cost]],Table1[[#This Row],[ORTools FZN2 State]]="Optimal"),1,"")</f>
        <v/>
      </c>
      <c r="BP164" s="5" t="s">
        <v>42</v>
      </c>
      <c r="BQ164" s="2">
        <v>-219661</v>
      </c>
      <c r="BR164" s="2">
        <v>300.23658769999997</v>
      </c>
      <c r="BS164" s="2" t="str">
        <f>IF(AND(Table1[[#This Row],[Gurobi MB Cost]]=Table1[[#This Row],[ORTools FZN2 Cost]],Table1[[#This Row],[ORTools FZN2 State]]="Optimal",Table1[[#This Row],[Gurobi MB State]]="Suboptimal"),1,"")</f>
        <v/>
      </c>
      <c r="BT16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4" s="5" t="s">
        <v>42</v>
      </c>
      <c r="BV164" s="2">
        <v>-219661</v>
      </c>
      <c r="BW164" s="2">
        <v>300.31364880000001</v>
      </c>
      <c r="BX164" s="2" t="str">
        <f>IF(AND(Table1[[#This Row],[Gurobi MD Cost]]=Table1[[#This Row],[ORTools FZN2 Cost]],Table1[[#This Row],[ORTools FZN2 State]]="Optimal",Table1[[#This Row],[Gurobi MD State]]="Suboptimal"),1,"")</f>
        <v/>
      </c>
      <c r="BY16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4" s="5" t="s">
        <v>42</v>
      </c>
      <c r="CA164" s="2">
        <v>-219661</v>
      </c>
      <c r="CB164" s="2">
        <v>300.10180120000001</v>
      </c>
      <c r="CC164" s="2" t="str">
        <f>IF(AND(Table1[[#This Row],[Gurobi MI Cost]]=Table1[[#This Row],[ORTools FZN2 Cost]],Table1[[#This Row],[ORTools FZN2 State]]="Optimal",Table1[[#This Row],[Gurobi MI State]]="Suboptimal"),1,"")</f>
        <v/>
      </c>
      <c r="CD16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4" s="39" t="s">
        <v>42</v>
      </c>
      <c r="CF164" s="2">
        <v>-219661</v>
      </c>
      <c r="CG164" s="39">
        <v>306.12525920000002</v>
      </c>
      <c r="CH164" s="39" t="s">
        <v>42</v>
      </c>
      <c r="CI164" s="39">
        <v>-219661</v>
      </c>
      <c r="CJ164" s="2">
        <v>306.1359448</v>
      </c>
      <c r="CK164" s="5" t="s">
        <v>26</v>
      </c>
      <c r="CL164" s="2">
        <v>1960758</v>
      </c>
      <c r="CM164" s="2">
        <v>300.03900000000101</v>
      </c>
      <c r="CN164" s="5" t="s">
        <v>26</v>
      </c>
      <c r="CO164" s="2">
        <v>4801820</v>
      </c>
      <c r="CP164" s="2">
        <v>302.567566</v>
      </c>
      <c r="CQ164" s="5" t="s">
        <v>25</v>
      </c>
      <c r="CR164" s="2">
        <v>1960758</v>
      </c>
      <c r="CS164" s="2">
        <v>82.212823799999995</v>
      </c>
      <c r="CT164" s="6" t="s">
        <v>25</v>
      </c>
      <c r="CU164" s="4">
        <v>1960758</v>
      </c>
      <c r="CV164" s="4">
        <v>38.610968800000002</v>
      </c>
      <c r="CW164" s="39" t="s">
        <v>26</v>
      </c>
      <c r="CX164" s="39">
        <v>5009653</v>
      </c>
      <c r="CY164" s="2">
        <v>300.05220000000003</v>
      </c>
      <c r="CZ164" s="2" t="str">
        <f>IF(AND(Table1[[#This Row],[Cplex MZ1 Cost]]=Table1[[#This Row],[ORTools FZN2 Cost]],Table1[[#This Row],[ORTools FZN2 State]]="Optimal",Table1[[#This Row],[Cplex MZ1 State]]="Suboptimal"),1,"")</f>
        <v/>
      </c>
      <c r="DA164" s="5" t="s">
        <v>26</v>
      </c>
      <c r="DB164" s="2">
        <v>4138934</v>
      </c>
      <c r="DC164" s="2">
        <v>300.01830000000001</v>
      </c>
      <c r="DD164" s="2" t="str">
        <f>IF(AND(Table1[[#This Row],[Cplex MZ2 Cost]]=Table1[[#This Row],[ORTools FZN2 Cost]],Table1[[#This Row],[ORTools FZN2 State]]="Optimal",Table1[[#This Row],[Cplex MZ2 State]]="Suboptimal"),1,"")</f>
        <v/>
      </c>
      <c r="DE164" s="39" t="s">
        <v>42</v>
      </c>
      <c r="DF164" s="39"/>
      <c r="DG164" s="2">
        <v>300.00720000000001</v>
      </c>
      <c r="DH164" s="2" t="str">
        <f>IF(AND(Table1[[#This Row],[Gurobi MZ1 Cost]]=Table1[[#This Row],[ORTools FZN2 Cost]],Table1[[#This Row],[ORTools FZN2 State]]="Optimal",Table1[[#This Row],[Gurobi MZ1 State]]="Suboptimal"),1,"")</f>
        <v/>
      </c>
      <c r="DI164" s="5" t="s">
        <v>42</v>
      </c>
      <c r="DJ164" s="2"/>
      <c r="DK164" s="2">
        <v>300.50709999999998</v>
      </c>
      <c r="DL164" s="4" t="str">
        <f>IF(AND(Table1[[#This Row],[Gurobi MZ2 Cost]]=Table1[[#This Row],[ORTools FZN2 Cost]],Table1[[#This Row],[ORTools FZN2 State]]="Optimal",Table1[[#This Row],[Gurobi MZ2 State]]="Suboptimal"),1,"")</f>
        <v/>
      </c>
      <c r="DM164" s="39" t="s">
        <v>26</v>
      </c>
      <c r="DN164" s="39">
        <v>2180231</v>
      </c>
      <c r="DO164" s="65">
        <v>300.12799999999999</v>
      </c>
      <c r="DP164" s="4" t="str">
        <f>IF(AND(Table1[[#This Row],[Cplex MC nonDual Cost]]=Table1[[#This Row],[ORTools FZN2 Cost]],Table1[[#This Row],[ORTools FZN2 State]]="Optimal",Table1[[#This Row],[Cplex MC nonDual State]]="Suboptimal"),1,"")</f>
        <v/>
      </c>
      <c r="DQ164" s="5" t="s">
        <v>26</v>
      </c>
      <c r="DR164" s="2">
        <v>4567453</v>
      </c>
      <c r="DS164" s="2">
        <v>300.02260000000001</v>
      </c>
      <c r="DT164" s="2" t="str">
        <f>IF(AND(Table1[[#This Row],[Cplex MIP DM''z Cost]]=Table1[[#This Row],[ORTools FZN2 Cost]],Table1[[#This Row],[ORTools FZN2 State]]="Optimal",Table1[[#This Row],[Cplex MIP DM''z  State]]="Suboptimal"),1,"")</f>
        <v/>
      </c>
      <c r="DU16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4" s="5" t="s">
        <v>42</v>
      </c>
      <c r="DW164" s="2"/>
      <c r="DX164" s="2">
        <v>300.15460000000002</v>
      </c>
      <c r="DY164" s="4" t="str">
        <f>IF(AND(Table1[[#This Row],[Gurobi DM''z  Cost]]=Table1[[#This Row],[ORTools FZN2 Cost]],Table1[[#This Row],[ORTools FZN2 State]]="Optimal",Table1[[#This Row],[Gurobi DM''z  State]]="Suboptimal"),1,"")</f>
        <v/>
      </c>
      <c r="DZ16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5" spans="1:130" ht="15.75" x14ac:dyDescent="0.25">
      <c r="A165" s="47" t="s">
        <v>191</v>
      </c>
      <c r="B165" s="5">
        <v>58</v>
      </c>
      <c r="C165" s="2">
        <v>29</v>
      </c>
      <c r="D165" s="5">
        <v>449</v>
      </c>
      <c r="E165" s="2">
        <v>36</v>
      </c>
      <c r="F165" s="5">
        <v>58</v>
      </c>
      <c r="G165" s="2">
        <v>0</v>
      </c>
      <c r="H165" s="4">
        <f t="shared" si="2"/>
        <v>0</v>
      </c>
      <c r="I165" s="4">
        <f>Table1[[#This Row],[B]]+Table1[[#This Row],[Atomic Constraints]]+Table1[[#This Row],[Soft Atomic Constraints]]+Table1[[#This Row],[Disjunctive Constraints]]+Table1[[#This Row],[Direct Successors]]</f>
        <v>572</v>
      </c>
      <c r="J165" s="5" t="s">
        <v>26</v>
      </c>
      <c r="K165" s="2">
        <v>4327861</v>
      </c>
      <c r="L165" s="2">
        <v>302.52431239999999</v>
      </c>
      <c r="M165" s="2" t="str">
        <f>IF(AND(Table1[[#This Row],[Chuffed MZ1 Cost]]=Table1[[#This Row],[ORTools FZN2 Cost]],Table1[[#This Row],[ORTools FZN2 State]]="Optimal",Table1[[#This Row],[Chuffed MZ1 State]]="Suboptimal"),1,"")</f>
        <v/>
      </c>
      <c r="N165" s="5" t="s">
        <v>26</v>
      </c>
      <c r="O165" s="2">
        <v>4728933</v>
      </c>
      <c r="P165" s="2">
        <v>302.46124780000002</v>
      </c>
      <c r="Q165" s="2" t="str">
        <f>IF(AND(Table1[[#This Row],[Chuffed MZ2 Cost]]=Table1[[#This Row],[ORTools FZN2 Cost]],Table1[[#This Row],[ORTools FZN2 State]]="Optimal",Table1[[#This Row],[Chuffed MZ2 State]]="Suboptimal"),1,"")</f>
        <v/>
      </c>
      <c r="R165" s="11" t="s">
        <v>26</v>
      </c>
      <c r="S165" s="11">
        <v>1376702</v>
      </c>
      <c r="T165" s="11">
        <v>300.05800000000102</v>
      </c>
      <c r="U165" s="11">
        <v>1</v>
      </c>
      <c r="V165" s="5" t="s">
        <v>25</v>
      </c>
      <c r="W165" s="2">
        <v>1376702</v>
      </c>
      <c r="X165" s="2">
        <v>46.2156308</v>
      </c>
      <c r="Y165" s="2" t="str">
        <f>IF(AND(Table1[[#This Row],[ORTools FZN1 Cost]]=Table1[[#This Row],[ORTools FZN2 Cost]],Table1[[#This Row],[ORTools FZN2 State]]="Optimal",Table1[[#This Row],[ORTools FZN1 State]]="Suboptimal"),1,"")</f>
        <v/>
      </c>
      <c r="Z165" s="5" t="s">
        <v>25</v>
      </c>
      <c r="AA165" s="2">
        <v>1376702</v>
      </c>
      <c r="AB165" s="2">
        <v>52.444462399999999</v>
      </c>
      <c r="AC165" s="39" t="s">
        <v>42</v>
      </c>
      <c r="AD165" s="39">
        <v>-198535</v>
      </c>
      <c r="AE165" s="2">
        <v>300.14389130000001</v>
      </c>
      <c r="AF165" s="2" t="str">
        <f>IF(AND(Table1[[#This Row],[Cplex MB Cost]]=Table1[[#This Row],[ORTools FZN2 Cost]],Table1[[#This Row],[ORTools FZN2 State]]="Optimal",Table1[[#This Row],[Cplex MB State]]="Suboptimal"),1,"")</f>
        <v/>
      </c>
      <c r="AG165" s="4">
        <f>IF(AND(AC165="Optimal",AD165&lt;&gt;AA165,Table1[[#This Row],[Example]]&lt;&gt;"R001",Table1[[#This Row],[Example]]&lt;&gt;"R002"),AD165-AA165,)</f>
        <v>0</v>
      </c>
      <c r="AH165" s="5" t="s">
        <v>42</v>
      </c>
      <c r="AI165" s="2">
        <v>-198535</v>
      </c>
      <c r="AJ165" s="2">
        <v>300.4004789</v>
      </c>
      <c r="AK165" s="2" t="str">
        <f>IF(AND(Table1[[#This Row],[Cplex MD Cost]]=Table1[[#This Row],[ORTools FZN2 Cost]],Table1[[#This Row],[ORTools FZN2 State]]="Optimal",Table1[[#This Row],[Cplex MD State]]="Suboptimal"),1,"")</f>
        <v/>
      </c>
      <c r="AL165" s="2">
        <f>IF(AND(AH165="Optimal",AI165&lt;&gt;AA165,Table1[[#This Row],[Example]]&lt;&gt;"R001",Table1[[#This Row],[Example]]&lt;&gt;"R002"),AI165-AA165,)</f>
        <v>0</v>
      </c>
      <c r="AM165" s="39" t="s">
        <v>42</v>
      </c>
      <c r="AN165" s="39">
        <v>-198535</v>
      </c>
      <c r="AO165" s="2">
        <v>300.11185540000002</v>
      </c>
      <c r="AP16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5" s="2" t="str">
        <f>IF(AND(Table1[[#This Row],[Cplex MI Cost]]=Table1[[#This Row],[ORTools FZN2 Cost]],Table1[[#This Row],[ORTools FZN2 State]]="Optimal",Table1[[#This Row],[Cplex MI State]]="Suboptimal"),1,"")</f>
        <v/>
      </c>
      <c r="AR165" s="5" t="s">
        <v>42</v>
      </c>
      <c r="AS165" s="2">
        <v>-198535</v>
      </c>
      <c r="AT165" s="2">
        <v>300.06931809999998</v>
      </c>
      <c r="AU165" s="2" t="str">
        <f>IF(AND(Table1[[#This Row],[Z3 SMT2-1 Maxres Cost]]=Table1[[#This Row],[ORTools FZN2 Cost]],Table1[[#This Row],[ORTools FZN2 State]]="Optimal"),1,"")</f>
        <v/>
      </c>
      <c r="AV165" s="39" t="s">
        <v>42</v>
      </c>
      <c r="AW165" s="39">
        <v>-198535</v>
      </c>
      <c r="AX165" s="2">
        <v>300.05378630000001</v>
      </c>
      <c r="AY165" s="2" t="str">
        <f>IF(AND(Table1[[#This Row],[Z3 SMT2-1 PdMaxres Cost]]=Table1[[#This Row],[ORTools FZN2 Cost]],Table1[[#This Row],[ORTools FZN2 State]]="Optimal"),1,"")</f>
        <v/>
      </c>
      <c r="AZ165" s="5" t="s">
        <v>42</v>
      </c>
      <c r="BA165" s="2">
        <v>-198535</v>
      </c>
      <c r="BB165" s="39">
        <v>300.21558520000002</v>
      </c>
      <c r="BC165" s="39" t="str">
        <f>IF(AND(Table1[[#This Row],[Z3 SMT2-1 WMax Cost]]=Table1[[#This Row],[ORTools FZN2 Cost]],Table1[[#This Row],[ORTools FZN2 State]]="Optimal"),1,"")</f>
        <v/>
      </c>
      <c r="BD165" s="39" t="s">
        <v>42</v>
      </c>
      <c r="BE165" s="39">
        <v>-198535</v>
      </c>
      <c r="BF165" s="2">
        <v>300.06439119999999</v>
      </c>
      <c r="BG165" s="2" t="str">
        <f>IF(AND(Table1[[#This Row],[Z3 SMT2-2 Maxres Cost]]=Table1[[#This Row],[ORTools FZN2 Cost]],Table1[[#This Row],[ORTools FZN2 State]]="Optimal"),1,"")</f>
        <v/>
      </c>
      <c r="BH165" s="5" t="s">
        <v>42</v>
      </c>
      <c r="BI165" s="2">
        <v>-198535</v>
      </c>
      <c r="BJ165" s="39">
        <v>300.0684645</v>
      </c>
      <c r="BK165" s="39" t="str">
        <f>IF(AND(Table1[[#This Row],[Z3 SMT2-2 PdMaxres Cost]]=Table1[[#This Row],[ORTools FZN2 Cost]],Table1[[#This Row],[ORTools FZN2 State]]="Optimal"),1,"")</f>
        <v/>
      </c>
      <c r="BL165" s="39" t="s">
        <v>42</v>
      </c>
      <c r="BM165" s="39">
        <v>-198535</v>
      </c>
      <c r="BN165" s="2">
        <v>300.05123850000001</v>
      </c>
      <c r="BO165" s="4" t="str">
        <f>IF(AND(Table1[[#This Row],[Z3 SMT2-2 PdMaxres Cost]]=Table1[[#This Row],[ORTools FZN2 Cost]],Table1[[#This Row],[ORTools FZN2 State]]="Optimal"),1,"")</f>
        <v/>
      </c>
      <c r="BP165" s="5" t="s">
        <v>42</v>
      </c>
      <c r="BQ165" s="2">
        <v>-198535</v>
      </c>
      <c r="BR165" s="2">
        <v>300.09856300000001</v>
      </c>
      <c r="BS165" s="2" t="str">
        <f>IF(AND(Table1[[#This Row],[Gurobi MB Cost]]=Table1[[#This Row],[ORTools FZN2 Cost]],Table1[[#This Row],[ORTools FZN2 State]]="Optimal",Table1[[#This Row],[Gurobi MB State]]="Suboptimal"),1,"")</f>
        <v/>
      </c>
      <c r="BT16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5" s="5" t="s">
        <v>42</v>
      </c>
      <c r="BV165" s="2">
        <v>-198535</v>
      </c>
      <c r="BW165" s="2">
        <v>300.18930829999999</v>
      </c>
      <c r="BX165" s="2" t="str">
        <f>IF(AND(Table1[[#This Row],[Gurobi MD Cost]]=Table1[[#This Row],[ORTools FZN2 Cost]],Table1[[#This Row],[ORTools FZN2 State]]="Optimal",Table1[[#This Row],[Gurobi MD State]]="Suboptimal"),1,"")</f>
        <v/>
      </c>
      <c r="BY16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5" s="5" t="s">
        <v>42</v>
      </c>
      <c r="CA165" s="2">
        <v>-198535</v>
      </c>
      <c r="CB165" s="2">
        <v>300.12473199999999</v>
      </c>
      <c r="CC165" s="2" t="str">
        <f>IF(AND(Table1[[#This Row],[Gurobi MI Cost]]=Table1[[#This Row],[ORTools FZN2 Cost]],Table1[[#This Row],[ORTools FZN2 State]]="Optimal",Table1[[#This Row],[Gurobi MI State]]="Suboptimal"),1,"")</f>
        <v/>
      </c>
      <c r="CD16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5" s="39" t="s">
        <v>42</v>
      </c>
      <c r="CF165" s="2">
        <v>-198535</v>
      </c>
      <c r="CG165" s="39">
        <v>306.23431629999999</v>
      </c>
      <c r="CH165" s="39" t="s">
        <v>42</v>
      </c>
      <c r="CI165" s="39">
        <v>-198535</v>
      </c>
      <c r="CJ165" s="2">
        <v>306.16549079999999</v>
      </c>
      <c r="CK165" s="5" t="s">
        <v>26</v>
      </c>
      <c r="CL165" s="2">
        <v>1376704</v>
      </c>
      <c r="CM165" s="2">
        <v>300.18</v>
      </c>
      <c r="CN165" s="5" t="s">
        <v>26</v>
      </c>
      <c r="CO165" s="2">
        <v>4909662</v>
      </c>
      <c r="CP165" s="2">
        <v>302.39678409999999</v>
      </c>
      <c r="CQ165" s="5" t="s">
        <v>25</v>
      </c>
      <c r="CR165" s="2">
        <v>1376702</v>
      </c>
      <c r="CS165" s="2">
        <v>79.914368899999999</v>
      </c>
      <c r="CT165" s="6" t="s">
        <v>25</v>
      </c>
      <c r="CU165" s="4">
        <v>1376702</v>
      </c>
      <c r="CV165" s="4">
        <v>46.534612500000001</v>
      </c>
      <c r="CW165" s="39" t="s">
        <v>26</v>
      </c>
      <c r="CX165" s="39">
        <v>3725304</v>
      </c>
      <c r="CY165" s="2">
        <v>300.02589999999998</v>
      </c>
      <c r="CZ165" s="2" t="str">
        <f>IF(AND(Table1[[#This Row],[Cplex MZ1 Cost]]=Table1[[#This Row],[ORTools FZN2 Cost]],Table1[[#This Row],[ORTools FZN2 State]]="Optimal",Table1[[#This Row],[Cplex MZ1 State]]="Suboptimal"),1,"")</f>
        <v/>
      </c>
      <c r="DA165" s="5" t="s">
        <v>26</v>
      </c>
      <c r="DB165" s="2">
        <v>4320492</v>
      </c>
      <c r="DC165" s="2">
        <v>300.0197</v>
      </c>
      <c r="DD165" s="2" t="str">
        <f>IF(AND(Table1[[#This Row],[Cplex MZ2 Cost]]=Table1[[#This Row],[ORTools FZN2 Cost]],Table1[[#This Row],[ORTools FZN2 State]]="Optimal",Table1[[#This Row],[Cplex MZ2 State]]="Suboptimal"),1,"")</f>
        <v/>
      </c>
      <c r="DE165" s="39" t="s">
        <v>42</v>
      </c>
      <c r="DF165" s="39"/>
      <c r="DG165" s="2">
        <v>300.1515</v>
      </c>
      <c r="DH165" s="2" t="str">
        <f>IF(AND(Table1[[#This Row],[Gurobi MZ1 Cost]]=Table1[[#This Row],[ORTools FZN2 Cost]],Table1[[#This Row],[ORTools FZN2 State]]="Optimal",Table1[[#This Row],[Gurobi MZ1 State]]="Suboptimal"),1,"")</f>
        <v/>
      </c>
      <c r="DI165" s="5" t="s">
        <v>42</v>
      </c>
      <c r="DJ165" s="2"/>
      <c r="DK165" s="2">
        <v>300.00689999999997</v>
      </c>
      <c r="DL165" s="4" t="str">
        <f>IF(AND(Table1[[#This Row],[Gurobi MZ2 Cost]]=Table1[[#This Row],[ORTools FZN2 Cost]],Table1[[#This Row],[ORTools FZN2 State]]="Optimal",Table1[[#This Row],[Gurobi MZ2 State]]="Suboptimal"),1,"")</f>
        <v/>
      </c>
      <c r="DM165" s="39" t="s">
        <v>26</v>
      </c>
      <c r="DN165" s="39">
        <v>1376704</v>
      </c>
      <c r="DO165" s="65">
        <v>300.18200000000002</v>
      </c>
      <c r="DP165" s="4" t="str">
        <f>IF(AND(Table1[[#This Row],[Cplex MC nonDual Cost]]=Table1[[#This Row],[ORTools FZN2 Cost]],Table1[[#This Row],[ORTools FZN2 State]]="Optimal",Table1[[#This Row],[Cplex MC nonDual State]]="Suboptimal"),1,"")</f>
        <v/>
      </c>
      <c r="DQ165" s="5" t="s">
        <v>26</v>
      </c>
      <c r="DR165" s="2">
        <v>3724835</v>
      </c>
      <c r="DS165" s="2">
        <v>300.03219999999999</v>
      </c>
      <c r="DT165" s="2" t="str">
        <f>IF(AND(Table1[[#This Row],[Cplex MIP DM''z Cost]]=Table1[[#This Row],[ORTools FZN2 Cost]],Table1[[#This Row],[ORTools FZN2 State]]="Optimal",Table1[[#This Row],[Cplex MIP DM''z  State]]="Suboptimal"),1,"")</f>
        <v/>
      </c>
      <c r="DU16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5" s="5" t="s">
        <v>42</v>
      </c>
      <c r="DW165" s="2"/>
      <c r="DX165" s="2">
        <v>300.11959999999999</v>
      </c>
      <c r="DY165" s="4" t="str">
        <f>IF(AND(Table1[[#This Row],[Gurobi DM''z  Cost]]=Table1[[#This Row],[ORTools FZN2 Cost]],Table1[[#This Row],[ORTools FZN2 State]]="Optimal",Table1[[#This Row],[Gurobi DM''z  State]]="Suboptimal"),1,"")</f>
        <v/>
      </c>
      <c r="DZ16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6" spans="1:130" ht="15.75" x14ac:dyDescent="0.25">
      <c r="A166" s="46" t="s">
        <v>192</v>
      </c>
      <c r="B166" s="5">
        <v>58</v>
      </c>
      <c r="C166" s="2">
        <v>29</v>
      </c>
      <c r="D166" s="5">
        <v>449</v>
      </c>
      <c r="E166" s="2">
        <v>36</v>
      </c>
      <c r="F166" s="5">
        <v>58</v>
      </c>
      <c r="G166" s="2">
        <v>0</v>
      </c>
      <c r="H166" s="4">
        <f t="shared" si="2"/>
        <v>0</v>
      </c>
      <c r="I166" s="4">
        <f>Table1[[#This Row],[B]]+Table1[[#This Row],[Atomic Constraints]]+Table1[[#This Row],[Soft Atomic Constraints]]+Table1[[#This Row],[Disjunctive Constraints]]+Table1[[#This Row],[Direct Successors]]</f>
        <v>572</v>
      </c>
      <c r="J166" s="5" t="s">
        <v>26</v>
      </c>
      <c r="K166" s="2">
        <v>4327861</v>
      </c>
      <c r="L166" s="2">
        <v>302.47775080000002</v>
      </c>
      <c r="M166" s="2" t="str">
        <f>IF(AND(Table1[[#This Row],[Chuffed MZ1 Cost]]=Table1[[#This Row],[ORTools FZN2 Cost]],Table1[[#This Row],[ORTools FZN2 State]]="Optimal",Table1[[#This Row],[Chuffed MZ1 State]]="Suboptimal"),1,"")</f>
        <v/>
      </c>
      <c r="N166" s="5" t="s">
        <v>26</v>
      </c>
      <c r="O166" s="2">
        <v>4735481</v>
      </c>
      <c r="P166" s="2">
        <v>302.46276810000001</v>
      </c>
      <c r="Q166" s="2" t="str">
        <f>IF(AND(Table1[[#This Row],[Chuffed MZ2 Cost]]=Table1[[#This Row],[ORTools FZN2 Cost]],Table1[[#This Row],[ORTools FZN2 State]]="Optimal",Table1[[#This Row],[Chuffed MZ2 State]]="Suboptimal"),1,"")</f>
        <v/>
      </c>
      <c r="R166" s="11" t="s">
        <v>26</v>
      </c>
      <c r="S166" s="11">
        <v>1376702</v>
      </c>
      <c r="T166" s="11">
        <v>300.13100000000099</v>
      </c>
      <c r="U166" s="11">
        <v>1</v>
      </c>
      <c r="V166" s="5" t="s">
        <v>25</v>
      </c>
      <c r="W166" s="2">
        <v>1376702</v>
      </c>
      <c r="X166" s="2">
        <v>46.434613599999999</v>
      </c>
      <c r="Y166" s="2" t="str">
        <f>IF(AND(Table1[[#This Row],[ORTools FZN1 Cost]]=Table1[[#This Row],[ORTools FZN2 Cost]],Table1[[#This Row],[ORTools FZN2 State]]="Optimal",Table1[[#This Row],[ORTools FZN1 State]]="Suboptimal"),1,"")</f>
        <v/>
      </c>
      <c r="Z166" s="5" t="s">
        <v>25</v>
      </c>
      <c r="AA166" s="2">
        <v>1376702</v>
      </c>
      <c r="AB166" s="2">
        <v>48.554741</v>
      </c>
      <c r="AC166" s="39" t="s">
        <v>42</v>
      </c>
      <c r="AD166" s="39">
        <v>-198535</v>
      </c>
      <c r="AE166" s="2">
        <v>300.15824900000001</v>
      </c>
      <c r="AF166" s="2" t="str">
        <f>IF(AND(Table1[[#This Row],[Cplex MB Cost]]=Table1[[#This Row],[ORTools FZN2 Cost]],Table1[[#This Row],[ORTools FZN2 State]]="Optimal",Table1[[#This Row],[Cplex MB State]]="Suboptimal"),1,"")</f>
        <v/>
      </c>
      <c r="AG166" s="4">
        <f>IF(AND(AC166="Optimal",AD166&lt;&gt;AA166,Table1[[#This Row],[Example]]&lt;&gt;"R001",Table1[[#This Row],[Example]]&lt;&gt;"R002"),AD166-AA166,)</f>
        <v>0</v>
      </c>
      <c r="AH166" s="5" t="s">
        <v>42</v>
      </c>
      <c r="AI166" s="2">
        <v>-198535</v>
      </c>
      <c r="AJ166" s="2">
        <v>300.27223379999998</v>
      </c>
      <c r="AK166" s="2" t="str">
        <f>IF(AND(Table1[[#This Row],[Cplex MD Cost]]=Table1[[#This Row],[ORTools FZN2 Cost]],Table1[[#This Row],[ORTools FZN2 State]]="Optimal",Table1[[#This Row],[Cplex MD State]]="Suboptimal"),1,"")</f>
        <v/>
      </c>
      <c r="AL166" s="4">
        <f>IF(AND(AH166="Optimal",AI166&lt;&gt;AA166,Table1[[#This Row],[Example]]&lt;&gt;"R001",Table1[[#This Row],[Example]]&lt;&gt;"R002"),AI166-AA166,)</f>
        <v>0</v>
      </c>
      <c r="AM166" s="39" t="s">
        <v>42</v>
      </c>
      <c r="AN166" s="39">
        <v>-198535</v>
      </c>
      <c r="AO166" s="2">
        <v>300.09766089999999</v>
      </c>
      <c r="AP16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6" s="4" t="str">
        <f>IF(AND(Table1[[#This Row],[Cplex MI Cost]]=Table1[[#This Row],[ORTools FZN2 Cost]],Table1[[#This Row],[ORTools FZN2 State]]="Optimal",Table1[[#This Row],[Cplex MI State]]="Suboptimal"),1,"")</f>
        <v/>
      </c>
      <c r="AR166" s="5" t="s">
        <v>42</v>
      </c>
      <c r="AS166" s="2">
        <v>-198535</v>
      </c>
      <c r="AT166" s="2">
        <v>300.06395120000002</v>
      </c>
      <c r="AU166" s="2" t="str">
        <f>IF(AND(Table1[[#This Row],[Z3 SMT2-1 Maxres Cost]]=Table1[[#This Row],[ORTools FZN2 Cost]],Table1[[#This Row],[ORTools FZN2 State]]="Optimal"),1,"")</f>
        <v/>
      </c>
      <c r="AV166" s="39" t="s">
        <v>42</v>
      </c>
      <c r="AW166" s="39">
        <v>-198535</v>
      </c>
      <c r="AX166" s="2">
        <v>300.056149</v>
      </c>
      <c r="AY166" s="2" t="str">
        <f>IF(AND(Table1[[#This Row],[Z3 SMT2-1 PdMaxres Cost]]=Table1[[#This Row],[ORTools FZN2 Cost]],Table1[[#This Row],[ORTools FZN2 State]]="Optimal"),1,"")</f>
        <v/>
      </c>
      <c r="AZ166" s="5" t="s">
        <v>42</v>
      </c>
      <c r="BA166" s="2">
        <v>-198535</v>
      </c>
      <c r="BB166" s="39">
        <v>300.10092079999998</v>
      </c>
      <c r="BC166" s="39" t="str">
        <f>IF(AND(Table1[[#This Row],[Z3 SMT2-1 WMax Cost]]=Table1[[#This Row],[ORTools FZN2 Cost]],Table1[[#This Row],[ORTools FZN2 State]]="Optimal"),1,"")</f>
        <v/>
      </c>
      <c r="BD166" s="39" t="s">
        <v>42</v>
      </c>
      <c r="BE166" s="39">
        <v>-198535</v>
      </c>
      <c r="BF166" s="2">
        <v>300.05544129999998</v>
      </c>
      <c r="BG166" s="2" t="str">
        <f>IF(AND(Table1[[#This Row],[Z3 SMT2-2 Maxres Cost]]=Table1[[#This Row],[ORTools FZN2 Cost]],Table1[[#This Row],[ORTools FZN2 State]]="Optimal"),1,"")</f>
        <v/>
      </c>
      <c r="BH166" s="5" t="s">
        <v>42</v>
      </c>
      <c r="BI166" s="2">
        <v>-198535</v>
      </c>
      <c r="BJ166" s="39">
        <v>300.06619139999998</v>
      </c>
      <c r="BK166" s="39" t="str">
        <f>IF(AND(Table1[[#This Row],[Z3 SMT2-2 PdMaxres Cost]]=Table1[[#This Row],[ORTools FZN2 Cost]],Table1[[#This Row],[ORTools FZN2 State]]="Optimal"),1,"")</f>
        <v/>
      </c>
      <c r="BL166" s="39" t="s">
        <v>42</v>
      </c>
      <c r="BM166" s="39">
        <v>-198535</v>
      </c>
      <c r="BN166" s="2">
        <v>300.06531100000001</v>
      </c>
      <c r="BO166" s="4" t="str">
        <f>IF(AND(Table1[[#This Row],[Z3 SMT2-2 PdMaxres Cost]]=Table1[[#This Row],[ORTools FZN2 Cost]],Table1[[#This Row],[ORTools FZN2 State]]="Optimal"),1,"")</f>
        <v/>
      </c>
      <c r="BP166" s="5" t="s">
        <v>42</v>
      </c>
      <c r="BQ166" s="2">
        <v>-198535</v>
      </c>
      <c r="BR166" s="2">
        <v>300.09777969999999</v>
      </c>
      <c r="BS166" s="2" t="str">
        <f>IF(AND(Table1[[#This Row],[Gurobi MB Cost]]=Table1[[#This Row],[ORTools FZN2 Cost]],Table1[[#This Row],[ORTools FZN2 State]]="Optimal",Table1[[#This Row],[Gurobi MB State]]="Suboptimal"),1,"")</f>
        <v/>
      </c>
      <c r="BT16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6" s="5" t="s">
        <v>42</v>
      </c>
      <c r="BV166" s="2">
        <v>-198535</v>
      </c>
      <c r="BW166" s="2">
        <v>300.1810466</v>
      </c>
      <c r="BX166" s="2" t="str">
        <f>IF(AND(Table1[[#This Row],[Gurobi MD Cost]]=Table1[[#This Row],[ORTools FZN2 Cost]],Table1[[#This Row],[ORTools FZN2 State]]="Optimal",Table1[[#This Row],[Gurobi MD State]]="Suboptimal"),1,"")</f>
        <v/>
      </c>
      <c r="BY16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6" s="5" t="s">
        <v>42</v>
      </c>
      <c r="CA166" s="2">
        <v>-198535</v>
      </c>
      <c r="CB166" s="2">
        <v>300.1198789</v>
      </c>
      <c r="CC166" s="2" t="str">
        <f>IF(AND(Table1[[#This Row],[Gurobi MI Cost]]=Table1[[#This Row],[ORTools FZN2 Cost]],Table1[[#This Row],[ORTools FZN2 State]]="Optimal",Table1[[#This Row],[Gurobi MI State]]="Suboptimal"),1,"")</f>
        <v/>
      </c>
      <c r="CD16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6" s="39" t="s">
        <v>42</v>
      </c>
      <c r="CF166" s="2">
        <v>-198535</v>
      </c>
      <c r="CG166" s="39">
        <v>306.1493036</v>
      </c>
      <c r="CH166" s="39" t="s">
        <v>42</v>
      </c>
      <c r="CI166" s="39">
        <v>-198535</v>
      </c>
      <c r="CJ166" s="2">
        <v>306.08420919999998</v>
      </c>
      <c r="CK166" s="5" t="s">
        <v>26</v>
      </c>
      <c r="CL166" s="2">
        <v>1376704</v>
      </c>
      <c r="CM166" s="2">
        <v>300.16199999999702</v>
      </c>
      <c r="CN166" s="5" t="s">
        <v>26</v>
      </c>
      <c r="CO166" s="2">
        <v>4735716</v>
      </c>
      <c r="CP166" s="2">
        <v>302.41426380000001</v>
      </c>
      <c r="CQ166" s="5" t="s">
        <v>25</v>
      </c>
      <c r="CR166" s="2">
        <v>1376702</v>
      </c>
      <c r="CS166" s="2">
        <v>79.517876799999996</v>
      </c>
      <c r="CT166" s="6" t="s">
        <v>25</v>
      </c>
      <c r="CU166" s="4">
        <v>1376702</v>
      </c>
      <c r="CV166" s="4">
        <v>51.760726699999999</v>
      </c>
      <c r="CW166" s="39" t="s">
        <v>26</v>
      </c>
      <c r="CX166" s="39">
        <v>3725304</v>
      </c>
      <c r="CY166" s="2">
        <v>300.03140000000002</v>
      </c>
      <c r="CZ166" s="2" t="str">
        <f>IF(AND(Table1[[#This Row],[Cplex MZ1 Cost]]=Table1[[#This Row],[ORTools FZN2 Cost]],Table1[[#This Row],[ORTools FZN2 State]]="Optimal",Table1[[#This Row],[Cplex MZ1 State]]="Suboptimal"),1,"")</f>
        <v/>
      </c>
      <c r="DA166" s="5" t="s">
        <v>26</v>
      </c>
      <c r="DB166" s="2">
        <v>3540275</v>
      </c>
      <c r="DC166" s="2">
        <v>300.00920000000002</v>
      </c>
      <c r="DD166" s="2" t="str">
        <f>IF(AND(Table1[[#This Row],[Cplex MZ2 Cost]]=Table1[[#This Row],[ORTools FZN2 Cost]],Table1[[#This Row],[ORTools FZN2 State]]="Optimal",Table1[[#This Row],[Cplex MZ2 State]]="Suboptimal"),1,"")</f>
        <v/>
      </c>
      <c r="DE166" s="39" t="s">
        <v>42</v>
      </c>
      <c r="DF166" s="39"/>
      <c r="DG166" s="2">
        <v>300.00979999999998</v>
      </c>
      <c r="DH166" s="2" t="str">
        <f>IF(AND(Table1[[#This Row],[Gurobi MZ1 Cost]]=Table1[[#This Row],[ORTools FZN2 Cost]],Table1[[#This Row],[ORTools FZN2 State]]="Optimal",Table1[[#This Row],[Gurobi MZ1 State]]="Suboptimal"),1,"")</f>
        <v/>
      </c>
      <c r="DI166" s="5" t="s">
        <v>42</v>
      </c>
      <c r="DJ166" s="2"/>
      <c r="DK166" s="2">
        <v>300.00569999999999</v>
      </c>
      <c r="DL166" s="4" t="str">
        <f>IF(AND(Table1[[#This Row],[Gurobi MZ2 Cost]]=Table1[[#This Row],[ORTools FZN2 Cost]],Table1[[#This Row],[ORTools FZN2 State]]="Optimal",Table1[[#This Row],[Gurobi MZ2 State]]="Suboptimal"),1,"")</f>
        <v/>
      </c>
      <c r="DM166" s="39" t="s">
        <v>26</v>
      </c>
      <c r="DN166" s="39">
        <v>1376704</v>
      </c>
      <c r="DO166" s="65">
        <v>300.16300000000001</v>
      </c>
      <c r="DP166" s="4" t="str">
        <f>IF(AND(Table1[[#This Row],[Cplex MC nonDual Cost]]=Table1[[#This Row],[ORTools FZN2 Cost]],Table1[[#This Row],[ORTools FZN2 State]]="Optimal",Table1[[#This Row],[Cplex MC nonDual State]]="Suboptimal"),1,"")</f>
        <v/>
      </c>
      <c r="DQ166" s="5" t="s">
        <v>26</v>
      </c>
      <c r="DR166" s="2">
        <v>3724835</v>
      </c>
      <c r="DS166" s="2">
        <v>300.02530000000002</v>
      </c>
      <c r="DT166" s="2" t="str">
        <f>IF(AND(Table1[[#This Row],[Cplex MIP DM''z Cost]]=Table1[[#This Row],[ORTools FZN2 Cost]],Table1[[#This Row],[ORTools FZN2 State]]="Optimal",Table1[[#This Row],[Cplex MIP DM''z  State]]="Suboptimal"),1,"")</f>
        <v/>
      </c>
      <c r="DU16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6" s="5" t="s">
        <v>42</v>
      </c>
      <c r="DW166" s="2"/>
      <c r="DX166" s="2">
        <v>300.01310000000001</v>
      </c>
      <c r="DY166" s="4" t="str">
        <f>IF(AND(Table1[[#This Row],[Gurobi DM''z  Cost]]=Table1[[#This Row],[ORTools FZN2 Cost]],Table1[[#This Row],[ORTools FZN2 State]]="Optimal",Table1[[#This Row],[Gurobi DM''z  State]]="Suboptimal"),1,"")</f>
        <v/>
      </c>
      <c r="DZ16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7" spans="1:130" ht="15.75" x14ac:dyDescent="0.25">
      <c r="A167" s="47" t="s">
        <v>193</v>
      </c>
      <c r="B167" s="5">
        <v>58</v>
      </c>
      <c r="C167" s="2">
        <v>29</v>
      </c>
      <c r="D167" s="5">
        <v>434</v>
      </c>
      <c r="E167" s="2">
        <v>33</v>
      </c>
      <c r="F167" s="5">
        <v>47</v>
      </c>
      <c r="G167" s="2">
        <v>0</v>
      </c>
      <c r="H167" s="4">
        <f t="shared" si="2"/>
        <v>0</v>
      </c>
      <c r="I167" s="4">
        <f>Table1[[#This Row],[B]]+Table1[[#This Row],[Atomic Constraints]]+Table1[[#This Row],[Soft Atomic Constraints]]+Table1[[#This Row],[Disjunctive Constraints]]+Table1[[#This Row],[Direct Successors]]</f>
        <v>543</v>
      </c>
      <c r="J167" s="5" t="s">
        <v>26</v>
      </c>
      <c r="K167" s="2">
        <v>4139994</v>
      </c>
      <c r="L167" s="2">
        <v>302.48044779999998</v>
      </c>
      <c r="M167" s="2" t="str">
        <f>IF(AND(Table1[[#This Row],[Chuffed MZ1 Cost]]=Table1[[#This Row],[ORTools FZN2 Cost]],Table1[[#This Row],[ORTools FZN2 State]]="Optimal",Table1[[#This Row],[Chuffed MZ1 State]]="Suboptimal"),1,"")</f>
        <v/>
      </c>
      <c r="N167" s="5" t="s">
        <v>26</v>
      </c>
      <c r="O167" s="2">
        <v>4150324</v>
      </c>
      <c r="P167" s="2">
        <v>302.44825780000002</v>
      </c>
      <c r="Q167" s="2" t="str">
        <f>IF(AND(Table1[[#This Row],[Chuffed MZ2 Cost]]=Table1[[#This Row],[ORTools FZN2 Cost]],Table1[[#This Row],[ORTools FZN2 State]]="Optimal",Table1[[#This Row],[Chuffed MZ2 State]]="Suboptimal"),1,"")</f>
        <v/>
      </c>
      <c r="R167" s="6" t="s">
        <v>26</v>
      </c>
      <c r="S167" s="4">
        <v>1568042</v>
      </c>
      <c r="T167" s="4">
        <v>300.02</v>
      </c>
      <c r="U167" s="4"/>
      <c r="V167" s="5" t="s">
        <v>25</v>
      </c>
      <c r="W167" s="2">
        <v>1567928</v>
      </c>
      <c r="X167" s="2">
        <v>46.144834099999997</v>
      </c>
      <c r="Y167" s="2" t="str">
        <f>IF(AND(Table1[[#This Row],[ORTools FZN1 Cost]]=Table1[[#This Row],[ORTools FZN2 Cost]],Table1[[#This Row],[ORTools FZN2 State]]="Optimal",Table1[[#This Row],[ORTools FZN1 State]]="Suboptimal"),1,"")</f>
        <v/>
      </c>
      <c r="Z167" s="5" t="s">
        <v>25</v>
      </c>
      <c r="AA167" s="2">
        <v>1567928</v>
      </c>
      <c r="AB167" s="2">
        <v>58.049960200000001</v>
      </c>
      <c r="AC167" s="39" t="s">
        <v>42</v>
      </c>
      <c r="AD167" s="39">
        <v>-198535</v>
      </c>
      <c r="AE167" s="2">
        <v>300.1311389</v>
      </c>
      <c r="AF167" s="2" t="str">
        <f>IF(AND(Table1[[#This Row],[Cplex MB Cost]]=Table1[[#This Row],[ORTools FZN2 Cost]],Table1[[#This Row],[ORTools FZN2 State]]="Optimal",Table1[[#This Row],[Cplex MB State]]="Suboptimal"),1,"")</f>
        <v/>
      </c>
      <c r="AG167" s="4">
        <f>IF(AND(AC167="Optimal",AD167&lt;&gt;AA167,Table1[[#This Row],[Example]]&lt;&gt;"R001",Table1[[#This Row],[Example]]&lt;&gt;"R002"),AD167-AA167,)</f>
        <v>0</v>
      </c>
      <c r="AH167" s="5" t="s">
        <v>42</v>
      </c>
      <c r="AI167" s="2">
        <v>-198535</v>
      </c>
      <c r="AJ167" s="2">
        <v>300.35854810000001</v>
      </c>
      <c r="AK167" s="2" t="str">
        <f>IF(AND(Table1[[#This Row],[Cplex MD Cost]]=Table1[[#This Row],[ORTools FZN2 Cost]],Table1[[#This Row],[ORTools FZN2 State]]="Optimal",Table1[[#This Row],[Cplex MD State]]="Suboptimal"),1,"")</f>
        <v/>
      </c>
      <c r="AL167" s="2">
        <f>IF(AND(AH167="Optimal",AI167&lt;&gt;AA167,Table1[[#This Row],[Example]]&lt;&gt;"R001",Table1[[#This Row],[Example]]&lt;&gt;"R002"),AI167-AA167,)</f>
        <v>0</v>
      </c>
      <c r="AM167" s="39" t="s">
        <v>26</v>
      </c>
      <c r="AN167" s="39">
        <v>2745848</v>
      </c>
      <c r="AO167" s="2">
        <v>300.13159150000001</v>
      </c>
      <c r="AP16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7" s="2" t="str">
        <f>IF(AND(Table1[[#This Row],[Cplex MI Cost]]=Table1[[#This Row],[ORTools FZN2 Cost]],Table1[[#This Row],[ORTools FZN2 State]]="Optimal",Table1[[#This Row],[Cplex MI State]]="Suboptimal"),1,"")</f>
        <v/>
      </c>
      <c r="AR167" s="5" t="s">
        <v>42</v>
      </c>
      <c r="AS167" s="2">
        <v>-198535</v>
      </c>
      <c r="AT167" s="2">
        <v>300.06238159999998</v>
      </c>
      <c r="AU167" s="2" t="str">
        <f>IF(AND(Table1[[#This Row],[Z3 SMT2-1 Maxres Cost]]=Table1[[#This Row],[ORTools FZN2 Cost]],Table1[[#This Row],[ORTools FZN2 State]]="Optimal"),1,"")</f>
        <v/>
      </c>
      <c r="AV167" s="39" t="s">
        <v>42</v>
      </c>
      <c r="AW167" s="39">
        <v>-198535</v>
      </c>
      <c r="AX167" s="2">
        <v>300.04950769999999</v>
      </c>
      <c r="AY167" s="2" t="str">
        <f>IF(AND(Table1[[#This Row],[Z3 SMT2-1 PdMaxres Cost]]=Table1[[#This Row],[ORTools FZN2 Cost]],Table1[[#This Row],[ORTools FZN2 State]]="Optimal"),1,"")</f>
        <v/>
      </c>
      <c r="AZ167" s="5" t="s">
        <v>42</v>
      </c>
      <c r="BA167" s="2">
        <v>-198535</v>
      </c>
      <c r="BB167" s="39">
        <v>300.21520500000003</v>
      </c>
      <c r="BC167" s="39" t="str">
        <f>IF(AND(Table1[[#This Row],[Z3 SMT2-1 WMax Cost]]=Table1[[#This Row],[ORTools FZN2 Cost]],Table1[[#This Row],[ORTools FZN2 State]]="Optimal"),1,"")</f>
        <v/>
      </c>
      <c r="BD167" s="39" t="s">
        <v>42</v>
      </c>
      <c r="BE167" s="39">
        <v>-198535</v>
      </c>
      <c r="BF167" s="2">
        <v>300.05791590000001</v>
      </c>
      <c r="BG167" s="2" t="str">
        <f>IF(AND(Table1[[#This Row],[Z3 SMT2-2 Maxres Cost]]=Table1[[#This Row],[ORTools FZN2 Cost]],Table1[[#This Row],[ORTools FZN2 State]]="Optimal"),1,"")</f>
        <v/>
      </c>
      <c r="BH167" s="5" t="s">
        <v>42</v>
      </c>
      <c r="BI167" s="2">
        <v>-198535</v>
      </c>
      <c r="BJ167" s="39">
        <v>300.06182330000001</v>
      </c>
      <c r="BK167" s="39" t="str">
        <f>IF(AND(Table1[[#This Row],[Z3 SMT2-2 PdMaxres Cost]]=Table1[[#This Row],[ORTools FZN2 Cost]],Table1[[#This Row],[ORTools FZN2 State]]="Optimal"),1,"")</f>
        <v/>
      </c>
      <c r="BL167" s="39" t="s">
        <v>42</v>
      </c>
      <c r="BM167" s="39">
        <v>-198535</v>
      </c>
      <c r="BN167" s="2">
        <v>300.05918409999998</v>
      </c>
      <c r="BO167" s="4" t="str">
        <f>IF(AND(Table1[[#This Row],[Z3 SMT2-2 PdMaxres Cost]]=Table1[[#This Row],[ORTools FZN2 Cost]],Table1[[#This Row],[ORTools FZN2 State]]="Optimal"),1,"")</f>
        <v/>
      </c>
      <c r="BP167" s="5" t="s">
        <v>26</v>
      </c>
      <c r="BQ167" s="2">
        <v>1568042</v>
      </c>
      <c r="BR167" s="2">
        <v>300.23779780000001</v>
      </c>
      <c r="BS167" s="2" t="str">
        <f>IF(AND(Table1[[#This Row],[Gurobi MB Cost]]=Table1[[#This Row],[ORTools FZN2 Cost]],Table1[[#This Row],[ORTools FZN2 State]]="Optimal",Table1[[#This Row],[Gurobi MB State]]="Suboptimal"),1,"")</f>
        <v/>
      </c>
      <c r="BT16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7" s="5" t="s">
        <v>42</v>
      </c>
      <c r="BV167" s="2">
        <v>-198535</v>
      </c>
      <c r="BW167" s="2">
        <v>300.1711967</v>
      </c>
      <c r="BX167" s="2" t="str">
        <f>IF(AND(Table1[[#This Row],[Gurobi MD Cost]]=Table1[[#This Row],[ORTools FZN2 Cost]],Table1[[#This Row],[ORTools FZN2 State]]="Optimal",Table1[[#This Row],[Gurobi MD State]]="Suboptimal"),1,"")</f>
        <v/>
      </c>
      <c r="BY16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7" s="5" t="s">
        <v>42</v>
      </c>
      <c r="CA167" s="2">
        <v>-198535</v>
      </c>
      <c r="CB167" s="2">
        <v>300.14236849999998</v>
      </c>
      <c r="CC167" s="2" t="str">
        <f>IF(AND(Table1[[#This Row],[Gurobi MI Cost]]=Table1[[#This Row],[ORTools FZN2 Cost]],Table1[[#This Row],[ORTools FZN2 State]]="Optimal",Table1[[#This Row],[Gurobi MI State]]="Suboptimal"),1,"")</f>
        <v/>
      </c>
      <c r="CD16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7" s="39" t="s">
        <v>42</v>
      </c>
      <c r="CF167" s="2">
        <v>-198535</v>
      </c>
      <c r="CG167" s="39">
        <v>306.1755038</v>
      </c>
      <c r="CH167" s="39" t="s">
        <v>42</v>
      </c>
      <c r="CI167" s="39">
        <v>-198535</v>
      </c>
      <c r="CJ167" s="2">
        <v>306.15408400000001</v>
      </c>
      <c r="CK167" s="5" t="s">
        <v>26</v>
      </c>
      <c r="CL167" s="2">
        <v>1567928</v>
      </c>
      <c r="CM167" s="2">
        <v>300.15799999999899</v>
      </c>
      <c r="CN167" s="5" t="s">
        <v>26</v>
      </c>
      <c r="CO167" s="2">
        <v>4714892</v>
      </c>
      <c r="CP167" s="2">
        <v>302.44299009999997</v>
      </c>
      <c r="CQ167" s="5" t="s">
        <v>25</v>
      </c>
      <c r="CR167" s="2">
        <v>1567928</v>
      </c>
      <c r="CS167" s="2">
        <v>82.445986599999998</v>
      </c>
      <c r="CT167" s="6" t="s">
        <v>25</v>
      </c>
      <c r="CU167" s="4">
        <v>1567928</v>
      </c>
      <c r="CV167" s="4">
        <v>51.378151299999999</v>
      </c>
      <c r="CW167" s="39" t="s">
        <v>26</v>
      </c>
      <c r="CX167" s="39">
        <v>3337974</v>
      </c>
      <c r="CY167" s="2">
        <v>300.0258</v>
      </c>
      <c r="CZ167" s="2" t="str">
        <f>IF(AND(Table1[[#This Row],[Cplex MZ1 Cost]]=Table1[[#This Row],[ORTools FZN2 Cost]],Table1[[#This Row],[ORTools FZN2 State]]="Optimal",Table1[[#This Row],[Cplex MZ1 State]]="Suboptimal"),1,"")</f>
        <v/>
      </c>
      <c r="DA167" s="5" t="s">
        <v>26</v>
      </c>
      <c r="DB167" s="2">
        <v>3529601</v>
      </c>
      <c r="DC167" s="2">
        <v>300.0215</v>
      </c>
      <c r="DD167" s="2" t="str">
        <f>IF(AND(Table1[[#This Row],[Cplex MZ2 Cost]]=Table1[[#This Row],[ORTools FZN2 Cost]],Table1[[#This Row],[ORTools FZN2 State]]="Optimal",Table1[[#This Row],[Cplex MZ2 State]]="Suboptimal"),1,"")</f>
        <v/>
      </c>
      <c r="DE167" s="39" t="s">
        <v>42</v>
      </c>
      <c r="DF167" s="39"/>
      <c r="DG167" s="2">
        <v>300.005</v>
      </c>
      <c r="DH167" s="2" t="str">
        <f>IF(AND(Table1[[#This Row],[Gurobi MZ1 Cost]]=Table1[[#This Row],[ORTools FZN2 Cost]],Table1[[#This Row],[ORTools FZN2 State]]="Optimal",Table1[[#This Row],[Gurobi MZ1 State]]="Suboptimal"),1,"")</f>
        <v/>
      </c>
      <c r="DI167" s="5" t="s">
        <v>42</v>
      </c>
      <c r="DJ167" s="2"/>
      <c r="DK167" s="2">
        <v>300.08749999999998</v>
      </c>
      <c r="DL167" s="4" t="str">
        <f>IF(AND(Table1[[#This Row],[Gurobi MZ2 Cost]]=Table1[[#This Row],[ORTools FZN2 Cost]],Table1[[#This Row],[ORTools FZN2 State]]="Optimal",Table1[[#This Row],[Gurobi MZ2 State]]="Suboptimal"),1,"")</f>
        <v/>
      </c>
      <c r="DM167" s="39" t="s">
        <v>26</v>
      </c>
      <c r="DN167" s="12">
        <v>1567928</v>
      </c>
      <c r="DO167" s="69">
        <v>300.10599999999903</v>
      </c>
      <c r="DP167" s="11">
        <f>IF(AND(Table1[[#This Row],[Cplex MC nonDual Cost]]=Table1[[#This Row],[ORTools FZN2 Cost]],Table1[[#This Row],[ORTools FZN2 State]]="Optimal",Table1[[#This Row],[Cplex MC nonDual State]]="Suboptimal"),1,"")</f>
        <v>1</v>
      </c>
      <c r="DQ167" s="5" t="s">
        <v>26</v>
      </c>
      <c r="DR167" s="2">
        <v>2937658</v>
      </c>
      <c r="DS167" s="2">
        <v>300.03460000000001</v>
      </c>
      <c r="DT167" s="2" t="str">
        <f>IF(AND(Table1[[#This Row],[Cplex MIP DM''z Cost]]=Table1[[#This Row],[ORTools FZN2 Cost]],Table1[[#This Row],[ORTools FZN2 State]]="Optimal",Table1[[#This Row],[Cplex MIP DM''z  State]]="Suboptimal"),1,"")</f>
        <v/>
      </c>
      <c r="DU16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7" s="5" t="s">
        <v>42</v>
      </c>
      <c r="DW167" s="2"/>
      <c r="DX167" s="2">
        <v>300.06470000000002</v>
      </c>
      <c r="DY167" s="4" t="str">
        <f>IF(AND(Table1[[#This Row],[Gurobi DM''z  Cost]]=Table1[[#This Row],[ORTools FZN2 Cost]],Table1[[#This Row],[ORTools FZN2 State]]="Optimal",Table1[[#This Row],[Gurobi DM''z  State]]="Suboptimal"),1,"")</f>
        <v/>
      </c>
      <c r="DZ16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8" spans="1:130" ht="15.75" x14ac:dyDescent="0.25">
      <c r="A168" s="46" t="s">
        <v>194</v>
      </c>
      <c r="B168" s="5">
        <v>58</v>
      </c>
      <c r="C168" s="2">
        <v>29</v>
      </c>
      <c r="D168" s="5">
        <v>434</v>
      </c>
      <c r="E168" s="2">
        <v>33</v>
      </c>
      <c r="F168" s="5">
        <v>48</v>
      </c>
      <c r="G168" s="2">
        <v>0</v>
      </c>
      <c r="H168" s="4">
        <f t="shared" si="2"/>
        <v>0</v>
      </c>
      <c r="I168" s="4">
        <f>Table1[[#This Row],[B]]+Table1[[#This Row],[Atomic Constraints]]+Table1[[#This Row],[Soft Atomic Constraints]]+Table1[[#This Row],[Disjunctive Constraints]]+Table1[[#This Row],[Direct Successors]]</f>
        <v>544</v>
      </c>
      <c r="J168" s="5" t="s">
        <v>26</v>
      </c>
      <c r="K168" s="2">
        <v>4519484</v>
      </c>
      <c r="L168" s="2">
        <v>302.44652689999998</v>
      </c>
      <c r="M168" s="2" t="str">
        <f>IF(AND(Table1[[#This Row],[Chuffed MZ1 Cost]]=Table1[[#This Row],[ORTools FZN2 Cost]],Table1[[#This Row],[ORTools FZN2 State]]="Optimal",Table1[[#This Row],[Chuffed MZ1 State]]="Suboptimal"),1,"")</f>
        <v/>
      </c>
      <c r="N168" s="5" t="s">
        <v>26</v>
      </c>
      <c r="O168" s="2">
        <v>4916968</v>
      </c>
      <c r="P168" s="2">
        <v>302.45832209999998</v>
      </c>
      <c r="Q168" s="2" t="str">
        <f>IF(AND(Table1[[#This Row],[Chuffed MZ2 Cost]]=Table1[[#This Row],[ORTools FZN2 Cost]],Table1[[#This Row],[ORTools FZN2 State]]="Optimal",Table1[[#This Row],[Chuffed MZ2 State]]="Suboptimal"),1,"")</f>
        <v/>
      </c>
      <c r="R168" s="11" t="s">
        <v>26</v>
      </c>
      <c r="S168" s="11">
        <v>1567928</v>
      </c>
      <c r="T168" s="11">
        <v>300.162999999997</v>
      </c>
      <c r="U168" s="11">
        <v>1</v>
      </c>
      <c r="V168" s="5" t="s">
        <v>25</v>
      </c>
      <c r="W168" s="2">
        <v>1567928</v>
      </c>
      <c r="X168" s="2">
        <v>46.132873600000003</v>
      </c>
      <c r="Y168" s="2" t="str">
        <f>IF(AND(Table1[[#This Row],[ORTools FZN1 Cost]]=Table1[[#This Row],[ORTools FZN2 Cost]],Table1[[#This Row],[ORTools FZN2 State]]="Optimal",Table1[[#This Row],[ORTools FZN1 State]]="Suboptimal"),1,"")</f>
        <v/>
      </c>
      <c r="Z168" s="5" t="s">
        <v>25</v>
      </c>
      <c r="AA168" s="2">
        <v>1567928</v>
      </c>
      <c r="AB168" s="2">
        <v>58.312428199999999</v>
      </c>
      <c r="AC168" s="39" t="s">
        <v>42</v>
      </c>
      <c r="AD168" s="39">
        <v>-198535</v>
      </c>
      <c r="AE168" s="2">
        <v>300.15152990000001</v>
      </c>
      <c r="AF168" s="2" t="str">
        <f>IF(AND(Table1[[#This Row],[Cplex MB Cost]]=Table1[[#This Row],[ORTools FZN2 Cost]],Table1[[#This Row],[ORTools FZN2 State]]="Optimal",Table1[[#This Row],[Cplex MB State]]="Suboptimal"),1,"")</f>
        <v/>
      </c>
      <c r="AG168" s="4">
        <f>IF(AND(AC168="Optimal",AD168&lt;&gt;AA168,Table1[[#This Row],[Example]]&lt;&gt;"R001",Table1[[#This Row],[Example]]&lt;&gt;"R002"),AD168-AA168,)</f>
        <v>0</v>
      </c>
      <c r="AH168" s="5" t="s">
        <v>42</v>
      </c>
      <c r="AI168" s="2">
        <v>-198535</v>
      </c>
      <c r="AJ168" s="2">
        <v>300.26727099999999</v>
      </c>
      <c r="AK168" s="2" t="str">
        <f>IF(AND(Table1[[#This Row],[Cplex MD Cost]]=Table1[[#This Row],[ORTools FZN2 Cost]],Table1[[#This Row],[ORTools FZN2 State]]="Optimal",Table1[[#This Row],[Cplex MD State]]="Suboptimal"),1,"")</f>
        <v/>
      </c>
      <c r="AL168" s="4">
        <f>IF(AND(AH168="Optimal",AI168&lt;&gt;AA168,Table1[[#This Row],[Example]]&lt;&gt;"R001",Table1[[#This Row],[Example]]&lt;&gt;"R002"),AI168-AA168,)</f>
        <v>0</v>
      </c>
      <c r="AM168" s="39" t="s">
        <v>26</v>
      </c>
      <c r="AN168" s="39">
        <v>2352205</v>
      </c>
      <c r="AO168" s="2">
        <v>300.11774270000001</v>
      </c>
      <c r="AP16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8" s="4" t="str">
        <f>IF(AND(Table1[[#This Row],[Cplex MI Cost]]=Table1[[#This Row],[ORTools FZN2 Cost]],Table1[[#This Row],[ORTools FZN2 State]]="Optimal",Table1[[#This Row],[Cplex MI State]]="Suboptimal"),1,"")</f>
        <v/>
      </c>
      <c r="AR168" s="5" t="s">
        <v>42</v>
      </c>
      <c r="AS168" s="2">
        <v>-198535</v>
      </c>
      <c r="AT168" s="2">
        <v>300.0621739</v>
      </c>
      <c r="AU168" s="2" t="str">
        <f>IF(AND(Table1[[#This Row],[Z3 SMT2-1 Maxres Cost]]=Table1[[#This Row],[ORTools FZN2 Cost]],Table1[[#This Row],[ORTools FZN2 State]]="Optimal"),1,"")</f>
        <v/>
      </c>
      <c r="AV168" s="39" t="s">
        <v>42</v>
      </c>
      <c r="AW168" s="39">
        <v>-198535</v>
      </c>
      <c r="AX168" s="2">
        <v>300.05219749999998</v>
      </c>
      <c r="AY168" s="2" t="str">
        <f>IF(AND(Table1[[#This Row],[Z3 SMT2-1 PdMaxres Cost]]=Table1[[#This Row],[ORTools FZN2 Cost]],Table1[[#This Row],[ORTools FZN2 State]]="Optimal"),1,"")</f>
        <v/>
      </c>
      <c r="AZ168" s="5" t="s">
        <v>42</v>
      </c>
      <c r="BA168" s="2">
        <v>-198535</v>
      </c>
      <c r="BB168" s="39">
        <v>300.06875020000001</v>
      </c>
      <c r="BC168" s="39" t="str">
        <f>IF(AND(Table1[[#This Row],[Z3 SMT2-1 WMax Cost]]=Table1[[#This Row],[ORTools FZN2 Cost]],Table1[[#This Row],[ORTools FZN2 State]]="Optimal"),1,"")</f>
        <v/>
      </c>
      <c r="BD168" s="39" t="s">
        <v>42</v>
      </c>
      <c r="BE168" s="39">
        <v>-198535</v>
      </c>
      <c r="BF168" s="2">
        <v>300.06477169999999</v>
      </c>
      <c r="BG168" s="2" t="str">
        <f>IF(AND(Table1[[#This Row],[Z3 SMT2-2 Maxres Cost]]=Table1[[#This Row],[ORTools FZN2 Cost]],Table1[[#This Row],[ORTools FZN2 State]]="Optimal"),1,"")</f>
        <v/>
      </c>
      <c r="BH168" s="5" t="s">
        <v>42</v>
      </c>
      <c r="BI168" s="2">
        <v>-198535</v>
      </c>
      <c r="BJ168" s="39">
        <v>300.05058359999998</v>
      </c>
      <c r="BK168" s="39" t="str">
        <f>IF(AND(Table1[[#This Row],[Z3 SMT2-2 PdMaxres Cost]]=Table1[[#This Row],[ORTools FZN2 Cost]],Table1[[#This Row],[ORTools FZN2 State]]="Optimal"),1,"")</f>
        <v/>
      </c>
      <c r="BL168" s="39" t="s">
        <v>42</v>
      </c>
      <c r="BM168" s="39">
        <v>-198535</v>
      </c>
      <c r="BN168" s="2">
        <v>300.061105</v>
      </c>
      <c r="BO168" s="4" t="str">
        <f>IF(AND(Table1[[#This Row],[Z3 SMT2-2 PdMaxres Cost]]=Table1[[#This Row],[ORTools FZN2 Cost]],Table1[[#This Row],[ORTools FZN2 State]]="Optimal"),1,"")</f>
        <v/>
      </c>
      <c r="BP168" s="5" t="s">
        <v>42</v>
      </c>
      <c r="BQ168" s="2">
        <v>-198535</v>
      </c>
      <c r="BR168" s="2">
        <v>300.45547970000001</v>
      </c>
      <c r="BS168" s="2" t="str">
        <f>IF(AND(Table1[[#This Row],[Gurobi MB Cost]]=Table1[[#This Row],[ORTools FZN2 Cost]],Table1[[#This Row],[ORTools FZN2 State]]="Optimal",Table1[[#This Row],[Gurobi MB State]]="Suboptimal"),1,"")</f>
        <v/>
      </c>
      <c r="BT16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8" s="5" t="s">
        <v>42</v>
      </c>
      <c r="BV168" s="2">
        <v>-198535</v>
      </c>
      <c r="BW168" s="2">
        <v>300.2279279</v>
      </c>
      <c r="BX168" s="2" t="str">
        <f>IF(AND(Table1[[#This Row],[Gurobi MD Cost]]=Table1[[#This Row],[ORTools FZN2 Cost]],Table1[[#This Row],[ORTools FZN2 State]]="Optimal",Table1[[#This Row],[Gurobi MD State]]="Suboptimal"),1,"")</f>
        <v/>
      </c>
      <c r="BY16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8" s="5" t="s">
        <v>42</v>
      </c>
      <c r="CA168" s="2">
        <v>-198535</v>
      </c>
      <c r="CB168" s="2">
        <v>300.28808229999999</v>
      </c>
      <c r="CC168" s="2" t="str">
        <f>IF(AND(Table1[[#This Row],[Gurobi MI Cost]]=Table1[[#This Row],[ORTools FZN2 Cost]],Table1[[#This Row],[ORTools FZN2 State]]="Optimal",Table1[[#This Row],[Gurobi MI State]]="Suboptimal"),1,"")</f>
        <v/>
      </c>
      <c r="CD16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8" s="39" t="s">
        <v>42</v>
      </c>
      <c r="CF168" s="2">
        <v>-198535</v>
      </c>
      <c r="CG168" s="39">
        <v>306.12681839999999</v>
      </c>
      <c r="CH168" s="39" t="s">
        <v>42</v>
      </c>
      <c r="CI168" s="39">
        <v>-198535</v>
      </c>
      <c r="CJ168" s="2">
        <v>306.12899850000002</v>
      </c>
      <c r="CK168" s="5" t="s">
        <v>26</v>
      </c>
      <c r="CL168" s="2">
        <v>1567928</v>
      </c>
      <c r="CM168" s="2">
        <v>300.135999999999</v>
      </c>
      <c r="CN168" s="5" t="s">
        <v>26</v>
      </c>
      <c r="CO168" s="2">
        <v>4522973</v>
      </c>
      <c r="CP168" s="2">
        <v>302.4179661</v>
      </c>
      <c r="CQ168" s="5" t="s">
        <v>25</v>
      </c>
      <c r="CR168" s="2">
        <v>1567928</v>
      </c>
      <c r="CS168" s="2">
        <v>82.792784100000006</v>
      </c>
      <c r="CT168" s="6" t="s">
        <v>25</v>
      </c>
      <c r="CU168" s="4">
        <v>1567928</v>
      </c>
      <c r="CV168" s="4">
        <v>51.114007000000001</v>
      </c>
      <c r="CW168" s="39" t="s">
        <v>26</v>
      </c>
      <c r="CX168" s="39">
        <v>3533138</v>
      </c>
      <c r="CY168" s="2">
        <v>300.02690000000001</v>
      </c>
      <c r="CZ168" s="2" t="str">
        <f>IF(AND(Table1[[#This Row],[Cplex MZ1 Cost]]=Table1[[#This Row],[ORTools FZN2 Cost]],Table1[[#This Row],[ORTools FZN2 State]]="Optimal",Table1[[#This Row],[Cplex MZ1 State]]="Suboptimal"),1,"")</f>
        <v/>
      </c>
      <c r="DA168" s="5" t="s">
        <v>26</v>
      </c>
      <c r="DB168" s="2">
        <v>3742871</v>
      </c>
      <c r="DC168" s="2">
        <v>300.02530000000002</v>
      </c>
      <c r="DD168" s="2" t="str">
        <f>IF(AND(Table1[[#This Row],[Cplex MZ2 Cost]]=Table1[[#This Row],[ORTools FZN2 Cost]],Table1[[#This Row],[ORTools FZN2 State]]="Optimal",Table1[[#This Row],[Cplex MZ2 State]]="Suboptimal"),1,"")</f>
        <v/>
      </c>
      <c r="DE168" s="39" t="s">
        <v>42</v>
      </c>
      <c r="DF168" s="39"/>
      <c r="DG168" s="2">
        <v>300.00830000000002</v>
      </c>
      <c r="DH168" s="2" t="str">
        <f>IF(AND(Table1[[#This Row],[Gurobi MZ1 Cost]]=Table1[[#This Row],[ORTools FZN2 Cost]],Table1[[#This Row],[ORTools FZN2 State]]="Optimal",Table1[[#This Row],[Gurobi MZ1 State]]="Suboptimal"),1,"")</f>
        <v/>
      </c>
      <c r="DI168" s="5" t="s">
        <v>42</v>
      </c>
      <c r="DJ168" s="2"/>
      <c r="DK168" s="2">
        <v>300.21109999999999</v>
      </c>
      <c r="DL168" s="4" t="str">
        <f>IF(AND(Table1[[#This Row],[Gurobi MZ2 Cost]]=Table1[[#This Row],[ORTools FZN2 Cost]],Table1[[#This Row],[ORTools FZN2 State]]="Optimal",Table1[[#This Row],[Gurobi MZ2 State]]="Suboptimal"),1,"")</f>
        <v/>
      </c>
      <c r="DM168" s="39" t="s">
        <v>26</v>
      </c>
      <c r="DN168" s="39">
        <v>1568045</v>
      </c>
      <c r="DO168" s="65">
        <v>300.087000000003</v>
      </c>
      <c r="DP168" s="4" t="str">
        <f>IF(AND(Table1[[#This Row],[Cplex MC nonDual Cost]]=Table1[[#This Row],[ORTools FZN2 Cost]],Table1[[#This Row],[ORTools FZN2 State]]="Optimal",Table1[[#This Row],[Cplex MC nonDual State]]="Suboptimal"),1,"")</f>
        <v/>
      </c>
      <c r="DQ168" s="5" t="s">
        <v>42</v>
      </c>
      <c r="DR168" s="2"/>
      <c r="DS168" s="2">
        <v>300.024</v>
      </c>
      <c r="DT168" s="2" t="str">
        <f>IF(AND(Table1[[#This Row],[Cplex MIP DM''z Cost]]=Table1[[#This Row],[ORTools FZN2 Cost]],Table1[[#This Row],[ORTools FZN2 State]]="Optimal",Table1[[#This Row],[Cplex MIP DM''z  State]]="Suboptimal"),1,"")</f>
        <v/>
      </c>
      <c r="DU16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8" s="5" t="s">
        <v>42</v>
      </c>
      <c r="DW168" s="2"/>
      <c r="DX168" s="2">
        <v>300.00510000000003</v>
      </c>
      <c r="DY168" s="4" t="str">
        <f>IF(AND(Table1[[#This Row],[Gurobi DM''z  Cost]]=Table1[[#This Row],[ORTools FZN2 Cost]],Table1[[#This Row],[ORTools FZN2 State]]="Optimal",Table1[[#This Row],[Gurobi DM''z  State]]="Suboptimal"),1,"")</f>
        <v/>
      </c>
      <c r="DZ16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69" spans="1:130" ht="15.75" x14ac:dyDescent="0.25">
      <c r="A169" s="47" t="s">
        <v>195</v>
      </c>
      <c r="B169" s="5">
        <v>68</v>
      </c>
      <c r="C169" s="2">
        <v>34</v>
      </c>
      <c r="D169" s="5">
        <v>610</v>
      </c>
      <c r="E169" s="2">
        <v>41</v>
      </c>
      <c r="F169" s="5">
        <v>69</v>
      </c>
      <c r="G169" s="2">
        <v>0</v>
      </c>
      <c r="H169" s="4">
        <f t="shared" si="2"/>
        <v>0</v>
      </c>
      <c r="I169" s="4">
        <f>Table1[[#This Row],[B]]+Table1[[#This Row],[Atomic Constraints]]+Table1[[#This Row],[Soft Atomic Constraints]]+Table1[[#This Row],[Disjunctive Constraints]]+Table1[[#This Row],[Direct Successors]]</f>
        <v>754</v>
      </c>
      <c r="J169" s="5" t="s">
        <v>26</v>
      </c>
      <c r="K169" s="2">
        <v>10434826</v>
      </c>
      <c r="L169" s="2">
        <v>303.2333375</v>
      </c>
      <c r="M169" s="2" t="str">
        <f>IF(AND(Table1[[#This Row],[Chuffed MZ1 Cost]]=Table1[[#This Row],[ORTools FZN2 Cost]],Table1[[#This Row],[ORTools FZN2 State]]="Optimal",Table1[[#This Row],[Chuffed MZ1 State]]="Suboptimal"),1,"")</f>
        <v/>
      </c>
      <c r="N169" s="5" t="s">
        <v>26</v>
      </c>
      <c r="O169" s="2">
        <v>10481740</v>
      </c>
      <c r="P169" s="2">
        <v>303.16597159999998</v>
      </c>
      <c r="Q169" s="2" t="str">
        <f>IF(AND(Table1[[#This Row],[Chuffed MZ2 Cost]]=Table1[[#This Row],[ORTools FZN2 Cost]],Table1[[#This Row],[ORTools FZN2 State]]="Optimal",Table1[[#This Row],[Chuffed MZ2 State]]="Suboptimal"),1,"")</f>
        <v/>
      </c>
      <c r="R169" s="6" t="s">
        <v>26</v>
      </c>
      <c r="S169" s="4">
        <v>2856156</v>
      </c>
      <c r="T169" s="4">
        <v>300.026000000002</v>
      </c>
      <c r="U169" s="4"/>
      <c r="V169" s="5" t="s">
        <v>25</v>
      </c>
      <c r="W169" s="2">
        <v>2851600</v>
      </c>
      <c r="X169" s="2">
        <v>126.7639331</v>
      </c>
      <c r="Y169" s="2" t="str">
        <f>IF(AND(Table1[[#This Row],[ORTools FZN1 Cost]]=Table1[[#This Row],[ORTools FZN2 Cost]],Table1[[#This Row],[ORTools FZN2 State]]="Optimal",Table1[[#This Row],[ORTools FZN1 State]]="Suboptimal"),1,"")</f>
        <v/>
      </c>
      <c r="Z169" s="5" t="s">
        <v>25</v>
      </c>
      <c r="AA169" s="2">
        <v>2851600</v>
      </c>
      <c r="AB169" s="2">
        <v>126.000305</v>
      </c>
      <c r="AC169" s="39" t="s">
        <v>42</v>
      </c>
      <c r="AD169" s="39">
        <v>-319125</v>
      </c>
      <c r="AE169" s="2">
        <v>300.28610459999999</v>
      </c>
      <c r="AF169" s="2" t="str">
        <f>IF(AND(Table1[[#This Row],[Cplex MB Cost]]=Table1[[#This Row],[ORTools FZN2 Cost]],Table1[[#This Row],[ORTools FZN2 State]]="Optimal",Table1[[#This Row],[Cplex MB State]]="Suboptimal"),1,"")</f>
        <v/>
      </c>
      <c r="AG169" s="4">
        <f>IF(AND(AC169="Optimal",AD169&lt;&gt;AA169,Table1[[#This Row],[Example]]&lt;&gt;"R001",Table1[[#This Row],[Example]]&lt;&gt;"R002"),AD169-AA169,)</f>
        <v>0</v>
      </c>
      <c r="AH169" s="5" t="s">
        <v>42</v>
      </c>
      <c r="AI169" s="2">
        <v>-319125</v>
      </c>
      <c r="AJ169" s="2">
        <v>300.63581219999998</v>
      </c>
      <c r="AK169" s="2" t="str">
        <f>IF(AND(Table1[[#This Row],[Cplex MD Cost]]=Table1[[#This Row],[ORTools FZN2 Cost]],Table1[[#This Row],[ORTools FZN2 State]]="Optimal",Table1[[#This Row],[Cplex MD State]]="Suboptimal"),1,"")</f>
        <v/>
      </c>
      <c r="AL169" s="2">
        <f>IF(AND(AH169="Optimal",AI169&lt;&gt;AA169,Table1[[#This Row],[Example]]&lt;&gt;"R001",Table1[[#This Row],[Example]]&lt;&gt;"R002"),AI169-AA169,)</f>
        <v>0</v>
      </c>
      <c r="AM169" s="39" t="s">
        <v>26</v>
      </c>
      <c r="AN169" s="39">
        <v>6323815</v>
      </c>
      <c r="AO169" s="2">
        <v>300.15804059999999</v>
      </c>
      <c r="AP16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69" s="2" t="str">
        <f>IF(AND(Table1[[#This Row],[Cplex MI Cost]]=Table1[[#This Row],[ORTools FZN2 Cost]],Table1[[#This Row],[ORTools FZN2 State]]="Optimal",Table1[[#This Row],[Cplex MI State]]="Suboptimal"),1,"")</f>
        <v/>
      </c>
      <c r="AR169" s="5" t="s">
        <v>42</v>
      </c>
      <c r="AS169" s="2">
        <v>-319125</v>
      </c>
      <c r="AT169" s="2">
        <v>300.06820779999998</v>
      </c>
      <c r="AU169" s="2" t="str">
        <f>IF(AND(Table1[[#This Row],[Z3 SMT2-1 Maxres Cost]]=Table1[[#This Row],[ORTools FZN2 Cost]],Table1[[#This Row],[ORTools FZN2 State]]="Optimal"),1,"")</f>
        <v/>
      </c>
      <c r="AV169" s="39" t="s">
        <v>42</v>
      </c>
      <c r="AW169" s="39">
        <v>-319125</v>
      </c>
      <c r="AX169" s="2">
        <v>300.0625119</v>
      </c>
      <c r="AY169" s="2" t="str">
        <f>IF(AND(Table1[[#This Row],[Z3 SMT2-1 PdMaxres Cost]]=Table1[[#This Row],[ORTools FZN2 Cost]],Table1[[#This Row],[ORTools FZN2 State]]="Optimal"),1,"")</f>
        <v/>
      </c>
      <c r="AZ169" s="5" t="s">
        <v>42</v>
      </c>
      <c r="BA169" s="2">
        <v>-319125</v>
      </c>
      <c r="BB169" s="39">
        <v>300.25013619999999</v>
      </c>
      <c r="BC169" s="39" t="str">
        <f>IF(AND(Table1[[#This Row],[Z3 SMT2-1 WMax Cost]]=Table1[[#This Row],[ORTools FZN2 Cost]],Table1[[#This Row],[ORTools FZN2 State]]="Optimal"),1,"")</f>
        <v/>
      </c>
      <c r="BD169" s="39" t="s">
        <v>42</v>
      </c>
      <c r="BE169" s="39">
        <v>-319125</v>
      </c>
      <c r="BF169" s="2">
        <v>300.07060369999999</v>
      </c>
      <c r="BG169" s="2" t="str">
        <f>IF(AND(Table1[[#This Row],[Z3 SMT2-2 Maxres Cost]]=Table1[[#This Row],[ORTools FZN2 Cost]],Table1[[#This Row],[ORTools FZN2 State]]="Optimal"),1,"")</f>
        <v/>
      </c>
      <c r="BH169" s="5" t="s">
        <v>42</v>
      </c>
      <c r="BI169" s="2">
        <v>-319125</v>
      </c>
      <c r="BJ169" s="39">
        <v>300.07111559999998</v>
      </c>
      <c r="BK169" s="39" t="str">
        <f>IF(AND(Table1[[#This Row],[Z3 SMT2-2 PdMaxres Cost]]=Table1[[#This Row],[ORTools FZN2 Cost]],Table1[[#This Row],[ORTools FZN2 State]]="Optimal"),1,"")</f>
        <v/>
      </c>
      <c r="BL169" s="39" t="s">
        <v>42</v>
      </c>
      <c r="BM169" s="39">
        <v>-319125</v>
      </c>
      <c r="BN169" s="2">
        <v>300.08124020000002</v>
      </c>
      <c r="BO169" s="4" t="str">
        <f>IF(AND(Table1[[#This Row],[Z3 SMT2-2 PdMaxres Cost]]=Table1[[#This Row],[ORTools FZN2 Cost]],Table1[[#This Row],[ORTools FZN2 State]]="Optimal"),1,"")</f>
        <v/>
      </c>
      <c r="BP169" s="5" t="s">
        <v>42</v>
      </c>
      <c r="BQ169" s="2">
        <v>-319125</v>
      </c>
      <c r="BR169" s="2">
        <v>300.13432970000002</v>
      </c>
      <c r="BS169" s="2" t="str">
        <f>IF(AND(Table1[[#This Row],[Gurobi MB Cost]]=Table1[[#This Row],[ORTools FZN2 Cost]],Table1[[#This Row],[ORTools FZN2 State]]="Optimal",Table1[[#This Row],[Gurobi MB State]]="Suboptimal"),1,"")</f>
        <v/>
      </c>
      <c r="BT16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69" s="5" t="s">
        <v>42</v>
      </c>
      <c r="BV169" s="2">
        <v>-319125</v>
      </c>
      <c r="BW169" s="2">
        <v>300.13445209999998</v>
      </c>
      <c r="BX169" s="2" t="str">
        <f>IF(AND(Table1[[#This Row],[Gurobi MD Cost]]=Table1[[#This Row],[ORTools FZN2 Cost]],Table1[[#This Row],[ORTools FZN2 State]]="Optimal",Table1[[#This Row],[Gurobi MD State]]="Suboptimal"),1,"")</f>
        <v/>
      </c>
      <c r="BY16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69" s="5" t="s">
        <v>42</v>
      </c>
      <c r="CA169" s="2">
        <v>-319125</v>
      </c>
      <c r="CB169" s="2">
        <v>300.09645890000002</v>
      </c>
      <c r="CC169" s="2" t="str">
        <f>IF(AND(Table1[[#This Row],[Gurobi MI Cost]]=Table1[[#This Row],[ORTools FZN2 Cost]],Table1[[#This Row],[ORTools FZN2 State]]="Optimal",Table1[[#This Row],[Gurobi MI State]]="Suboptimal"),1,"")</f>
        <v/>
      </c>
      <c r="CD16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69" s="39" t="s">
        <v>42</v>
      </c>
      <c r="CF169" s="2">
        <v>-319125</v>
      </c>
      <c r="CG169" s="39">
        <v>306.20887590000001</v>
      </c>
      <c r="CH169" s="39" t="s">
        <v>42</v>
      </c>
      <c r="CI169" s="39">
        <v>-319125</v>
      </c>
      <c r="CJ169" s="2">
        <v>306.20152489999998</v>
      </c>
      <c r="CK169" s="5" t="s">
        <v>26</v>
      </c>
      <c r="CL169" s="2">
        <v>2856017</v>
      </c>
      <c r="CM169" s="2">
        <v>300.18300000000102</v>
      </c>
      <c r="CN169" s="5" t="s">
        <v>26</v>
      </c>
      <c r="CO169" s="2">
        <v>8548562</v>
      </c>
      <c r="CP169" s="2">
        <v>303.11284460000002</v>
      </c>
      <c r="CQ169" s="5" t="s">
        <v>25</v>
      </c>
      <c r="CR169" s="2">
        <v>2851600</v>
      </c>
      <c r="CS169" s="2">
        <v>181.66140369999999</v>
      </c>
      <c r="CT169" s="6" t="s">
        <v>25</v>
      </c>
      <c r="CU169" s="4">
        <v>2851600</v>
      </c>
      <c r="CV169" s="4">
        <v>50.909915599999998</v>
      </c>
      <c r="CW169" s="39" t="s">
        <v>42</v>
      </c>
      <c r="CX169" s="39"/>
      <c r="CY169" s="2">
        <v>300.01920000000001</v>
      </c>
      <c r="CZ169" s="2" t="str">
        <f>IF(AND(Table1[[#This Row],[Cplex MZ1 Cost]]=Table1[[#This Row],[ORTools FZN2 Cost]],Table1[[#This Row],[ORTools FZN2 State]]="Optimal",Table1[[#This Row],[Cplex MZ1 State]]="Suboptimal"),1,"")</f>
        <v/>
      </c>
      <c r="DA169" s="5" t="s">
        <v>42</v>
      </c>
      <c r="DB169" s="2"/>
      <c r="DC169" s="2">
        <v>300.0145</v>
      </c>
      <c r="DD169" s="2" t="str">
        <f>IF(AND(Table1[[#This Row],[Cplex MZ2 Cost]]=Table1[[#This Row],[ORTools FZN2 Cost]],Table1[[#This Row],[ORTools FZN2 State]]="Optimal",Table1[[#This Row],[Cplex MZ2 State]]="Suboptimal"),1,"")</f>
        <v/>
      </c>
      <c r="DE169" s="39" t="s">
        <v>42</v>
      </c>
      <c r="DF169" s="39"/>
      <c r="DG169" s="2">
        <v>300.01130000000001</v>
      </c>
      <c r="DH169" s="2" t="str">
        <f>IF(AND(Table1[[#This Row],[Gurobi MZ1 Cost]]=Table1[[#This Row],[ORTools FZN2 Cost]],Table1[[#This Row],[ORTools FZN2 State]]="Optimal",Table1[[#This Row],[Gurobi MZ1 State]]="Suboptimal"),1,"")</f>
        <v/>
      </c>
      <c r="DI169" s="5" t="s">
        <v>42</v>
      </c>
      <c r="DJ169" s="2"/>
      <c r="DK169" s="2">
        <v>300.09679999999997</v>
      </c>
      <c r="DL169" s="4" t="str">
        <f>IF(AND(Table1[[#This Row],[Gurobi MZ2 Cost]]=Table1[[#This Row],[ORTools FZN2 Cost]],Table1[[#This Row],[ORTools FZN2 State]]="Optimal",Table1[[#This Row],[Gurobi MZ2 State]]="Suboptimal"),1,"")</f>
        <v/>
      </c>
      <c r="DM169" s="39" t="s">
        <v>26</v>
      </c>
      <c r="DN169" s="39">
        <v>3170180</v>
      </c>
      <c r="DO169" s="65">
        <v>300.22199999999702</v>
      </c>
      <c r="DP169" s="4" t="str">
        <f>IF(AND(Table1[[#This Row],[Cplex MC nonDual Cost]]=Table1[[#This Row],[ORTools FZN2 Cost]],Table1[[#This Row],[ORTools FZN2 State]]="Optimal",Table1[[#This Row],[Cplex MC nonDual State]]="Suboptimal"),1,"")</f>
        <v/>
      </c>
      <c r="DQ169" s="5" t="s">
        <v>42</v>
      </c>
      <c r="DR169" s="2"/>
      <c r="DS169" s="2">
        <v>300.03320000000002</v>
      </c>
      <c r="DT169" s="2" t="str">
        <f>IF(AND(Table1[[#This Row],[Cplex MIP DM''z Cost]]=Table1[[#This Row],[ORTools FZN2 Cost]],Table1[[#This Row],[ORTools FZN2 State]]="Optimal",Table1[[#This Row],[Cplex MIP DM''z  State]]="Suboptimal"),1,"")</f>
        <v/>
      </c>
      <c r="DU16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69" s="5" t="s">
        <v>42</v>
      </c>
      <c r="DW169" s="2"/>
      <c r="DX169" s="2">
        <v>300.00909999999999</v>
      </c>
      <c r="DY169" s="4" t="str">
        <f>IF(AND(Table1[[#This Row],[Gurobi DM''z  Cost]]=Table1[[#This Row],[ORTools FZN2 Cost]],Table1[[#This Row],[ORTools FZN2 State]]="Optimal",Table1[[#This Row],[Gurobi DM''z  State]]="Suboptimal"),1,"")</f>
        <v/>
      </c>
      <c r="DZ16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0" spans="1:130" ht="15.75" x14ac:dyDescent="0.25">
      <c r="A170" s="46" t="s">
        <v>196</v>
      </c>
      <c r="B170" s="5">
        <v>68</v>
      </c>
      <c r="C170" s="2">
        <v>34</v>
      </c>
      <c r="D170" s="5">
        <v>611</v>
      </c>
      <c r="E170" s="2">
        <v>41</v>
      </c>
      <c r="F170" s="5">
        <v>69</v>
      </c>
      <c r="G170" s="2">
        <v>0</v>
      </c>
      <c r="H170" s="4">
        <f t="shared" si="2"/>
        <v>0</v>
      </c>
      <c r="I170" s="4">
        <f>Table1[[#This Row],[B]]+Table1[[#This Row],[Atomic Constraints]]+Table1[[#This Row],[Soft Atomic Constraints]]+Table1[[#This Row],[Disjunctive Constraints]]+Table1[[#This Row],[Direct Successors]]</f>
        <v>755</v>
      </c>
      <c r="J170" s="5" t="s">
        <v>26</v>
      </c>
      <c r="K170" s="2">
        <v>10476709</v>
      </c>
      <c r="L170" s="2">
        <v>303.15621700000003</v>
      </c>
      <c r="M170" s="2" t="str">
        <f>IF(AND(Table1[[#This Row],[Chuffed MZ1 Cost]]=Table1[[#This Row],[ORTools FZN2 Cost]],Table1[[#This Row],[ORTools FZN2 State]]="Optimal",Table1[[#This Row],[Chuffed MZ1 State]]="Suboptimal"),1,"")</f>
        <v/>
      </c>
      <c r="N170" s="5" t="s">
        <v>26</v>
      </c>
      <c r="O170" s="2">
        <v>10439043</v>
      </c>
      <c r="P170" s="2">
        <v>303.16180079999998</v>
      </c>
      <c r="Q170" s="2" t="str">
        <f>IF(AND(Table1[[#This Row],[Chuffed MZ2 Cost]]=Table1[[#This Row],[ORTools FZN2 Cost]],Table1[[#This Row],[ORTools FZN2 State]]="Optimal",Table1[[#This Row],[Chuffed MZ2 State]]="Suboptimal"),1,"")</f>
        <v/>
      </c>
      <c r="R170" s="6" t="s">
        <v>26</v>
      </c>
      <c r="S170" s="4">
        <v>2856017</v>
      </c>
      <c r="T170" s="4">
        <v>300.21199999999999</v>
      </c>
      <c r="U170" s="4"/>
      <c r="V170" s="5" t="s">
        <v>25</v>
      </c>
      <c r="W170" s="2">
        <v>2851600</v>
      </c>
      <c r="X170" s="2">
        <v>134.5853223</v>
      </c>
      <c r="Y170" s="2" t="str">
        <f>IF(AND(Table1[[#This Row],[ORTools FZN1 Cost]]=Table1[[#This Row],[ORTools FZN2 Cost]],Table1[[#This Row],[ORTools FZN2 State]]="Optimal",Table1[[#This Row],[ORTools FZN1 State]]="Suboptimal"),1,"")</f>
        <v/>
      </c>
      <c r="Z170" s="5" t="s">
        <v>25</v>
      </c>
      <c r="AA170" s="2">
        <v>2851600</v>
      </c>
      <c r="AB170" s="2">
        <v>102.91646489999999</v>
      </c>
      <c r="AC170" s="39" t="s">
        <v>42</v>
      </c>
      <c r="AD170" s="39">
        <v>-319125</v>
      </c>
      <c r="AE170" s="2">
        <v>300.23596500000002</v>
      </c>
      <c r="AF170" s="2" t="str">
        <f>IF(AND(Table1[[#This Row],[Cplex MB Cost]]=Table1[[#This Row],[ORTools FZN2 Cost]],Table1[[#This Row],[ORTools FZN2 State]]="Optimal",Table1[[#This Row],[Cplex MB State]]="Suboptimal"),1,"")</f>
        <v/>
      </c>
      <c r="AG170" s="4">
        <f>IF(AND(AC170="Optimal",AD170&lt;&gt;AA170,Table1[[#This Row],[Example]]&lt;&gt;"R001",Table1[[#This Row],[Example]]&lt;&gt;"R002"),AD170-AA170,)</f>
        <v>0</v>
      </c>
      <c r="AH170" s="5" t="s">
        <v>42</v>
      </c>
      <c r="AI170" s="2">
        <v>-319125</v>
      </c>
      <c r="AJ170" s="2">
        <v>300.40374600000001</v>
      </c>
      <c r="AK170" s="2" t="str">
        <f>IF(AND(Table1[[#This Row],[Cplex MD Cost]]=Table1[[#This Row],[ORTools FZN2 Cost]],Table1[[#This Row],[ORTools FZN2 State]]="Optimal",Table1[[#This Row],[Cplex MD State]]="Suboptimal"),1,"")</f>
        <v/>
      </c>
      <c r="AL170" s="4">
        <f>IF(AND(AH170="Optimal",AI170&lt;&gt;AA170,Table1[[#This Row],[Example]]&lt;&gt;"R001",Table1[[#This Row],[Example]]&lt;&gt;"R002"),AI170-AA170,)</f>
        <v>0</v>
      </c>
      <c r="AM170" s="39" t="s">
        <v>42</v>
      </c>
      <c r="AN170" s="39">
        <v>-319125</v>
      </c>
      <c r="AO170" s="2">
        <v>300.17199620000002</v>
      </c>
      <c r="AP17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0" s="4" t="str">
        <f>IF(AND(Table1[[#This Row],[Cplex MI Cost]]=Table1[[#This Row],[ORTools FZN2 Cost]],Table1[[#This Row],[ORTools FZN2 State]]="Optimal",Table1[[#This Row],[Cplex MI State]]="Suboptimal"),1,"")</f>
        <v/>
      </c>
      <c r="AR170" s="5" t="s">
        <v>42</v>
      </c>
      <c r="AS170" s="2">
        <v>-319125</v>
      </c>
      <c r="AT170" s="2">
        <v>300.07272949999998</v>
      </c>
      <c r="AU170" s="2" t="str">
        <f>IF(AND(Table1[[#This Row],[Z3 SMT2-1 Maxres Cost]]=Table1[[#This Row],[ORTools FZN2 Cost]],Table1[[#This Row],[ORTools FZN2 State]]="Optimal"),1,"")</f>
        <v/>
      </c>
      <c r="AV170" s="39" t="s">
        <v>42</v>
      </c>
      <c r="AW170" s="39">
        <v>-319125</v>
      </c>
      <c r="AX170" s="2">
        <v>300.0673109</v>
      </c>
      <c r="AY170" s="2" t="str">
        <f>IF(AND(Table1[[#This Row],[Z3 SMT2-1 PdMaxres Cost]]=Table1[[#This Row],[ORTools FZN2 Cost]],Table1[[#This Row],[ORTools FZN2 State]]="Optimal"),1,"")</f>
        <v/>
      </c>
      <c r="AZ170" s="5" t="s">
        <v>42</v>
      </c>
      <c r="BA170" s="2">
        <v>-319125</v>
      </c>
      <c r="BB170" s="39">
        <v>300.2000764</v>
      </c>
      <c r="BC170" s="39" t="str">
        <f>IF(AND(Table1[[#This Row],[Z3 SMT2-1 WMax Cost]]=Table1[[#This Row],[ORTools FZN2 Cost]],Table1[[#This Row],[ORTools FZN2 State]]="Optimal"),1,"")</f>
        <v/>
      </c>
      <c r="BD170" s="39" t="s">
        <v>42</v>
      </c>
      <c r="BE170" s="39">
        <v>-319125</v>
      </c>
      <c r="BF170" s="2">
        <v>300.06133440000002</v>
      </c>
      <c r="BG170" s="2" t="str">
        <f>IF(AND(Table1[[#This Row],[Z3 SMT2-2 Maxres Cost]]=Table1[[#This Row],[ORTools FZN2 Cost]],Table1[[#This Row],[ORTools FZN2 State]]="Optimal"),1,"")</f>
        <v/>
      </c>
      <c r="BH170" s="5" t="s">
        <v>42</v>
      </c>
      <c r="BI170" s="2">
        <v>-319125</v>
      </c>
      <c r="BJ170" s="39">
        <v>300.05458240000002</v>
      </c>
      <c r="BK170" s="39" t="str">
        <f>IF(AND(Table1[[#This Row],[Z3 SMT2-2 PdMaxres Cost]]=Table1[[#This Row],[ORTools FZN2 Cost]],Table1[[#This Row],[ORTools FZN2 State]]="Optimal"),1,"")</f>
        <v/>
      </c>
      <c r="BL170" s="39" t="s">
        <v>42</v>
      </c>
      <c r="BM170" s="39">
        <v>-319125</v>
      </c>
      <c r="BN170" s="2">
        <v>300.0843491</v>
      </c>
      <c r="BO170" s="4" t="str">
        <f>IF(AND(Table1[[#This Row],[Z3 SMT2-2 PdMaxres Cost]]=Table1[[#This Row],[ORTools FZN2 Cost]],Table1[[#This Row],[ORTools FZN2 State]]="Optimal"),1,"")</f>
        <v/>
      </c>
      <c r="BP170" s="5" t="s">
        <v>42</v>
      </c>
      <c r="BQ170" s="2">
        <v>-319125</v>
      </c>
      <c r="BR170" s="2">
        <v>300.12383799999998</v>
      </c>
      <c r="BS170" s="2" t="str">
        <f>IF(AND(Table1[[#This Row],[Gurobi MB Cost]]=Table1[[#This Row],[ORTools FZN2 Cost]],Table1[[#This Row],[ORTools FZN2 State]]="Optimal",Table1[[#This Row],[Gurobi MB State]]="Suboptimal"),1,"")</f>
        <v/>
      </c>
      <c r="BT17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0" s="5" t="s">
        <v>42</v>
      </c>
      <c r="BV170" s="2">
        <v>-319125</v>
      </c>
      <c r="BW170" s="2">
        <v>300.10144450000001</v>
      </c>
      <c r="BX170" s="2" t="str">
        <f>IF(AND(Table1[[#This Row],[Gurobi MD Cost]]=Table1[[#This Row],[ORTools FZN2 Cost]],Table1[[#This Row],[ORTools FZN2 State]]="Optimal",Table1[[#This Row],[Gurobi MD State]]="Suboptimal"),1,"")</f>
        <v/>
      </c>
      <c r="BY17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0" s="5" t="s">
        <v>42</v>
      </c>
      <c r="CA170" s="2">
        <v>-319125</v>
      </c>
      <c r="CB170" s="2">
        <v>300.13427439999998</v>
      </c>
      <c r="CC170" s="2" t="str">
        <f>IF(AND(Table1[[#This Row],[Gurobi MI Cost]]=Table1[[#This Row],[ORTools FZN2 Cost]],Table1[[#This Row],[ORTools FZN2 State]]="Optimal",Table1[[#This Row],[Gurobi MI State]]="Suboptimal"),1,"")</f>
        <v/>
      </c>
      <c r="CD17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0" s="39" t="s">
        <v>42</v>
      </c>
      <c r="CF170" s="2">
        <v>-319125</v>
      </c>
      <c r="CG170" s="39">
        <v>306.1534709</v>
      </c>
      <c r="CH170" s="39" t="s">
        <v>42</v>
      </c>
      <c r="CI170" s="39">
        <v>-319125</v>
      </c>
      <c r="CJ170" s="2">
        <v>306.28705050000002</v>
      </c>
      <c r="CK170" s="5" t="s">
        <v>26</v>
      </c>
      <c r="CL170" s="2">
        <v>2856155</v>
      </c>
      <c r="CM170" s="2">
        <v>300.21799999999701</v>
      </c>
      <c r="CN170" s="5" t="s">
        <v>26</v>
      </c>
      <c r="CO170" s="2">
        <v>9186271</v>
      </c>
      <c r="CP170" s="2">
        <v>303.06479180000002</v>
      </c>
      <c r="CQ170" s="5" t="s">
        <v>25</v>
      </c>
      <c r="CR170" s="2">
        <v>2851600</v>
      </c>
      <c r="CS170" s="2">
        <v>127.3449354</v>
      </c>
      <c r="CT170" s="6" t="s">
        <v>25</v>
      </c>
      <c r="CU170" s="4">
        <v>2851600</v>
      </c>
      <c r="CV170" s="4">
        <v>58.247348600000002</v>
      </c>
      <c r="CW170" s="39" t="s">
        <v>26</v>
      </c>
      <c r="CX170" s="39">
        <v>8547751</v>
      </c>
      <c r="CY170" s="2">
        <v>300.02100000000002</v>
      </c>
      <c r="CZ170" s="2" t="str">
        <f>IF(AND(Table1[[#This Row],[Cplex MZ1 Cost]]=Table1[[#This Row],[ORTools FZN2 Cost]],Table1[[#This Row],[ORTools FZN2 State]]="Optimal",Table1[[#This Row],[Cplex MZ1 State]]="Suboptimal"),1,"")</f>
        <v/>
      </c>
      <c r="DA170" s="5" t="s">
        <v>42</v>
      </c>
      <c r="DB170" s="2"/>
      <c r="DC170" s="2">
        <v>300.02109999999999</v>
      </c>
      <c r="DD170" s="2" t="str">
        <f>IF(AND(Table1[[#This Row],[Cplex MZ2 Cost]]=Table1[[#This Row],[ORTools FZN2 Cost]],Table1[[#This Row],[ORTools FZN2 State]]="Optimal",Table1[[#This Row],[Cplex MZ2 State]]="Suboptimal"),1,"")</f>
        <v/>
      </c>
      <c r="DE170" s="39" t="s">
        <v>42</v>
      </c>
      <c r="DF170" s="39"/>
      <c r="DG170" s="2">
        <v>300.01620000000003</v>
      </c>
      <c r="DH170" s="2" t="str">
        <f>IF(AND(Table1[[#This Row],[Gurobi MZ1 Cost]]=Table1[[#This Row],[ORTools FZN2 Cost]],Table1[[#This Row],[ORTools FZN2 State]]="Optimal",Table1[[#This Row],[Gurobi MZ1 State]]="Suboptimal"),1,"")</f>
        <v/>
      </c>
      <c r="DI170" s="5" t="s">
        <v>42</v>
      </c>
      <c r="DJ170" s="2"/>
      <c r="DK170" s="2">
        <v>300.01049999999998</v>
      </c>
      <c r="DL170" s="4" t="str">
        <f>IF(AND(Table1[[#This Row],[Gurobi MZ2 Cost]]=Table1[[#This Row],[ORTools FZN2 Cost]],Table1[[#This Row],[ORTools FZN2 State]]="Optimal",Table1[[#This Row],[Gurobi MZ2 State]]="Suboptimal"),1,"")</f>
        <v/>
      </c>
      <c r="DM170" s="39" t="s">
        <v>26</v>
      </c>
      <c r="DN170" s="39">
        <v>2856020</v>
      </c>
      <c r="DO170" s="65">
        <v>300.036</v>
      </c>
      <c r="DP170" s="4" t="str">
        <f>IF(AND(Table1[[#This Row],[Cplex MC nonDual Cost]]=Table1[[#This Row],[ORTools FZN2 Cost]],Table1[[#This Row],[ORTools FZN2 State]]="Optimal",Table1[[#This Row],[Cplex MC nonDual State]]="Suboptimal"),1,"")</f>
        <v/>
      </c>
      <c r="DQ170" s="5" t="s">
        <v>42</v>
      </c>
      <c r="DR170" s="2"/>
      <c r="DS170" s="2">
        <v>300.01889999999997</v>
      </c>
      <c r="DT170" s="2" t="str">
        <f>IF(AND(Table1[[#This Row],[Cplex MIP DM''z Cost]]=Table1[[#This Row],[ORTools FZN2 Cost]],Table1[[#This Row],[ORTools FZN2 State]]="Optimal",Table1[[#This Row],[Cplex MIP DM''z  State]]="Suboptimal"),1,"")</f>
        <v/>
      </c>
      <c r="DU17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0" s="5" t="s">
        <v>42</v>
      </c>
      <c r="DW170" s="2"/>
      <c r="DX170" s="2">
        <v>300.01580000000001</v>
      </c>
      <c r="DY170" s="4" t="str">
        <f>IF(AND(Table1[[#This Row],[Gurobi DM''z  Cost]]=Table1[[#This Row],[ORTools FZN2 Cost]],Table1[[#This Row],[ORTools FZN2 State]]="Optimal",Table1[[#This Row],[Gurobi DM''z  State]]="Suboptimal"),1,"")</f>
        <v/>
      </c>
      <c r="DZ17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1" spans="1:130" ht="15.75" x14ac:dyDescent="0.25">
      <c r="A171" s="47" t="s">
        <v>197</v>
      </c>
      <c r="B171" s="5">
        <v>40</v>
      </c>
      <c r="C171" s="2">
        <v>20</v>
      </c>
      <c r="D171" s="5">
        <v>180</v>
      </c>
      <c r="E171" s="2">
        <v>27</v>
      </c>
      <c r="F171" s="5">
        <v>29</v>
      </c>
      <c r="G171" s="2">
        <v>6</v>
      </c>
      <c r="H171" s="4">
        <f t="shared" si="2"/>
        <v>0</v>
      </c>
      <c r="I171" s="4">
        <f>Table1[[#This Row],[B]]+Table1[[#This Row],[Atomic Constraints]]+Table1[[#This Row],[Soft Atomic Constraints]]+Table1[[#This Row],[Disjunctive Constraints]]+Table1[[#This Row],[Direct Successors]]</f>
        <v>262</v>
      </c>
      <c r="J171" s="5" t="s">
        <v>25</v>
      </c>
      <c r="K171" s="2">
        <v>65693</v>
      </c>
      <c r="L171" s="2">
        <v>143.7261651</v>
      </c>
      <c r="M171" s="2" t="str">
        <f>IF(AND(Table1[[#This Row],[Chuffed MZ1 Cost]]=Table1[[#This Row],[ORTools FZN2 Cost]],Table1[[#This Row],[ORTools FZN2 State]]="Optimal",Table1[[#This Row],[Chuffed MZ1 State]]="Suboptimal"),1,"")</f>
        <v/>
      </c>
      <c r="N171" s="5" t="s">
        <v>25</v>
      </c>
      <c r="O171" s="2">
        <v>65693</v>
      </c>
      <c r="P171" s="2">
        <v>90.801313300000004</v>
      </c>
      <c r="Q171" s="2" t="str">
        <f>IF(AND(Table1[[#This Row],[Chuffed MZ2 Cost]]=Table1[[#This Row],[ORTools FZN2 Cost]],Table1[[#This Row],[ORTools FZN2 State]]="Optimal",Table1[[#This Row],[Chuffed MZ2 State]]="Suboptimal"),1,"")</f>
        <v/>
      </c>
      <c r="R171" s="6" t="s">
        <v>25</v>
      </c>
      <c r="S171" s="4">
        <v>65693</v>
      </c>
      <c r="T171" s="4">
        <v>4.1049999999995599</v>
      </c>
      <c r="U171" s="4"/>
      <c r="V171" s="5" t="s">
        <v>25</v>
      </c>
      <c r="W171" s="2">
        <v>65693</v>
      </c>
      <c r="X171" s="2">
        <v>12.658887699999999</v>
      </c>
      <c r="Y171" s="2" t="str">
        <f>IF(AND(Table1[[#This Row],[ORTools FZN1 Cost]]=Table1[[#This Row],[ORTools FZN2 Cost]],Table1[[#This Row],[ORTools FZN2 State]]="Optimal",Table1[[#This Row],[ORTools FZN1 State]]="Suboptimal"),1,"")</f>
        <v/>
      </c>
      <c r="Z171" s="5" t="s">
        <v>25</v>
      </c>
      <c r="AA171" s="2">
        <v>65693</v>
      </c>
      <c r="AB171" s="2">
        <v>9.8418571999999998</v>
      </c>
      <c r="AC171" s="12" t="s">
        <v>26</v>
      </c>
      <c r="AD171" s="12">
        <v>65693</v>
      </c>
      <c r="AE171" s="12">
        <v>300.08422109999998</v>
      </c>
      <c r="AF171" s="2">
        <f>IF(AND(Table1[[#This Row],[Cplex MB Cost]]=Table1[[#This Row],[ORTools FZN2 Cost]],Table1[[#This Row],[ORTools FZN2 State]]="Optimal",Table1[[#This Row],[Cplex MB State]]="Suboptimal"),1,"")</f>
        <v>1</v>
      </c>
      <c r="AG171" s="4">
        <f>IF(AND(AC171="Optimal",AD171&lt;&gt;AA171,Table1[[#This Row],[Example]]&lt;&gt;"R001",Table1[[#This Row],[Example]]&lt;&gt;"R002"),AD171-AA171,)</f>
        <v>0</v>
      </c>
      <c r="AH171" s="5" t="s">
        <v>42</v>
      </c>
      <c r="AI171" s="2">
        <v>-65641</v>
      </c>
      <c r="AJ171" s="2">
        <v>305.17408110000002</v>
      </c>
      <c r="AK171" s="2" t="str">
        <f>IF(AND(Table1[[#This Row],[Cplex MD Cost]]=Table1[[#This Row],[ORTools FZN2 Cost]],Table1[[#This Row],[ORTools FZN2 State]]="Optimal",Table1[[#This Row],[Cplex MD State]]="Suboptimal"),1,"")</f>
        <v/>
      </c>
      <c r="AL171" s="4">
        <f>IF(AND(AH171="Optimal",AI171&lt;&gt;AA171,Table1[[#This Row],[Example]]&lt;&gt;"R001",Table1[[#This Row],[Example]]&lt;&gt;"R002"),AI171-AA171,)</f>
        <v>0</v>
      </c>
      <c r="AM171" s="39" t="s">
        <v>26</v>
      </c>
      <c r="AN171" s="39">
        <v>193774</v>
      </c>
      <c r="AO171" s="2">
        <v>300.06585760000002</v>
      </c>
      <c r="AP17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1" s="2" t="str">
        <f>IF(AND(Table1[[#This Row],[Cplex MI Cost]]=Table1[[#This Row],[ORTools FZN2 Cost]],Table1[[#This Row],[ORTools FZN2 State]]="Optimal",Table1[[#This Row],[Cplex MI State]]="Suboptimal"),1,"")</f>
        <v/>
      </c>
      <c r="AR171" s="5" t="s">
        <v>42</v>
      </c>
      <c r="AS171" s="2">
        <v>-65641</v>
      </c>
      <c r="AT171" s="2">
        <v>300.0518313</v>
      </c>
      <c r="AU171" s="2" t="str">
        <f>IF(AND(Table1[[#This Row],[Z3 SMT2-1 Maxres Cost]]=Table1[[#This Row],[ORTools FZN2 Cost]],Table1[[#This Row],[ORTools FZN2 State]]="Optimal"),1,"")</f>
        <v/>
      </c>
      <c r="AV171" s="39" t="s">
        <v>42</v>
      </c>
      <c r="AW171" s="39">
        <v>-65641</v>
      </c>
      <c r="AX171" s="2">
        <v>300.05547250000001</v>
      </c>
      <c r="AY171" s="2" t="str">
        <f>IF(AND(Table1[[#This Row],[Z3 SMT2-1 PdMaxres Cost]]=Table1[[#This Row],[ORTools FZN2 Cost]],Table1[[#This Row],[ORTools FZN2 State]]="Optimal"),1,"")</f>
        <v/>
      </c>
      <c r="AZ171" s="5" t="s">
        <v>42</v>
      </c>
      <c r="BA171" s="2">
        <v>-65641</v>
      </c>
      <c r="BB171" s="39">
        <v>300.06618909999997</v>
      </c>
      <c r="BC171" s="39" t="str">
        <f>IF(AND(Table1[[#This Row],[Z3 SMT2-1 WMax Cost]]=Table1[[#This Row],[ORTools FZN2 Cost]],Table1[[#This Row],[ORTools FZN2 State]]="Optimal"),1,"")</f>
        <v/>
      </c>
      <c r="BD171" s="39" t="s">
        <v>42</v>
      </c>
      <c r="BE171" s="39">
        <v>-65641</v>
      </c>
      <c r="BF171" s="2">
        <v>300.04955990000002</v>
      </c>
      <c r="BG171" s="2" t="str">
        <f>IF(AND(Table1[[#This Row],[Z3 SMT2-2 Maxres Cost]]=Table1[[#This Row],[ORTools FZN2 Cost]],Table1[[#This Row],[ORTools FZN2 State]]="Optimal"),1,"")</f>
        <v/>
      </c>
      <c r="BH171" s="5" t="s">
        <v>42</v>
      </c>
      <c r="BI171" s="2">
        <v>-65641</v>
      </c>
      <c r="BJ171" s="39">
        <v>300.05684439999999</v>
      </c>
      <c r="BK171" s="39" t="str">
        <f>IF(AND(Table1[[#This Row],[Z3 SMT2-2 PdMaxres Cost]]=Table1[[#This Row],[ORTools FZN2 Cost]],Table1[[#This Row],[ORTools FZN2 State]]="Optimal"),1,"")</f>
        <v/>
      </c>
      <c r="BL171" s="39" t="s">
        <v>42</v>
      </c>
      <c r="BM171" s="39">
        <v>-65641</v>
      </c>
      <c r="BN171" s="2">
        <v>300.04501199999999</v>
      </c>
      <c r="BO171" s="4" t="str">
        <f>IF(AND(Table1[[#This Row],[Z3 SMT2-2 PdMaxres Cost]]=Table1[[#This Row],[ORTools FZN2 Cost]],Table1[[#This Row],[ORTools FZN2 State]]="Optimal"),1,"")</f>
        <v/>
      </c>
      <c r="BP171" s="5" t="s">
        <v>25</v>
      </c>
      <c r="BQ171" s="2">
        <v>65693</v>
      </c>
      <c r="BR171" s="2">
        <v>130.7042749</v>
      </c>
      <c r="BS171" s="2" t="str">
        <f>IF(AND(Table1[[#This Row],[Gurobi MB Cost]]=Table1[[#This Row],[ORTools FZN2 Cost]],Table1[[#This Row],[ORTools FZN2 State]]="Optimal",Table1[[#This Row],[Gurobi MB State]]="Suboptimal"),1,"")</f>
        <v/>
      </c>
      <c r="BT17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1" s="12" t="s">
        <v>26</v>
      </c>
      <c r="BV171" s="12">
        <v>65693</v>
      </c>
      <c r="BW171" s="12">
        <v>300.09691809999998</v>
      </c>
      <c r="BX171" s="2">
        <f>IF(AND(Table1[[#This Row],[Gurobi MD Cost]]=Table1[[#This Row],[ORTools FZN2 Cost]],Table1[[#This Row],[ORTools FZN2 State]]="Optimal",Table1[[#This Row],[Gurobi MD State]]="Suboptimal"),1,"")</f>
        <v>1</v>
      </c>
      <c r="BY17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1" s="5" t="s">
        <v>25</v>
      </c>
      <c r="CA171" s="2">
        <v>65693</v>
      </c>
      <c r="CB171" s="2">
        <v>78.335270699999995</v>
      </c>
      <c r="CC171" s="2" t="str">
        <f>IF(AND(Table1[[#This Row],[Gurobi MI Cost]]=Table1[[#This Row],[ORTools FZN2 Cost]],Table1[[#This Row],[ORTools FZN2 State]]="Optimal",Table1[[#This Row],[Gurobi MI State]]="Suboptimal"),1,"")</f>
        <v/>
      </c>
      <c r="CD17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1" s="39" t="s">
        <v>42</v>
      </c>
      <c r="CF171" s="2">
        <v>-65641</v>
      </c>
      <c r="CG171" s="39">
        <v>306.08483749999999</v>
      </c>
      <c r="CH171" s="39" t="s">
        <v>42</v>
      </c>
      <c r="CI171" s="39">
        <v>-65641</v>
      </c>
      <c r="CJ171" s="2">
        <v>306.0562061</v>
      </c>
      <c r="CK171" s="5" t="s">
        <v>25</v>
      </c>
      <c r="CL171" s="2">
        <v>65693</v>
      </c>
      <c r="CM171" s="2">
        <v>10.3469999999979</v>
      </c>
      <c r="CN171" s="5" t="s">
        <v>26</v>
      </c>
      <c r="CO171" s="2">
        <v>780169</v>
      </c>
      <c r="CP171" s="2">
        <v>301.4847436</v>
      </c>
      <c r="CQ171" s="5" t="s">
        <v>25</v>
      </c>
      <c r="CR171" s="2">
        <v>65693</v>
      </c>
      <c r="CS171" s="2">
        <v>15.0068532</v>
      </c>
      <c r="CT171" s="6" t="s">
        <v>25</v>
      </c>
      <c r="CU171" s="4">
        <v>65693</v>
      </c>
      <c r="CV171" s="4">
        <v>12.092491900000001</v>
      </c>
      <c r="CW171" s="39" t="s">
        <v>26</v>
      </c>
      <c r="CX171" s="39">
        <v>259936</v>
      </c>
      <c r="CY171" s="2">
        <v>300.01220000000001</v>
      </c>
      <c r="CZ171" s="2" t="str">
        <f>IF(AND(Table1[[#This Row],[Cplex MZ1 Cost]]=Table1[[#This Row],[ORTools FZN2 Cost]],Table1[[#This Row],[ORTools FZN2 State]]="Optimal",Table1[[#This Row],[Cplex MZ1 State]]="Suboptimal"),1,"")</f>
        <v/>
      </c>
      <c r="DA171" s="5" t="s">
        <v>26</v>
      </c>
      <c r="DB171" s="2">
        <v>129691</v>
      </c>
      <c r="DC171" s="2">
        <v>300.01310000000001</v>
      </c>
      <c r="DD171" s="2" t="str">
        <f>IF(AND(Table1[[#This Row],[Cplex MZ2 Cost]]=Table1[[#This Row],[ORTools FZN2 Cost]],Table1[[#This Row],[ORTools FZN2 State]]="Optimal",Table1[[#This Row],[Cplex MZ2 State]]="Suboptimal"),1,"")</f>
        <v/>
      </c>
      <c r="DE171" s="39" t="s">
        <v>42</v>
      </c>
      <c r="DF171" s="39"/>
      <c r="DG171" s="2">
        <v>300.06849999999997</v>
      </c>
      <c r="DH171" s="2" t="str">
        <f>IF(AND(Table1[[#This Row],[Gurobi MZ1 Cost]]=Table1[[#This Row],[ORTools FZN2 Cost]],Table1[[#This Row],[ORTools FZN2 State]]="Optimal",Table1[[#This Row],[Gurobi MZ1 State]]="Suboptimal"),1,"")</f>
        <v/>
      </c>
      <c r="DI171" s="5" t="s">
        <v>26</v>
      </c>
      <c r="DJ171" s="2">
        <v>325214</v>
      </c>
      <c r="DK171" s="2">
        <v>300.01400000000001</v>
      </c>
      <c r="DL171" s="4" t="str">
        <f>IF(AND(Table1[[#This Row],[Gurobi MZ2 Cost]]=Table1[[#This Row],[ORTools FZN2 Cost]],Table1[[#This Row],[ORTools FZN2 State]]="Optimal",Table1[[#This Row],[Gurobi MZ2 State]]="Suboptimal"),1,"")</f>
        <v/>
      </c>
      <c r="DM171" s="39" t="s">
        <v>25</v>
      </c>
      <c r="DN171" s="39">
        <v>65693</v>
      </c>
      <c r="DO171" s="65">
        <v>270.60299999999899</v>
      </c>
      <c r="DP171" s="4" t="str">
        <f>IF(AND(Table1[[#This Row],[Cplex MC nonDual Cost]]=Table1[[#This Row],[ORTools FZN2 Cost]],Table1[[#This Row],[ORTools FZN2 State]]="Optimal",Table1[[#This Row],[Cplex MC nonDual State]]="Suboptimal"),1,"")</f>
        <v/>
      </c>
      <c r="DQ171" s="5" t="s">
        <v>26</v>
      </c>
      <c r="DR171" s="2">
        <v>193934</v>
      </c>
      <c r="DS171" s="2">
        <v>300.0145</v>
      </c>
      <c r="DT171" s="2" t="str">
        <f>IF(AND(Table1[[#This Row],[Cplex MIP DM''z Cost]]=Table1[[#This Row],[ORTools FZN2 Cost]],Table1[[#This Row],[ORTools FZN2 State]]="Optimal",Table1[[#This Row],[Cplex MIP DM''z  State]]="Suboptimal"),1,"")</f>
        <v/>
      </c>
      <c r="DU17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1" s="5" t="s">
        <v>26</v>
      </c>
      <c r="DW171" s="2">
        <v>261009</v>
      </c>
      <c r="DX171" s="2">
        <v>299.99610000000001</v>
      </c>
      <c r="DY171" s="4" t="str">
        <f>IF(AND(Table1[[#This Row],[Gurobi DM''z  Cost]]=Table1[[#This Row],[ORTools FZN2 Cost]],Table1[[#This Row],[ORTools FZN2 State]]="Optimal",Table1[[#This Row],[Gurobi DM''z  State]]="Suboptimal"),1,"")</f>
        <v/>
      </c>
      <c r="DZ17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2" spans="1:130" ht="15.75" x14ac:dyDescent="0.25">
      <c r="A172" s="46" t="s">
        <v>198</v>
      </c>
      <c r="B172" s="5">
        <v>60</v>
      </c>
      <c r="C172" s="2">
        <v>30</v>
      </c>
      <c r="D172" s="5">
        <v>486</v>
      </c>
      <c r="E172" s="2">
        <v>39</v>
      </c>
      <c r="F172" s="5">
        <v>34</v>
      </c>
      <c r="G172" s="2">
        <v>0</v>
      </c>
      <c r="H172" s="4">
        <f t="shared" si="2"/>
        <v>0</v>
      </c>
      <c r="I172" s="4">
        <f>Table1[[#This Row],[B]]+Table1[[#This Row],[Atomic Constraints]]+Table1[[#This Row],[Soft Atomic Constraints]]+Table1[[#This Row],[Disjunctive Constraints]]+Table1[[#This Row],[Direct Successors]]</f>
        <v>589</v>
      </c>
      <c r="J172" s="5" t="s">
        <v>26</v>
      </c>
      <c r="K172" s="2">
        <v>5474176</v>
      </c>
      <c r="L172" s="2">
        <v>302.63455679999998</v>
      </c>
      <c r="M172" s="2" t="str">
        <f>IF(AND(Table1[[#This Row],[Chuffed MZ1 Cost]]=Table1[[#This Row],[ORTools FZN2 Cost]],Table1[[#This Row],[ORTools FZN2 State]]="Optimal",Table1[[#This Row],[Chuffed MZ1 State]]="Suboptimal"),1,"")</f>
        <v/>
      </c>
      <c r="N172" s="5" t="s">
        <v>26</v>
      </c>
      <c r="O172" s="2">
        <v>5024485</v>
      </c>
      <c r="P172" s="2">
        <v>302.59332810000001</v>
      </c>
      <c r="Q172" s="2" t="str">
        <f>IF(AND(Table1[[#This Row],[Chuffed MZ2 Cost]]=Table1[[#This Row],[ORTools FZN2 Cost]],Table1[[#This Row],[ORTools FZN2 State]]="Optimal",Table1[[#This Row],[Chuffed MZ2 State]]="Suboptimal"),1,"")</f>
        <v/>
      </c>
      <c r="R172" s="6" t="s">
        <v>25</v>
      </c>
      <c r="S172" s="4">
        <v>1091345</v>
      </c>
      <c r="T172" s="4">
        <v>22.162000000000301</v>
      </c>
      <c r="U172" s="4"/>
      <c r="V172" s="5" t="s">
        <v>25</v>
      </c>
      <c r="W172" s="2">
        <v>1091345</v>
      </c>
      <c r="X172" s="2">
        <v>50.736603100000004</v>
      </c>
      <c r="Y172" s="2" t="str">
        <f>IF(AND(Table1[[#This Row],[ORTools FZN1 Cost]]=Table1[[#This Row],[ORTools FZN2 Cost]],Table1[[#This Row],[ORTools FZN2 State]]="Optimal",Table1[[#This Row],[ORTools FZN1 State]]="Suboptimal"),1,"")</f>
        <v/>
      </c>
      <c r="Z172" s="5" t="s">
        <v>25</v>
      </c>
      <c r="AA172" s="2">
        <v>1091345</v>
      </c>
      <c r="AB172" s="2">
        <v>35.165376899999998</v>
      </c>
      <c r="AC172" s="39" t="s">
        <v>42</v>
      </c>
      <c r="AD172" s="39">
        <v>-219661</v>
      </c>
      <c r="AE172" s="2">
        <v>300.15255180000003</v>
      </c>
      <c r="AF172" s="2" t="str">
        <f>IF(AND(Table1[[#This Row],[Cplex MB Cost]]=Table1[[#This Row],[ORTools FZN2 Cost]],Table1[[#This Row],[ORTools FZN2 State]]="Optimal",Table1[[#This Row],[Cplex MB State]]="Suboptimal"),1,"")</f>
        <v/>
      </c>
      <c r="AG172" s="4">
        <f>IF(AND(AC172="Optimal",AD172&lt;&gt;AA172,Table1[[#This Row],[Example]]&lt;&gt;"R001",Table1[[#This Row],[Example]]&lt;&gt;"R002"),AD172-AA172,)</f>
        <v>0</v>
      </c>
      <c r="AH172" s="5" t="s">
        <v>42</v>
      </c>
      <c r="AI172" s="2">
        <v>-219661</v>
      </c>
      <c r="AJ172" s="2">
        <v>300.43051079999998</v>
      </c>
      <c r="AK172" s="2" t="str">
        <f>IF(AND(Table1[[#This Row],[Cplex MD Cost]]=Table1[[#This Row],[ORTools FZN2 Cost]],Table1[[#This Row],[ORTools FZN2 State]]="Optimal",Table1[[#This Row],[Cplex MD State]]="Suboptimal"),1,"")</f>
        <v/>
      </c>
      <c r="AL172" s="4">
        <f>IF(AND(AH172="Optimal",AI172&lt;&gt;AA172,Table1[[#This Row],[Example]]&lt;&gt;"R001",Table1[[#This Row],[Example]]&lt;&gt;"R002"),AI172-AA172,)</f>
        <v>0</v>
      </c>
      <c r="AM172" s="39" t="s">
        <v>51</v>
      </c>
      <c r="AN172" s="39">
        <v>-219661</v>
      </c>
      <c r="AO172" s="2">
        <v>32.371721999999998</v>
      </c>
      <c r="AP172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2" s="2" t="str">
        <f>IF(AND(Table1[[#This Row],[Cplex MI Cost]]=Table1[[#This Row],[ORTools FZN2 Cost]],Table1[[#This Row],[ORTools FZN2 State]]="Optimal",Table1[[#This Row],[Cplex MI State]]="Suboptimal"),1,"")</f>
        <v/>
      </c>
      <c r="AR172" s="5" t="s">
        <v>42</v>
      </c>
      <c r="AS172" s="2">
        <v>-219661</v>
      </c>
      <c r="AT172" s="2">
        <v>300.07708719999999</v>
      </c>
      <c r="AU172" s="2" t="str">
        <f>IF(AND(Table1[[#This Row],[Z3 SMT2-1 Maxres Cost]]=Table1[[#This Row],[ORTools FZN2 Cost]],Table1[[#This Row],[ORTools FZN2 State]]="Optimal"),1,"")</f>
        <v/>
      </c>
      <c r="AV172" s="39" t="s">
        <v>42</v>
      </c>
      <c r="AW172" s="39">
        <v>-219661</v>
      </c>
      <c r="AX172" s="2">
        <v>300.0686493</v>
      </c>
      <c r="AY172" s="2" t="str">
        <f>IF(AND(Table1[[#This Row],[Z3 SMT2-1 PdMaxres Cost]]=Table1[[#This Row],[ORTools FZN2 Cost]],Table1[[#This Row],[ORTools FZN2 State]]="Optimal"),1,"")</f>
        <v/>
      </c>
      <c r="AZ172" s="5" t="s">
        <v>42</v>
      </c>
      <c r="BA172" s="2">
        <v>-219661</v>
      </c>
      <c r="BB172" s="39">
        <v>300.07127960000003</v>
      </c>
      <c r="BC172" s="39" t="str">
        <f>IF(AND(Table1[[#This Row],[Z3 SMT2-1 WMax Cost]]=Table1[[#This Row],[ORTools FZN2 Cost]],Table1[[#This Row],[ORTools FZN2 State]]="Optimal"),1,"")</f>
        <v/>
      </c>
      <c r="BD172" s="39" t="s">
        <v>42</v>
      </c>
      <c r="BE172" s="39">
        <v>-219661</v>
      </c>
      <c r="BF172" s="2">
        <v>300.0540542</v>
      </c>
      <c r="BG172" s="2" t="str">
        <f>IF(AND(Table1[[#This Row],[Z3 SMT2-2 Maxres Cost]]=Table1[[#This Row],[ORTools FZN2 Cost]],Table1[[#This Row],[ORTools FZN2 State]]="Optimal"),1,"")</f>
        <v/>
      </c>
      <c r="BH172" s="5" t="s">
        <v>42</v>
      </c>
      <c r="BI172" s="2">
        <v>-219661</v>
      </c>
      <c r="BJ172" s="39">
        <v>300.05158260000002</v>
      </c>
      <c r="BK172" s="39" t="str">
        <f>IF(AND(Table1[[#This Row],[Z3 SMT2-2 PdMaxres Cost]]=Table1[[#This Row],[ORTools FZN2 Cost]],Table1[[#This Row],[ORTools FZN2 State]]="Optimal"),1,"")</f>
        <v/>
      </c>
      <c r="BL172" s="39" t="s">
        <v>42</v>
      </c>
      <c r="BM172" s="39">
        <v>-219661</v>
      </c>
      <c r="BN172" s="2">
        <v>300.0603557</v>
      </c>
      <c r="BO172" s="4" t="str">
        <f>IF(AND(Table1[[#This Row],[Z3 SMT2-2 PdMaxres Cost]]=Table1[[#This Row],[ORTools FZN2 Cost]],Table1[[#This Row],[ORTools FZN2 State]]="Optimal"),1,"")</f>
        <v/>
      </c>
      <c r="BP172" s="5" t="s">
        <v>42</v>
      </c>
      <c r="BQ172" s="2">
        <v>-219661</v>
      </c>
      <c r="BR172" s="2">
        <v>300.10566920000002</v>
      </c>
      <c r="BS172" s="2" t="str">
        <f>IF(AND(Table1[[#This Row],[Gurobi MB Cost]]=Table1[[#This Row],[ORTools FZN2 Cost]],Table1[[#This Row],[ORTools FZN2 State]]="Optimal",Table1[[#This Row],[Gurobi MB State]]="Suboptimal"),1,"")</f>
        <v/>
      </c>
      <c r="BT17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2" s="5" t="s">
        <v>42</v>
      </c>
      <c r="BV172" s="2">
        <v>-219661</v>
      </c>
      <c r="BW172" s="2">
        <v>300.13586629999998</v>
      </c>
      <c r="BX172" s="2" t="str">
        <f>IF(AND(Table1[[#This Row],[Gurobi MD Cost]]=Table1[[#This Row],[ORTools FZN2 Cost]],Table1[[#This Row],[ORTools FZN2 State]]="Optimal",Table1[[#This Row],[Gurobi MD State]]="Suboptimal"),1,"")</f>
        <v/>
      </c>
      <c r="BY17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2" s="5" t="s">
        <v>42</v>
      </c>
      <c r="CA172" s="2">
        <v>-219661</v>
      </c>
      <c r="CB172" s="2">
        <v>300.25315380000001</v>
      </c>
      <c r="CC172" s="2" t="str">
        <f>IF(AND(Table1[[#This Row],[Gurobi MI Cost]]=Table1[[#This Row],[ORTools FZN2 Cost]],Table1[[#This Row],[ORTools FZN2 State]]="Optimal",Table1[[#This Row],[Gurobi MI State]]="Suboptimal"),1,"")</f>
        <v/>
      </c>
      <c r="CD17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2" s="39" t="s">
        <v>42</v>
      </c>
      <c r="CF172" s="2">
        <v>-219661</v>
      </c>
      <c r="CG172" s="39">
        <v>306.18094930000001</v>
      </c>
      <c r="CH172" s="39" t="s">
        <v>42</v>
      </c>
      <c r="CI172" s="39">
        <v>-219661</v>
      </c>
      <c r="CJ172" s="2">
        <v>306.18297480000001</v>
      </c>
      <c r="CK172" s="5" t="s">
        <v>25</v>
      </c>
      <c r="CL172" s="2">
        <v>1091345</v>
      </c>
      <c r="CM172" s="2">
        <v>49.369999999999003</v>
      </c>
      <c r="CN172" s="5" t="s">
        <v>26</v>
      </c>
      <c r="CO172" s="2">
        <v>5899760</v>
      </c>
      <c r="CP172" s="2">
        <v>302.55549500000001</v>
      </c>
      <c r="CQ172" s="5" t="s">
        <v>25</v>
      </c>
      <c r="CR172" s="2">
        <v>1091345</v>
      </c>
      <c r="CS172" s="2">
        <v>73.699930300000005</v>
      </c>
      <c r="CT172" s="6" t="s">
        <v>25</v>
      </c>
      <c r="CU172" s="4">
        <v>1091345</v>
      </c>
      <c r="CV172" s="4">
        <v>32.366133699999999</v>
      </c>
      <c r="CW172" s="39" t="s">
        <v>26</v>
      </c>
      <c r="CX172" s="39">
        <v>3687912</v>
      </c>
      <c r="CY172" s="2">
        <v>300.02550000000002</v>
      </c>
      <c r="CZ172" s="2" t="str">
        <f>IF(AND(Table1[[#This Row],[Cplex MZ1 Cost]]=Table1[[#This Row],[ORTools FZN2 Cost]],Table1[[#This Row],[ORTools FZN2 State]]="Optimal",Table1[[#This Row],[Cplex MZ1 State]]="Suboptimal"),1,"")</f>
        <v/>
      </c>
      <c r="DA172" s="5" t="s">
        <v>26</v>
      </c>
      <c r="DB172" s="2">
        <v>3914592</v>
      </c>
      <c r="DC172" s="2">
        <v>300.03019999999998</v>
      </c>
      <c r="DD172" s="2" t="str">
        <f>IF(AND(Table1[[#This Row],[Cplex MZ2 Cost]]=Table1[[#This Row],[ORTools FZN2 Cost]],Table1[[#This Row],[ORTools FZN2 State]]="Optimal",Table1[[#This Row],[Cplex MZ2 State]]="Suboptimal"),1,"")</f>
        <v/>
      </c>
      <c r="DE172" s="39" t="s">
        <v>42</v>
      </c>
      <c r="DF172" s="39"/>
      <c r="DG172" s="2">
        <v>300.0471</v>
      </c>
      <c r="DH172" s="2" t="str">
        <f>IF(AND(Table1[[#This Row],[Gurobi MZ1 Cost]]=Table1[[#This Row],[ORTools FZN2 Cost]],Table1[[#This Row],[ORTools FZN2 State]]="Optimal",Table1[[#This Row],[Gurobi MZ1 State]]="Suboptimal"),1,"")</f>
        <v/>
      </c>
      <c r="DI172" s="5" t="s">
        <v>42</v>
      </c>
      <c r="DJ172" s="2"/>
      <c r="DK172" s="2">
        <v>300.00650000000002</v>
      </c>
      <c r="DL172" s="4" t="str">
        <f>IF(AND(Table1[[#This Row],[Gurobi MZ2 Cost]]=Table1[[#This Row],[ORTools FZN2 Cost]],Table1[[#This Row],[ORTools FZN2 State]]="Optimal",Table1[[#This Row],[Gurobi MZ2 State]]="Suboptimal"),1,"")</f>
        <v/>
      </c>
      <c r="DM172" s="39" t="s">
        <v>26</v>
      </c>
      <c r="DN172" s="12">
        <v>1091345</v>
      </c>
      <c r="DO172" s="69">
        <v>300.098999999998</v>
      </c>
      <c r="DP172" s="11">
        <f>IF(AND(Table1[[#This Row],[Cplex MC nonDual Cost]]=Table1[[#This Row],[ORTools FZN2 Cost]],Table1[[#This Row],[ORTools FZN2 State]]="Optimal",Table1[[#This Row],[Cplex MC nonDual State]]="Suboptimal"),1,"")</f>
        <v>1</v>
      </c>
      <c r="DQ172" s="5" t="s">
        <v>26</v>
      </c>
      <c r="DR172" s="2">
        <v>3042612</v>
      </c>
      <c r="DS172" s="2">
        <v>300.01960000000003</v>
      </c>
      <c r="DT172" s="2" t="str">
        <f>IF(AND(Table1[[#This Row],[Cplex MIP DM''z Cost]]=Table1[[#This Row],[ORTools FZN2 Cost]],Table1[[#This Row],[ORTools FZN2 State]]="Optimal",Table1[[#This Row],[Cplex MIP DM''z  State]]="Suboptimal"),1,"")</f>
        <v/>
      </c>
      <c r="DU17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2" s="5" t="s">
        <v>42</v>
      </c>
      <c r="DW172" s="2"/>
      <c r="DX172" s="2">
        <v>300.32339999999999</v>
      </c>
      <c r="DY172" s="4" t="str">
        <f>IF(AND(Table1[[#This Row],[Gurobi DM''z  Cost]]=Table1[[#This Row],[ORTools FZN2 Cost]],Table1[[#This Row],[ORTools FZN2 State]]="Optimal",Table1[[#This Row],[Gurobi DM''z  State]]="Suboptimal"),1,"")</f>
        <v/>
      </c>
      <c r="DZ17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3" spans="1:130" ht="15.75" x14ac:dyDescent="0.25">
      <c r="A173" s="47" t="s">
        <v>199</v>
      </c>
      <c r="B173" s="5">
        <v>64</v>
      </c>
      <c r="C173" s="2">
        <v>32</v>
      </c>
      <c r="D173" s="5">
        <v>566</v>
      </c>
      <c r="E173" s="2">
        <v>42</v>
      </c>
      <c r="F173" s="5">
        <v>42</v>
      </c>
      <c r="G173" s="2">
        <v>0</v>
      </c>
      <c r="H173" s="4">
        <f t="shared" si="2"/>
        <v>0</v>
      </c>
      <c r="I173" s="4">
        <f>Table1[[#This Row],[B]]+Table1[[#This Row],[Atomic Constraints]]+Table1[[#This Row],[Soft Atomic Constraints]]+Table1[[#This Row],[Disjunctive Constraints]]+Table1[[#This Row],[Direct Successors]]</f>
        <v>682</v>
      </c>
      <c r="J173" s="5" t="s">
        <v>26</v>
      </c>
      <c r="K173" s="2">
        <v>7387537</v>
      </c>
      <c r="L173" s="2">
        <v>302.92046360000001</v>
      </c>
      <c r="M173" s="2" t="str">
        <f>IF(AND(Table1[[#This Row],[Chuffed MZ1 Cost]]=Table1[[#This Row],[ORTools FZN2 Cost]],Table1[[#This Row],[ORTools FZN2 State]]="Optimal",Table1[[#This Row],[Chuffed MZ1 State]]="Suboptimal"),1,"")</f>
        <v/>
      </c>
      <c r="N173" s="5" t="s">
        <v>26</v>
      </c>
      <c r="O173" s="2">
        <v>7977870</v>
      </c>
      <c r="P173" s="2">
        <v>302.90758140000003</v>
      </c>
      <c r="Q173" s="2" t="str">
        <f>IF(AND(Table1[[#This Row],[Chuffed MZ2 Cost]]=Table1[[#This Row],[ORTools FZN2 Cost]],Table1[[#This Row],[ORTools FZN2 State]]="Optimal",Table1[[#This Row],[Chuffed MZ2 State]]="Suboptimal"),1,"")</f>
        <v/>
      </c>
      <c r="R173" s="6" t="s">
        <v>25</v>
      </c>
      <c r="S173" s="4">
        <v>1323908</v>
      </c>
      <c r="T173" s="4">
        <v>47.993999999998799</v>
      </c>
      <c r="U173" s="4"/>
      <c r="V173" s="5" t="s">
        <v>25</v>
      </c>
      <c r="W173" s="2">
        <v>1323908</v>
      </c>
      <c r="X173" s="2">
        <v>67.509503899999999</v>
      </c>
      <c r="Y173" s="2" t="str">
        <f>IF(AND(Table1[[#This Row],[ORTools FZN1 Cost]]=Table1[[#This Row],[ORTools FZN2 Cost]],Table1[[#This Row],[ORTools FZN2 State]]="Optimal",Table1[[#This Row],[ORTools FZN1 State]]="Suboptimal"),1,"")</f>
        <v/>
      </c>
      <c r="Z173" s="5" t="s">
        <v>25</v>
      </c>
      <c r="AA173" s="2">
        <v>1323908</v>
      </c>
      <c r="AB173" s="2">
        <v>73.667025199999998</v>
      </c>
      <c r="AC173" s="39" t="s">
        <v>42</v>
      </c>
      <c r="AD173" s="39">
        <v>-266305</v>
      </c>
      <c r="AE173" s="2">
        <v>300.16557139999998</v>
      </c>
      <c r="AF173" s="2" t="str">
        <f>IF(AND(Table1[[#This Row],[Cplex MB Cost]]=Table1[[#This Row],[ORTools FZN2 Cost]],Table1[[#This Row],[ORTools FZN2 State]]="Optimal",Table1[[#This Row],[Cplex MB State]]="Suboptimal"),1,"")</f>
        <v/>
      </c>
      <c r="AG173" s="4">
        <f>IF(AND(AC173="Optimal",AD173&lt;&gt;AA173,Table1[[#This Row],[Example]]&lt;&gt;"R001",Table1[[#This Row],[Example]]&lt;&gt;"R002"),AD173-AA173,)</f>
        <v>0</v>
      </c>
      <c r="AH173" s="5" t="s">
        <v>42</v>
      </c>
      <c r="AI173" s="2">
        <v>-266305</v>
      </c>
      <c r="AJ173" s="2">
        <v>300.40280519999999</v>
      </c>
      <c r="AK173" s="2" t="str">
        <f>IF(AND(Table1[[#This Row],[Cplex MD Cost]]=Table1[[#This Row],[ORTools FZN2 Cost]],Table1[[#This Row],[ORTools FZN2 State]]="Optimal",Table1[[#This Row],[Cplex MD State]]="Suboptimal"),1,"")</f>
        <v/>
      </c>
      <c r="AL173" s="4">
        <f>IF(AND(AH173="Optimal",AI173&lt;&gt;AA173,Table1[[#This Row],[Example]]&lt;&gt;"R001",Table1[[#This Row],[Example]]&lt;&gt;"R002"),AI173-AA173,)</f>
        <v>0</v>
      </c>
      <c r="AM173" s="39" t="s">
        <v>26</v>
      </c>
      <c r="AN173" s="39">
        <v>7641107</v>
      </c>
      <c r="AO173" s="2">
        <v>300.11215870000001</v>
      </c>
      <c r="AP17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3" s="4" t="str">
        <f>IF(AND(Table1[[#This Row],[Cplex MI Cost]]=Table1[[#This Row],[ORTools FZN2 Cost]],Table1[[#This Row],[ORTools FZN2 State]]="Optimal",Table1[[#This Row],[Cplex MI State]]="Suboptimal"),1,"")</f>
        <v/>
      </c>
      <c r="AR173" s="5" t="s">
        <v>42</v>
      </c>
      <c r="AS173" s="2">
        <v>-266305</v>
      </c>
      <c r="AT173" s="2">
        <v>300.06539629999997</v>
      </c>
      <c r="AU173" s="2" t="str">
        <f>IF(AND(Table1[[#This Row],[Z3 SMT2-1 Maxres Cost]]=Table1[[#This Row],[ORTools FZN2 Cost]],Table1[[#This Row],[ORTools FZN2 State]]="Optimal"),1,"")</f>
        <v/>
      </c>
      <c r="AV173" s="39" t="s">
        <v>42</v>
      </c>
      <c r="AW173" s="39">
        <v>-266305</v>
      </c>
      <c r="AX173" s="2">
        <v>300.06896239999998</v>
      </c>
      <c r="AY173" s="2" t="str">
        <f>IF(AND(Table1[[#This Row],[Z3 SMT2-1 PdMaxres Cost]]=Table1[[#This Row],[ORTools FZN2 Cost]],Table1[[#This Row],[ORTools FZN2 State]]="Optimal"),1,"")</f>
        <v/>
      </c>
      <c r="AZ173" s="5" t="s">
        <v>42</v>
      </c>
      <c r="BA173" s="2">
        <v>-266305</v>
      </c>
      <c r="BB173" s="39">
        <v>300.26275040000002</v>
      </c>
      <c r="BC173" s="39" t="str">
        <f>IF(AND(Table1[[#This Row],[Z3 SMT2-1 WMax Cost]]=Table1[[#This Row],[ORTools FZN2 Cost]],Table1[[#This Row],[ORTools FZN2 State]]="Optimal"),1,"")</f>
        <v/>
      </c>
      <c r="BD173" s="39" t="s">
        <v>42</v>
      </c>
      <c r="BE173" s="39">
        <v>-266305</v>
      </c>
      <c r="BF173" s="2">
        <v>300.0597459</v>
      </c>
      <c r="BG173" s="2" t="str">
        <f>IF(AND(Table1[[#This Row],[Z3 SMT2-2 Maxres Cost]]=Table1[[#This Row],[ORTools FZN2 Cost]],Table1[[#This Row],[ORTools FZN2 State]]="Optimal"),1,"")</f>
        <v/>
      </c>
      <c r="BH173" s="5" t="s">
        <v>42</v>
      </c>
      <c r="BI173" s="2">
        <v>-266305</v>
      </c>
      <c r="BJ173" s="39">
        <v>300.0617421</v>
      </c>
      <c r="BK173" s="39" t="str">
        <f>IF(AND(Table1[[#This Row],[Z3 SMT2-2 PdMaxres Cost]]=Table1[[#This Row],[ORTools FZN2 Cost]],Table1[[#This Row],[ORTools FZN2 State]]="Optimal"),1,"")</f>
        <v/>
      </c>
      <c r="BL173" s="39" t="s">
        <v>42</v>
      </c>
      <c r="BM173" s="39">
        <v>-266305</v>
      </c>
      <c r="BN173" s="2">
        <v>300.0599732</v>
      </c>
      <c r="BO173" s="4" t="str">
        <f>IF(AND(Table1[[#This Row],[Z3 SMT2-2 PdMaxres Cost]]=Table1[[#This Row],[ORTools FZN2 Cost]],Table1[[#This Row],[ORTools FZN2 State]]="Optimal"),1,"")</f>
        <v/>
      </c>
      <c r="BP173" s="5" t="s">
        <v>42</v>
      </c>
      <c r="BQ173" s="2">
        <v>-266305</v>
      </c>
      <c r="BR173" s="2">
        <v>300.2518829</v>
      </c>
      <c r="BS173" s="2" t="str">
        <f>IF(AND(Table1[[#This Row],[Gurobi MB Cost]]=Table1[[#This Row],[ORTools FZN2 Cost]],Table1[[#This Row],[ORTools FZN2 State]]="Optimal",Table1[[#This Row],[Gurobi MB State]]="Suboptimal"),1,"")</f>
        <v/>
      </c>
      <c r="BT17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3" s="5" t="s">
        <v>42</v>
      </c>
      <c r="BV173" s="2">
        <v>-266305</v>
      </c>
      <c r="BW173" s="2">
        <v>300.36149160000002</v>
      </c>
      <c r="BX173" s="2" t="str">
        <f>IF(AND(Table1[[#This Row],[Gurobi MD Cost]]=Table1[[#This Row],[ORTools FZN2 Cost]],Table1[[#This Row],[ORTools FZN2 State]]="Optimal",Table1[[#This Row],[Gurobi MD State]]="Suboptimal"),1,"")</f>
        <v/>
      </c>
      <c r="BY17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3" s="5" t="s">
        <v>42</v>
      </c>
      <c r="CA173" s="2">
        <v>-266305</v>
      </c>
      <c r="CB173" s="2">
        <v>300.16448129999998</v>
      </c>
      <c r="CC173" s="2" t="str">
        <f>IF(AND(Table1[[#This Row],[Gurobi MI Cost]]=Table1[[#This Row],[ORTools FZN2 Cost]],Table1[[#This Row],[ORTools FZN2 State]]="Optimal",Table1[[#This Row],[Gurobi MI State]]="Suboptimal"),1,"")</f>
        <v/>
      </c>
      <c r="CD17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3" s="39" t="s">
        <v>42</v>
      </c>
      <c r="CF173" s="2">
        <v>-266305</v>
      </c>
      <c r="CG173" s="39">
        <v>306.15328649999998</v>
      </c>
      <c r="CH173" s="39" t="s">
        <v>42</v>
      </c>
      <c r="CI173" s="39">
        <v>-266305</v>
      </c>
      <c r="CJ173" s="2">
        <v>306.19807800000001</v>
      </c>
      <c r="CK173" s="5" t="s">
        <v>25</v>
      </c>
      <c r="CL173" s="2">
        <v>1323908</v>
      </c>
      <c r="CM173" s="2">
        <v>176.561000000002</v>
      </c>
      <c r="CN173" s="5" t="s">
        <v>26</v>
      </c>
      <c r="CO173" s="2">
        <v>6351448</v>
      </c>
      <c r="CP173" s="2">
        <v>302.93052970000002</v>
      </c>
      <c r="CQ173" s="5" t="s">
        <v>25</v>
      </c>
      <c r="CR173" s="2">
        <v>1323908</v>
      </c>
      <c r="CS173" s="2">
        <v>90.647704300000001</v>
      </c>
      <c r="CT173" s="6" t="s">
        <v>25</v>
      </c>
      <c r="CU173" s="4">
        <v>1323908</v>
      </c>
      <c r="CV173" s="4">
        <v>34.271251499999998</v>
      </c>
      <c r="CW173" s="39" t="s">
        <v>26</v>
      </c>
      <c r="CX173" s="39">
        <v>2901899</v>
      </c>
      <c r="CY173" s="2">
        <v>300.14150000000001</v>
      </c>
      <c r="CZ173" s="2" t="str">
        <f>IF(AND(Table1[[#This Row],[Cplex MZ1 Cost]]=Table1[[#This Row],[ORTools FZN2 Cost]],Table1[[#This Row],[ORTools FZN2 State]]="Optimal",Table1[[#This Row],[Cplex MZ1 State]]="Suboptimal"),1,"")</f>
        <v/>
      </c>
      <c r="DA173" s="5" t="s">
        <v>26</v>
      </c>
      <c r="DB173" s="2">
        <v>5264908</v>
      </c>
      <c r="DC173" s="2">
        <v>300.02510000000001</v>
      </c>
      <c r="DD173" s="2" t="str">
        <f>IF(AND(Table1[[#This Row],[Cplex MZ2 Cost]]=Table1[[#This Row],[ORTools FZN2 Cost]],Table1[[#This Row],[ORTools FZN2 State]]="Optimal",Table1[[#This Row],[Cplex MZ2 State]]="Suboptimal"),1,"")</f>
        <v/>
      </c>
      <c r="DE173" s="39" t="s">
        <v>42</v>
      </c>
      <c r="DF173" s="39"/>
      <c r="DG173" s="2">
        <v>300.3965</v>
      </c>
      <c r="DH173" s="2" t="str">
        <f>IF(AND(Table1[[#This Row],[Gurobi MZ1 Cost]]=Table1[[#This Row],[ORTools FZN2 Cost]],Table1[[#This Row],[ORTools FZN2 State]]="Optimal",Table1[[#This Row],[Gurobi MZ1 State]]="Suboptimal"),1,"")</f>
        <v/>
      </c>
      <c r="DI173" s="5" t="s">
        <v>42</v>
      </c>
      <c r="DJ173" s="2"/>
      <c r="DK173" s="2">
        <v>300.25409999999999</v>
      </c>
      <c r="DL173" s="4" t="str">
        <f>IF(AND(Table1[[#This Row],[Gurobi MZ2 Cost]]=Table1[[#This Row],[ORTools FZN2 Cost]],Table1[[#This Row],[ORTools FZN2 State]]="Optimal",Table1[[#This Row],[Gurobi MZ2 State]]="Suboptimal"),1,"")</f>
        <v/>
      </c>
      <c r="DM173" s="39" t="s">
        <v>26</v>
      </c>
      <c r="DN173" s="12">
        <v>1323908</v>
      </c>
      <c r="DO173" s="69">
        <v>300.139000000002</v>
      </c>
      <c r="DP173" s="11">
        <f>IF(AND(Table1[[#This Row],[Cplex MC nonDual Cost]]=Table1[[#This Row],[ORTools FZN2 Cost]],Table1[[#This Row],[ORTools FZN2 State]]="Optimal",Table1[[#This Row],[Cplex MC nonDual State]]="Suboptimal"),1,"")</f>
        <v>1</v>
      </c>
      <c r="DQ173" s="5" t="s">
        <v>42</v>
      </c>
      <c r="DR173" s="2"/>
      <c r="DS173" s="2">
        <v>300.02429999999998</v>
      </c>
      <c r="DT173" s="2" t="str">
        <f>IF(AND(Table1[[#This Row],[Cplex MIP DM''z Cost]]=Table1[[#This Row],[ORTools FZN2 Cost]],Table1[[#This Row],[ORTools FZN2 State]]="Optimal",Table1[[#This Row],[Cplex MIP DM''z  State]]="Suboptimal"),1,"")</f>
        <v/>
      </c>
      <c r="DU17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3" s="5" t="s">
        <v>42</v>
      </c>
      <c r="DW173" s="2"/>
      <c r="DX173" s="2">
        <v>300.01589999999999</v>
      </c>
      <c r="DY173" s="4" t="str">
        <f>IF(AND(Table1[[#This Row],[Gurobi DM''z  Cost]]=Table1[[#This Row],[ORTools FZN2 Cost]],Table1[[#This Row],[ORTools FZN2 State]]="Optimal",Table1[[#This Row],[Gurobi DM''z  State]]="Suboptimal"),1,"")</f>
        <v/>
      </c>
      <c r="DZ17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4" spans="1:130" ht="15.75" x14ac:dyDescent="0.25">
      <c r="A174" s="46" t="s">
        <v>200</v>
      </c>
      <c r="B174" s="5">
        <v>34</v>
      </c>
      <c r="C174" s="2">
        <v>17</v>
      </c>
      <c r="D174" s="5">
        <v>86</v>
      </c>
      <c r="E174" s="2">
        <v>22</v>
      </c>
      <c r="F174" s="5">
        <v>14</v>
      </c>
      <c r="G174" s="2">
        <v>0</v>
      </c>
      <c r="H174" s="4">
        <f t="shared" si="2"/>
        <v>0</v>
      </c>
      <c r="I174" s="4">
        <f>Table1[[#This Row],[B]]+Table1[[#This Row],[Atomic Constraints]]+Table1[[#This Row],[Soft Atomic Constraints]]+Table1[[#This Row],[Disjunctive Constraints]]+Table1[[#This Row],[Direct Successors]]</f>
        <v>139</v>
      </c>
      <c r="J174" s="5" t="s">
        <v>25</v>
      </c>
      <c r="K174" s="2">
        <v>40599</v>
      </c>
      <c r="L174" s="2">
        <v>77.843043300000005</v>
      </c>
      <c r="M174" s="2" t="str">
        <f>IF(AND(Table1[[#This Row],[Chuffed MZ1 Cost]]=Table1[[#This Row],[ORTools FZN2 Cost]],Table1[[#This Row],[ORTools FZN2 State]]="Optimal",Table1[[#This Row],[Chuffed MZ1 State]]="Suboptimal"),1,"")</f>
        <v/>
      </c>
      <c r="N174" s="5" t="s">
        <v>25</v>
      </c>
      <c r="O174" s="2">
        <v>40599</v>
      </c>
      <c r="P174" s="2">
        <v>84.029982799999999</v>
      </c>
      <c r="Q174" s="2" t="str">
        <f>IF(AND(Table1[[#This Row],[Chuffed MZ2 Cost]]=Table1[[#This Row],[ORTools FZN2 Cost]],Table1[[#This Row],[ORTools FZN2 State]]="Optimal",Table1[[#This Row],[Chuffed MZ2 State]]="Suboptimal"),1,"")</f>
        <v/>
      </c>
      <c r="R174" s="6" t="s">
        <v>25</v>
      </c>
      <c r="S174" s="4">
        <v>40599</v>
      </c>
      <c r="T174" s="4">
        <v>1.5959999999977299</v>
      </c>
      <c r="U174" s="4"/>
      <c r="V174" s="5" t="s">
        <v>25</v>
      </c>
      <c r="W174" s="2">
        <v>40599</v>
      </c>
      <c r="X174" s="2">
        <v>7.0048162999999999</v>
      </c>
      <c r="Y174" s="2" t="str">
        <f>IF(AND(Table1[[#This Row],[ORTools FZN1 Cost]]=Table1[[#This Row],[ORTools FZN2 Cost]],Table1[[#This Row],[ORTools FZN2 State]]="Optimal",Table1[[#This Row],[ORTools FZN1 State]]="Suboptimal"),1,"")</f>
        <v/>
      </c>
      <c r="Z174" s="5" t="s">
        <v>25</v>
      </c>
      <c r="AA174" s="2">
        <v>40599</v>
      </c>
      <c r="AB174" s="2">
        <v>5.0316543999999999</v>
      </c>
      <c r="AC174" s="39" t="s">
        <v>25</v>
      </c>
      <c r="AD174" s="39">
        <v>40599</v>
      </c>
      <c r="AE174" s="2">
        <v>22.355510800000001</v>
      </c>
      <c r="AF174" s="2" t="str">
        <f>IF(AND(Table1[[#This Row],[Cplex MB Cost]]=Table1[[#This Row],[ORTools FZN2 Cost]],Table1[[#This Row],[ORTools FZN2 State]]="Optimal",Table1[[#This Row],[Cplex MB State]]="Suboptimal"),1,"")</f>
        <v/>
      </c>
      <c r="AG174" s="4">
        <f>IF(AND(AC174="Optimal",AD174&lt;&gt;AA174,Table1[[#This Row],[Example]]&lt;&gt;"R001",Table1[[#This Row],[Example]]&lt;&gt;"R002"),AD174-AA174,)</f>
        <v>0</v>
      </c>
      <c r="AH174" s="5" t="s">
        <v>26</v>
      </c>
      <c r="AI174" s="2">
        <v>517690</v>
      </c>
      <c r="AJ174" s="2">
        <v>300.28936659999999</v>
      </c>
      <c r="AK174" s="2" t="str">
        <f>IF(AND(Table1[[#This Row],[Cplex MD Cost]]=Table1[[#This Row],[ORTools FZN2 Cost]],Table1[[#This Row],[ORTools FZN2 State]]="Optimal",Table1[[#This Row],[Cplex MD State]]="Suboptimal"),1,"")</f>
        <v/>
      </c>
      <c r="AL174" s="4">
        <f>IF(AND(AH174="Optimal",AI174&lt;&gt;AA174,Table1[[#This Row],[Example]]&lt;&gt;"R001",Table1[[#This Row],[Example]]&lt;&gt;"R002"),AI174-AA174,)</f>
        <v>0</v>
      </c>
      <c r="AM174" s="39" t="s">
        <v>25</v>
      </c>
      <c r="AN174" s="39">
        <v>40599</v>
      </c>
      <c r="AO174" s="2">
        <v>29.8322504</v>
      </c>
      <c r="AP17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4" s="4" t="str">
        <f>IF(AND(Table1[[#This Row],[Cplex MI Cost]]=Table1[[#This Row],[ORTools FZN2 Cost]],Table1[[#This Row],[ORTools FZN2 State]]="Optimal",Table1[[#This Row],[Cplex MI State]]="Suboptimal"),1,"")</f>
        <v/>
      </c>
      <c r="AR174" s="5" t="s">
        <v>42</v>
      </c>
      <c r="AS174" s="2">
        <v>-40495</v>
      </c>
      <c r="AT174" s="2">
        <v>300.04376489999999</v>
      </c>
      <c r="AU174" s="2" t="str">
        <f>IF(AND(Table1[[#This Row],[Z3 SMT2-1 Maxres Cost]]=Table1[[#This Row],[ORTools FZN2 Cost]],Table1[[#This Row],[ORTools FZN2 State]]="Optimal"),1,"")</f>
        <v/>
      </c>
      <c r="AV174" s="39" t="s">
        <v>42</v>
      </c>
      <c r="AW174" s="39">
        <v>-40495</v>
      </c>
      <c r="AX174" s="2">
        <v>300.04871070000002</v>
      </c>
      <c r="AY174" s="2" t="str">
        <f>IF(AND(Table1[[#This Row],[Z3 SMT2-1 PdMaxres Cost]]=Table1[[#This Row],[ORTools FZN2 Cost]],Table1[[#This Row],[ORTools FZN2 State]]="Optimal"),1,"")</f>
        <v/>
      </c>
      <c r="AZ174" s="5" t="s">
        <v>42</v>
      </c>
      <c r="BA174" s="2">
        <v>-40495</v>
      </c>
      <c r="BB174" s="39">
        <v>300.05566449999998</v>
      </c>
      <c r="BC174" s="39" t="str">
        <f>IF(AND(Table1[[#This Row],[Z3 SMT2-1 WMax Cost]]=Table1[[#This Row],[ORTools FZN2 Cost]],Table1[[#This Row],[ORTools FZN2 State]]="Optimal"),1,"")</f>
        <v/>
      </c>
      <c r="BD174" s="39" t="s">
        <v>42</v>
      </c>
      <c r="BE174" s="39">
        <v>-40495</v>
      </c>
      <c r="BF174" s="2">
        <v>300.04755610000001</v>
      </c>
      <c r="BG174" s="2" t="str">
        <f>IF(AND(Table1[[#This Row],[Z3 SMT2-2 Maxres Cost]]=Table1[[#This Row],[ORTools FZN2 Cost]],Table1[[#This Row],[ORTools FZN2 State]]="Optimal"),1,"")</f>
        <v/>
      </c>
      <c r="BH174" s="5" t="s">
        <v>42</v>
      </c>
      <c r="BI174" s="2">
        <v>-40495</v>
      </c>
      <c r="BJ174" s="39">
        <v>300.04639850000001</v>
      </c>
      <c r="BK174" s="39" t="str">
        <f>IF(AND(Table1[[#This Row],[Z3 SMT2-2 PdMaxres Cost]]=Table1[[#This Row],[ORTools FZN2 Cost]],Table1[[#This Row],[ORTools FZN2 State]]="Optimal"),1,"")</f>
        <v/>
      </c>
      <c r="BL174" s="39" t="s">
        <v>42</v>
      </c>
      <c r="BM174" s="39">
        <v>-40495</v>
      </c>
      <c r="BN174" s="2">
        <v>300.04208560000001</v>
      </c>
      <c r="BO174" s="4" t="str">
        <f>IF(AND(Table1[[#This Row],[Z3 SMT2-2 PdMaxres Cost]]=Table1[[#This Row],[ORTools FZN2 Cost]],Table1[[#This Row],[ORTools FZN2 State]]="Optimal"),1,"")</f>
        <v/>
      </c>
      <c r="BP174" s="5" t="s">
        <v>25</v>
      </c>
      <c r="BQ174" s="2">
        <v>40599</v>
      </c>
      <c r="BR174" s="2">
        <v>23.0305617</v>
      </c>
      <c r="BS174" s="2" t="str">
        <f>IF(AND(Table1[[#This Row],[Gurobi MB Cost]]=Table1[[#This Row],[ORTools FZN2 Cost]],Table1[[#This Row],[ORTools FZN2 State]]="Optimal",Table1[[#This Row],[Gurobi MB State]]="Suboptimal"),1,"")</f>
        <v/>
      </c>
      <c r="BT17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4" s="5" t="s">
        <v>26</v>
      </c>
      <c r="BV174" s="2">
        <v>79937</v>
      </c>
      <c r="BW174" s="2">
        <v>300.1929571</v>
      </c>
      <c r="BX174" s="2" t="str">
        <f>IF(AND(Table1[[#This Row],[Gurobi MD Cost]]=Table1[[#This Row],[ORTools FZN2 Cost]],Table1[[#This Row],[ORTools FZN2 State]]="Optimal",Table1[[#This Row],[Gurobi MD State]]="Suboptimal"),1,"")</f>
        <v/>
      </c>
      <c r="BY17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4" s="5" t="s">
        <v>25</v>
      </c>
      <c r="CA174" s="2">
        <v>40599</v>
      </c>
      <c r="CB174" s="2">
        <v>75.802364800000007</v>
      </c>
      <c r="CC174" s="2" t="str">
        <f>IF(AND(Table1[[#This Row],[Gurobi MI Cost]]=Table1[[#This Row],[ORTools FZN2 Cost]],Table1[[#This Row],[ORTools FZN2 State]]="Optimal",Table1[[#This Row],[Gurobi MI State]]="Suboptimal"),1,"")</f>
        <v/>
      </c>
      <c r="CD17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4" s="39" t="s">
        <v>42</v>
      </c>
      <c r="CF174" s="2">
        <v>-40495</v>
      </c>
      <c r="CG174" s="39">
        <v>306.09212120000001</v>
      </c>
      <c r="CH174" s="39" t="s">
        <v>42</v>
      </c>
      <c r="CI174" s="39">
        <v>-40495</v>
      </c>
      <c r="CJ174" s="2">
        <v>306.04631819999997</v>
      </c>
      <c r="CK174" s="5" t="s">
        <v>25</v>
      </c>
      <c r="CL174" s="2">
        <v>40600</v>
      </c>
      <c r="CM174" s="2">
        <v>0.75199999999676903</v>
      </c>
      <c r="CN174" s="5" t="s">
        <v>25</v>
      </c>
      <c r="CO174" s="2">
        <v>40599</v>
      </c>
      <c r="CP174" s="2">
        <v>272.52374939999999</v>
      </c>
      <c r="CQ174" s="5" t="s">
        <v>25</v>
      </c>
      <c r="CR174" s="2">
        <v>40599</v>
      </c>
      <c r="CS174" s="2">
        <v>7.7291151999999999</v>
      </c>
      <c r="CT174" s="6" t="s">
        <v>25</v>
      </c>
      <c r="CU174" s="4">
        <v>40599</v>
      </c>
      <c r="CV174" s="4">
        <v>6.4295666999999996</v>
      </c>
      <c r="CW174" s="39" t="s">
        <v>26</v>
      </c>
      <c r="CX174" s="12">
        <v>40599</v>
      </c>
      <c r="CY174" s="12">
        <v>300.012</v>
      </c>
      <c r="CZ174" s="12">
        <f>IF(AND(Table1[[#This Row],[Cplex MZ1 Cost]]=Table1[[#This Row],[ORTools FZN2 Cost]],Table1[[#This Row],[ORTools FZN2 State]]="Optimal",Table1[[#This Row],[Cplex MZ1 State]]="Suboptimal"),1,"")</f>
        <v>1</v>
      </c>
      <c r="DA174" s="5" t="s">
        <v>25</v>
      </c>
      <c r="DB174" s="2">
        <v>40599</v>
      </c>
      <c r="DC174" s="2">
        <v>144.8408</v>
      </c>
      <c r="DD174" s="2" t="str">
        <f>IF(AND(Table1[[#This Row],[Cplex MZ2 Cost]]=Table1[[#This Row],[ORTools FZN2 Cost]],Table1[[#This Row],[ORTools FZN2 State]]="Optimal",Table1[[#This Row],[Cplex MZ2 State]]="Suboptimal"),1,"")</f>
        <v/>
      </c>
      <c r="DE174" s="39" t="s">
        <v>25</v>
      </c>
      <c r="DF174" s="39">
        <v>40599</v>
      </c>
      <c r="DG174" s="2">
        <v>253.13030000000001</v>
      </c>
      <c r="DH174" s="2" t="str">
        <f>IF(AND(Table1[[#This Row],[Gurobi MZ1 Cost]]=Table1[[#This Row],[ORTools FZN2 Cost]],Table1[[#This Row],[ORTools FZN2 State]]="Optimal",Table1[[#This Row],[Gurobi MZ1 State]]="Suboptimal"),1,"")</f>
        <v/>
      </c>
      <c r="DI174" s="12" t="s">
        <v>26</v>
      </c>
      <c r="DJ174" s="12">
        <v>40599</v>
      </c>
      <c r="DK174" s="12">
        <v>300.0059</v>
      </c>
      <c r="DL174" s="11">
        <f>IF(AND(Table1[[#This Row],[Gurobi MZ2 Cost]]=Table1[[#This Row],[ORTools FZN2 Cost]],Table1[[#This Row],[ORTools FZN2 State]]="Optimal",Table1[[#This Row],[Gurobi MZ2 State]]="Suboptimal"),1,"")</f>
        <v>1</v>
      </c>
      <c r="DM174" s="39" t="s">
        <v>25</v>
      </c>
      <c r="DN174" s="39">
        <v>40599</v>
      </c>
      <c r="DO174" s="65">
        <v>1.81200000000171</v>
      </c>
      <c r="DP174" s="4" t="str">
        <f>IF(AND(Table1[[#This Row],[Cplex MC nonDual Cost]]=Table1[[#This Row],[ORTools FZN2 Cost]],Table1[[#This Row],[ORTools FZN2 State]]="Optimal",Table1[[#This Row],[Cplex MC nonDual State]]="Suboptimal"),1,"")</f>
        <v/>
      </c>
      <c r="DQ174" s="5" t="s">
        <v>26</v>
      </c>
      <c r="DR174" s="2">
        <v>40599</v>
      </c>
      <c r="DS174" s="2">
        <v>300.02030000000002</v>
      </c>
      <c r="DT174" s="2">
        <f>IF(AND(Table1[[#This Row],[Cplex MIP DM''z Cost]]=Table1[[#This Row],[ORTools FZN2 Cost]],Table1[[#This Row],[ORTools FZN2 State]]="Optimal",Table1[[#This Row],[Cplex MIP DM''z  State]]="Suboptimal"),1,"")</f>
        <v>1</v>
      </c>
      <c r="DU17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4" s="5" t="s">
        <v>26</v>
      </c>
      <c r="DW174" s="2">
        <v>40599</v>
      </c>
      <c r="DX174" s="2">
        <v>299.99459999999999</v>
      </c>
      <c r="DY174" s="4">
        <f>IF(AND(Table1[[#This Row],[Gurobi DM''z  Cost]]=Table1[[#This Row],[ORTools FZN2 Cost]],Table1[[#This Row],[ORTools FZN2 State]]="Optimal",Table1[[#This Row],[Gurobi DM''z  State]]="Suboptimal"),1,"")</f>
        <v>1</v>
      </c>
      <c r="DZ17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5" spans="1:130" x14ac:dyDescent="0.25">
      <c r="A175" s="52" t="s">
        <v>201</v>
      </c>
      <c r="B175" s="5">
        <v>46</v>
      </c>
      <c r="C175" s="2">
        <v>23</v>
      </c>
      <c r="D175" s="5">
        <v>196</v>
      </c>
      <c r="E175" s="2">
        <v>26</v>
      </c>
      <c r="F175" s="5">
        <v>47</v>
      </c>
      <c r="G175" s="2">
        <v>18</v>
      </c>
      <c r="H175" s="4">
        <f t="shared" si="2"/>
        <v>0</v>
      </c>
      <c r="I175" s="4">
        <f>Table1[[#This Row],[B]]+Table1[[#This Row],[Atomic Constraints]]+Table1[[#This Row],[Soft Atomic Constraints]]+Table1[[#This Row],[Disjunctive Constraints]]+Table1[[#This Row],[Direct Successors]]</f>
        <v>310</v>
      </c>
      <c r="J175" s="5" t="s">
        <v>77</v>
      </c>
      <c r="K175" s="2">
        <v>-99499</v>
      </c>
      <c r="L175" s="2">
        <v>4.4699716</v>
      </c>
      <c r="M175" s="2" t="str">
        <f>IF(AND(Table1[[#This Row],[Chuffed MZ1 Cost]]=Table1[[#This Row],[ORTools FZN2 Cost]],Table1[[#This Row],[ORTools FZN2 State]]="Optimal",Table1[[#This Row],[Chuffed MZ1 State]]="Suboptimal"),1,"")</f>
        <v/>
      </c>
      <c r="N175" s="5" t="s">
        <v>77</v>
      </c>
      <c r="O175" s="2">
        <v>-99499</v>
      </c>
      <c r="P175" s="2">
        <v>1.7442034</v>
      </c>
      <c r="Q175" s="2" t="str">
        <f>IF(AND(Table1[[#This Row],[Chuffed MZ2 Cost]]=Table1[[#This Row],[ORTools FZN2 Cost]],Table1[[#This Row],[ORTools FZN2 State]]="Optimal",Table1[[#This Row],[Chuffed MZ2 State]]="Suboptimal"),1,"")</f>
        <v/>
      </c>
      <c r="R175" s="5" t="s">
        <v>77</v>
      </c>
      <c r="S175" s="2">
        <v>-99499</v>
      </c>
      <c r="T175" s="2">
        <v>7.2000000000116401E-2</v>
      </c>
      <c r="U175" s="2"/>
      <c r="V175" s="5" t="s">
        <v>77</v>
      </c>
      <c r="W175" s="2">
        <v>-99499</v>
      </c>
      <c r="X175" s="2">
        <v>1.0779296</v>
      </c>
      <c r="Y175" s="2" t="str">
        <f>IF(AND(Table1[[#This Row],[ORTools FZN1 Cost]]=Table1[[#This Row],[ORTools FZN2 Cost]],Table1[[#This Row],[ORTools FZN2 State]]="Optimal",Table1[[#This Row],[ORTools FZN1 State]]="Suboptimal"),1,"")</f>
        <v/>
      </c>
      <c r="Z175" s="5" t="s">
        <v>77</v>
      </c>
      <c r="AA175" s="2">
        <v>-99499</v>
      </c>
      <c r="AB175" s="2">
        <v>1.1691141</v>
      </c>
      <c r="AC175" s="39" t="s">
        <v>77</v>
      </c>
      <c r="AD175" s="39">
        <v>-99499</v>
      </c>
      <c r="AE175" s="2">
        <v>8.0522099999999999E-2</v>
      </c>
      <c r="AF175" s="2" t="str">
        <f>IF(AND(Table1[[#This Row],[Cplex MB Cost]]=Table1[[#This Row],[ORTools FZN2 Cost]],Table1[[#This Row],[ORTools FZN2 State]]="Optimal",Table1[[#This Row],[Cplex MB State]]="Suboptimal"),1,"")</f>
        <v/>
      </c>
      <c r="AG175" s="4">
        <f>IF(AND(AC175="Optimal",AD175&lt;&gt;AA175,Table1[[#This Row],[Example]]&lt;&gt;"R001",Table1[[#This Row],[Example]]&lt;&gt;"R002"),AD175-AA175,)</f>
        <v>0</v>
      </c>
      <c r="AH175" s="5" t="s">
        <v>77</v>
      </c>
      <c r="AI175" s="2">
        <v>-99499</v>
      </c>
      <c r="AJ175" s="2">
        <v>6.8685634000000002</v>
      </c>
      <c r="AK175" s="2" t="str">
        <f>IF(AND(Table1[[#This Row],[Cplex MD Cost]]=Table1[[#This Row],[ORTools FZN2 Cost]],Table1[[#This Row],[ORTools FZN2 State]]="Optimal",Table1[[#This Row],[Cplex MD State]]="Suboptimal"),1,"")</f>
        <v/>
      </c>
      <c r="AL175" s="4">
        <f>IF(AND(AH175="Optimal",AI175&lt;&gt;AA175,Table1[[#This Row],[Example]]&lt;&gt;"R001",Table1[[#This Row],[Example]]&lt;&gt;"R002"),AI175-AA175,)</f>
        <v>0</v>
      </c>
      <c r="AM175" s="39" t="s">
        <v>77</v>
      </c>
      <c r="AN175" s="39">
        <v>-99499</v>
      </c>
      <c r="AO175" s="2">
        <v>0.33302130000000002</v>
      </c>
      <c r="AP17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5" s="2" t="str">
        <f>IF(AND(Table1[[#This Row],[Cplex MI Cost]]=Table1[[#This Row],[ORTools FZN2 Cost]],Table1[[#This Row],[ORTools FZN2 State]]="Optimal",Table1[[#This Row],[Cplex MI State]]="Suboptimal"),1,"")</f>
        <v/>
      </c>
      <c r="AR175" s="5" t="s">
        <v>77</v>
      </c>
      <c r="AS175" s="2">
        <v>-99499</v>
      </c>
      <c r="AT175" s="2">
        <v>3.3315267</v>
      </c>
      <c r="AU175" s="2" t="str">
        <f>IF(AND(Table1[[#This Row],[Z3 SMT2-1 Maxres Cost]]=Table1[[#This Row],[ORTools FZN2 Cost]],Table1[[#This Row],[ORTools FZN2 State]]="Optimal"),1,"")</f>
        <v/>
      </c>
      <c r="AV175" s="39" t="s">
        <v>77</v>
      </c>
      <c r="AW175" s="39">
        <v>-99499</v>
      </c>
      <c r="AX175" s="2">
        <v>3.4493539000000002</v>
      </c>
      <c r="AY175" s="2" t="str">
        <f>IF(AND(Table1[[#This Row],[Z3 SMT2-1 PdMaxres Cost]]=Table1[[#This Row],[ORTools FZN2 Cost]],Table1[[#This Row],[ORTools FZN2 State]]="Optimal"),1,"")</f>
        <v/>
      </c>
      <c r="AZ175" s="5" t="s">
        <v>77</v>
      </c>
      <c r="BA175" s="2">
        <v>-99499</v>
      </c>
      <c r="BB175" s="39">
        <v>3.9194230000000001</v>
      </c>
      <c r="BC175" s="39" t="str">
        <f>IF(AND(Table1[[#This Row],[Z3 SMT2-1 WMax Cost]]=Table1[[#This Row],[ORTools FZN2 Cost]],Table1[[#This Row],[ORTools FZN2 State]]="Optimal"),1,"")</f>
        <v/>
      </c>
      <c r="BD175" s="39" t="s">
        <v>77</v>
      </c>
      <c r="BE175" s="39">
        <v>-99499</v>
      </c>
      <c r="BF175" s="2">
        <v>3.2893292000000001</v>
      </c>
      <c r="BG175" s="2" t="str">
        <f>IF(AND(Table1[[#This Row],[Z3 SMT2-2 Maxres Cost]]=Table1[[#This Row],[ORTools FZN2 Cost]],Table1[[#This Row],[ORTools FZN2 State]]="Optimal"),1,"")</f>
        <v/>
      </c>
      <c r="BH175" s="5" t="s">
        <v>77</v>
      </c>
      <c r="BI175" s="2">
        <v>-99499</v>
      </c>
      <c r="BJ175" s="39">
        <v>3.1471035000000001</v>
      </c>
      <c r="BK175" s="39" t="str">
        <f>IF(AND(Table1[[#This Row],[Z3 SMT2-2 PdMaxres Cost]]=Table1[[#This Row],[ORTools FZN2 Cost]],Table1[[#This Row],[ORTools FZN2 State]]="Optimal"),1,"")</f>
        <v/>
      </c>
      <c r="BL175" s="39" t="s">
        <v>77</v>
      </c>
      <c r="BM175" s="39">
        <v>-99499</v>
      </c>
      <c r="BN175" s="2">
        <v>3.3162096000000001</v>
      </c>
      <c r="BO175" s="4" t="str">
        <f>IF(AND(Table1[[#This Row],[Z3 SMT2-2 PdMaxres Cost]]=Table1[[#This Row],[ORTools FZN2 Cost]],Table1[[#This Row],[ORTools FZN2 State]]="Optimal"),1,"")</f>
        <v/>
      </c>
      <c r="BP175" s="5" t="s">
        <v>77</v>
      </c>
      <c r="BQ175" s="2">
        <v>-99499</v>
      </c>
      <c r="BR175" s="2">
        <v>8.362E-2</v>
      </c>
      <c r="BS175" s="2" t="str">
        <f>IF(AND(Table1[[#This Row],[Gurobi MB Cost]]=Table1[[#This Row],[ORTools FZN2 Cost]],Table1[[#This Row],[ORTools FZN2 State]]="Optimal",Table1[[#This Row],[Gurobi MB State]]="Suboptimal"),1,"")</f>
        <v/>
      </c>
      <c r="BT17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5" s="5" t="s">
        <v>77</v>
      </c>
      <c r="BV175" s="2">
        <v>-99499</v>
      </c>
      <c r="BW175" s="2">
        <v>0.34664139999999999</v>
      </c>
      <c r="BX175" s="2" t="str">
        <f>IF(AND(Table1[[#This Row],[Gurobi MD Cost]]=Table1[[#This Row],[ORTools FZN2 Cost]],Table1[[#This Row],[ORTools FZN2 State]]="Optimal",Table1[[#This Row],[Gurobi MD State]]="Suboptimal"),1,"")</f>
        <v/>
      </c>
      <c r="BY17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5" s="5" t="s">
        <v>77</v>
      </c>
      <c r="CA175" s="2">
        <v>-99499</v>
      </c>
      <c r="CB175" s="2">
        <v>0.13539219999999999</v>
      </c>
      <c r="CC175" s="2" t="str">
        <f>IF(AND(Table1[[#This Row],[Gurobi MI Cost]]=Table1[[#This Row],[ORTools FZN2 Cost]],Table1[[#This Row],[ORTools FZN2 State]]="Optimal",Table1[[#This Row],[Gurobi MI State]]="Suboptimal"),1,"")</f>
        <v/>
      </c>
      <c r="CD17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5" s="39" t="s">
        <v>77</v>
      </c>
      <c r="CF175" s="2">
        <v>-99499</v>
      </c>
      <c r="CG175" s="39">
        <v>5.3442179999999997</v>
      </c>
      <c r="CH175" s="39" t="s">
        <v>77</v>
      </c>
      <c r="CI175" s="39">
        <v>-99499</v>
      </c>
      <c r="CJ175" s="2">
        <v>5.1698240999999996</v>
      </c>
      <c r="CK175" s="5" t="s">
        <v>77</v>
      </c>
      <c r="CL175" s="2">
        <v>-99499</v>
      </c>
      <c r="CM175" s="2">
        <v>6.8999999999505193E-2</v>
      </c>
      <c r="CN175" s="5" t="s">
        <v>77</v>
      </c>
      <c r="CO175" s="2">
        <v>-99499</v>
      </c>
      <c r="CP175" s="2">
        <v>1.7063082000000001</v>
      </c>
      <c r="CQ175" s="5" t="s">
        <v>77</v>
      </c>
      <c r="CR175" s="2">
        <v>-99499</v>
      </c>
      <c r="CS175" s="2">
        <v>2.0788118999999998</v>
      </c>
      <c r="CT175" s="6" t="s">
        <v>77</v>
      </c>
      <c r="CU175" s="4">
        <v>-99499</v>
      </c>
      <c r="CV175" s="4">
        <v>2.4448967000000001</v>
      </c>
      <c r="CW175" s="39" t="s">
        <v>77</v>
      </c>
      <c r="CX175" s="39"/>
      <c r="CY175" s="2">
        <v>0.13320000000000001</v>
      </c>
      <c r="CZ175" s="2" t="str">
        <f>IF(AND(Table1[[#This Row],[Cplex MZ1 Cost]]=Table1[[#This Row],[ORTools FZN2 Cost]],Table1[[#This Row],[ORTools FZN2 State]]="Optimal",Table1[[#This Row],[Cplex MZ1 State]]="Suboptimal"),1,"")</f>
        <v/>
      </c>
      <c r="DA175" s="5" t="s">
        <v>77</v>
      </c>
      <c r="DB175" s="2"/>
      <c r="DC175" s="2">
        <v>0.12770000000000001</v>
      </c>
      <c r="DD175" s="2" t="str">
        <f>IF(AND(Table1[[#This Row],[Cplex MZ2 Cost]]=Table1[[#This Row],[ORTools FZN2 Cost]],Table1[[#This Row],[ORTools FZN2 State]]="Optimal",Table1[[#This Row],[Cplex MZ2 State]]="Suboptimal"),1,"")</f>
        <v/>
      </c>
      <c r="DE175" s="39" t="s">
        <v>77</v>
      </c>
      <c r="DF175" s="39"/>
      <c r="DG175" s="2">
        <v>0.1133</v>
      </c>
      <c r="DH175" s="2" t="str">
        <f>IF(AND(Table1[[#This Row],[Gurobi MZ1 Cost]]=Table1[[#This Row],[ORTools FZN2 Cost]],Table1[[#This Row],[ORTools FZN2 State]]="Optimal",Table1[[#This Row],[Gurobi MZ1 State]]="Suboptimal"),1,"")</f>
        <v/>
      </c>
      <c r="DI175" s="5" t="s">
        <v>77</v>
      </c>
      <c r="DJ175" s="2"/>
      <c r="DK175" s="2">
        <v>0.13569999999999999</v>
      </c>
      <c r="DL175" s="4" t="str">
        <f>IF(AND(Table1[[#This Row],[Gurobi MZ2 Cost]]=Table1[[#This Row],[ORTools FZN2 Cost]],Table1[[#This Row],[ORTools FZN2 State]]="Optimal",Table1[[#This Row],[Gurobi MZ2 State]]="Suboptimal"),1,"")</f>
        <v/>
      </c>
      <c r="DM175" s="39" t="s">
        <v>77</v>
      </c>
      <c r="DN175" s="39">
        <v>-99499</v>
      </c>
      <c r="DO175" s="65">
        <v>7.2000000000116401E-2</v>
      </c>
      <c r="DP175" s="4" t="str">
        <f>IF(AND(Table1[[#This Row],[Cplex MC nonDual Cost]]=Table1[[#This Row],[ORTools FZN2 Cost]],Table1[[#This Row],[ORTools FZN2 State]]="Optimal",Table1[[#This Row],[Cplex MC nonDual State]]="Suboptimal"),1,"")</f>
        <v/>
      </c>
      <c r="DQ175" s="5" t="s">
        <v>77</v>
      </c>
      <c r="DR175" s="2"/>
      <c r="DS175" s="2">
        <v>0.1348</v>
      </c>
      <c r="DT175" s="2" t="str">
        <f>IF(AND(Table1[[#This Row],[Cplex MIP DM''z Cost]]=Table1[[#This Row],[ORTools FZN2 Cost]],Table1[[#This Row],[ORTools FZN2 State]]="Optimal",Table1[[#This Row],[Cplex MIP DM''z  State]]="Suboptimal"),1,"")</f>
        <v/>
      </c>
      <c r="DU17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5" s="5" t="s">
        <v>77</v>
      </c>
      <c r="DW175" s="2"/>
      <c r="DX175" s="2">
        <v>0.182</v>
      </c>
      <c r="DY175" s="4" t="str">
        <f>IF(AND(Table1[[#This Row],[Gurobi DM''z  Cost]]=Table1[[#This Row],[ORTools FZN2 Cost]],Table1[[#This Row],[ORTools FZN2 State]]="Optimal",Table1[[#This Row],[Gurobi DM''z  State]]="Suboptimal"),1,"")</f>
        <v/>
      </c>
      <c r="DZ17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6" spans="1:130" ht="15.75" x14ac:dyDescent="0.25">
      <c r="A176" s="46" t="s">
        <v>202</v>
      </c>
      <c r="B176" s="5">
        <v>16</v>
      </c>
      <c r="C176" s="2">
        <v>8</v>
      </c>
      <c r="D176" s="5">
        <v>24</v>
      </c>
      <c r="E176" s="2">
        <v>12</v>
      </c>
      <c r="F176" s="5">
        <v>8</v>
      </c>
      <c r="G176" s="2">
        <v>6</v>
      </c>
      <c r="H176" s="4">
        <f t="shared" si="2"/>
        <v>0</v>
      </c>
      <c r="I176" s="4">
        <f>Table1[[#This Row],[B]]+Table1[[#This Row],[Atomic Constraints]]+Table1[[#This Row],[Soft Atomic Constraints]]+Table1[[#This Row],[Disjunctive Constraints]]+Table1[[#This Row],[Direct Successors]]</f>
        <v>58</v>
      </c>
      <c r="J176" s="5" t="s">
        <v>25</v>
      </c>
      <c r="K176" s="2">
        <v>1</v>
      </c>
      <c r="L176" s="2">
        <v>0.75654690000000002</v>
      </c>
      <c r="M176" s="2" t="str">
        <f>IF(AND(Table1[[#This Row],[Chuffed MZ1 Cost]]=Table1[[#This Row],[ORTools FZN2 Cost]],Table1[[#This Row],[ORTools FZN2 State]]="Optimal",Table1[[#This Row],[Chuffed MZ1 State]]="Suboptimal"),1,"")</f>
        <v/>
      </c>
      <c r="N176" s="5" t="s">
        <v>25</v>
      </c>
      <c r="O176" s="2">
        <v>1</v>
      </c>
      <c r="P176" s="2">
        <v>0.74670919999999996</v>
      </c>
      <c r="Q176" s="2" t="str">
        <f>IF(AND(Table1[[#This Row],[Chuffed MZ2 Cost]]=Table1[[#This Row],[ORTools FZN2 Cost]],Table1[[#This Row],[ORTools FZN2 State]]="Optimal",Table1[[#This Row],[Chuffed MZ2 State]]="Suboptimal"),1,"")</f>
        <v/>
      </c>
      <c r="R176" s="6" t="s">
        <v>25</v>
      </c>
      <c r="S176" s="4">
        <v>1</v>
      </c>
      <c r="T176" s="4">
        <v>0.132000000001426</v>
      </c>
      <c r="U176" s="4"/>
      <c r="V176" s="5" t="s">
        <v>25</v>
      </c>
      <c r="W176" s="2">
        <v>1</v>
      </c>
      <c r="X176" s="2">
        <v>0.32054830000000001</v>
      </c>
      <c r="Y176" s="2" t="str">
        <f>IF(AND(Table1[[#This Row],[ORTools FZN1 Cost]]=Table1[[#This Row],[ORTools FZN2 Cost]],Table1[[#This Row],[ORTools FZN2 State]]="Optimal",Table1[[#This Row],[ORTools FZN1 State]]="Suboptimal"),1,"")</f>
        <v/>
      </c>
      <c r="Z176" s="5" t="s">
        <v>25</v>
      </c>
      <c r="AA176" s="2">
        <v>1</v>
      </c>
      <c r="AB176" s="2">
        <v>0.47559309999999999</v>
      </c>
      <c r="AC176" s="39" t="s">
        <v>25</v>
      </c>
      <c r="AD176" s="39">
        <v>1</v>
      </c>
      <c r="AE176" s="2">
        <v>0.77822579999999997</v>
      </c>
      <c r="AF176" s="2" t="str">
        <f>IF(AND(Table1[[#This Row],[Cplex MB Cost]]=Table1[[#This Row],[ORTools FZN2 Cost]],Table1[[#This Row],[ORTools FZN2 State]]="Optimal",Table1[[#This Row],[Cplex MB State]]="Suboptimal"),1,"")</f>
        <v/>
      </c>
      <c r="AG176" s="4">
        <f>IF(AND(AC176="Optimal",AD176&lt;&gt;AA176,Table1[[#This Row],[Example]]&lt;&gt;"R001",Table1[[#This Row],[Example]]&lt;&gt;"R002"),AD176-AA176,)</f>
        <v>0</v>
      </c>
      <c r="AH176" s="5" t="s">
        <v>25</v>
      </c>
      <c r="AI176" s="2">
        <v>1</v>
      </c>
      <c r="AJ176" s="2">
        <v>2.0854493000000001</v>
      </c>
      <c r="AK176" s="2" t="str">
        <f>IF(AND(Table1[[#This Row],[Cplex MD Cost]]=Table1[[#This Row],[ORTools FZN2 Cost]],Table1[[#This Row],[ORTools FZN2 State]]="Optimal",Table1[[#This Row],[Cplex MD State]]="Suboptimal"),1,"")</f>
        <v/>
      </c>
      <c r="AL176" s="4">
        <f>IF(AND(AH176="Optimal",AI176&lt;&gt;AA176,Table1[[#This Row],[Example]]&lt;&gt;"R001",Table1[[#This Row],[Example]]&lt;&gt;"R002"),AI176-AA176,)</f>
        <v>0</v>
      </c>
      <c r="AM176" s="39" t="s">
        <v>25</v>
      </c>
      <c r="AN176" s="39">
        <v>1</v>
      </c>
      <c r="AO176" s="2">
        <v>0.30808930000000001</v>
      </c>
      <c r="AP17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6" s="4" t="str">
        <f>IF(AND(Table1[[#This Row],[Cplex MI Cost]]=Table1[[#This Row],[ORTools FZN2 Cost]],Table1[[#This Row],[ORTools FZN2 State]]="Optimal",Table1[[#This Row],[Cplex MI State]]="Suboptimal"),1,"")</f>
        <v/>
      </c>
      <c r="AR176" s="12" t="s">
        <v>26</v>
      </c>
      <c r="AS176" s="12">
        <v>1</v>
      </c>
      <c r="AT176" s="12">
        <v>3.2137446000000001</v>
      </c>
      <c r="AU176" s="12">
        <f>IF(AND(Table1[[#This Row],[Z3 SMT2-1 Maxres Cost]]=Table1[[#This Row],[ORTools FZN2 Cost]],Table1[[#This Row],[ORTools FZN2 State]]="Optimal"),1,"")</f>
        <v>1</v>
      </c>
      <c r="AV176" s="12" t="s">
        <v>26</v>
      </c>
      <c r="AW176" s="12">
        <v>1</v>
      </c>
      <c r="AX176" s="12">
        <v>3.2546032</v>
      </c>
      <c r="AY176" s="12">
        <f>IF(AND(Table1[[#This Row],[Z3 SMT2-1 PdMaxres Cost]]=Table1[[#This Row],[ORTools FZN2 Cost]],Table1[[#This Row],[ORTools FZN2 State]]="Optimal"),1,"")</f>
        <v>1</v>
      </c>
      <c r="AZ176" s="12" t="s">
        <v>26</v>
      </c>
      <c r="BA176" s="12">
        <v>1</v>
      </c>
      <c r="BB176" s="12">
        <v>3.8619848999999999</v>
      </c>
      <c r="BC176" s="12">
        <f>IF(AND(Table1[[#This Row],[Z3 SMT2-1 WMax Cost]]=Table1[[#This Row],[ORTools FZN2 Cost]],Table1[[#This Row],[ORTools FZN2 State]]="Optimal"),1,"")</f>
        <v>1</v>
      </c>
      <c r="BD176" s="12" t="s">
        <v>26</v>
      </c>
      <c r="BE176" s="12">
        <v>1</v>
      </c>
      <c r="BF176" s="12">
        <v>2.3468859000000002</v>
      </c>
      <c r="BG176" s="12">
        <f>IF(AND(Table1[[#This Row],[Z3 SMT2-2 Maxres Cost]]=Table1[[#This Row],[ORTools FZN2 Cost]],Table1[[#This Row],[ORTools FZN2 State]]="Optimal"),1,"")</f>
        <v>1</v>
      </c>
      <c r="BH176" s="12" t="s">
        <v>26</v>
      </c>
      <c r="BI176" s="12">
        <v>1</v>
      </c>
      <c r="BJ176" s="12">
        <v>2.2829969999999999</v>
      </c>
      <c r="BK176" s="12">
        <f>IF(AND(Table1[[#This Row],[Z3 SMT2-2 PdMaxres Cost]]=Table1[[#This Row],[ORTools FZN2 Cost]],Table1[[#This Row],[ORTools FZN2 State]]="Optimal"),1,"")</f>
        <v>1</v>
      </c>
      <c r="BL176" s="12" t="s">
        <v>26</v>
      </c>
      <c r="BM176" s="12">
        <v>1</v>
      </c>
      <c r="BN176" s="12">
        <v>2.3777447</v>
      </c>
      <c r="BO176" s="11">
        <f>IF(AND(Table1[[#This Row],[Z3 SMT2-2 PdMaxres Cost]]=Table1[[#This Row],[ORTools FZN2 Cost]],Table1[[#This Row],[ORTools FZN2 State]]="Optimal"),1,"")</f>
        <v>1</v>
      </c>
      <c r="BP176" s="5" t="s">
        <v>25</v>
      </c>
      <c r="BQ176" s="2">
        <v>1</v>
      </c>
      <c r="BR176" s="2">
        <v>0.42684250000000001</v>
      </c>
      <c r="BS176" s="2" t="str">
        <f>IF(AND(Table1[[#This Row],[Gurobi MB Cost]]=Table1[[#This Row],[ORTools FZN2 Cost]],Table1[[#This Row],[ORTools FZN2 State]]="Optimal",Table1[[#This Row],[Gurobi MB State]]="Suboptimal"),1,"")</f>
        <v/>
      </c>
      <c r="BT17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6" s="5" t="s">
        <v>25</v>
      </c>
      <c r="BV176" s="2">
        <v>1</v>
      </c>
      <c r="BW176" s="2">
        <v>2.3000508000000002</v>
      </c>
      <c r="BX176" s="2" t="str">
        <f>IF(AND(Table1[[#This Row],[Gurobi MD Cost]]=Table1[[#This Row],[ORTools FZN2 Cost]],Table1[[#This Row],[ORTools FZN2 State]]="Optimal",Table1[[#This Row],[Gurobi MD State]]="Suboptimal"),1,"")</f>
        <v/>
      </c>
      <c r="BY17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6" s="5" t="s">
        <v>25</v>
      </c>
      <c r="CA176" s="2">
        <v>1</v>
      </c>
      <c r="CB176" s="2">
        <v>0.3135715</v>
      </c>
      <c r="CC176" s="2" t="str">
        <f>IF(AND(Table1[[#This Row],[Gurobi MI Cost]]=Table1[[#This Row],[ORTools FZN2 Cost]],Table1[[#This Row],[ORTools FZN2 State]]="Optimal",Table1[[#This Row],[Gurobi MI State]]="Suboptimal"),1,"")</f>
        <v/>
      </c>
      <c r="CD17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6" s="39" t="s">
        <v>42</v>
      </c>
      <c r="CF176" s="2">
        <v>-4369</v>
      </c>
      <c r="CG176" s="39">
        <v>306.01988249999999</v>
      </c>
      <c r="CH176" s="39" t="s">
        <v>42</v>
      </c>
      <c r="CI176" s="39">
        <v>-4369</v>
      </c>
      <c r="CJ176" s="2">
        <v>306.01387649999998</v>
      </c>
      <c r="CK176" s="5" t="s">
        <v>25</v>
      </c>
      <c r="CL176" s="2">
        <v>1</v>
      </c>
      <c r="CM176" s="2">
        <v>0.120999999999185</v>
      </c>
      <c r="CN176" s="5" t="s">
        <v>25</v>
      </c>
      <c r="CO176" s="2">
        <v>1</v>
      </c>
      <c r="CP176" s="2">
        <v>0.81525340000000002</v>
      </c>
      <c r="CQ176" s="5" t="s">
        <v>25</v>
      </c>
      <c r="CR176" s="2">
        <v>1</v>
      </c>
      <c r="CS176" s="2">
        <v>0.62883750000000005</v>
      </c>
      <c r="CT176" s="6" t="s">
        <v>25</v>
      </c>
      <c r="CU176" s="4">
        <v>1</v>
      </c>
      <c r="CV176" s="4">
        <v>0.62124500000000005</v>
      </c>
      <c r="CW176" s="39" t="s">
        <v>25</v>
      </c>
      <c r="CX176" s="39">
        <v>1</v>
      </c>
      <c r="CY176" s="2">
        <v>0.64980000000000004</v>
      </c>
      <c r="CZ176" s="2" t="str">
        <f>IF(AND(Table1[[#This Row],[Cplex MZ1 Cost]]=Table1[[#This Row],[ORTools FZN2 Cost]],Table1[[#This Row],[ORTools FZN2 State]]="Optimal",Table1[[#This Row],[Cplex MZ1 State]]="Suboptimal"),1,"")</f>
        <v/>
      </c>
      <c r="DA176" s="5" t="s">
        <v>25</v>
      </c>
      <c r="DB176" s="2">
        <v>1</v>
      </c>
      <c r="DC176" s="2">
        <v>0.3972</v>
      </c>
      <c r="DD176" s="2" t="str">
        <f>IF(AND(Table1[[#This Row],[Cplex MZ2 Cost]]=Table1[[#This Row],[ORTools FZN2 Cost]],Table1[[#This Row],[ORTools FZN2 State]]="Optimal",Table1[[#This Row],[Cplex MZ2 State]]="Suboptimal"),1,"")</f>
        <v/>
      </c>
      <c r="DE176" s="39" t="s">
        <v>25</v>
      </c>
      <c r="DF176" s="39">
        <v>1</v>
      </c>
      <c r="DG176" s="2">
        <v>0.875</v>
      </c>
      <c r="DH176" s="2" t="str">
        <f>IF(AND(Table1[[#This Row],[Gurobi MZ1 Cost]]=Table1[[#This Row],[ORTools FZN2 Cost]],Table1[[#This Row],[ORTools FZN2 State]]="Optimal",Table1[[#This Row],[Gurobi MZ1 State]]="Suboptimal"),1,"")</f>
        <v/>
      </c>
      <c r="DI176" s="5" t="s">
        <v>25</v>
      </c>
      <c r="DJ176" s="2">
        <v>1</v>
      </c>
      <c r="DK176" s="2">
        <v>0.59670000000000001</v>
      </c>
      <c r="DL176" s="4" t="str">
        <f>IF(AND(Table1[[#This Row],[Gurobi MZ2 Cost]]=Table1[[#This Row],[ORTools FZN2 Cost]],Table1[[#This Row],[ORTools FZN2 State]]="Optimal",Table1[[#This Row],[Gurobi MZ2 State]]="Suboptimal"),1,"")</f>
        <v/>
      </c>
      <c r="DM176" s="39" t="s">
        <v>25</v>
      </c>
      <c r="DN176" s="39">
        <v>1</v>
      </c>
      <c r="DO176" s="65">
        <v>0.12299999999959201</v>
      </c>
      <c r="DP176" s="4" t="str">
        <f>IF(AND(Table1[[#This Row],[Cplex MC nonDual Cost]]=Table1[[#This Row],[ORTools FZN2 Cost]],Table1[[#This Row],[ORTools FZN2 State]]="Optimal",Table1[[#This Row],[Cplex MC nonDual State]]="Suboptimal"),1,"")</f>
        <v/>
      </c>
      <c r="DQ176" s="5" t="s">
        <v>25</v>
      </c>
      <c r="DR176" s="2">
        <v>1</v>
      </c>
      <c r="DS176" s="2">
        <v>0.50590000000000002</v>
      </c>
      <c r="DT176" s="2" t="str">
        <f>IF(AND(Table1[[#This Row],[Cplex MIP DM''z Cost]]=Table1[[#This Row],[ORTools FZN2 Cost]],Table1[[#This Row],[ORTools FZN2 State]]="Optimal",Table1[[#This Row],[Cplex MIP DM''z  State]]="Suboptimal"),1,"")</f>
        <v/>
      </c>
      <c r="DU17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6" s="5" t="s">
        <v>25</v>
      </c>
      <c r="DW176" s="2">
        <v>1</v>
      </c>
      <c r="DX176" s="2">
        <v>0.59550000000000003</v>
      </c>
      <c r="DY176" s="4" t="str">
        <f>IF(AND(Table1[[#This Row],[Gurobi DM''z  Cost]]=Table1[[#This Row],[ORTools FZN2 Cost]],Table1[[#This Row],[ORTools FZN2 State]]="Optimal",Table1[[#This Row],[Gurobi DM''z  State]]="Suboptimal"),1,"")</f>
        <v/>
      </c>
      <c r="DZ17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7" spans="1:130" ht="15.75" x14ac:dyDescent="0.25">
      <c r="A177" s="47" t="s">
        <v>203</v>
      </c>
      <c r="B177" s="5">
        <v>16</v>
      </c>
      <c r="C177" s="2">
        <v>8</v>
      </c>
      <c r="D177" s="5">
        <v>34</v>
      </c>
      <c r="E177" s="2">
        <v>9</v>
      </c>
      <c r="F177" s="5">
        <v>15</v>
      </c>
      <c r="G177" s="2">
        <v>4</v>
      </c>
      <c r="H177" s="4">
        <f t="shared" si="2"/>
        <v>0</v>
      </c>
      <c r="I177" s="4">
        <f>Table1[[#This Row],[B]]+Table1[[#This Row],[Atomic Constraints]]+Table1[[#This Row],[Soft Atomic Constraints]]+Table1[[#This Row],[Disjunctive Constraints]]+Table1[[#This Row],[Direct Successors]]</f>
        <v>70</v>
      </c>
      <c r="J177" s="5" t="s">
        <v>25</v>
      </c>
      <c r="K177" s="2">
        <v>0</v>
      </c>
      <c r="L177" s="2">
        <v>0.76969739999999998</v>
      </c>
      <c r="M177" s="2" t="str">
        <f>IF(AND(Table1[[#This Row],[Chuffed MZ1 Cost]]=Table1[[#This Row],[ORTools FZN2 Cost]],Table1[[#This Row],[ORTools FZN2 State]]="Optimal",Table1[[#This Row],[Chuffed MZ1 State]]="Suboptimal"),1,"")</f>
        <v/>
      </c>
      <c r="N177" s="5" t="s">
        <v>25</v>
      </c>
      <c r="O177" s="2">
        <v>0</v>
      </c>
      <c r="P177" s="2">
        <v>0.72791729999999999</v>
      </c>
      <c r="Q177" s="2" t="str">
        <f>IF(AND(Table1[[#This Row],[Chuffed MZ2 Cost]]=Table1[[#This Row],[ORTools FZN2 Cost]],Table1[[#This Row],[ORTools FZN2 State]]="Optimal",Table1[[#This Row],[Chuffed MZ2 State]]="Suboptimal"),1,"")</f>
        <v/>
      </c>
      <c r="R177" s="5" t="s">
        <v>25</v>
      </c>
      <c r="S177" s="2">
        <v>0</v>
      </c>
      <c r="T177" s="2">
        <v>0.118999999998778</v>
      </c>
      <c r="U177" s="2"/>
      <c r="V177" s="5" t="s">
        <v>25</v>
      </c>
      <c r="W177" s="2">
        <v>0</v>
      </c>
      <c r="X177" s="2">
        <v>0.30483300000000002</v>
      </c>
      <c r="Y177" s="2" t="str">
        <f>IF(AND(Table1[[#This Row],[ORTools FZN1 Cost]]=Table1[[#This Row],[ORTools FZN2 Cost]],Table1[[#This Row],[ORTools FZN2 State]]="Optimal",Table1[[#This Row],[ORTools FZN1 State]]="Suboptimal"),1,"")</f>
        <v/>
      </c>
      <c r="Z177" s="5" t="s">
        <v>25</v>
      </c>
      <c r="AA177" s="2">
        <v>0</v>
      </c>
      <c r="AB177" s="2">
        <v>0.27744229999999998</v>
      </c>
      <c r="AC177" s="39" t="s">
        <v>25</v>
      </c>
      <c r="AD177" s="39">
        <v>0</v>
      </c>
      <c r="AE177" s="2">
        <v>0.27202880000000002</v>
      </c>
      <c r="AF177" s="2" t="str">
        <f>IF(AND(Table1[[#This Row],[Cplex MB Cost]]=Table1[[#This Row],[ORTools FZN2 Cost]],Table1[[#This Row],[ORTools FZN2 State]]="Optimal",Table1[[#This Row],[Cplex MB State]]="Suboptimal"),1,"")</f>
        <v/>
      </c>
      <c r="AG177" s="4">
        <f>IF(AND(AC177="Optimal",AD177&lt;&gt;AA177,Table1[[#This Row],[Example]]&lt;&gt;"R001",Table1[[#This Row],[Example]]&lt;&gt;"R002"),AD177-AA177,)</f>
        <v>0</v>
      </c>
      <c r="AH177" s="5" t="s">
        <v>25</v>
      </c>
      <c r="AI177" s="2">
        <v>0</v>
      </c>
      <c r="AJ177" s="2">
        <v>1.6138600999999999</v>
      </c>
      <c r="AK177" s="2" t="str">
        <f>IF(AND(Table1[[#This Row],[Cplex MD Cost]]=Table1[[#This Row],[ORTools FZN2 Cost]],Table1[[#This Row],[ORTools FZN2 State]]="Optimal",Table1[[#This Row],[Cplex MD State]]="Suboptimal"),1,"")</f>
        <v/>
      </c>
      <c r="AL177" s="4">
        <f>IF(AND(AH177="Optimal",AI177&lt;&gt;AA177,Table1[[#This Row],[Example]]&lt;&gt;"R001",Table1[[#This Row],[Example]]&lt;&gt;"R002"),AI177-AA177,)</f>
        <v>0</v>
      </c>
      <c r="AM177" s="39" t="s">
        <v>25</v>
      </c>
      <c r="AN177" s="39">
        <v>0</v>
      </c>
      <c r="AO177" s="2">
        <v>0.2868096</v>
      </c>
      <c r="AP17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7" s="2" t="str">
        <f>IF(AND(Table1[[#This Row],[Cplex MI Cost]]=Table1[[#This Row],[ORTools FZN2 Cost]],Table1[[#This Row],[ORTools FZN2 State]]="Optimal",Table1[[#This Row],[Cplex MI State]]="Suboptimal"),1,"")</f>
        <v/>
      </c>
      <c r="AR177" s="12" t="s">
        <v>26</v>
      </c>
      <c r="AS177" s="12">
        <v>0</v>
      </c>
      <c r="AT177" s="12">
        <v>2.8454402000000001</v>
      </c>
      <c r="AU177" s="12">
        <f>IF(AND(Table1[[#This Row],[Z3 SMT2-1 Maxres Cost]]=Table1[[#This Row],[ORTools FZN2 Cost]],Table1[[#This Row],[ORTools FZN2 State]]="Optimal"),1,"")</f>
        <v>1</v>
      </c>
      <c r="AV177" s="12" t="s">
        <v>26</v>
      </c>
      <c r="AW177" s="12">
        <v>0</v>
      </c>
      <c r="AX177" s="12">
        <v>2.8770273999999998</v>
      </c>
      <c r="AY177" s="12">
        <f>IF(AND(Table1[[#This Row],[Z3 SMT2-1 PdMaxres Cost]]=Table1[[#This Row],[ORTools FZN2 Cost]],Table1[[#This Row],[ORTools FZN2 State]]="Optimal"),1,"")</f>
        <v>1</v>
      </c>
      <c r="AZ177" s="12" t="s">
        <v>26</v>
      </c>
      <c r="BA177" s="12">
        <v>0</v>
      </c>
      <c r="BB177" s="12">
        <v>3.3231259</v>
      </c>
      <c r="BC177" s="12">
        <f>IF(AND(Table1[[#This Row],[Z3 SMT2-1 WMax Cost]]=Table1[[#This Row],[ORTools FZN2 Cost]],Table1[[#This Row],[ORTools FZN2 State]]="Optimal"),1,"")</f>
        <v>1</v>
      </c>
      <c r="BD177" s="12" t="s">
        <v>26</v>
      </c>
      <c r="BE177" s="12">
        <v>0</v>
      </c>
      <c r="BF177" s="12">
        <v>2.0193409999999998</v>
      </c>
      <c r="BG177" s="12">
        <f>IF(AND(Table1[[#This Row],[Z3 SMT2-2 Maxres Cost]]=Table1[[#This Row],[ORTools FZN2 Cost]],Table1[[#This Row],[ORTools FZN2 State]]="Optimal"),1,"")</f>
        <v>1</v>
      </c>
      <c r="BH177" s="12" t="s">
        <v>26</v>
      </c>
      <c r="BI177" s="12">
        <v>0</v>
      </c>
      <c r="BJ177" s="12">
        <v>2.0081351999999999</v>
      </c>
      <c r="BK177" s="12">
        <f>IF(AND(Table1[[#This Row],[Z3 SMT2-2 PdMaxres Cost]]=Table1[[#This Row],[ORTools FZN2 Cost]],Table1[[#This Row],[ORTools FZN2 State]]="Optimal"),1,"")</f>
        <v>1</v>
      </c>
      <c r="BL177" s="12" t="s">
        <v>26</v>
      </c>
      <c r="BM177" s="12">
        <v>0</v>
      </c>
      <c r="BN177" s="12">
        <v>2.0294827999999998</v>
      </c>
      <c r="BO177" s="11">
        <f>IF(AND(Table1[[#This Row],[Z3 SMT2-2 PdMaxres Cost]]=Table1[[#This Row],[ORTools FZN2 Cost]],Table1[[#This Row],[ORTools FZN2 State]]="Optimal"),1,"")</f>
        <v>1</v>
      </c>
      <c r="BP177" s="5" t="s">
        <v>25</v>
      </c>
      <c r="BQ177" s="2">
        <v>0</v>
      </c>
      <c r="BR177" s="2">
        <v>0.21812870000000001</v>
      </c>
      <c r="BS177" s="2" t="str">
        <f>IF(AND(Table1[[#This Row],[Gurobi MB Cost]]=Table1[[#This Row],[ORTools FZN2 Cost]],Table1[[#This Row],[ORTools FZN2 State]]="Optimal",Table1[[#This Row],[Gurobi MB State]]="Suboptimal"),1,"")</f>
        <v/>
      </c>
      <c r="BT17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7" s="5" t="s">
        <v>25</v>
      </c>
      <c r="BV177" s="2">
        <v>0</v>
      </c>
      <c r="BW177" s="2">
        <v>0.5762081</v>
      </c>
      <c r="BX177" s="2" t="str">
        <f>IF(AND(Table1[[#This Row],[Gurobi MD Cost]]=Table1[[#This Row],[ORTools FZN2 Cost]],Table1[[#This Row],[ORTools FZN2 State]]="Optimal",Table1[[#This Row],[Gurobi MD State]]="Suboptimal"),1,"")</f>
        <v/>
      </c>
      <c r="BY17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7" s="5" t="s">
        <v>25</v>
      </c>
      <c r="CA177" s="2">
        <v>0</v>
      </c>
      <c r="CB177" s="2">
        <v>0.29586380000000001</v>
      </c>
      <c r="CC177" s="2" t="str">
        <f>IF(AND(Table1[[#This Row],[Gurobi MI Cost]]=Table1[[#This Row],[ORTools FZN2 Cost]],Table1[[#This Row],[ORTools FZN2 State]]="Optimal",Table1[[#This Row],[Gurobi MI State]]="Suboptimal"),1,"")</f>
        <v/>
      </c>
      <c r="CD17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7" s="39" t="s">
        <v>42</v>
      </c>
      <c r="CF177" s="2">
        <v>-4369</v>
      </c>
      <c r="CG177" s="39">
        <v>306.0184079</v>
      </c>
      <c r="CH177" s="39" t="s">
        <v>42</v>
      </c>
      <c r="CI177" s="39">
        <v>-4369</v>
      </c>
      <c r="CJ177" s="2">
        <v>306.01715619999999</v>
      </c>
      <c r="CK177" s="5" t="s">
        <v>25</v>
      </c>
      <c r="CL177" s="2">
        <v>0</v>
      </c>
      <c r="CM177" s="2">
        <v>0.111000000000786</v>
      </c>
      <c r="CN177" s="5" t="s">
        <v>25</v>
      </c>
      <c r="CO177" s="2">
        <v>0</v>
      </c>
      <c r="CP177" s="2">
        <v>0.71024520000000002</v>
      </c>
      <c r="CQ177" s="5" t="s">
        <v>25</v>
      </c>
      <c r="CR177" s="2">
        <v>0</v>
      </c>
      <c r="CS177" s="2">
        <v>0.55605300000000002</v>
      </c>
      <c r="CT177" s="6" t="s">
        <v>25</v>
      </c>
      <c r="CU177" s="4">
        <v>0</v>
      </c>
      <c r="CV177" s="4">
        <v>0.64966769999999996</v>
      </c>
      <c r="CW177" s="39" t="s">
        <v>25</v>
      </c>
      <c r="CX177" s="39">
        <v>0</v>
      </c>
      <c r="CY177" s="2">
        <v>0.66410000000000002</v>
      </c>
      <c r="CZ177" s="2" t="str">
        <f>IF(AND(Table1[[#This Row],[Cplex MZ1 Cost]]=Table1[[#This Row],[ORTools FZN2 Cost]],Table1[[#This Row],[ORTools FZN2 State]]="Optimal",Table1[[#This Row],[Cplex MZ1 State]]="Suboptimal"),1,"")</f>
        <v/>
      </c>
      <c r="DA177" s="5" t="s">
        <v>25</v>
      </c>
      <c r="DB177" s="2">
        <v>0</v>
      </c>
      <c r="DC177" s="2">
        <v>0.3463</v>
      </c>
      <c r="DD177" s="2" t="str">
        <f>IF(AND(Table1[[#This Row],[Cplex MZ2 Cost]]=Table1[[#This Row],[ORTools FZN2 Cost]],Table1[[#This Row],[ORTools FZN2 State]]="Optimal",Table1[[#This Row],[Cplex MZ2 State]]="Suboptimal"),1,"")</f>
        <v/>
      </c>
      <c r="DE177" s="39" t="s">
        <v>25</v>
      </c>
      <c r="DF177" s="39">
        <v>0</v>
      </c>
      <c r="DG177" s="2">
        <v>0.70699999999999996</v>
      </c>
      <c r="DH177" s="2" t="str">
        <f>IF(AND(Table1[[#This Row],[Gurobi MZ1 Cost]]=Table1[[#This Row],[ORTools FZN2 Cost]],Table1[[#This Row],[ORTools FZN2 State]]="Optimal",Table1[[#This Row],[Gurobi MZ1 State]]="Suboptimal"),1,"")</f>
        <v/>
      </c>
      <c r="DI177" s="5" t="s">
        <v>25</v>
      </c>
      <c r="DJ177" s="2">
        <v>0</v>
      </c>
      <c r="DK177" s="2">
        <v>0.45839999999999997</v>
      </c>
      <c r="DL177" s="4" t="str">
        <f>IF(AND(Table1[[#This Row],[Gurobi MZ2 Cost]]=Table1[[#This Row],[ORTools FZN2 Cost]],Table1[[#This Row],[ORTools FZN2 State]]="Optimal",Table1[[#This Row],[Gurobi MZ2 State]]="Suboptimal"),1,"")</f>
        <v/>
      </c>
      <c r="DM177" s="39" t="s">
        <v>25</v>
      </c>
      <c r="DN177" s="39">
        <v>0</v>
      </c>
      <c r="DO177" s="65">
        <v>9.9000000001979005E-2</v>
      </c>
      <c r="DP177" s="4" t="str">
        <f>IF(AND(Table1[[#This Row],[Cplex MC nonDual Cost]]=Table1[[#This Row],[ORTools FZN2 Cost]],Table1[[#This Row],[ORTools FZN2 State]]="Optimal",Table1[[#This Row],[Cplex MC nonDual State]]="Suboptimal"),1,"")</f>
        <v/>
      </c>
      <c r="DQ177" s="5" t="s">
        <v>25</v>
      </c>
      <c r="DR177" s="2">
        <v>0</v>
      </c>
      <c r="DS177" s="2">
        <v>0.5736</v>
      </c>
      <c r="DT177" s="2" t="str">
        <f>IF(AND(Table1[[#This Row],[Cplex MIP DM''z Cost]]=Table1[[#This Row],[ORTools FZN2 Cost]],Table1[[#This Row],[ORTools FZN2 State]]="Optimal",Table1[[#This Row],[Cplex MIP DM''z  State]]="Suboptimal"),1,"")</f>
        <v/>
      </c>
      <c r="DU17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7" s="5" t="s">
        <v>25</v>
      </c>
      <c r="DW177" s="2">
        <v>0</v>
      </c>
      <c r="DX177" s="2">
        <v>0.58489999999999998</v>
      </c>
      <c r="DY177" s="4" t="str">
        <f>IF(AND(Table1[[#This Row],[Gurobi DM''z  Cost]]=Table1[[#This Row],[ORTools FZN2 Cost]],Table1[[#This Row],[ORTools FZN2 State]]="Optimal",Table1[[#This Row],[Gurobi DM''z  State]]="Suboptimal"),1,"")</f>
        <v/>
      </c>
      <c r="DZ17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8" spans="1:130" ht="15.75" x14ac:dyDescent="0.25">
      <c r="A178" s="46" t="s">
        <v>204</v>
      </c>
      <c r="B178" s="5">
        <v>16</v>
      </c>
      <c r="C178" s="2">
        <v>8</v>
      </c>
      <c r="D178" s="5">
        <v>24</v>
      </c>
      <c r="E178" s="2">
        <v>12</v>
      </c>
      <c r="F178" s="5">
        <v>8</v>
      </c>
      <c r="G178" s="2">
        <v>0</v>
      </c>
      <c r="H178" s="4">
        <f t="shared" si="2"/>
        <v>0</v>
      </c>
      <c r="I178" s="4">
        <f>Table1[[#This Row],[B]]+Table1[[#This Row],[Atomic Constraints]]+Table1[[#This Row],[Soft Atomic Constraints]]+Table1[[#This Row],[Disjunctive Constraints]]+Table1[[#This Row],[Direct Successors]]</f>
        <v>52</v>
      </c>
      <c r="J178" s="5" t="s">
        <v>25</v>
      </c>
      <c r="K178" s="2">
        <v>1</v>
      </c>
      <c r="L178" s="2">
        <v>0.77309159999999999</v>
      </c>
      <c r="M178" s="2" t="str">
        <f>IF(AND(Table1[[#This Row],[Chuffed MZ1 Cost]]=Table1[[#This Row],[ORTools FZN2 Cost]],Table1[[#This Row],[ORTools FZN2 State]]="Optimal",Table1[[#This Row],[Chuffed MZ1 State]]="Suboptimal"),1,"")</f>
        <v/>
      </c>
      <c r="N178" s="5" t="s">
        <v>25</v>
      </c>
      <c r="O178" s="2">
        <v>1</v>
      </c>
      <c r="P178" s="2">
        <v>0.71977559999999996</v>
      </c>
      <c r="Q178" s="2" t="str">
        <f>IF(AND(Table1[[#This Row],[Chuffed MZ2 Cost]]=Table1[[#This Row],[ORTools FZN2 Cost]],Table1[[#This Row],[ORTools FZN2 State]]="Optimal",Table1[[#This Row],[Chuffed MZ2 State]]="Suboptimal"),1,"")</f>
        <v/>
      </c>
      <c r="R178" s="6" t="s">
        <v>25</v>
      </c>
      <c r="S178" s="4">
        <v>1</v>
      </c>
      <c r="T178" s="4">
        <v>8.5999999999330598E-2</v>
      </c>
      <c r="U178" s="4"/>
      <c r="V178" s="5" t="s">
        <v>25</v>
      </c>
      <c r="W178" s="2">
        <v>1</v>
      </c>
      <c r="X178" s="2">
        <v>0.38242559999999998</v>
      </c>
      <c r="Y178" s="2" t="str">
        <f>IF(AND(Table1[[#This Row],[ORTools FZN1 Cost]]=Table1[[#This Row],[ORTools FZN2 Cost]],Table1[[#This Row],[ORTools FZN2 State]]="Optimal",Table1[[#This Row],[ORTools FZN1 State]]="Suboptimal"),1,"")</f>
        <v/>
      </c>
      <c r="Z178" s="5" t="s">
        <v>25</v>
      </c>
      <c r="AA178" s="2">
        <v>1</v>
      </c>
      <c r="AB178" s="2">
        <v>0.409885</v>
      </c>
      <c r="AC178" s="39" t="s">
        <v>25</v>
      </c>
      <c r="AD178" s="39">
        <v>1</v>
      </c>
      <c r="AE178" s="2">
        <v>0.76663559999999997</v>
      </c>
      <c r="AF178" s="2" t="str">
        <f>IF(AND(Table1[[#This Row],[Cplex MB Cost]]=Table1[[#This Row],[ORTools FZN2 Cost]],Table1[[#This Row],[ORTools FZN2 State]]="Optimal",Table1[[#This Row],[Cplex MB State]]="Suboptimal"),1,"")</f>
        <v/>
      </c>
      <c r="AG178" s="4">
        <f>IF(AND(AC178="Optimal",AD178&lt;&gt;AA178,Table1[[#This Row],[Example]]&lt;&gt;"R001",Table1[[#This Row],[Example]]&lt;&gt;"R002"),AD178-AA178,)</f>
        <v>0</v>
      </c>
      <c r="AH178" s="5" t="s">
        <v>25</v>
      </c>
      <c r="AI178" s="2">
        <v>1</v>
      </c>
      <c r="AJ178" s="2">
        <v>3.9599038000000002</v>
      </c>
      <c r="AK178" s="2" t="str">
        <f>IF(AND(Table1[[#This Row],[Cplex MD Cost]]=Table1[[#This Row],[ORTools FZN2 Cost]],Table1[[#This Row],[ORTools FZN2 State]]="Optimal",Table1[[#This Row],[Cplex MD State]]="Suboptimal"),1,"")</f>
        <v/>
      </c>
      <c r="AL178" s="4">
        <f>IF(AND(AH178="Optimal",AI178&lt;&gt;AA178,Table1[[#This Row],[Example]]&lt;&gt;"R001",Table1[[#This Row],[Example]]&lt;&gt;"R002"),AI178-AA178,)</f>
        <v>0</v>
      </c>
      <c r="AM178" s="39" t="s">
        <v>25</v>
      </c>
      <c r="AN178" s="39">
        <v>1</v>
      </c>
      <c r="AO178" s="2">
        <v>0.32358989999999999</v>
      </c>
      <c r="AP17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8" s="4" t="str">
        <f>IF(AND(Table1[[#This Row],[Cplex MI Cost]]=Table1[[#This Row],[ORTools FZN2 Cost]],Table1[[#This Row],[ORTools FZN2 State]]="Optimal",Table1[[#This Row],[Cplex MI State]]="Suboptimal"),1,"")</f>
        <v/>
      </c>
      <c r="AR178" s="12" t="s">
        <v>26</v>
      </c>
      <c r="AS178" s="12">
        <v>1</v>
      </c>
      <c r="AT178" s="12">
        <v>6.5552459000000001</v>
      </c>
      <c r="AU178" s="12">
        <f>IF(AND(Table1[[#This Row],[Z3 SMT2-1 Maxres Cost]]=Table1[[#This Row],[ORTools FZN2 Cost]],Table1[[#This Row],[ORTools FZN2 State]]="Optimal"),1,"")</f>
        <v>1</v>
      </c>
      <c r="AV178" s="12" t="s">
        <v>26</v>
      </c>
      <c r="AW178" s="12">
        <v>1</v>
      </c>
      <c r="AX178" s="12">
        <v>6.6224882000000003</v>
      </c>
      <c r="AY178" s="12">
        <f>IF(AND(Table1[[#This Row],[Z3 SMT2-1 PdMaxres Cost]]=Table1[[#This Row],[ORTools FZN2 Cost]],Table1[[#This Row],[ORTools FZN2 State]]="Optimal"),1,"")</f>
        <v>1</v>
      </c>
      <c r="AZ178" s="12" t="s">
        <v>26</v>
      </c>
      <c r="BA178" s="12">
        <v>1</v>
      </c>
      <c r="BB178" s="12">
        <v>8.0031630000000007</v>
      </c>
      <c r="BC178" s="12">
        <f>IF(AND(Table1[[#This Row],[Z3 SMT2-1 WMax Cost]]=Table1[[#This Row],[ORTools FZN2 Cost]],Table1[[#This Row],[ORTools FZN2 State]]="Optimal"),1,"")</f>
        <v>1</v>
      </c>
      <c r="BD178" s="12" t="s">
        <v>26</v>
      </c>
      <c r="BE178" s="12">
        <v>1</v>
      </c>
      <c r="BF178" s="12">
        <v>4.7740572999999999</v>
      </c>
      <c r="BG178" s="12">
        <f>IF(AND(Table1[[#This Row],[Z3 SMT2-2 Maxres Cost]]=Table1[[#This Row],[ORTools FZN2 Cost]],Table1[[#This Row],[ORTools FZN2 State]]="Optimal"),1,"")</f>
        <v>1</v>
      </c>
      <c r="BH178" s="12" t="s">
        <v>26</v>
      </c>
      <c r="BI178" s="12">
        <v>1</v>
      </c>
      <c r="BJ178" s="12">
        <v>4.7204644</v>
      </c>
      <c r="BK178" s="12">
        <f>IF(AND(Table1[[#This Row],[Z3 SMT2-2 PdMaxres Cost]]=Table1[[#This Row],[ORTools FZN2 Cost]],Table1[[#This Row],[ORTools FZN2 State]]="Optimal"),1,"")</f>
        <v>1</v>
      </c>
      <c r="BL178" s="12" t="s">
        <v>26</v>
      </c>
      <c r="BM178" s="12">
        <v>1</v>
      </c>
      <c r="BN178" s="12">
        <v>4.7431039999999998</v>
      </c>
      <c r="BO178" s="11">
        <f>IF(AND(Table1[[#This Row],[Z3 SMT2-2 PdMaxres Cost]]=Table1[[#This Row],[ORTools FZN2 Cost]],Table1[[#This Row],[ORTools FZN2 State]]="Optimal"),1,"")</f>
        <v>1</v>
      </c>
      <c r="BP178" s="5" t="s">
        <v>25</v>
      </c>
      <c r="BQ178" s="2">
        <v>1</v>
      </c>
      <c r="BR178" s="2">
        <v>0.22147790000000001</v>
      </c>
      <c r="BS178" s="2" t="str">
        <f>IF(AND(Table1[[#This Row],[Gurobi MB Cost]]=Table1[[#This Row],[ORTools FZN2 Cost]],Table1[[#This Row],[ORTools FZN2 State]]="Optimal",Table1[[#This Row],[Gurobi MB State]]="Suboptimal"),1,"")</f>
        <v/>
      </c>
      <c r="BT17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8" s="5" t="s">
        <v>25</v>
      </c>
      <c r="BV178" s="2">
        <v>1</v>
      </c>
      <c r="BW178" s="2">
        <v>2.0882212</v>
      </c>
      <c r="BX178" s="2" t="str">
        <f>IF(AND(Table1[[#This Row],[Gurobi MD Cost]]=Table1[[#This Row],[ORTools FZN2 Cost]],Table1[[#This Row],[ORTools FZN2 State]]="Optimal",Table1[[#This Row],[Gurobi MD State]]="Suboptimal"),1,"")</f>
        <v/>
      </c>
      <c r="BY17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8" s="5" t="s">
        <v>25</v>
      </c>
      <c r="CA178" s="2">
        <v>1</v>
      </c>
      <c r="CB178" s="2">
        <v>0.47081810000000002</v>
      </c>
      <c r="CC178" s="2" t="str">
        <f>IF(AND(Table1[[#This Row],[Gurobi MI Cost]]=Table1[[#This Row],[ORTools FZN2 Cost]],Table1[[#This Row],[ORTools FZN2 State]]="Optimal",Table1[[#This Row],[Gurobi MI State]]="Suboptimal"),1,"")</f>
        <v/>
      </c>
      <c r="CD17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8" s="39" t="s">
        <v>42</v>
      </c>
      <c r="CF178" s="2">
        <v>-4369</v>
      </c>
      <c r="CG178" s="39">
        <v>306.134638</v>
      </c>
      <c r="CH178" s="39" t="s">
        <v>42</v>
      </c>
      <c r="CI178" s="39">
        <v>-4369</v>
      </c>
      <c r="CJ178" s="2">
        <v>306.06451909999998</v>
      </c>
      <c r="CK178" s="5" t="s">
        <v>25</v>
      </c>
      <c r="CL178" s="2">
        <v>1</v>
      </c>
      <c r="CM178" s="2">
        <v>9.4999999997526202E-2</v>
      </c>
      <c r="CN178" s="5" t="s">
        <v>25</v>
      </c>
      <c r="CO178" s="2">
        <v>1</v>
      </c>
      <c r="CP178" s="2">
        <v>0.82324180000000002</v>
      </c>
      <c r="CQ178" s="5" t="s">
        <v>25</v>
      </c>
      <c r="CR178" s="2">
        <v>1</v>
      </c>
      <c r="CS178" s="2">
        <v>0.69004810000000005</v>
      </c>
      <c r="CT178" s="6" t="s">
        <v>25</v>
      </c>
      <c r="CU178" s="4">
        <v>1</v>
      </c>
      <c r="CV178" s="4">
        <v>0.69186349999999996</v>
      </c>
      <c r="CW178" s="39" t="s">
        <v>25</v>
      </c>
      <c r="CX178" s="39">
        <v>1</v>
      </c>
      <c r="CY178" s="2">
        <v>0.67959999999999998</v>
      </c>
      <c r="CZ178" s="2" t="str">
        <f>IF(AND(Table1[[#This Row],[Cplex MZ1 Cost]]=Table1[[#This Row],[ORTools FZN2 Cost]],Table1[[#This Row],[ORTools FZN2 State]]="Optimal",Table1[[#This Row],[Cplex MZ1 State]]="Suboptimal"),1,"")</f>
        <v/>
      </c>
      <c r="DA178" s="5" t="s">
        <v>25</v>
      </c>
      <c r="DB178" s="2">
        <v>1</v>
      </c>
      <c r="DC178" s="2">
        <v>0.55559999999999998</v>
      </c>
      <c r="DD178" s="2" t="str">
        <f>IF(AND(Table1[[#This Row],[Cplex MZ2 Cost]]=Table1[[#This Row],[ORTools FZN2 Cost]],Table1[[#This Row],[ORTools FZN2 State]]="Optimal",Table1[[#This Row],[Cplex MZ2 State]]="Suboptimal"),1,"")</f>
        <v/>
      </c>
      <c r="DE178" s="39" t="s">
        <v>25</v>
      </c>
      <c r="DF178" s="39">
        <v>1</v>
      </c>
      <c r="DG178" s="2">
        <v>0.95320000000000005</v>
      </c>
      <c r="DH178" s="2" t="str">
        <f>IF(AND(Table1[[#This Row],[Gurobi MZ1 Cost]]=Table1[[#This Row],[ORTools FZN2 Cost]],Table1[[#This Row],[ORTools FZN2 State]]="Optimal",Table1[[#This Row],[Gurobi MZ1 State]]="Suboptimal"),1,"")</f>
        <v/>
      </c>
      <c r="DI178" s="5" t="s">
        <v>25</v>
      </c>
      <c r="DJ178" s="2">
        <v>1</v>
      </c>
      <c r="DK178" s="2">
        <v>0.622</v>
      </c>
      <c r="DL178" s="4" t="str">
        <f>IF(AND(Table1[[#This Row],[Gurobi MZ2 Cost]]=Table1[[#This Row],[ORTools FZN2 Cost]],Table1[[#This Row],[ORTools FZN2 State]]="Optimal",Table1[[#This Row],[Gurobi MZ2 State]]="Suboptimal"),1,"")</f>
        <v/>
      </c>
      <c r="DM178" s="39" t="s">
        <v>25</v>
      </c>
      <c r="DN178" s="39">
        <v>1</v>
      </c>
      <c r="DO178" s="65">
        <v>9.1000000000349204E-2</v>
      </c>
      <c r="DP178" s="4" t="str">
        <f>IF(AND(Table1[[#This Row],[Cplex MC nonDual Cost]]=Table1[[#This Row],[ORTools FZN2 Cost]],Table1[[#This Row],[ORTools FZN2 State]]="Optimal",Table1[[#This Row],[Cplex MC nonDual State]]="Suboptimal"),1,"")</f>
        <v/>
      </c>
      <c r="DQ178" s="5" t="s">
        <v>25</v>
      </c>
      <c r="DR178" s="2">
        <v>1</v>
      </c>
      <c r="DS178" s="2">
        <v>0.43340000000000001</v>
      </c>
      <c r="DT178" s="2" t="str">
        <f>IF(AND(Table1[[#This Row],[Cplex MIP DM''z Cost]]=Table1[[#This Row],[ORTools FZN2 Cost]],Table1[[#This Row],[ORTools FZN2 State]]="Optimal",Table1[[#This Row],[Cplex MIP DM''z  State]]="Suboptimal"),1,"")</f>
        <v/>
      </c>
      <c r="DU17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8" s="5" t="s">
        <v>25</v>
      </c>
      <c r="DW178" s="2">
        <v>1</v>
      </c>
      <c r="DX178" s="2">
        <v>1.0439000000000001</v>
      </c>
      <c r="DY178" s="4" t="str">
        <f>IF(AND(Table1[[#This Row],[Gurobi DM''z  Cost]]=Table1[[#This Row],[ORTools FZN2 Cost]],Table1[[#This Row],[ORTools FZN2 State]]="Optimal",Table1[[#This Row],[Gurobi DM''z  State]]="Suboptimal"),1,"")</f>
        <v/>
      </c>
      <c r="DZ17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79" spans="1:130" ht="15.75" x14ac:dyDescent="0.25">
      <c r="A179" s="47" t="s">
        <v>205</v>
      </c>
      <c r="B179" s="5">
        <v>16</v>
      </c>
      <c r="C179" s="2">
        <v>8</v>
      </c>
      <c r="D179" s="5">
        <v>34</v>
      </c>
      <c r="E179" s="2">
        <v>9</v>
      </c>
      <c r="F179" s="5">
        <v>11</v>
      </c>
      <c r="G179" s="2">
        <v>2</v>
      </c>
      <c r="H179" s="4">
        <f t="shared" si="2"/>
        <v>0</v>
      </c>
      <c r="I179" s="4">
        <f>Table1[[#This Row],[B]]+Table1[[#This Row],[Atomic Constraints]]+Table1[[#This Row],[Soft Atomic Constraints]]+Table1[[#This Row],[Disjunctive Constraints]]+Table1[[#This Row],[Direct Successors]]</f>
        <v>64</v>
      </c>
      <c r="J179" s="5" t="s">
        <v>25</v>
      </c>
      <c r="K179" s="2">
        <v>0</v>
      </c>
      <c r="L179" s="2">
        <v>0.76128620000000002</v>
      </c>
      <c r="M179" s="2" t="str">
        <f>IF(AND(Table1[[#This Row],[Chuffed MZ1 Cost]]=Table1[[#This Row],[ORTools FZN2 Cost]],Table1[[#This Row],[ORTools FZN2 State]]="Optimal",Table1[[#This Row],[Chuffed MZ1 State]]="Suboptimal"),1,"")</f>
        <v/>
      </c>
      <c r="N179" s="5" t="s">
        <v>25</v>
      </c>
      <c r="O179" s="2">
        <v>0</v>
      </c>
      <c r="P179" s="2">
        <v>0.71818669999999996</v>
      </c>
      <c r="Q179" s="2" t="str">
        <f>IF(AND(Table1[[#This Row],[Chuffed MZ2 Cost]]=Table1[[#This Row],[ORTools FZN2 Cost]],Table1[[#This Row],[ORTools FZN2 State]]="Optimal",Table1[[#This Row],[Chuffed MZ2 State]]="Suboptimal"),1,"")</f>
        <v/>
      </c>
      <c r="R179" s="5" t="s">
        <v>25</v>
      </c>
      <c r="S179" s="2">
        <v>0</v>
      </c>
      <c r="T179" s="2">
        <v>7.8999999997904496E-2</v>
      </c>
      <c r="U179" s="2"/>
      <c r="V179" s="5" t="s">
        <v>25</v>
      </c>
      <c r="W179" s="2">
        <v>0</v>
      </c>
      <c r="X179" s="2">
        <v>0.29721189999999997</v>
      </c>
      <c r="Y179" s="2" t="str">
        <f>IF(AND(Table1[[#This Row],[ORTools FZN1 Cost]]=Table1[[#This Row],[ORTools FZN2 Cost]],Table1[[#This Row],[ORTools FZN2 State]]="Optimal",Table1[[#This Row],[ORTools FZN1 State]]="Suboptimal"),1,"")</f>
        <v/>
      </c>
      <c r="Z179" s="5" t="s">
        <v>25</v>
      </c>
      <c r="AA179" s="2">
        <v>0</v>
      </c>
      <c r="AB179" s="2">
        <v>0.29662100000000002</v>
      </c>
      <c r="AC179" s="39" t="s">
        <v>25</v>
      </c>
      <c r="AD179" s="39">
        <v>0</v>
      </c>
      <c r="AE179" s="2">
        <v>0.17086399999999999</v>
      </c>
      <c r="AF179" s="2" t="str">
        <f>IF(AND(Table1[[#This Row],[Cplex MB Cost]]=Table1[[#This Row],[ORTools FZN2 Cost]],Table1[[#This Row],[ORTools FZN2 State]]="Optimal",Table1[[#This Row],[Cplex MB State]]="Suboptimal"),1,"")</f>
        <v/>
      </c>
      <c r="AG179" s="4">
        <f>IF(AND(AC179="Optimal",AD179&lt;&gt;AA179,Table1[[#This Row],[Example]]&lt;&gt;"R001",Table1[[#This Row],[Example]]&lt;&gt;"R002"),AD179-AA179,)</f>
        <v>0</v>
      </c>
      <c r="AH179" s="5" t="s">
        <v>25</v>
      </c>
      <c r="AI179" s="2">
        <v>0</v>
      </c>
      <c r="AJ179" s="2">
        <v>2.1868723000000001</v>
      </c>
      <c r="AK179" s="2" t="str">
        <f>IF(AND(Table1[[#This Row],[Cplex MD Cost]]=Table1[[#This Row],[ORTools FZN2 Cost]],Table1[[#This Row],[ORTools FZN2 State]]="Optimal",Table1[[#This Row],[Cplex MD State]]="Suboptimal"),1,"")</f>
        <v/>
      </c>
      <c r="AL179" s="4">
        <f>IF(AND(AH179="Optimal",AI179&lt;&gt;AA179,Table1[[#This Row],[Example]]&lt;&gt;"R001",Table1[[#This Row],[Example]]&lt;&gt;"R002"),AI179-AA179,)</f>
        <v>0</v>
      </c>
      <c r="AM179" s="39" t="s">
        <v>25</v>
      </c>
      <c r="AN179" s="39">
        <v>0</v>
      </c>
      <c r="AO179" s="2">
        <v>0.31301869999999998</v>
      </c>
      <c r="AP17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79" s="2" t="str">
        <f>IF(AND(Table1[[#This Row],[Cplex MI Cost]]=Table1[[#This Row],[ORTools FZN2 Cost]],Table1[[#This Row],[ORTools FZN2 State]]="Optimal",Table1[[#This Row],[Cplex MI State]]="Suboptimal"),1,"")</f>
        <v/>
      </c>
      <c r="AR179" s="12" t="s">
        <v>26</v>
      </c>
      <c r="AS179" s="12">
        <v>0</v>
      </c>
      <c r="AT179" s="12">
        <v>4.1286358999999999</v>
      </c>
      <c r="AU179" s="12">
        <f>IF(AND(Table1[[#This Row],[Z3 SMT2-1 Maxres Cost]]=Table1[[#This Row],[ORTools FZN2 Cost]],Table1[[#This Row],[ORTools FZN2 State]]="Optimal"),1,"")</f>
        <v>1</v>
      </c>
      <c r="AV179" s="12" t="s">
        <v>26</v>
      </c>
      <c r="AW179" s="12">
        <v>0</v>
      </c>
      <c r="AX179" s="12">
        <v>4.189012</v>
      </c>
      <c r="AY179" s="12">
        <f>IF(AND(Table1[[#This Row],[Z3 SMT2-1 PdMaxres Cost]]=Table1[[#This Row],[ORTools FZN2 Cost]],Table1[[#This Row],[ORTools FZN2 State]]="Optimal"),1,"")</f>
        <v>1</v>
      </c>
      <c r="AZ179" s="12" t="s">
        <v>26</v>
      </c>
      <c r="BA179" s="12">
        <v>0</v>
      </c>
      <c r="BB179" s="12">
        <v>4.8959012</v>
      </c>
      <c r="BC179" s="12">
        <f>IF(AND(Table1[[#This Row],[Z3 SMT2-1 WMax Cost]]=Table1[[#This Row],[ORTools FZN2 Cost]],Table1[[#This Row],[ORTools FZN2 State]]="Optimal"),1,"")</f>
        <v>1</v>
      </c>
      <c r="BD179" s="12" t="s">
        <v>26</v>
      </c>
      <c r="BE179" s="12">
        <v>0</v>
      </c>
      <c r="BF179" s="12">
        <v>2.8717062000000002</v>
      </c>
      <c r="BG179" s="12">
        <f>IF(AND(Table1[[#This Row],[Z3 SMT2-2 Maxres Cost]]=Table1[[#This Row],[ORTools FZN2 Cost]],Table1[[#This Row],[ORTools FZN2 State]]="Optimal"),1,"")</f>
        <v>1</v>
      </c>
      <c r="BH179" s="12" t="s">
        <v>26</v>
      </c>
      <c r="BI179" s="12">
        <v>0</v>
      </c>
      <c r="BJ179" s="12">
        <v>2.851127</v>
      </c>
      <c r="BK179" s="12">
        <f>IF(AND(Table1[[#This Row],[Z3 SMT2-2 PdMaxres Cost]]=Table1[[#This Row],[ORTools FZN2 Cost]],Table1[[#This Row],[ORTools FZN2 State]]="Optimal"),1,"")</f>
        <v>1</v>
      </c>
      <c r="BL179" s="12" t="s">
        <v>26</v>
      </c>
      <c r="BM179" s="12">
        <v>0</v>
      </c>
      <c r="BN179" s="12">
        <v>2.8833978</v>
      </c>
      <c r="BO179" s="11">
        <f>IF(AND(Table1[[#This Row],[Z3 SMT2-2 PdMaxres Cost]]=Table1[[#This Row],[ORTools FZN2 Cost]],Table1[[#This Row],[ORTools FZN2 State]]="Optimal"),1,"")</f>
        <v>1</v>
      </c>
      <c r="BP179" s="5" t="s">
        <v>25</v>
      </c>
      <c r="BQ179" s="2">
        <v>0</v>
      </c>
      <c r="BR179" s="2">
        <v>0.2530135</v>
      </c>
      <c r="BS179" s="2" t="str">
        <f>IF(AND(Table1[[#This Row],[Gurobi MB Cost]]=Table1[[#This Row],[ORTools FZN2 Cost]],Table1[[#This Row],[ORTools FZN2 State]]="Optimal",Table1[[#This Row],[Gurobi MB State]]="Suboptimal"),1,"")</f>
        <v/>
      </c>
      <c r="BT17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79" s="5" t="s">
        <v>25</v>
      </c>
      <c r="BV179" s="2">
        <v>0</v>
      </c>
      <c r="BW179" s="2">
        <v>1.0565878</v>
      </c>
      <c r="BX179" s="2" t="str">
        <f>IF(AND(Table1[[#This Row],[Gurobi MD Cost]]=Table1[[#This Row],[ORTools FZN2 Cost]],Table1[[#This Row],[ORTools FZN2 State]]="Optimal",Table1[[#This Row],[Gurobi MD State]]="Suboptimal"),1,"")</f>
        <v/>
      </c>
      <c r="BY17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79" s="5" t="s">
        <v>25</v>
      </c>
      <c r="CA179" s="2">
        <v>0</v>
      </c>
      <c r="CB179" s="2">
        <v>0.141703</v>
      </c>
      <c r="CC179" s="2" t="str">
        <f>IF(AND(Table1[[#This Row],[Gurobi MI Cost]]=Table1[[#This Row],[ORTools FZN2 Cost]],Table1[[#This Row],[ORTools FZN2 State]]="Optimal",Table1[[#This Row],[Gurobi MI State]]="Suboptimal"),1,"")</f>
        <v/>
      </c>
      <c r="CD17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79" s="39" t="s">
        <v>42</v>
      </c>
      <c r="CF179" s="2">
        <v>-4369</v>
      </c>
      <c r="CG179" s="39">
        <v>306.03765249999998</v>
      </c>
      <c r="CH179" s="39" t="s">
        <v>42</v>
      </c>
      <c r="CI179" s="39">
        <v>-4369</v>
      </c>
      <c r="CJ179" s="2">
        <v>306.04677529999998</v>
      </c>
      <c r="CK179" s="5" t="s">
        <v>25</v>
      </c>
      <c r="CL179" s="2">
        <v>0</v>
      </c>
      <c r="CM179" s="2">
        <v>0.104000000002998</v>
      </c>
      <c r="CN179" s="5" t="s">
        <v>25</v>
      </c>
      <c r="CO179" s="2">
        <v>0</v>
      </c>
      <c r="CP179" s="2">
        <v>0.70612180000000002</v>
      </c>
      <c r="CQ179" s="5" t="s">
        <v>25</v>
      </c>
      <c r="CR179" s="2">
        <v>0</v>
      </c>
      <c r="CS179" s="2">
        <v>0.65795599999999999</v>
      </c>
      <c r="CT179" s="6" t="s">
        <v>25</v>
      </c>
      <c r="CU179" s="4">
        <v>0</v>
      </c>
      <c r="CV179" s="4">
        <v>0.67562330000000004</v>
      </c>
      <c r="CW179" s="39" t="s">
        <v>25</v>
      </c>
      <c r="CX179" s="39">
        <v>0</v>
      </c>
      <c r="CY179" s="2">
        <v>0.4955</v>
      </c>
      <c r="CZ179" s="2" t="str">
        <f>IF(AND(Table1[[#This Row],[Cplex MZ1 Cost]]=Table1[[#This Row],[ORTools FZN2 Cost]],Table1[[#This Row],[ORTools FZN2 State]]="Optimal",Table1[[#This Row],[Cplex MZ1 State]]="Suboptimal"),1,"")</f>
        <v/>
      </c>
      <c r="DA179" s="5" t="s">
        <v>25</v>
      </c>
      <c r="DB179" s="2">
        <v>0</v>
      </c>
      <c r="DC179" s="2">
        <v>0.31790000000000002</v>
      </c>
      <c r="DD179" s="2" t="str">
        <f>IF(AND(Table1[[#This Row],[Cplex MZ2 Cost]]=Table1[[#This Row],[ORTools FZN2 Cost]],Table1[[#This Row],[ORTools FZN2 State]]="Optimal",Table1[[#This Row],[Cplex MZ2 State]]="Suboptimal"),1,"")</f>
        <v/>
      </c>
      <c r="DE179" s="39" t="s">
        <v>25</v>
      </c>
      <c r="DF179" s="39">
        <v>0</v>
      </c>
      <c r="DG179" s="2">
        <v>0.82869999999999999</v>
      </c>
      <c r="DH179" s="2" t="str">
        <f>IF(AND(Table1[[#This Row],[Gurobi MZ1 Cost]]=Table1[[#This Row],[ORTools FZN2 Cost]],Table1[[#This Row],[ORTools FZN2 State]]="Optimal",Table1[[#This Row],[Gurobi MZ1 State]]="Suboptimal"),1,"")</f>
        <v/>
      </c>
      <c r="DI179" s="5" t="s">
        <v>25</v>
      </c>
      <c r="DJ179" s="2">
        <v>0</v>
      </c>
      <c r="DK179" s="2">
        <v>0.97740000000000005</v>
      </c>
      <c r="DL179" s="4" t="str">
        <f>IF(AND(Table1[[#This Row],[Gurobi MZ2 Cost]]=Table1[[#This Row],[ORTools FZN2 Cost]],Table1[[#This Row],[ORTools FZN2 State]]="Optimal",Table1[[#This Row],[Gurobi MZ2 State]]="Suboptimal"),1,"")</f>
        <v/>
      </c>
      <c r="DM179" s="39" t="s">
        <v>25</v>
      </c>
      <c r="DN179" s="39">
        <v>0</v>
      </c>
      <c r="DO179" s="65">
        <v>0.131000000001222</v>
      </c>
      <c r="DP179" s="4" t="str">
        <f>IF(AND(Table1[[#This Row],[Cplex MC nonDual Cost]]=Table1[[#This Row],[ORTools FZN2 Cost]],Table1[[#This Row],[ORTools FZN2 State]]="Optimal",Table1[[#This Row],[Cplex MC nonDual State]]="Suboptimal"),1,"")</f>
        <v/>
      </c>
      <c r="DQ179" s="5" t="s">
        <v>25</v>
      </c>
      <c r="DR179" s="2">
        <v>0</v>
      </c>
      <c r="DS179" s="2">
        <v>0.38650000000000001</v>
      </c>
      <c r="DT179" s="2" t="str">
        <f>IF(AND(Table1[[#This Row],[Cplex MIP DM''z Cost]]=Table1[[#This Row],[ORTools FZN2 Cost]],Table1[[#This Row],[ORTools FZN2 State]]="Optimal",Table1[[#This Row],[Cplex MIP DM''z  State]]="Suboptimal"),1,"")</f>
        <v/>
      </c>
      <c r="DU17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79" s="5" t="s">
        <v>25</v>
      </c>
      <c r="DW179" s="2">
        <v>0</v>
      </c>
      <c r="DX179" s="2">
        <v>0.87250000000000005</v>
      </c>
      <c r="DY179" s="4" t="str">
        <f>IF(AND(Table1[[#This Row],[Gurobi DM''z  Cost]]=Table1[[#This Row],[ORTools FZN2 Cost]],Table1[[#This Row],[ORTools FZN2 State]]="Optimal",Table1[[#This Row],[Gurobi DM''z  State]]="Suboptimal"),1,"")</f>
        <v/>
      </c>
      <c r="DZ17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0" spans="1:130" ht="15.75" x14ac:dyDescent="0.25">
      <c r="A180" s="46" t="s">
        <v>206</v>
      </c>
      <c r="B180" s="5">
        <v>18</v>
      </c>
      <c r="C180" s="2">
        <v>9</v>
      </c>
      <c r="D180" s="5">
        <v>17</v>
      </c>
      <c r="E180" s="2">
        <v>12</v>
      </c>
      <c r="F180" s="5">
        <v>6</v>
      </c>
      <c r="G180" s="2">
        <v>0</v>
      </c>
      <c r="H180" s="4">
        <f t="shared" si="2"/>
        <v>0</v>
      </c>
      <c r="I180" s="4">
        <f>Table1[[#This Row],[B]]+Table1[[#This Row],[Atomic Constraints]]+Table1[[#This Row],[Soft Atomic Constraints]]+Table1[[#This Row],[Disjunctive Constraints]]+Table1[[#This Row],[Direct Successors]]</f>
        <v>44</v>
      </c>
      <c r="J180" s="5" t="s">
        <v>25</v>
      </c>
      <c r="K180" s="2">
        <v>2</v>
      </c>
      <c r="L180" s="2">
        <v>1.0341908</v>
      </c>
      <c r="M180" s="2" t="str">
        <f>IF(AND(Table1[[#This Row],[Chuffed MZ1 Cost]]=Table1[[#This Row],[ORTools FZN2 Cost]],Table1[[#This Row],[ORTools FZN2 State]]="Optimal",Table1[[#This Row],[Chuffed MZ1 State]]="Suboptimal"),1,"")</f>
        <v/>
      </c>
      <c r="N180" s="5" t="s">
        <v>25</v>
      </c>
      <c r="O180" s="2">
        <v>2</v>
      </c>
      <c r="P180" s="2">
        <v>0.78963530000000004</v>
      </c>
      <c r="Q180" s="2" t="str">
        <f>IF(AND(Table1[[#This Row],[Chuffed MZ2 Cost]]=Table1[[#This Row],[ORTools FZN2 Cost]],Table1[[#This Row],[ORTools FZN2 State]]="Optimal",Table1[[#This Row],[Chuffed MZ2 State]]="Suboptimal"),1,"")</f>
        <v/>
      </c>
      <c r="R180" s="6" t="s">
        <v>25</v>
      </c>
      <c r="S180" s="4">
        <v>2</v>
      </c>
      <c r="T180" s="4">
        <v>0.114000000001397</v>
      </c>
      <c r="U180" s="4"/>
      <c r="V180" s="5" t="s">
        <v>25</v>
      </c>
      <c r="W180" s="2">
        <v>2</v>
      </c>
      <c r="X180" s="2">
        <v>0.4988592</v>
      </c>
      <c r="Y180" s="2" t="str">
        <f>IF(AND(Table1[[#This Row],[ORTools FZN1 Cost]]=Table1[[#This Row],[ORTools FZN2 Cost]],Table1[[#This Row],[ORTools FZN2 State]]="Optimal",Table1[[#This Row],[ORTools FZN1 State]]="Suboptimal"),1,"")</f>
        <v/>
      </c>
      <c r="Z180" s="5" t="s">
        <v>25</v>
      </c>
      <c r="AA180" s="2">
        <v>2</v>
      </c>
      <c r="AB180" s="2">
        <v>0.55872180000000005</v>
      </c>
      <c r="AC180" s="39" t="s">
        <v>25</v>
      </c>
      <c r="AD180" s="39">
        <v>2</v>
      </c>
      <c r="AE180" s="2">
        <v>1.616779</v>
      </c>
      <c r="AF180" s="2" t="str">
        <f>IF(AND(Table1[[#This Row],[Cplex MB Cost]]=Table1[[#This Row],[ORTools FZN2 Cost]],Table1[[#This Row],[ORTools FZN2 State]]="Optimal",Table1[[#This Row],[Cplex MB State]]="Suboptimal"),1,"")</f>
        <v/>
      </c>
      <c r="AG180" s="4">
        <f>IF(AND(AC180="Optimal",AD180&lt;&gt;AA180,Table1[[#This Row],[Example]]&lt;&gt;"R001",Table1[[#This Row],[Example]]&lt;&gt;"R002"),AD180-AA180,)</f>
        <v>0</v>
      </c>
      <c r="AH180" s="5" t="s">
        <v>25</v>
      </c>
      <c r="AI180" s="2">
        <v>2</v>
      </c>
      <c r="AJ180" s="2">
        <v>35.872054200000001</v>
      </c>
      <c r="AK180" s="2" t="str">
        <f>IF(AND(Table1[[#This Row],[Cplex MD Cost]]=Table1[[#This Row],[ORTools FZN2 Cost]],Table1[[#This Row],[ORTools FZN2 State]]="Optimal",Table1[[#This Row],[Cplex MD State]]="Suboptimal"),1,"")</f>
        <v/>
      </c>
      <c r="AL180" s="4">
        <f>IF(AND(AH180="Optimal",AI180&lt;&gt;AA180,Table1[[#This Row],[Example]]&lt;&gt;"R001",Table1[[#This Row],[Example]]&lt;&gt;"R002"),AI180-AA180,)</f>
        <v>0</v>
      </c>
      <c r="AM180" s="39" t="s">
        <v>25</v>
      </c>
      <c r="AN180" s="39">
        <v>2</v>
      </c>
      <c r="AO180" s="2">
        <v>0.58621369999999995</v>
      </c>
      <c r="AP18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0" s="4" t="str">
        <f>IF(AND(Table1[[#This Row],[Cplex MI Cost]]=Table1[[#This Row],[ORTools FZN2 Cost]],Table1[[#This Row],[ORTools FZN2 State]]="Optimal",Table1[[#This Row],[Cplex MI State]]="Suboptimal"),1,"")</f>
        <v/>
      </c>
      <c r="AR180" s="12" t="s">
        <v>26</v>
      </c>
      <c r="AS180" s="12">
        <v>2</v>
      </c>
      <c r="AT180" s="12">
        <v>11.350223400000001</v>
      </c>
      <c r="AU180" s="12">
        <f>IF(AND(Table1[[#This Row],[Z3 SMT2-1 Maxres Cost]]=Table1[[#This Row],[ORTools FZN2 Cost]],Table1[[#This Row],[ORTools FZN2 State]]="Optimal"),1,"")</f>
        <v>1</v>
      </c>
      <c r="AV180" s="12" t="s">
        <v>26</v>
      </c>
      <c r="AW180" s="12">
        <v>2</v>
      </c>
      <c r="AX180" s="12">
        <v>11.401265</v>
      </c>
      <c r="AY180" s="12">
        <f>IF(AND(Table1[[#This Row],[Z3 SMT2-1 PdMaxres Cost]]=Table1[[#This Row],[ORTools FZN2 Cost]],Table1[[#This Row],[ORTools FZN2 State]]="Optimal"),1,"")</f>
        <v>1</v>
      </c>
      <c r="AZ180" s="12" t="s">
        <v>26</v>
      </c>
      <c r="BA180" s="12">
        <v>2</v>
      </c>
      <c r="BB180" s="12">
        <v>13.751208699999999</v>
      </c>
      <c r="BC180" s="12">
        <f>IF(AND(Table1[[#This Row],[Z3 SMT2-1 WMax Cost]]=Table1[[#This Row],[ORTools FZN2 Cost]],Table1[[#This Row],[ORTools FZN2 State]]="Optimal"),1,"")</f>
        <v>1</v>
      </c>
      <c r="BD180" s="12" t="s">
        <v>26</v>
      </c>
      <c r="BE180" s="12">
        <v>2</v>
      </c>
      <c r="BF180" s="12">
        <v>9.1740376999999995</v>
      </c>
      <c r="BG180" s="12">
        <f>IF(AND(Table1[[#This Row],[Z3 SMT2-2 Maxres Cost]]=Table1[[#This Row],[ORTools FZN2 Cost]],Table1[[#This Row],[ORTools FZN2 State]]="Optimal"),1,"")</f>
        <v>1</v>
      </c>
      <c r="BH180" s="12" t="s">
        <v>26</v>
      </c>
      <c r="BI180" s="12">
        <v>2</v>
      </c>
      <c r="BJ180" s="12">
        <v>9.0840586999999999</v>
      </c>
      <c r="BK180" s="12">
        <f>IF(AND(Table1[[#This Row],[Z3 SMT2-2 PdMaxres Cost]]=Table1[[#This Row],[ORTools FZN2 Cost]],Table1[[#This Row],[ORTools FZN2 State]]="Optimal"),1,"")</f>
        <v>1</v>
      </c>
      <c r="BL180" s="12" t="s">
        <v>26</v>
      </c>
      <c r="BM180" s="12">
        <v>2</v>
      </c>
      <c r="BN180" s="12">
        <v>9.1685437000000007</v>
      </c>
      <c r="BO180" s="11">
        <f>IF(AND(Table1[[#This Row],[Z3 SMT2-2 PdMaxres Cost]]=Table1[[#This Row],[ORTools FZN2 Cost]],Table1[[#This Row],[ORTools FZN2 State]]="Optimal"),1,"")</f>
        <v>1</v>
      </c>
      <c r="BP180" s="5" t="s">
        <v>25</v>
      </c>
      <c r="BQ180" s="2">
        <v>2</v>
      </c>
      <c r="BR180" s="2">
        <v>0.70545970000000002</v>
      </c>
      <c r="BS180" s="2" t="str">
        <f>IF(AND(Table1[[#This Row],[Gurobi MB Cost]]=Table1[[#This Row],[ORTools FZN2 Cost]],Table1[[#This Row],[ORTools FZN2 State]]="Optimal",Table1[[#This Row],[Gurobi MB State]]="Suboptimal"),1,"")</f>
        <v/>
      </c>
      <c r="BT18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0" s="5" t="s">
        <v>25</v>
      </c>
      <c r="BV180" s="2">
        <v>2</v>
      </c>
      <c r="BW180" s="2">
        <v>11.196938400000001</v>
      </c>
      <c r="BX180" s="2" t="str">
        <f>IF(AND(Table1[[#This Row],[Gurobi MD Cost]]=Table1[[#This Row],[ORTools FZN2 Cost]],Table1[[#This Row],[ORTools FZN2 State]]="Optimal",Table1[[#This Row],[Gurobi MD State]]="Suboptimal"),1,"")</f>
        <v/>
      </c>
      <c r="BY18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0" s="5" t="s">
        <v>25</v>
      </c>
      <c r="CA180" s="2">
        <v>2</v>
      </c>
      <c r="CB180" s="2">
        <v>0.68697090000000005</v>
      </c>
      <c r="CC180" s="2" t="str">
        <f>IF(AND(Table1[[#This Row],[Gurobi MI Cost]]=Table1[[#This Row],[ORTools FZN2 Cost]],Table1[[#This Row],[ORTools FZN2 State]]="Optimal",Table1[[#This Row],[Gurobi MI State]]="Suboptimal"),1,"")</f>
        <v/>
      </c>
      <c r="CD18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0" s="39" t="s">
        <v>42</v>
      </c>
      <c r="CF180" s="2">
        <v>-6175</v>
      </c>
      <c r="CG180" s="39">
        <v>306.03562019999998</v>
      </c>
      <c r="CH180" s="39" t="s">
        <v>42</v>
      </c>
      <c r="CI180" s="39">
        <v>-6175</v>
      </c>
      <c r="CJ180" s="2">
        <v>306.09885480000003</v>
      </c>
      <c r="CK180" s="5" t="s">
        <v>25</v>
      </c>
      <c r="CL180" s="2">
        <v>2</v>
      </c>
      <c r="CM180" s="2">
        <v>0.123999999999796</v>
      </c>
      <c r="CN180" s="5" t="s">
        <v>25</v>
      </c>
      <c r="CO180" s="2">
        <v>2</v>
      </c>
      <c r="CP180" s="2">
        <v>2.7642654000000002</v>
      </c>
      <c r="CQ180" s="5" t="s">
        <v>25</v>
      </c>
      <c r="CR180" s="2">
        <v>2</v>
      </c>
      <c r="CS180" s="2">
        <v>1.1445822999999999</v>
      </c>
      <c r="CT180" s="6" t="s">
        <v>25</v>
      </c>
      <c r="CU180" s="4">
        <v>2</v>
      </c>
      <c r="CV180" s="4">
        <v>0.93577650000000001</v>
      </c>
      <c r="CW180" s="39" t="s">
        <v>25</v>
      </c>
      <c r="CX180" s="39">
        <v>2</v>
      </c>
      <c r="CY180" s="2">
        <v>13.2088</v>
      </c>
      <c r="CZ180" s="2" t="str">
        <f>IF(AND(Table1[[#This Row],[Cplex MZ1 Cost]]=Table1[[#This Row],[ORTools FZN2 Cost]],Table1[[#This Row],[ORTools FZN2 State]]="Optimal",Table1[[#This Row],[Cplex MZ1 State]]="Suboptimal"),1,"")</f>
        <v/>
      </c>
      <c r="DA180" s="5" t="s">
        <v>25</v>
      </c>
      <c r="DB180" s="2">
        <v>2</v>
      </c>
      <c r="DC180" s="2">
        <v>4.5686</v>
      </c>
      <c r="DD180" s="2" t="str">
        <f>IF(AND(Table1[[#This Row],[Cplex MZ2 Cost]]=Table1[[#This Row],[ORTools FZN2 Cost]],Table1[[#This Row],[ORTools FZN2 State]]="Optimal",Table1[[#This Row],[Cplex MZ2 State]]="Suboptimal"),1,"")</f>
        <v/>
      </c>
      <c r="DE180" s="39" t="s">
        <v>25</v>
      </c>
      <c r="DF180" s="39">
        <v>2</v>
      </c>
      <c r="DG180" s="2">
        <v>5.4112</v>
      </c>
      <c r="DH180" s="2" t="str">
        <f>IF(AND(Table1[[#This Row],[Gurobi MZ1 Cost]]=Table1[[#This Row],[ORTools FZN2 Cost]],Table1[[#This Row],[ORTools FZN2 State]]="Optimal",Table1[[#This Row],[Gurobi MZ1 State]]="Suboptimal"),1,"")</f>
        <v/>
      </c>
      <c r="DI180" s="5" t="s">
        <v>25</v>
      </c>
      <c r="DJ180" s="2">
        <v>2</v>
      </c>
      <c r="DK180" s="2">
        <v>6.7644000000000002</v>
      </c>
      <c r="DL180" s="4" t="str">
        <f>IF(AND(Table1[[#This Row],[Gurobi MZ2 Cost]]=Table1[[#This Row],[ORTools FZN2 Cost]],Table1[[#This Row],[ORTools FZN2 State]]="Optimal",Table1[[#This Row],[Gurobi MZ2 State]]="Suboptimal"),1,"")</f>
        <v/>
      </c>
      <c r="DM180" s="39" t="s">
        <v>25</v>
      </c>
      <c r="DN180" s="39">
        <v>2</v>
      </c>
      <c r="DO180" s="65">
        <v>0.290000000000873</v>
      </c>
      <c r="DP180" s="4" t="str">
        <f>IF(AND(Table1[[#This Row],[Cplex MC nonDual Cost]]=Table1[[#This Row],[ORTools FZN2 Cost]],Table1[[#This Row],[ORTools FZN2 State]]="Optimal",Table1[[#This Row],[Cplex MC nonDual State]]="Suboptimal"),1,"")</f>
        <v/>
      </c>
      <c r="DQ180" s="5" t="s">
        <v>25</v>
      </c>
      <c r="DR180" s="2">
        <v>2</v>
      </c>
      <c r="DS180" s="2">
        <v>1.8636999999999999</v>
      </c>
      <c r="DT180" s="2" t="str">
        <f>IF(AND(Table1[[#This Row],[Cplex MIP DM''z Cost]]=Table1[[#This Row],[ORTools FZN2 Cost]],Table1[[#This Row],[ORTools FZN2 State]]="Optimal",Table1[[#This Row],[Cplex MIP DM''z  State]]="Suboptimal"),1,"")</f>
        <v/>
      </c>
      <c r="DU18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0" s="5" t="s">
        <v>25</v>
      </c>
      <c r="DW180" s="2">
        <v>2</v>
      </c>
      <c r="DX180" s="2">
        <v>13.5634</v>
      </c>
      <c r="DY180" s="4" t="str">
        <f>IF(AND(Table1[[#This Row],[Gurobi DM''z  Cost]]=Table1[[#This Row],[ORTools FZN2 Cost]],Table1[[#This Row],[ORTools FZN2 State]]="Optimal",Table1[[#This Row],[Gurobi DM''z  State]]="Suboptimal"),1,"")</f>
        <v/>
      </c>
      <c r="DZ18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1" spans="1:130" ht="15.75" x14ac:dyDescent="0.25">
      <c r="A181" s="47" t="s">
        <v>207</v>
      </c>
      <c r="B181" s="5">
        <v>26</v>
      </c>
      <c r="C181" s="2">
        <v>13</v>
      </c>
      <c r="D181" s="5">
        <v>91</v>
      </c>
      <c r="E181" s="2">
        <v>15</v>
      </c>
      <c r="F181" s="5">
        <v>9</v>
      </c>
      <c r="G181" s="2">
        <v>0</v>
      </c>
      <c r="H181" s="4">
        <f t="shared" si="2"/>
        <v>0</v>
      </c>
      <c r="I181" s="4">
        <f>Table1[[#This Row],[B]]+Table1[[#This Row],[Atomic Constraints]]+Table1[[#This Row],[Soft Atomic Constraints]]+Table1[[#This Row],[Disjunctive Constraints]]+Table1[[#This Row],[Direct Successors]]</f>
        <v>128</v>
      </c>
      <c r="J181" s="5" t="s">
        <v>25</v>
      </c>
      <c r="K181" s="2">
        <v>1</v>
      </c>
      <c r="L181" s="2">
        <v>1.1066836</v>
      </c>
      <c r="M181" s="2" t="str">
        <f>IF(AND(Table1[[#This Row],[Chuffed MZ1 Cost]]=Table1[[#This Row],[ORTools FZN2 Cost]],Table1[[#This Row],[ORTools FZN2 State]]="Optimal",Table1[[#This Row],[Chuffed MZ1 State]]="Suboptimal"),1,"")</f>
        <v/>
      </c>
      <c r="N181" s="5" t="s">
        <v>25</v>
      </c>
      <c r="O181" s="2">
        <v>1</v>
      </c>
      <c r="P181" s="2">
        <v>1.5009368000000001</v>
      </c>
      <c r="Q181" s="2" t="str">
        <f>IF(AND(Table1[[#This Row],[Chuffed MZ2 Cost]]=Table1[[#This Row],[ORTools FZN2 Cost]],Table1[[#This Row],[ORTools FZN2 State]]="Optimal",Table1[[#This Row],[Chuffed MZ2 State]]="Suboptimal"),1,"")</f>
        <v/>
      </c>
      <c r="R181" s="5" t="s">
        <v>25</v>
      </c>
      <c r="S181" s="2">
        <v>1</v>
      </c>
      <c r="T181" s="2">
        <v>0.26299999999901003</v>
      </c>
      <c r="U181" s="2"/>
      <c r="V181" s="5" t="s">
        <v>25</v>
      </c>
      <c r="W181" s="2">
        <v>1</v>
      </c>
      <c r="X181" s="2">
        <v>1.3066423</v>
      </c>
      <c r="Y181" s="2" t="str">
        <f>IF(AND(Table1[[#This Row],[ORTools FZN1 Cost]]=Table1[[#This Row],[ORTools FZN2 Cost]],Table1[[#This Row],[ORTools FZN2 State]]="Optimal",Table1[[#This Row],[ORTools FZN1 State]]="Suboptimal"),1,"")</f>
        <v/>
      </c>
      <c r="Z181" s="5" t="s">
        <v>25</v>
      </c>
      <c r="AA181" s="2">
        <v>1</v>
      </c>
      <c r="AB181" s="2">
        <v>1.595432</v>
      </c>
      <c r="AC181" s="39" t="s">
        <v>25</v>
      </c>
      <c r="AD181" s="39">
        <v>1</v>
      </c>
      <c r="AE181" s="2">
        <v>3.1057337</v>
      </c>
      <c r="AF181" s="2" t="str">
        <f>IF(AND(Table1[[#This Row],[Cplex MB Cost]]=Table1[[#This Row],[ORTools FZN2 Cost]],Table1[[#This Row],[ORTools FZN2 State]]="Optimal",Table1[[#This Row],[Cplex MB State]]="Suboptimal"),1,"")</f>
        <v/>
      </c>
      <c r="AG181" s="4">
        <f>IF(AND(AC181="Optimal",AD181&lt;&gt;AA181,Table1[[#This Row],[Example]]&lt;&gt;"R001",Table1[[#This Row],[Example]]&lt;&gt;"R002"),AD181-AA181,)</f>
        <v>0</v>
      </c>
      <c r="AH181" s="5" t="s">
        <v>26</v>
      </c>
      <c r="AI181" s="2">
        <v>36063</v>
      </c>
      <c r="AJ181" s="2">
        <v>300.14398210000002</v>
      </c>
      <c r="AK181" s="2" t="str">
        <f>IF(AND(Table1[[#This Row],[Cplex MD Cost]]=Table1[[#This Row],[ORTools FZN2 Cost]],Table1[[#This Row],[ORTools FZN2 State]]="Optimal",Table1[[#This Row],[Cplex MD State]]="Suboptimal"),1,"")</f>
        <v/>
      </c>
      <c r="AL181" s="4">
        <f>IF(AND(AH181="Optimal",AI181&lt;&gt;AA181,Table1[[#This Row],[Example]]&lt;&gt;"R001",Table1[[#This Row],[Example]]&lt;&gt;"R002"),AI181-AA181,)</f>
        <v>0</v>
      </c>
      <c r="AM181" s="39" t="s">
        <v>25</v>
      </c>
      <c r="AN181" s="39">
        <v>1</v>
      </c>
      <c r="AO181" s="2">
        <v>0.86002630000000002</v>
      </c>
      <c r="AP18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1" s="2" t="str">
        <f>IF(AND(Table1[[#This Row],[Cplex MI Cost]]=Table1[[#This Row],[ORTools FZN2 Cost]],Table1[[#This Row],[ORTools FZN2 State]]="Optimal",Table1[[#This Row],[Cplex MI State]]="Suboptimal"),1,"")</f>
        <v/>
      </c>
      <c r="AR181" s="12" t="s">
        <v>26</v>
      </c>
      <c r="AS181" s="12">
        <v>1</v>
      </c>
      <c r="AT181" s="12">
        <v>43.217197400000003</v>
      </c>
      <c r="AU181" s="12">
        <f>IF(AND(Table1[[#This Row],[Z3 SMT2-1 Maxres Cost]]=Table1[[#This Row],[ORTools FZN2 Cost]],Table1[[#This Row],[ORTools FZN2 State]]="Optimal"),1,"")</f>
        <v>1</v>
      </c>
      <c r="AV181" s="12" t="s">
        <v>26</v>
      </c>
      <c r="AW181" s="12">
        <v>1</v>
      </c>
      <c r="AX181" s="12">
        <v>44.466945299999999</v>
      </c>
      <c r="AY181" s="12">
        <f>IF(AND(Table1[[#This Row],[Z3 SMT2-1 PdMaxres Cost]]=Table1[[#This Row],[ORTools FZN2 Cost]],Table1[[#This Row],[ORTools FZN2 State]]="Optimal"),1,"")</f>
        <v>1</v>
      </c>
      <c r="AZ181" s="12" t="s">
        <v>26</v>
      </c>
      <c r="BA181" s="12">
        <v>1</v>
      </c>
      <c r="BB181" s="12">
        <v>52.944741299999997</v>
      </c>
      <c r="BC181" s="12">
        <f>IF(AND(Table1[[#This Row],[Z3 SMT2-1 WMax Cost]]=Table1[[#This Row],[ORTools FZN2 Cost]],Table1[[#This Row],[ORTools FZN2 State]]="Optimal"),1,"")</f>
        <v>1</v>
      </c>
      <c r="BD181" s="12" t="s">
        <v>26</v>
      </c>
      <c r="BE181" s="12">
        <v>1</v>
      </c>
      <c r="BF181" s="12">
        <v>35.576264000000002</v>
      </c>
      <c r="BG181" s="12">
        <f>IF(AND(Table1[[#This Row],[Z3 SMT2-2 Maxres Cost]]=Table1[[#This Row],[ORTools FZN2 Cost]],Table1[[#This Row],[ORTools FZN2 State]]="Optimal"),1,"")</f>
        <v>1</v>
      </c>
      <c r="BH181" s="12" t="s">
        <v>26</v>
      </c>
      <c r="BI181" s="12">
        <v>1</v>
      </c>
      <c r="BJ181" s="12">
        <v>35.007741699999997</v>
      </c>
      <c r="BK181" s="12">
        <f>IF(AND(Table1[[#This Row],[Z3 SMT2-2 PdMaxres Cost]]=Table1[[#This Row],[ORTools FZN2 Cost]],Table1[[#This Row],[ORTools FZN2 State]]="Optimal"),1,"")</f>
        <v>1</v>
      </c>
      <c r="BL181" s="12" t="s">
        <v>26</v>
      </c>
      <c r="BM181" s="12">
        <v>1</v>
      </c>
      <c r="BN181" s="12">
        <v>35.0082509</v>
      </c>
      <c r="BO181" s="11">
        <f>IF(AND(Table1[[#This Row],[Z3 SMT2-2 PdMaxres Cost]]=Table1[[#This Row],[ORTools FZN2 Cost]],Table1[[#This Row],[ORTools FZN2 State]]="Optimal"),1,"")</f>
        <v>1</v>
      </c>
      <c r="BP181" s="5" t="s">
        <v>25</v>
      </c>
      <c r="BQ181" s="2">
        <v>1</v>
      </c>
      <c r="BR181" s="2">
        <v>1.3961227</v>
      </c>
      <c r="BS181" s="2" t="str">
        <f>IF(AND(Table1[[#This Row],[Gurobi MB Cost]]=Table1[[#This Row],[ORTools FZN2 Cost]],Table1[[#This Row],[ORTools FZN2 State]]="Optimal",Table1[[#This Row],[Gurobi MB State]]="Suboptimal"),1,"")</f>
        <v/>
      </c>
      <c r="BT18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1" s="5" t="s">
        <v>25</v>
      </c>
      <c r="BV181" s="2">
        <v>1</v>
      </c>
      <c r="BW181" s="2">
        <v>29.357281700000001</v>
      </c>
      <c r="BX181" s="2" t="str">
        <f>IF(AND(Table1[[#This Row],[Gurobi MD Cost]]=Table1[[#This Row],[ORTools FZN2 Cost]],Table1[[#This Row],[ORTools FZN2 State]]="Optimal",Table1[[#This Row],[Gurobi MD State]]="Suboptimal"),1,"")</f>
        <v/>
      </c>
      <c r="BY18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1" s="5" t="s">
        <v>25</v>
      </c>
      <c r="CA181" s="2">
        <v>1</v>
      </c>
      <c r="CB181" s="2">
        <v>1.5202129</v>
      </c>
      <c r="CC181" s="2" t="str">
        <f>IF(AND(Table1[[#This Row],[Gurobi MI Cost]]=Table1[[#This Row],[ORTools FZN2 Cost]],Table1[[#This Row],[ORTools FZN2 State]]="Optimal",Table1[[#This Row],[Gurobi MI State]]="Suboptimal"),1,"")</f>
        <v/>
      </c>
      <c r="CD18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1" s="39" t="s">
        <v>42</v>
      </c>
      <c r="CF181" s="2">
        <v>-18279</v>
      </c>
      <c r="CG181" s="39">
        <v>306.04845990000001</v>
      </c>
      <c r="CH181" s="39" t="s">
        <v>42</v>
      </c>
      <c r="CI181" s="39">
        <v>-18279</v>
      </c>
      <c r="CJ181" s="2">
        <v>306.10478519999998</v>
      </c>
      <c r="CK181" s="5" t="s">
        <v>25</v>
      </c>
      <c r="CL181" s="2">
        <v>1</v>
      </c>
      <c r="CM181" s="2">
        <v>0.30000000000290999</v>
      </c>
      <c r="CN181" s="5" t="s">
        <v>25</v>
      </c>
      <c r="CO181" s="2">
        <v>1</v>
      </c>
      <c r="CP181" s="2">
        <v>6.7862163000000004</v>
      </c>
      <c r="CQ181" s="5" t="s">
        <v>25</v>
      </c>
      <c r="CR181" s="2">
        <v>1</v>
      </c>
      <c r="CS181" s="2">
        <v>3.0785757999999999</v>
      </c>
      <c r="CT181" s="6" t="s">
        <v>25</v>
      </c>
      <c r="CU181" s="4">
        <v>1</v>
      </c>
      <c r="CV181" s="4">
        <v>2.7232018</v>
      </c>
      <c r="CW181" s="39" t="s">
        <v>25</v>
      </c>
      <c r="CX181" s="39">
        <v>1</v>
      </c>
      <c r="CY181" s="2">
        <v>12.3474</v>
      </c>
      <c r="CZ181" s="2" t="str">
        <f>IF(AND(Table1[[#This Row],[Cplex MZ1 Cost]]=Table1[[#This Row],[ORTools FZN2 Cost]],Table1[[#This Row],[ORTools FZN2 State]]="Optimal",Table1[[#This Row],[Cplex MZ1 State]]="Suboptimal"),1,"")</f>
        <v/>
      </c>
      <c r="DA181" s="5" t="s">
        <v>25</v>
      </c>
      <c r="DB181" s="2">
        <v>1</v>
      </c>
      <c r="DC181" s="2">
        <v>17.508900000000001</v>
      </c>
      <c r="DD181" s="2" t="str">
        <f>IF(AND(Table1[[#This Row],[Cplex MZ2 Cost]]=Table1[[#This Row],[ORTools FZN2 Cost]],Table1[[#This Row],[ORTools FZN2 State]]="Optimal",Table1[[#This Row],[Cplex MZ2 State]]="Suboptimal"),1,"")</f>
        <v/>
      </c>
      <c r="DE181" s="39" t="s">
        <v>25</v>
      </c>
      <c r="DF181" s="39">
        <v>1</v>
      </c>
      <c r="DG181" s="2">
        <v>6.8646000000000003</v>
      </c>
      <c r="DH181" s="2" t="str">
        <f>IF(AND(Table1[[#This Row],[Gurobi MZ1 Cost]]=Table1[[#This Row],[ORTools FZN2 Cost]],Table1[[#This Row],[ORTools FZN2 State]]="Optimal",Table1[[#This Row],[Gurobi MZ1 State]]="Suboptimal"),1,"")</f>
        <v/>
      </c>
      <c r="DI181" s="5" t="s">
        <v>25</v>
      </c>
      <c r="DJ181" s="2">
        <v>1</v>
      </c>
      <c r="DK181" s="2">
        <v>13.523199999999999</v>
      </c>
      <c r="DL181" s="4" t="str">
        <f>IF(AND(Table1[[#This Row],[Gurobi MZ2 Cost]]=Table1[[#This Row],[ORTools FZN2 Cost]],Table1[[#This Row],[ORTools FZN2 State]]="Optimal",Table1[[#This Row],[Gurobi MZ2 State]]="Suboptimal"),1,"")</f>
        <v/>
      </c>
      <c r="DM181" s="39" t="s">
        <v>25</v>
      </c>
      <c r="DN181" s="39">
        <v>1</v>
      </c>
      <c r="DO181" s="65">
        <v>0.414000000000669</v>
      </c>
      <c r="DP181" s="4" t="str">
        <f>IF(AND(Table1[[#This Row],[Cplex MC nonDual Cost]]=Table1[[#This Row],[ORTools FZN2 Cost]],Table1[[#This Row],[ORTools FZN2 State]]="Optimal",Table1[[#This Row],[Cplex MC nonDual State]]="Suboptimal"),1,"")</f>
        <v/>
      </c>
      <c r="DQ181" s="5" t="s">
        <v>25</v>
      </c>
      <c r="DR181" s="2">
        <v>1</v>
      </c>
      <c r="DS181" s="2">
        <v>2.1707999999999998</v>
      </c>
      <c r="DT181" s="2" t="str">
        <f>IF(AND(Table1[[#This Row],[Cplex MIP DM''z Cost]]=Table1[[#This Row],[ORTools FZN2 Cost]],Table1[[#This Row],[ORTools FZN2 State]]="Optimal",Table1[[#This Row],[Cplex MIP DM''z  State]]="Suboptimal"),1,"")</f>
        <v/>
      </c>
      <c r="DU18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1" s="5" t="s">
        <v>25</v>
      </c>
      <c r="DW181" s="2">
        <v>1</v>
      </c>
      <c r="DX181" s="2">
        <v>11.734</v>
      </c>
      <c r="DY181" s="4" t="str">
        <f>IF(AND(Table1[[#This Row],[Gurobi DM''z  Cost]]=Table1[[#This Row],[ORTools FZN2 Cost]],Table1[[#This Row],[ORTools FZN2 State]]="Optimal",Table1[[#This Row],[Gurobi DM''z  State]]="Suboptimal"),1,"")</f>
        <v/>
      </c>
      <c r="DZ18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2" spans="1:130" ht="15.75" x14ac:dyDescent="0.25">
      <c r="A182" s="46" t="s">
        <v>208</v>
      </c>
      <c r="B182" s="5">
        <v>26</v>
      </c>
      <c r="C182" s="2">
        <v>13</v>
      </c>
      <c r="D182" s="5">
        <v>90</v>
      </c>
      <c r="E182" s="2">
        <v>15</v>
      </c>
      <c r="F182" s="5">
        <v>2</v>
      </c>
      <c r="G182" s="2">
        <v>0</v>
      </c>
      <c r="H182" s="4">
        <f t="shared" si="2"/>
        <v>0</v>
      </c>
      <c r="I182" s="4">
        <f>Table1[[#This Row],[B]]+Table1[[#This Row],[Atomic Constraints]]+Table1[[#This Row],[Soft Atomic Constraints]]+Table1[[#This Row],[Disjunctive Constraints]]+Table1[[#This Row],[Direct Successors]]</f>
        <v>120</v>
      </c>
      <c r="J182" s="5" t="s">
        <v>25</v>
      </c>
      <c r="K182" s="2">
        <v>1</v>
      </c>
      <c r="L182" s="2">
        <v>1.1009864</v>
      </c>
      <c r="M182" s="2" t="str">
        <f>IF(AND(Table1[[#This Row],[Chuffed MZ1 Cost]]=Table1[[#This Row],[ORTools FZN2 Cost]],Table1[[#This Row],[ORTools FZN2 State]]="Optimal",Table1[[#This Row],[Chuffed MZ1 State]]="Suboptimal"),1,"")</f>
        <v/>
      </c>
      <c r="N182" s="5" t="s">
        <v>25</v>
      </c>
      <c r="O182" s="2">
        <v>1</v>
      </c>
      <c r="P182" s="2">
        <v>1.5733477</v>
      </c>
      <c r="Q182" s="2" t="str">
        <f>IF(AND(Table1[[#This Row],[Chuffed MZ2 Cost]]=Table1[[#This Row],[ORTools FZN2 Cost]],Table1[[#This Row],[ORTools FZN2 State]]="Optimal",Table1[[#This Row],[Chuffed MZ2 State]]="Suboptimal"),1,"")</f>
        <v/>
      </c>
      <c r="R182" s="6" t="s">
        <v>25</v>
      </c>
      <c r="S182" s="4">
        <v>1</v>
      </c>
      <c r="T182" s="4">
        <v>0.20299999999770099</v>
      </c>
      <c r="U182" s="4"/>
      <c r="V182" s="5" t="s">
        <v>25</v>
      </c>
      <c r="W182" s="2">
        <v>1</v>
      </c>
      <c r="X182" s="2">
        <v>1.0193064999999999</v>
      </c>
      <c r="Y182" s="2" t="str">
        <f>IF(AND(Table1[[#This Row],[ORTools FZN1 Cost]]=Table1[[#This Row],[ORTools FZN2 Cost]],Table1[[#This Row],[ORTools FZN2 State]]="Optimal",Table1[[#This Row],[ORTools FZN1 State]]="Suboptimal"),1,"")</f>
        <v/>
      </c>
      <c r="Z182" s="5" t="s">
        <v>25</v>
      </c>
      <c r="AA182" s="2">
        <v>1</v>
      </c>
      <c r="AB182" s="2">
        <v>1.5938199</v>
      </c>
      <c r="AC182" s="39" t="s">
        <v>25</v>
      </c>
      <c r="AD182" s="39">
        <v>1</v>
      </c>
      <c r="AE182" s="2">
        <v>4.6566194999999997</v>
      </c>
      <c r="AF182" s="2" t="str">
        <f>IF(AND(Table1[[#This Row],[Cplex MB Cost]]=Table1[[#This Row],[ORTools FZN2 Cost]],Table1[[#This Row],[ORTools FZN2 State]]="Optimal",Table1[[#This Row],[Cplex MB State]]="Suboptimal"),1,"")</f>
        <v/>
      </c>
      <c r="AG182" s="4">
        <f>IF(AND(AC182="Optimal",AD182&lt;&gt;AA182,Table1[[#This Row],[Example]]&lt;&gt;"R001",Table1[[#This Row],[Example]]&lt;&gt;"R002"),AD182-AA182,)</f>
        <v>0</v>
      </c>
      <c r="AH182" s="5" t="s">
        <v>25</v>
      </c>
      <c r="AI182" s="2">
        <v>1</v>
      </c>
      <c r="AJ182" s="2">
        <v>235.9989573</v>
      </c>
      <c r="AK182" s="2" t="str">
        <f>IF(AND(Table1[[#This Row],[Cplex MD Cost]]=Table1[[#This Row],[ORTools FZN2 Cost]],Table1[[#This Row],[ORTools FZN2 State]]="Optimal",Table1[[#This Row],[Cplex MD State]]="Suboptimal"),1,"")</f>
        <v/>
      </c>
      <c r="AL182" s="4">
        <f>IF(AND(AH182="Optimal",AI182&lt;&gt;AA182,Table1[[#This Row],[Example]]&lt;&gt;"R001",Table1[[#This Row],[Example]]&lt;&gt;"R002"),AI182-AA182,)</f>
        <v>0</v>
      </c>
      <c r="AM182" s="39" t="s">
        <v>25</v>
      </c>
      <c r="AN182" s="39">
        <v>1</v>
      </c>
      <c r="AO182" s="2">
        <v>0.84190679999999996</v>
      </c>
      <c r="AP18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2" s="4" t="str">
        <f>IF(AND(Table1[[#This Row],[Cplex MI Cost]]=Table1[[#This Row],[ORTools FZN2 Cost]],Table1[[#This Row],[ORTools FZN2 State]]="Optimal",Table1[[#This Row],[Cplex MI State]]="Suboptimal"),1,"")</f>
        <v/>
      </c>
      <c r="AR182" s="12" t="s">
        <v>26</v>
      </c>
      <c r="AS182" s="12">
        <v>1</v>
      </c>
      <c r="AT182" s="12">
        <v>30.0894929</v>
      </c>
      <c r="AU182" s="12">
        <f>IF(AND(Table1[[#This Row],[Z3 SMT2-1 Maxres Cost]]=Table1[[#This Row],[ORTools FZN2 Cost]],Table1[[#This Row],[ORTools FZN2 State]]="Optimal"),1,"")</f>
        <v>1</v>
      </c>
      <c r="AV182" s="12" t="s">
        <v>26</v>
      </c>
      <c r="AW182" s="12">
        <v>1</v>
      </c>
      <c r="AX182" s="12">
        <v>31.699363200000001</v>
      </c>
      <c r="AY182" s="12">
        <f>IF(AND(Table1[[#This Row],[Z3 SMT2-1 PdMaxres Cost]]=Table1[[#This Row],[ORTools FZN2 Cost]],Table1[[#This Row],[ORTools FZN2 State]]="Optimal"),1,"")</f>
        <v>1</v>
      </c>
      <c r="AZ182" s="12" t="s">
        <v>26</v>
      </c>
      <c r="BA182" s="12">
        <v>1</v>
      </c>
      <c r="BB182" s="12">
        <v>37.620977099999998</v>
      </c>
      <c r="BC182" s="12">
        <f>IF(AND(Table1[[#This Row],[Z3 SMT2-1 WMax Cost]]=Table1[[#This Row],[ORTools FZN2 Cost]],Table1[[#This Row],[ORTools FZN2 State]]="Optimal"),1,"")</f>
        <v>1</v>
      </c>
      <c r="BD182" s="12" t="s">
        <v>26</v>
      </c>
      <c r="BE182" s="12">
        <v>1</v>
      </c>
      <c r="BF182" s="12">
        <v>39.110204799999998</v>
      </c>
      <c r="BG182" s="12">
        <f>IF(AND(Table1[[#This Row],[Z3 SMT2-2 Maxres Cost]]=Table1[[#This Row],[ORTools FZN2 Cost]],Table1[[#This Row],[ORTools FZN2 State]]="Optimal"),1,"")</f>
        <v>1</v>
      </c>
      <c r="BH182" s="12" t="s">
        <v>26</v>
      </c>
      <c r="BI182" s="12">
        <v>1</v>
      </c>
      <c r="BJ182" s="12">
        <v>38.750250000000001</v>
      </c>
      <c r="BK182" s="12">
        <f>IF(AND(Table1[[#This Row],[Z3 SMT2-2 PdMaxres Cost]]=Table1[[#This Row],[ORTools FZN2 Cost]],Table1[[#This Row],[ORTools FZN2 State]]="Optimal"),1,"")</f>
        <v>1</v>
      </c>
      <c r="BL182" s="12" t="s">
        <v>26</v>
      </c>
      <c r="BM182" s="12">
        <v>1</v>
      </c>
      <c r="BN182" s="12">
        <v>38.575020100000003</v>
      </c>
      <c r="BO182" s="11">
        <f>IF(AND(Table1[[#This Row],[Z3 SMT2-2 PdMaxres Cost]]=Table1[[#This Row],[ORTools FZN2 Cost]],Table1[[#This Row],[ORTools FZN2 State]]="Optimal"),1,"")</f>
        <v>1</v>
      </c>
      <c r="BP182" s="5" t="s">
        <v>25</v>
      </c>
      <c r="BQ182" s="2">
        <v>1</v>
      </c>
      <c r="BR182" s="2">
        <v>1.8188873999999999</v>
      </c>
      <c r="BS182" s="2" t="str">
        <f>IF(AND(Table1[[#This Row],[Gurobi MB Cost]]=Table1[[#This Row],[ORTools FZN2 Cost]],Table1[[#This Row],[ORTools FZN2 State]]="Optimal",Table1[[#This Row],[Gurobi MB State]]="Suboptimal"),1,"")</f>
        <v/>
      </c>
      <c r="BT18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2" s="5" t="s">
        <v>25</v>
      </c>
      <c r="BV182" s="2">
        <v>1</v>
      </c>
      <c r="BW182" s="2">
        <v>30.232796</v>
      </c>
      <c r="BX182" s="2" t="str">
        <f>IF(AND(Table1[[#This Row],[Gurobi MD Cost]]=Table1[[#This Row],[ORTools FZN2 Cost]],Table1[[#This Row],[ORTools FZN2 State]]="Optimal",Table1[[#This Row],[Gurobi MD State]]="Suboptimal"),1,"")</f>
        <v/>
      </c>
      <c r="BY18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2" s="5" t="s">
        <v>25</v>
      </c>
      <c r="CA182" s="2">
        <v>1</v>
      </c>
      <c r="CB182" s="2">
        <v>2.9030444000000002</v>
      </c>
      <c r="CC182" s="2" t="str">
        <f>IF(AND(Table1[[#This Row],[Gurobi MI Cost]]=Table1[[#This Row],[ORTools FZN2 Cost]],Table1[[#This Row],[ORTools FZN2 State]]="Optimal",Table1[[#This Row],[Gurobi MI State]]="Suboptimal"),1,"")</f>
        <v/>
      </c>
      <c r="CD18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2" s="39" t="s">
        <v>42</v>
      </c>
      <c r="CF182" s="2">
        <v>-18279</v>
      </c>
      <c r="CG182" s="39">
        <v>306.03503389999997</v>
      </c>
      <c r="CH182" s="39" t="s">
        <v>42</v>
      </c>
      <c r="CI182" s="39">
        <v>-18279</v>
      </c>
      <c r="CJ182" s="2">
        <v>306.0590095</v>
      </c>
      <c r="CK182" s="5" t="s">
        <v>25</v>
      </c>
      <c r="CL182" s="2">
        <v>1</v>
      </c>
      <c r="CM182" s="2">
        <v>0.25400000000081502</v>
      </c>
      <c r="CN182" s="5" t="s">
        <v>25</v>
      </c>
      <c r="CO182" s="2">
        <v>1</v>
      </c>
      <c r="CP182" s="2">
        <v>34.409312800000002</v>
      </c>
      <c r="CQ182" s="5" t="s">
        <v>25</v>
      </c>
      <c r="CR182" s="2">
        <v>1</v>
      </c>
      <c r="CS182" s="2">
        <v>2.8374169999999999</v>
      </c>
      <c r="CT182" s="6" t="s">
        <v>25</v>
      </c>
      <c r="CU182" s="4">
        <v>1</v>
      </c>
      <c r="CV182" s="4">
        <v>2.7008947999999999</v>
      </c>
      <c r="CW182" s="39" t="s">
        <v>25</v>
      </c>
      <c r="CX182" s="39">
        <v>1</v>
      </c>
      <c r="CY182" s="2">
        <v>15.166399999999999</v>
      </c>
      <c r="CZ182" s="2" t="str">
        <f>IF(AND(Table1[[#This Row],[Cplex MZ1 Cost]]=Table1[[#This Row],[ORTools FZN2 Cost]],Table1[[#This Row],[ORTools FZN2 State]]="Optimal",Table1[[#This Row],[Cplex MZ1 State]]="Suboptimal"),1,"")</f>
        <v/>
      </c>
      <c r="DA182" s="5" t="s">
        <v>25</v>
      </c>
      <c r="DB182" s="2">
        <v>1</v>
      </c>
      <c r="DC182" s="2">
        <v>9.4540000000000006</v>
      </c>
      <c r="DD182" s="2" t="str">
        <f>IF(AND(Table1[[#This Row],[Cplex MZ2 Cost]]=Table1[[#This Row],[ORTools FZN2 Cost]],Table1[[#This Row],[ORTools FZN2 State]]="Optimal",Table1[[#This Row],[Cplex MZ2 State]]="Suboptimal"),1,"")</f>
        <v/>
      </c>
      <c r="DE182" s="39" t="s">
        <v>25</v>
      </c>
      <c r="DF182" s="39">
        <v>1</v>
      </c>
      <c r="DG182" s="2">
        <v>18.702100000000002</v>
      </c>
      <c r="DH182" s="2" t="str">
        <f>IF(AND(Table1[[#This Row],[Gurobi MZ1 Cost]]=Table1[[#This Row],[ORTools FZN2 Cost]],Table1[[#This Row],[ORTools FZN2 State]]="Optimal",Table1[[#This Row],[Gurobi MZ1 State]]="Suboptimal"),1,"")</f>
        <v/>
      </c>
      <c r="DI182" s="5" t="s">
        <v>25</v>
      </c>
      <c r="DJ182" s="2">
        <v>1</v>
      </c>
      <c r="DK182" s="2">
        <v>26.6309</v>
      </c>
      <c r="DL182" s="4" t="str">
        <f>IF(AND(Table1[[#This Row],[Gurobi MZ2 Cost]]=Table1[[#This Row],[ORTools FZN2 Cost]],Table1[[#This Row],[ORTools FZN2 State]]="Optimal",Table1[[#This Row],[Gurobi MZ2 State]]="Suboptimal"),1,"")</f>
        <v/>
      </c>
      <c r="DM182" s="39" t="s">
        <v>25</v>
      </c>
      <c r="DN182" s="39">
        <v>1</v>
      </c>
      <c r="DO182" s="65">
        <v>0.38699999999880602</v>
      </c>
      <c r="DP182" s="4" t="str">
        <f>IF(AND(Table1[[#This Row],[Cplex MC nonDual Cost]]=Table1[[#This Row],[ORTools FZN2 Cost]],Table1[[#This Row],[ORTools FZN2 State]]="Optimal",Table1[[#This Row],[Cplex MC nonDual State]]="Suboptimal"),1,"")</f>
        <v/>
      </c>
      <c r="DQ182" s="5" t="s">
        <v>25</v>
      </c>
      <c r="DR182" s="2">
        <v>1</v>
      </c>
      <c r="DS182" s="2">
        <v>15.409599999999999</v>
      </c>
      <c r="DT182" s="2" t="str">
        <f>IF(AND(Table1[[#This Row],[Cplex MIP DM''z Cost]]=Table1[[#This Row],[ORTools FZN2 Cost]],Table1[[#This Row],[ORTools FZN2 State]]="Optimal",Table1[[#This Row],[Cplex MIP DM''z  State]]="Suboptimal"),1,"")</f>
        <v/>
      </c>
      <c r="DU18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2" s="5" t="s">
        <v>25</v>
      </c>
      <c r="DW182" s="2">
        <v>1</v>
      </c>
      <c r="DX182" s="2">
        <v>14.847899999999999</v>
      </c>
      <c r="DY182" s="4" t="str">
        <f>IF(AND(Table1[[#This Row],[Gurobi DM''z  Cost]]=Table1[[#This Row],[ORTools FZN2 Cost]],Table1[[#This Row],[ORTools FZN2 State]]="Optimal",Table1[[#This Row],[Gurobi DM''z  State]]="Suboptimal"),1,"")</f>
        <v/>
      </c>
      <c r="DZ18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3" spans="1:130" ht="15.75" x14ac:dyDescent="0.25">
      <c r="A183" s="47" t="s">
        <v>209</v>
      </c>
      <c r="B183" s="5">
        <v>12</v>
      </c>
      <c r="C183" s="2">
        <v>6</v>
      </c>
      <c r="D183" s="5">
        <v>2</v>
      </c>
      <c r="E183" s="2">
        <v>7</v>
      </c>
      <c r="F183" s="5">
        <v>2</v>
      </c>
      <c r="G183" s="2">
        <v>0</v>
      </c>
      <c r="H183" s="4">
        <f t="shared" si="2"/>
        <v>0</v>
      </c>
      <c r="I183" s="4">
        <f>Table1[[#This Row],[B]]+Table1[[#This Row],[Atomic Constraints]]+Table1[[#This Row],[Soft Atomic Constraints]]+Table1[[#This Row],[Disjunctive Constraints]]+Table1[[#This Row],[Direct Successors]]</f>
        <v>17</v>
      </c>
      <c r="J183" s="5" t="s">
        <v>25</v>
      </c>
      <c r="K183" s="2">
        <v>1</v>
      </c>
      <c r="L183" s="2">
        <v>0.68871300000000002</v>
      </c>
      <c r="M183" s="2" t="str">
        <f>IF(AND(Table1[[#This Row],[Chuffed MZ1 Cost]]=Table1[[#This Row],[ORTools FZN2 Cost]],Table1[[#This Row],[ORTools FZN2 State]]="Optimal",Table1[[#This Row],[Chuffed MZ1 State]]="Suboptimal"),1,"")</f>
        <v/>
      </c>
      <c r="N183" s="5" t="s">
        <v>25</v>
      </c>
      <c r="O183" s="2">
        <v>1</v>
      </c>
      <c r="P183" s="2">
        <v>0.64985899999999996</v>
      </c>
      <c r="Q183" s="2" t="str">
        <f>IF(AND(Table1[[#This Row],[Chuffed MZ2 Cost]]=Table1[[#This Row],[ORTools FZN2 Cost]],Table1[[#This Row],[ORTools FZN2 State]]="Optimal",Table1[[#This Row],[Chuffed MZ2 State]]="Suboptimal"),1,"")</f>
        <v/>
      </c>
      <c r="R183" s="5" t="s">
        <v>25</v>
      </c>
      <c r="S183" s="2">
        <v>1</v>
      </c>
      <c r="T183" s="2">
        <v>7.3000000000320101E-2</v>
      </c>
      <c r="U183" s="2"/>
      <c r="V183" s="5" t="s">
        <v>25</v>
      </c>
      <c r="W183" s="2">
        <v>1</v>
      </c>
      <c r="X183" s="2">
        <v>0.2063564</v>
      </c>
      <c r="Y183" s="2" t="str">
        <f>IF(AND(Table1[[#This Row],[ORTools FZN1 Cost]]=Table1[[#This Row],[ORTools FZN2 Cost]],Table1[[#This Row],[ORTools FZN2 State]]="Optimal",Table1[[#This Row],[ORTools FZN1 State]]="Suboptimal"),1,"")</f>
        <v/>
      </c>
      <c r="Z183" s="5" t="s">
        <v>25</v>
      </c>
      <c r="AA183" s="2">
        <v>1</v>
      </c>
      <c r="AB183" s="2">
        <v>0.20016790000000001</v>
      </c>
      <c r="AC183" s="39" t="s">
        <v>25</v>
      </c>
      <c r="AD183" s="39">
        <v>1</v>
      </c>
      <c r="AE183" s="2">
        <v>0.27531329999999998</v>
      </c>
      <c r="AF183" s="2" t="str">
        <f>IF(AND(Table1[[#This Row],[Cplex MB Cost]]=Table1[[#This Row],[ORTools FZN2 Cost]],Table1[[#This Row],[ORTools FZN2 State]]="Optimal",Table1[[#This Row],[Cplex MB State]]="Suboptimal"),1,"")</f>
        <v/>
      </c>
      <c r="AG183" s="4">
        <f>IF(AND(AC183="Optimal",AD183&lt;&gt;AA183,Table1[[#This Row],[Example]]&lt;&gt;"R001",Table1[[#This Row],[Example]]&lt;&gt;"R002"),AD183-AA183,)</f>
        <v>0</v>
      </c>
      <c r="AH183" s="5" t="s">
        <v>25</v>
      </c>
      <c r="AI183" s="2">
        <v>1</v>
      </c>
      <c r="AJ183" s="2">
        <v>1.3398517000000001</v>
      </c>
      <c r="AK183" s="2" t="str">
        <f>IF(AND(Table1[[#This Row],[Cplex MD Cost]]=Table1[[#This Row],[ORTools FZN2 Cost]],Table1[[#This Row],[ORTools FZN2 State]]="Optimal",Table1[[#This Row],[Cplex MD State]]="Suboptimal"),1,"")</f>
        <v/>
      </c>
      <c r="AL183" s="4">
        <f>IF(AND(AH183="Optimal",AI183&lt;&gt;AA183,Table1[[#This Row],[Example]]&lt;&gt;"R001",Table1[[#This Row],[Example]]&lt;&gt;"R002"),AI183-AA183,)</f>
        <v>0</v>
      </c>
      <c r="AM183" s="39" t="s">
        <v>25</v>
      </c>
      <c r="AN183" s="39">
        <v>1</v>
      </c>
      <c r="AO183" s="2">
        <v>0.22801930000000001</v>
      </c>
      <c r="AP18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3" s="2" t="str">
        <f>IF(AND(Table1[[#This Row],[Cplex MI Cost]]=Table1[[#This Row],[ORTools FZN2 Cost]],Table1[[#This Row],[ORTools FZN2 State]]="Optimal",Table1[[#This Row],[Cplex MI State]]="Suboptimal"),1,"")</f>
        <v/>
      </c>
      <c r="AR183" s="12" t="s">
        <v>26</v>
      </c>
      <c r="AS183" s="12">
        <v>1</v>
      </c>
      <c r="AT183" s="12">
        <v>1.2485375000000001</v>
      </c>
      <c r="AU183" s="12">
        <f>IF(AND(Table1[[#This Row],[Z3 SMT2-1 Maxres Cost]]=Table1[[#This Row],[ORTools FZN2 Cost]],Table1[[#This Row],[ORTools FZN2 State]]="Optimal"),1,"")</f>
        <v>1</v>
      </c>
      <c r="AV183" s="12" t="s">
        <v>26</v>
      </c>
      <c r="AW183" s="12">
        <v>1</v>
      </c>
      <c r="AX183" s="12">
        <v>1.3145864</v>
      </c>
      <c r="AY183" s="12">
        <f>IF(AND(Table1[[#This Row],[Z3 SMT2-1 PdMaxres Cost]]=Table1[[#This Row],[ORTools FZN2 Cost]],Table1[[#This Row],[ORTools FZN2 State]]="Optimal"),1,"")</f>
        <v>1</v>
      </c>
      <c r="AZ183" s="12" t="s">
        <v>26</v>
      </c>
      <c r="BA183" s="12">
        <v>1</v>
      </c>
      <c r="BB183" s="12">
        <v>1.4774364</v>
      </c>
      <c r="BC183" s="12">
        <f>IF(AND(Table1[[#This Row],[Z3 SMT2-1 WMax Cost]]=Table1[[#This Row],[ORTools FZN2 Cost]],Table1[[#This Row],[ORTools FZN2 State]]="Optimal"),1,"")</f>
        <v>1</v>
      </c>
      <c r="BD183" s="12" t="s">
        <v>26</v>
      </c>
      <c r="BE183" s="12">
        <v>1</v>
      </c>
      <c r="BF183" s="12">
        <v>0.94495969999999996</v>
      </c>
      <c r="BG183" s="12">
        <f>IF(AND(Table1[[#This Row],[Z3 SMT2-2 Maxres Cost]]=Table1[[#This Row],[ORTools FZN2 Cost]],Table1[[#This Row],[ORTools FZN2 State]]="Optimal"),1,"")</f>
        <v>1</v>
      </c>
      <c r="BH183" s="12" t="s">
        <v>26</v>
      </c>
      <c r="BI183" s="12">
        <v>1</v>
      </c>
      <c r="BJ183" s="12">
        <v>0.92768620000000002</v>
      </c>
      <c r="BK183" s="12">
        <f>IF(AND(Table1[[#This Row],[Z3 SMT2-2 PdMaxres Cost]]=Table1[[#This Row],[ORTools FZN2 Cost]],Table1[[#This Row],[ORTools FZN2 State]]="Optimal"),1,"")</f>
        <v>1</v>
      </c>
      <c r="BL183" s="12" t="s">
        <v>26</v>
      </c>
      <c r="BM183" s="12">
        <v>1</v>
      </c>
      <c r="BN183" s="12">
        <v>0.97323809999999999</v>
      </c>
      <c r="BO183" s="11">
        <f>IF(AND(Table1[[#This Row],[Z3 SMT2-2 PdMaxres Cost]]=Table1[[#This Row],[ORTools FZN2 Cost]],Table1[[#This Row],[ORTools FZN2 State]]="Optimal"),1,"")</f>
        <v>1</v>
      </c>
      <c r="BP183" s="5" t="s">
        <v>25</v>
      </c>
      <c r="BQ183" s="2">
        <v>1</v>
      </c>
      <c r="BR183" s="2">
        <v>0.15669810000000001</v>
      </c>
      <c r="BS183" s="2" t="str">
        <f>IF(AND(Table1[[#This Row],[Gurobi MB Cost]]=Table1[[#This Row],[ORTools FZN2 Cost]],Table1[[#This Row],[ORTools FZN2 State]]="Optimal",Table1[[#This Row],[Gurobi MB State]]="Suboptimal"),1,"")</f>
        <v/>
      </c>
      <c r="BT18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3" s="5" t="s">
        <v>25</v>
      </c>
      <c r="BV183" s="2">
        <v>1</v>
      </c>
      <c r="BW183" s="2">
        <v>1.3457733000000001</v>
      </c>
      <c r="BX183" s="2" t="str">
        <f>IF(AND(Table1[[#This Row],[Gurobi MD Cost]]=Table1[[#This Row],[ORTools FZN2 Cost]],Table1[[#This Row],[ORTools FZN2 State]]="Optimal",Table1[[#This Row],[Gurobi MD State]]="Suboptimal"),1,"")</f>
        <v/>
      </c>
      <c r="BY18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3" s="5" t="s">
        <v>25</v>
      </c>
      <c r="CA183" s="2">
        <v>1</v>
      </c>
      <c r="CB183" s="2">
        <v>0.22341949999999999</v>
      </c>
      <c r="CC183" s="2" t="str">
        <f>IF(AND(Table1[[#This Row],[Gurobi MI Cost]]=Table1[[#This Row],[ORTools FZN2 Cost]],Table1[[#This Row],[ORTools FZN2 State]]="Optimal",Table1[[#This Row],[Gurobi MI State]]="Suboptimal"),1,"")</f>
        <v/>
      </c>
      <c r="CD18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3" s="39" t="s">
        <v>42</v>
      </c>
      <c r="CF183" s="2">
        <v>-1885</v>
      </c>
      <c r="CG183" s="39">
        <v>306.03314349999999</v>
      </c>
      <c r="CH183" s="39" t="s">
        <v>42</v>
      </c>
      <c r="CI183" s="39">
        <v>-1885</v>
      </c>
      <c r="CJ183" s="2">
        <v>306.11343870000002</v>
      </c>
      <c r="CK183" s="5" t="s">
        <v>25</v>
      </c>
      <c r="CL183" s="2">
        <v>1</v>
      </c>
      <c r="CM183" s="2">
        <v>7.4000000000523897E-2</v>
      </c>
      <c r="CN183" s="5" t="s">
        <v>25</v>
      </c>
      <c r="CO183" s="2">
        <v>1</v>
      </c>
      <c r="CP183" s="2">
        <v>2.3061687000000002</v>
      </c>
      <c r="CQ183" s="5" t="s">
        <v>25</v>
      </c>
      <c r="CR183" s="2">
        <v>1</v>
      </c>
      <c r="CS183" s="2">
        <v>0.44883620000000002</v>
      </c>
      <c r="CT183" s="6" t="s">
        <v>25</v>
      </c>
      <c r="CU183" s="4">
        <v>1</v>
      </c>
      <c r="CV183" s="4">
        <v>0.38133830000000002</v>
      </c>
      <c r="CW183" s="39" t="s">
        <v>25</v>
      </c>
      <c r="CX183" s="39">
        <v>1</v>
      </c>
      <c r="CY183" s="2">
        <v>0.29649999999999999</v>
      </c>
      <c r="CZ183" s="2" t="str">
        <f>IF(AND(Table1[[#This Row],[Cplex MZ1 Cost]]=Table1[[#This Row],[ORTools FZN2 Cost]],Table1[[#This Row],[ORTools FZN2 State]]="Optimal",Table1[[#This Row],[Cplex MZ1 State]]="Suboptimal"),1,"")</f>
        <v/>
      </c>
      <c r="DA183" s="5" t="s">
        <v>25</v>
      </c>
      <c r="DB183" s="2">
        <v>1</v>
      </c>
      <c r="DC183" s="2">
        <v>0.62660000000000005</v>
      </c>
      <c r="DD183" s="2" t="str">
        <f>IF(AND(Table1[[#This Row],[Cplex MZ2 Cost]]=Table1[[#This Row],[ORTools FZN2 Cost]],Table1[[#This Row],[ORTools FZN2 State]]="Optimal",Table1[[#This Row],[Cplex MZ2 State]]="Suboptimal"),1,"")</f>
        <v/>
      </c>
      <c r="DE183" s="39" t="s">
        <v>25</v>
      </c>
      <c r="DF183" s="39">
        <v>1</v>
      </c>
      <c r="DG183" s="2">
        <v>0.60489999999999999</v>
      </c>
      <c r="DH183" s="2" t="str">
        <f>IF(AND(Table1[[#This Row],[Gurobi MZ1 Cost]]=Table1[[#This Row],[ORTools FZN2 Cost]],Table1[[#This Row],[ORTools FZN2 State]]="Optimal",Table1[[#This Row],[Gurobi MZ1 State]]="Suboptimal"),1,"")</f>
        <v/>
      </c>
      <c r="DI183" s="5" t="s">
        <v>25</v>
      </c>
      <c r="DJ183" s="2">
        <v>1</v>
      </c>
      <c r="DK183" s="2">
        <v>0.505</v>
      </c>
      <c r="DL183" s="4" t="str">
        <f>IF(AND(Table1[[#This Row],[Gurobi MZ2 Cost]]=Table1[[#This Row],[ORTools FZN2 Cost]],Table1[[#This Row],[ORTools FZN2 State]]="Optimal",Table1[[#This Row],[Gurobi MZ2 State]]="Suboptimal"),1,"")</f>
        <v/>
      </c>
      <c r="DM183" s="39" t="s">
        <v>25</v>
      </c>
      <c r="DN183" s="39">
        <v>1</v>
      </c>
      <c r="DO183" s="65">
        <v>5.9000000001105897E-2</v>
      </c>
      <c r="DP183" s="4" t="str">
        <f>IF(AND(Table1[[#This Row],[Cplex MC nonDual Cost]]=Table1[[#This Row],[ORTools FZN2 Cost]],Table1[[#This Row],[ORTools FZN2 State]]="Optimal",Table1[[#This Row],[Cplex MC nonDual State]]="Suboptimal"),1,"")</f>
        <v/>
      </c>
      <c r="DQ183" s="5" t="s">
        <v>25</v>
      </c>
      <c r="DR183" s="2">
        <v>1</v>
      </c>
      <c r="DS183" s="2">
        <v>0.29680000000000001</v>
      </c>
      <c r="DT183" s="2" t="str">
        <f>IF(AND(Table1[[#This Row],[Cplex MIP DM''z Cost]]=Table1[[#This Row],[ORTools FZN2 Cost]],Table1[[#This Row],[ORTools FZN2 State]]="Optimal",Table1[[#This Row],[Cplex MIP DM''z  State]]="Suboptimal"),1,"")</f>
        <v/>
      </c>
      <c r="DU18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3" s="5" t="s">
        <v>25</v>
      </c>
      <c r="DW183" s="2">
        <v>1</v>
      </c>
      <c r="DX183" s="2">
        <v>0.28470000000000001</v>
      </c>
      <c r="DY183" s="4" t="str">
        <f>IF(AND(Table1[[#This Row],[Gurobi DM''z  Cost]]=Table1[[#This Row],[ORTools FZN2 Cost]],Table1[[#This Row],[ORTools FZN2 State]]="Optimal",Table1[[#This Row],[Gurobi DM''z  State]]="Suboptimal"),1,"")</f>
        <v/>
      </c>
      <c r="DZ18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4" spans="1:130" ht="15.75" x14ac:dyDescent="0.25">
      <c r="A184" s="46" t="s">
        <v>210</v>
      </c>
      <c r="B184" s="5">
        <v>26</v>
      </c>
      <c r="C184" s="2">
        <v>13</v>
      </c>
      <c r="D184" s="5">
        <v>86</v>
      </c>
      <c r="E184" s="2">
        <v>16</v>
      </c>
      <c r="F184" s="5">
        <v>13</v>
      </c>
      <c r="G184" s="2">
        <v>4</v>
      </c>
      <c r="H184" s="4">
        <f t="shared" si="2"/>
        <v>0</v>
      </c>
      <c r="I184" s="4">
        <f>Table1[[#This Row],[B]]+Table1[[#This Row],[Atomic Constraints]]+Table1[[#This Row],[Soft Atomic Constraints]]+Table1[[#This Row],[Disjunctive Constraints]]+Table1[[#This Row],[Direct Successors]]</f>
        <v>132</v>
      </c>
      <c r="J184" s="5" t="s">
        <v>25</v>
      </c>
      <c r="K184" s="2">
        <v>3</v>
      </c>
      <c r="L184" s="2">
        <v>1.1696093000000001</v>
      </c>
      <c r="M184" s="2" t="str">
        <f>IF(AND(Table1[[#This Row],[Chuffed MZ1 Cost]]=Table1[[#This Row],[ORTools FZN2 Cost]],Table1[[#This Row],[ORTools FZN2 State]]="Optimal",Table1[[#This Row],[Chuffed MZ1 State]]="Suboptimal"),1,"")</f>
        <v/>
      </c>
      <c r="N184" s="5" t="s">
        <v>25</v>
      </c>
      <c r="O184" s="2">
        <v>3</v>
      </c>
      <c r="P184" s="2">
        <v>1.3121875999999999</v>
      </c>
      <c r="Q184" s="2" t="str">
        <f>IF(AND(Table1[[#This Row],[Chuffed MZ2 Cost]]=Table1[[#This Row],[ORTools FZN2 Cost]],Table1[[#This Row],[ORTools FZN2 State]]="Optimal",Table1[[#This Row],[Chuffed MZ2 State]]="Suboptimal"),1,"")</f>
        <v/>
      </c>
      <c r="R184" s="6" t="s">
        <v>25</v>
      </c>
      <c r="S184" s="4">
        <v>3</v>
      </c>
      <c r="T184" s="4">
        <v>0.77399999999761304</v>
      </c>
      <c r="U184" s="4"/>
      <c r="V184" s="5" t="s">
        <v>25</v>
      </c>
      <c r="W184" s="2">
        <v>3</v>
      </c>
      <c r="X184" s="2">
        <v>1.1637865999999999</v>
      </c>
      <c r="Y184" s="2" t="str">
        <f>IF(AND(Table1[[#This Row],[ORTools FZN1 Cost]]=Table1[[#This Row],[ORTools FZN2 Cost]],Table1[[#This Row],[ORTools FZN2 State]]="Optimal",Table1[[#This Row],[ORTools FZN1 State]]="Suboptimal"),1,"")</f>
        <v/>
      </c>
      <c r="Z184" s="5" t="s">
        <v>25</v>
      </c>
      <c r="AA184" s="2">
        <v>3</v>
      </c>
      <c r="AB184" s="2">
        <v>1.695713</v>
      </c>
      <c r="AC184" s="39" t="s">
        <v>25</v>
      </c>
      <c r="AD184" s="39">
        <v>3</v>
      </c>
      <c r="AE184" s="2">
        <v>5.2099516000000001</v>
      </c>
      <c r="AF184" s="2" t="str">
        <f>IF(AND(Table1[[#This Row],[Cplex MB Cost]]=Table1[[#This Row],[ORTools FZN2 Cost]],Table1[[#This Row],[ORTools FZN2 State]]="Optimal",Table1[[#This Row],[Cplex MB State]]="Suboptimal"),1,"")</f>
        <v/>
      </c>
      <c r="AG184" s="4">
        <f>IF(AND(AC184="Optimal",AD184&lt;&gt;AA184,Table1[[#This Row],[Example]]&lt;&gt;"R001",Table1[[#This Row],[Example]]&lt;&gt;"R002"),AD184-AA184,)</f>
        <v>0</v>
      </c>
      <c r="AH184" s="5" t="s">
        <v>25</v>
      </c>
      <c r="AI184" s="2">
        <v>3</v>
      </c>
      <c r="AJ184" s="2">
        <v>73.8452901</v>
      </c>
      <c r="AK184" s="2" t="str">
        <f>IF(AND(Table1[[#This Row],[Cplex MD Cost]]=Table1[[#This Row],[ORTools FZN2 Cost]],Table1[[#This Row],[ORTools FZN2 State]]="Optimal",Table1[[#This Row],[Cplex MD State]]="Suboptimal"),1,"")</f>
        <v/>
      </c>
      <c r="AL184" s="4">
        <f>IF(AND(AH184="Optimal",AI184&lt;&gt;AA184,Table1[[#This Row],[Example]]&lt;&gt;"R001",Table1[[#This Row],[Example]]&lt;&gt;"R002"),AI184-AA184,)</f>
        <v>0</v>
      </c>
      <c r="AM184" s="39" t="s">
        <v>25</v>
      </c>
      <c r="AN184" s="39">
        <v>3</v>
      </c>
      <c r="AO184" s="2">
        <v>1.2013965</v>
      </c>
      <c r="AP18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4" s="4" t="str">
        <f>IF(AND(Table1[[#This Row],[Cplex MI Cost]]=Table1[[#This Row],[ORTools FZN2 Cost]],Table1[[#This Row],[ORTools FZN2 State]]="Optimal",Table1[[#This Row],[Cplex MI State]]="Suboptimal"),1,"")</f>
        <v/>
      </c>
      <c r="AR184" s="12" t="s">
        <v>26</v>
      </c>
      <c r="AS184" s="12">
        <v>3</v>
      </c>
      <c r="AT184" s="12">
        <v>37.881954899999997</v>
      </c>
      <c r="AU184" s="12">
        <f>IF(AND(Table1[[#This Row],[Z3 SMT2-1 Maxres Cost]]=Table1[[#This Row],[ORTools FZN2 Cost]],Table1[[#This Row],[ORTools FZN2 State]]="Optimal"),1,"")</f>
        <v>1</v>
      </c>
      <c r="AV184" s="12" t="s">
        <v>26</v>
      </c>
      <c r="AW184" s="12">
        <v>3</v>
      </c>
      <c r="AX184" s="12">
        <v>38.322458599999997</v>
      </c>
      <c r="AY184" s="12">
        <f>IF(AND(Table1[[#This Row],[Z3 SMT2-1 PdMaxres Cost]]=Table1[[#This Row],[ORTools FZN2 Cost]],Table1[[#This Row],[ORTools FZN2 State]]="Optimal"),1,"")</f>
        <v>1</v>
      </c>
      <c r="AZ184" s="12" t="s">
        <v>26</v>
      </c>
      <c r="BA184" s="12">
        <v>3</v>
      </c>
      <c r="BB184" s="12">
        <v>46.384884700000001</v>
      </c>
      <c r="BC184" s="12">
        <f>IF(AND(Table1[[#This Row],[Z3 SMT2-1 WMax Cost]]=Table1[[#This Row],[ORTools FZN2 Cost]],Table1[[#This Row],[ORTools FZN2 State]]="Optimal"),1,"")</f>
        <v>1</v>
      </c>
      <c r="BD184" s="12" t="s">
        <v>26</v>
      </c>
      <c r="BE184" s="12">
        <v>3</v>
      </c>
      <c r="BF184" s="12">
        <v>27.968950700000001</v>
      </c>
      <c r="BG184" s="12">
        <f>IF(AND(Table1[[#This Row],[Z3 SMT2-2 Maxres Cost]]=Table1[[#This Row],[ORTools FZN2 Cost]],Table1[[#This Row],[ORTools FZN2 State]]="Optimal"),1,"")</f>
        <v>1</v>
      </c>
      <c r="BH184" s="12" t="s">
        <v>26</v>
      </c>
      <c r="BI184" s="12">
        <v>3</v>
      </c>
      <c r="BJ184" s="12">
        <v>27.660991200000002</v>
      </c>
      <c r="BK184" s="12">
        <f>IF(AND(Table1[[#This Row],[Z3 SMT2-2 PdMaxres Cost]]=Table1[[#This Row],[ORTools FZN2 Cost]],Table1[[#This Row],[ORTools FZN2 State]]="Optimal"),1,"")</f>
        <v>1</v>
      </c>
      <c r="BL184" s="12" t="s">
        <v>26</v>
      </c>
      <c r="BM184" s="12">
        <v>3</v>
      </c>
      <c r="BN184" s="12">
        <v>27.354501899999999</v>
      </c>
      <c r="BO184" s="11">
        <f>IF(AND(Table1[[#This Row],[Z3 SMT2-2 PdMaxres Cost]]=Table1[[#This Row],[ORTools FZN2 Cost]],Table1[[#This Row],[ORTools FZN2 State]]="Optimal"),1,"")</f>
        <v>1</v>
      </c>
      <c r="BP184" s="5" t="s">
        <v>25</v>
      </c>
      <c r="BQ184" s="2">
        <v>3</v>
      </c>
      <c r="BR184" s="2">
        <v>2.1597658000000002</v>
      </c>
      <c r="BS184" s="2" t="str">
        <f>IF(AND(Table1[[#This Row],[Gurobi MB Cost]]=Table1[[#This Row],[ORTools FZN2 Cost]],Table1[[#This Row],[ORTools FZN2 State]]="Optimal",Table1[[#This Row],[Gurobi MB State]]="Suboptimal"),1,"")</f>
        <v/>
      </c>
      <c r="BT18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4" s="5" t="s">
        <v>25</v>
      </c>
      <c r="BV184" s="2">
        <v>3</v>
      </c>
      <c r="BW184" s="2">
        <v>30.738444699999999</v>
      </c>
      <c r="BX184" s="2" t="str">
        <f>IF(AND(Table1[[#This Row],[Gurobi MD Cost]]=Table1[[#This Row],[ORTools FZN2 Cost]],Table1[[#This Row],[ORTools FZN2 State]]="Optimal",Table1[[#This Row],[Gurobi MD State]]="Suboptimal"),1,"")</f>
        <v/>
      </c>
      <c r="BY18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4" s="5" t="s">
        <v>25</v>
      </c>
      <c r="CA184" s="2">
        <v>3</v>
      </c>
      <c r="CB184" s="2">
        <v>3.1005039000000001</v>
      </c>
      <c r="CC184" s="2" t="str">
        <f>IF(AND(Table1[[#This Row],[Gurobi MI Cost]]=Table1[[#This Row],[ORTools FZN2 Cost]],Table1[[#This Row],[ORTools FZN2 State]]="Optimal",Table1[[#This Row],[Gurobi MI State]]="Suboptimal"),1,"")</f>
        <v/>
      </c>
      <c r="CD18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4" s="39" t="s">
        <v>42</v>
      </c>
      <c r="CF184" s="2">
        <v>-18279</v>
      </c>
      <c r="CG184" s="39">
        <v>306.05720769999999</v>
      </c>
      <c r="CH184" s="39" t="s">
        <v>42</v>
      </c>
      <c r="CI184" s="39">
        <v>-18279</v>
      </c>
      <c r="CJ184" s="2">
        <v>306.05439580000001</v>
      </c>
      <c r="CK184" s="5" t="s">
        <v>25</v>
      </c>
      <c r="CL184" s="2">
        <v>3</v>
      </c>
      <c r="CM184" s="2">
        <v>0.823999999996886</v>
      </c>
      <c r="CN184" s="5" t="s">
        <v>25</v>
      </c>
      <c r="CO184" s="2">
        <v>3</v>
      </c>
      <c r="CP184" s="2">
        <v>22.376357299999999</v>
      </c>
      <c r="CQ184" s="5" t="s">
        <v>25</v>
      </c>
      <c r="CR184" s="2">
        <v>3</v>
      </c>
      <c r="CS184" s="2">
        <v>2.9765795000000002</v>
      </c>
      <c r="CT184" s="6" t="s">
        <v>25</v>
      </c>
      <c r="CU184" s="4">
        <v>3</v>
      </c>
      <c r="CV184" s="4">
        <v>2.4565701999999998</v>
      </c>
      <c r="CW184" s="39" t="s">
        <v>25</v>
      </c>
      <c r="CX184" s="39">
        <v>3</v>
      </c>
      <c r="CY184" s="2">
        <v>22.929400000000001</v>
      </c>
      <c r="CZ184" s="2" t="str">
        <f>IF(AND(Table1[[#This Row],[Cplex MZ1 Cost]]=Table1[[#This Row],[ORTools FZN2 Cost]],Table1[[#This Row],[ORTools FZN2 State]]="Optimal",Table1[[#This Row],[Cplex MZ1 State]]="Suboptimal"),1,"")</f>
        <v/>
      </c>
      <c r="DA184" s="5" t="s">
        <v>25</v>
      </c>
      <c r="DB184" s="2">
        <v>3</v>
      </c>
      <c r="DC184" s="2">
        <v>10.620799999999999</v>
      </c>
      <c r="DD184" s="2" t="str">
        <f>IF(AND(Table1[[#This Row],[Cplex MZ2 Cost]]=Table1[[#This Row],[ORTools FZN2 Cost]],Table1[[#This Row],[ORTools FZN2 State]]="Optimal",Table1[[#This Row],[Cplex MZ2 State]]="Suboptimal"),1,"")</f>
        <v/>
      </c>
      <c r="DE184" s="39" t="s">
        <v>25</v>
      </c>
      <c r="DF184" s="39">
        <v>3</v>
      </c>
      <c r="DG184" s="2">
        <v>25.570399999999999</v>
      </c>
      <c r="DH184" s="2" t="str">
        <f>IF(AND(Table1[[#This Row],[Gurobi MZ1 Cost]]=Table1[[#This Row],[ORTools FZN2 Cost]],Table1[[#This Row],[ORTools FZN2 State]]="Optimal",Table1[[#This Row],[Gurobi MZ1 State]]="Suboptimal"),1,"")</f>
        <v/>
      </c>
      <c r="DI184" s="5" t="s">
        <v>25</v>
      </c>
      <c r="DJ184" s="2">
        <v>3</v>
      </c>
      <c r="DK184" s="2">
        <v>17.619399999999999</v>
      </c>
      <c r="DL184" s="4" t="str">
        <f>IF(AND(Table1[[#This Row],[Gurobi MZ2 Cost]]=Table1[[#This Row],[ORTools FZN2 Cost]],Table1[[#This Row],[ORTools FZN2 State]]="Optimal",Table1[[#This Row],[Gurobi MZ2 State]]="Suboptimal"),1,"")</f>
        <v/>
      </c>
      <c r="DM184" s="39" t="s">
        <v>25</v>
      </c>
      <c r="DN184" s="39">
        <v>3</v>
      </c>
      <c r="DO184" s="65">
        <v>3.1620000000002602</v>
      </c>
      <c r="DP184" s="4" t="str">
        <f>IF(AND(Table1[[#This Row],[Cplex MC nonDual Cost]]=Table1[[#This Row],[ORTools FZN2 Cost]],Table1[[#This Row],[ORTools FZN2 State]]="Optimal",Table1[[#This Row],[Cplex MC nonDual State]]="Suboptimal"),1,"")</f>
        <v/>
      </c>
      <c r="DQ184" s="5" t="s">
        <v>25</v>
      </c>
      <c r="DR184" s="2">
        <v>3</v>
      </c>
      <c r="DS184" s="2">
        <v>13.818099999999999</v>
      </c>
      <c r="DT184" s="2" t="str">
        <f>IF(AND(Table1[[#This Row],[Cplex MIP DM''z Cost]]=Table1[[#This Row],[ORTools FZN2 Cost]],Table1[[#This Row],[ORTools FZN2 State]]="Optimal",Table1[[#This Row],[Cplex MIP DM''z  State]]="Suboptimal"),1,"")</f>
        <v/>
      </c>
      <c r="DU18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4" s="5" t="s">
        <v>25</v>
      </c>
      <c r="DW184" s="2">
        <v>3</v>
      </c>
      <c r="DX184" s="2">
        <v>6.5347999999999997</v>
      </c>
      <c r="DY184" s="4" t="str">
        <f>IF(AND(Table1[[#This Row],[Gurobi DM''z  Cost]]=Table1[[#This Row],[ORTools FZN2 Cost]],Table1[[#This Row],[ORTools FZN2 State]]="Optimal",Table1[[#This Row],[Gurobi DM''z  State]]="Suboptimal"),1,"")</f>
        <v/>
      </c>
      <c r="DZ18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5" spans="1:130" ht="15.75" x14ac:dyDescent="0.25">
      <c r="A185" s="47" t="s">
        <v>211</v>
      </c>
      <c r="B185" s="5">
        <v>18</v>
      </c>
      <c r="C185" s="2">
        <v>9</v>
      </c>
      <c r="D185" s="5">
        <v>17</v>
      </c>
      <c r="E185" s="2">
        <v>12</v>
      </c>
      <c r="F185" s="5">
        <v>4</v>
      </c>
      <c r="G185" s="2">
        <v>0</v>
      </c>
      <c r="H185" s="4">
        <f t="shared" si="2"/>
        <v>0</v>
      </c>
      <c r="I185" s="4">
        <f>Table1[[#This Row],[B]]+Table1[[#This Row],[Atomic Constraints]]+Table1[[#This Row],[Soft Atomic Constraints]]+Table1[[#This Row],[Disjunctive Constraints]]+Table1[[#This Row],[Direct Successors]]</f>
        <v>42</v>
      </c>
      <c r="J185" s="5" t="s">
        <v>25</v>
      </c>
      <c r="K185" s="2">
        <v>2</v>
      </c>
      <c r="L185" s="2">
        <v>0.88524009999999997</v>
      </c>
      <c r="M185" s="2" t="str">
        <f>IF(AND(Table1[[#This Row],[Chuffed MZ1 Cost]]=Table1[[#This Row],[ORTools FZN2 Cost]],Table1[[#This Row],[ORTools FZN2 State]]="Optimal",Table1[[#This Row],[Chuffed MZ1 State]]="Suboptimal"),1,"")</f>
        <v/>
      </c>
      <c r="N185" s="5" t="s">
        <v>25</v>
      </c>
      <c r="O185" s="2">
        <v>2</v>
      </c>
      <c r="P185" s="2">
        <v>0.80156870000000002</v>
      </c>
      <c r="Q185" s="2" t="str">
        <f>IF(AND(Table1[[#This Row],[Chuffed MZ2 Cost]]=Table1[[#This Row],[ORTools FZN2 Cost]],Table1[[#This Row],[ORTools FZN2 State]]="Optimal",Table1[[#This Row],[Chuffed MZ2 State]]="Suboptimal"),1,"")</f>
        <v/>
      </c>
      <c r="R185" s="5" t="s">
        <v>25</v>
      </c>
      <c r="S185" s="2">
        <v>2</v>
      </c>
      <c r="T185" s="2">
        <v>0.120000000002619</v>
      </c>
      <c r="U185" s="2"/>
      <c r="V185" s="5" t="s">
        <v>25</v>
      </c>
      <c r="W185" s="2">
        <v>2</v>
      </c>
      <c r="X185" s="2">
        <v>0.409443</v>
      </c>
      <c r="Y185" s="2" t="str">
        <f>IF(AND(Table1[[#This Row],[ORTools FZN1 Cost]]=Table1[[#This Row],[ORTools FZN2 Cost]],Table1[[#This Row],[ORTools FZN2 State]]="Optimal",Table1[[#This Row],[ORTools FZN1 State]]="Suboptimal"),1,"")</f>
        <v/>
      </c>
      <c r="Z185" s="5" t="s">
        <v>25</v>
      </c>
      <c r="AA185" s="2">
        <v>2</v>
      </c>
      <c r="AB185" s="2">
        <v>0.52794640000000004</v>
      </c>
      <c r="AC185" s="39" t="s">
        <v>25</v>
      </c>
      <c r="AD185" s="39">
        <v>2</v>
      </c>
      <c r="AE185" s="2">
        <v>1.6718048999999999</v>
      </c>
      <c r="AF185" s="2" t="str">
        <f>IF(AND(Table1[[#This Row],[Cplex MB Cost]]=Table1[[#This Row],[ORTools FZN2 Cost]],Table1[[#This Row],[ORTools FZN2 State]]="Optimal",Table1[[#This Row],[Cplex MB State]]="Suboptimal"),1,"")</f>
        <v/>
      </c>
      <c r="AG185" s="4">
        <f>IF(AND(AC185="Optimal",AD185&lt;&gt;AA185,Table1[[#This Row],[Example]]&lt;&gt;"R001",Table1[[#This Row],[Example]]&lt;&gt;"R002"),AD185-AA185,)</f>
        <v>0</v>
      </c>
      <c r="AH185" s="5" t="s">
        <v>25</v>
      </c>
      <c r="AI185" s="2">
        <v>2</v>
      </c>
      <c r="AJ185" s="2">
        <v>8.6338776999999993</v>
      </c>
      <c r="AK185" s="2" t="str">
        <f>IF(AND(Table1[[#This Row],[Cplex MD Cost]]=Table1[[#This Row],[ORTools FZN2 Cost]],Table1[[#This Row],[ORTools FZN2 State]]="Optimal",Table1[[#This Row],[Cplex MD State]]="Suboptimal"),1,"")</f>
        <v/>
      </c>
      <c r="AL185" s="4">
        <f>IF(AND(AH185="Optimal",AI185&lt;&gt;AA185,Table1[[#This Row],[Example]]&lt;&gt;"R001",Table1[[#This Row],[Example]]&lt;&gt;"R002"),AI185-AA185,)</f>
        <v>0</v>
      </c>
      <c r="AM185" s="39" t="s">
        <v>25</v>
      </c>
      <c r="AN185" s="39">
        <v>2</v>
      </c>
      <c r="AO185" s="2">
        <v>0.64342699999999997</v>
      </c>
      <c r="AP18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5" s="2" t="str">
        <f>IF(AND(Table1[[#This Row],[Cplex MI Cost]]=Table1[[#This Row],[ORTools FZN2 Cost]],Table1[[#This Row],[ORTools FZN2 State]]="Optimal",Table1[[#This Row],[Cplex MI State]]="Suboptimal"),1,"")</f>
        <v/>
      </c>
      <c r="AR185" s="12" t="s">
        <v>26</v>
      </c>
      <c r="AS185" s="12">
        <v>2</v>
      </c>
      <c r="AT185" s="12">
        <v>10.338583</v>
      </c>
      <c r="AU185" s="12">
        <f>IF(AND(Table1[[#This Row],[Z3 SMT2-1 Maxres Cost]]=Table1[[#This Row],[ORTools FZN2 Cost]],Table1[[#This Row],[ORTools FZN2 State]]="Optimal"),1,"")</f>
        <v>1</v>
      </c>
      <c r="AV185" s="12" t="s">
        <v>26</v>
      </c>
      <c r="AW185" s="12">
        <v>2</v>
      </c>
      <c r="AX185" s="12">
        <v>10.384927599999999</v>
      </c>
      <c r="AY185" s="12">
        <f>IF(AND(Table1[[#This Row],[Z3 SMT2-1 PdMaxres Cost]]=Table1[[#This Row],[ORTools FZN2 Cost]],Table1[[#This Row],[ORTools FZN2 State]]="Optimal"),1,"")</f>
        <v>1</v>
      </c>
      <c r="AZ185" s="12" t="s">
        <v>26</v>
      </c>
      <c r="BA185" s="12">
        <v>2</v>
      </c>
      <c r="BB185" s="12">
        <v>12.376158500000001</v>
      </c>
      <c r="BC185" s="12">
        <f>IF(AND(Table1[[#This Row],[Z3 SMT2-1 WMax Cost]]=Table1[[#This Row],[ORTools FZN2 Cost]],Table1[[#This Row],[ORTools FZN2 State]]="Optimal"),1,"")</f>
        <v>1</v>
      </c>
      <c r="BD185" s="12" t="s">
        <v>26</v>
      </c>
      <c r="BE185" s="12">
        <v>2</v>
      </c>
      <c r="BF185" s="12">
        <v>11.4151507</v>
      </c>
      <c r="BG185" s="12">
        <f>IF(AND(Table1[[#This Row],[Z3 SMT2-2 Maxres Cost]]=Table1[[#This Row],[ORTools FZN2 Cost]],Table1[[#This Row],[ORTools FZN2 State]]="Optimal"),1,"")</f>
        <v>1</v>
      </c>
      <c r="BH185" s="12" t="s">
        <v>26</v>
      </c>
      <c r="BI185" s="12">
        <v>2</v>
      </c>
      <c r="BJ185" s="12">
        <v>11.536313099999999</v>
      </c>
      <c r="BK185" s="12">
        <f>IF(AND(Table1[[#This Row],[Z3 SMT2-2 PdMaxres Cost]]=Table1[[#This Row],[ORTools FZN2 Cost]],Table1[[#This Row],[ORTools FZN2 State]]="Optimal"),1,"")</f>
        <v>1</v>
      </c>
      <c r="BL185" s="12" t="s">
        <v>26</v>
      </c>
      <c r="BM185" s="12">
        <v>2</v>
      </c>
      <c r="BN185" s="12">
        <v>11.529975200000001</v>
      </c>
      <c r="BO185" s="11">
        <f>IF(AND(Table1[[#This Row],[Z3 SMT2-2 PdMaxres Cost]]=Table1[[#This Row],[ORTools FZN2 Cost]],Table1[[#This Row],[ORTools FZN2 State]]="Optimal"),1,"")</f>
        <v>1</v>
      </c>
      <c r="BP185" s="5" t="s">
        <v>25</v>
      </c>
      <c r="BQ185" s="2">
        <v>2</v>
      </c>
      <c r="BR185" s="2">
        <v>0.69594750000000005</v>
      </c>
      <c r="BS185" s="2" t="str">
        <f>IF(AND(Table1[[#This Row],[Gurobi MB Cost]]=Table1[[#This Row],[ORTools FZN2 Cost]],Table1[[#This Row],[ORTools FZN2 State]]="Optimal",Table1[[#This Row],[Gurobi MB State]]="Suboptimal"),1,"")</f>
        <v/>
      </c>
      <c r="BT18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5" s="5" t="s">
        <v>25</v>
      </c>
      <c r="BV185" s="2">
        <v>2</v>
      </c>
      <c r="BW185" s="2">
        <v>11.5969929</v>
      </c>
      <c r="BX185" s="2" t="str">
        <f>IF(AND(Table1[[#This Row],[Gurobi MD Cost]]=Table1[[#This Row],[ORTools FZN2 Cost]],Table1[[#This Row],[ORTools FZN2 State]]="Optimal",Table1[[#This Row],[Gurobi MD State]]="Suboptimal"),1,"")</f>
        <v/>
      </c>
      <c r="BY18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5" s="5" t="s">
        <v>25</v>
      </c>
      <c r="CA185" s="2">
        <v>2</v>
      </c>
      <c r="CB185" s="2">
        <v>0.6815291</v>
      </c>
      <c r="CC185" s="2" t="str">
        <f>IF(AND(Table1[[#This Row],[Gurobi MI Cost]]=Table1[[#This Row],[ORTools FZN2 Cost]],Table1[[#This Row],[ORTools FZN2 State]]="Optimal",Table1[[#This Row],[Gurobi MI State]]="Suboptimal"),1,"")</f>
        <v/>
      </c>
      <c r="CD18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5" s="39" t="s">
        <v>42</v>
      </c>
      <c r="CF185" s="2">
        <v>-6175</v>
      </c>
      <c r="CG185" s="39">
        <v>306.05585710000003</v>
      </c>
      <c r="CH185" s="39" t="s">
        <v>42</v>
      </c>
      <c r="CI185" s="39">
        <v>-6175</v>
      </c>
      <c r="CJ185" s="2">
        <v>306.05252810000002</v>
      </c>
      <c r="CK185" s="5" t="s">
        <v>25</v>
      </c>
      <c r="CL185" s="2">
        <v>2</v>
      </c>
      <c r="CM185" s="2">
        <v>0.125</v>
      </c>
      <c r="CN185" s="5" t="s">
        <v>25</v>
      </c>
      <c r="CO185" s="2">
        <v>2</v>
      </c>
      <c r="CP185" s="2">
        <v>2.7080576000000001</v>
      </c>
      <c r="CQ185" s="5" t="s">
        <v>25</v>
      </c>
      <c r="CR185" s="2">
        <v>2</v>
      </c>
      <c r="CS185" s="2">
        <v>1.3946312999999999</v>
      </c>
      <c r="CT185" s="6" t="s">
        <v>25</v>
      </c>
      <c r="CU185" s="4">
        <v>2</v>
      </c>
      <c r="CV185" s="4">
        <v>0.93246890000000004</v>
      </c>
      <c r="CW185" s="39" t="s">
        <v>25</v>
      </c>
      <c r="CX185" s="39">
        <v>2</v>
      </c>
      <c r="CY185" s="2">
        <v>7.4892000000000003</v>
      </c>
      <c r="CZ185" s="2" t="str">
        <f>IF(AND(Table1[[#This Row],[Cplex MZ1 Cost]]=Table1[[#This Row],[ORTools FZN2 Cost]],Table1[[#This Row],[ORTools FZN2 State]]="Optimal",Table1[[#This Row],[Cplex MZ1 State]]="Suboptimal"),1,"")</f>
        <v/>
      </c>
      <c r="DA185" s="5" t="s">
        <v>25</v>
      </c>
      <c r="DB185" s="2">
        <v>2</v>
      </c>
      <c r="DC185" s="2">
        <v>0.94410000000000005</v>
      </c>
      <c r="DD185" s="2" t="str">
        <f>IF(AND(Table1[[#This Row],[Cplex MZ2 Cost]]=Table1[[#This Row],[ORTools FZN2 Cost]],Table1[[#This Row],[ORTools FZN2 State]]="Optimal",Table1[[#This Row],[Cplex MZ2 State]]="Suboptimal"),1,"")</f>
        <v/>
      </c>
      <c r="DE185" s="39" t="s">
        <v>25</v>
      </c>
      <c r="DF185" s="39">
        <v>2</v>
      </c>
      <c r="DG185" s="2">
        <v>5.9275000000000002</v>
      </c>
      <c r="DH185" s="2" t="str">
        <f>IF(AND(Table1[[#This Row],[Gurobi MZ1 Cost]]=Table1[[#This Row],[ORTools FZN2 Cost]],Table1[[#This Row],[ORTools FZN2 State]]="Optimal",Table1[[#This Row],[Gurobi MZ1 State]]="Suboptimal"),1,"")</f>
        <v/>
      </c>
      <c r="DI185" s="5" t="s">
        <v>25</v>
      </c>
      <c r="DJ185" s="2">
        <v>2</v>
      </c>
      <c r="DK185" s="2">
        <v>5.3494999999999999</v>
      </c>
      <c r="DL185" s="4" t="str">
        <f>IF(AND(Table1[[#This Row],[Gurobi MZ2 Cost]]=Table1[[#This Row],[ORTools FZN2 Cost]],Table1[[#This Row],[ORTools FZN2 State]]="Optimal",Table1[[#This Row],[Gurobi MZ2 State]]="Suboptimal"),1,"")</f>
        <v/>
      </c>
      <c r="DM185" s="39" t="s">
        <v>25</v>
      </c>
      <c r="DN185" s="39">
        <v>2</v>
      </c>
      <c r="DO185" s="65">
        <v>0.315999999998894</v>
      </c>
      <c r="DP185" s="4" t="str">
        <f>IF(AND(Table1[[#This Row],[Cplex MC nonDual Cost]]=Table1[[#This Row],[ORTools FZN2 Cost]],Table1[[#This Row],[ORTools FZN2 State]]="Optimal",Table1[[#This Row],[Cplex MC nonDual State]]="Suboptimal"),1,"")</f>
        <v/>
      </c>
      <c r="DQ185" s="5" t="s">
        <v>25</v>
      </c>
      <c r="DR185" s="2">
        <v>2</v>
      </c>
      <c r="DS185" s="2">
        <v>7.8456000000000001</v>
      </c>
      <c r="DT185" s="2" t="str">
        <f>IF(AND(Table1[[#This Row],[Cplex MIP DM''z Cost]]=Table1[[#This Row],[ORTools FZN2 Cost]],Table1[[#This Row],[ORTools FZN2 State]]="Optimal",Table1[[#This Row],[Cplex MIP DM''z  State]]="Suboptimal"),1,"")</f>
        <v/>
      </c>
      <c r="DU18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5" s="5" t="s">
        <v>25</v>
      </c>
      <c r="DW185" s="2">
        <v>2</v>
      </c>
      <c r="DX185" s="2">
        <v>9.5647000000000002</v>
      </c>
      <c r="DY185" s="4" t="str">
        <f>IF(AND(Table1[[#This Row],[Gurobi DM''z  Cost]]=Table1[[#This Row],[ORTools FZN2 Cost]],Table1[[#This Row],[ORTools FZN2 State]]="Optimal",Table1[[#This Row],[Gurobi DM''z  State]]="Suboptimal"),1,"")</f>
        <v/>
      </c>
      <c r="DZ18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6" spans="1:130" ht="15.75" x14ac:dyDescent="0.25">
      <c r="A186" s="46" t="s">
        <v>212</v>
      </c>
      <c r="B186" s="5">
        <v>24</v>
      </c>
      <c r="C186" s="2">
        <v>12</v>
      </c>
      <c r="D186" s="5">
        <v>78</v>
      </c>
      <c r="E186" s="2">
        <v>15</v>
      </c>
      <c r="F186" s="5">
        <v>1</v>
      </c>
      <c r="G186" s="2">
        <v>0</v>
      </c>
      <c r="H186" s="4">
        <f t="shared" si="2"/>
        <v>0</v>
      </c>
      <c r="I186" s="4">
        <f>Table1[[#This Row],[B]]+Table1[[#This Row],[Atomic Constraints]]+Table1[[#This Row],[Soft Atomic Constraints]]+Table1[[#This Row],[Disjunctive Constraints]]+Table1[[#This Row],[Direct Successors]]</f>
        <v>106</v>
      </c>
      <c r="J186" s="5" t="s">
        <v>25</v>
      </c>
      <c r="K186" s="2">
        <v>0</v>
      </c>
      <c r="L186" s="2">
        <v>1.0683168999999999</v>
      </c>
      <c r="M186" s="2" t="str">
        <f>IF(AND(Table1[[#This Row],[Chuffed MZ1 Cost]]=Table1[[#This Row],[ORTools FZN2 Cost]],Table1[[#This Row],[ORTools FZN2 State]]="Optimal",Table1[[#This Row],[Chuffed MZ1 State]]="Suboptimal"),1,"")</f>
        <v/>
      </c>
      <c r="N186" s="5" t="s">
        <v>25</v>
      </c>
      <c r="O186" s="2">
        <v>0</v>
      </c>
      <c r="P186" s="2">
        <v>1.6552941999999999</v>
      </c>
      <c r="Q186" s="2" t="str">
        <f>IF(AND(Table1[[#This Row],[Chuffed MZ2 Cost]]=Table1[[#This Row],[ORTools FZN2 Cost]],Table1[[#This Row],[ORTools FZN2 State]]="Optimal",Table1[[#This Row],[Chuffed MZ2 State]]="Suboptimal"),1,"")</f>
        <v/>
      </c>
      <c r="R186" s="6" t="s">
        <v>25</v>
      </c>
      <c r="S186" s="4">
        <v>0</v>
      </c>
      <c r="T186" s="4">
        <v>0.25499999999738099</v>
      </c>
      <c r="U186" s="4"/>
      <c r="V186" s="5" t="s">
        <v>25</v>
      </c>
      <c r="W186" s="2">
        <v>0</v>
      </c>
      <c r="X186" s="2">
        <v>0.89145609999999997</v>
      </c>
      <c r="Y186" s="2" t="str">
        <f>IF(AND(Table1[[#This Row],[ORTools FZN1 Cost]]=Table1[[#This Row],[ORTools FZN2 Cost]],Table1[[#This Row],[ORTools FZN2 State]]="Optimal",Table1[[#This Row],[ORTools FZN1 State]]="Suboptimal"),1,"")</f>
        <v/>
      </c>
      <c r="Z186" s="5" t="s">
        <v>25</v>
      </c>
      <c r="AA186" s="2">
        <v>0</v>
      </c>
      <c r="AB186" s="2">
        <v>0.76643039999999996</v>
      </c>
      <c r="AC186" s="39" t="s">
        <v>25</v>
      </c>
      <c r="AD186" s="39">
        <v>0</v>
      </c>
      <c r="AE186" s="2">
        <v>0.27092909999999998</v>
      </c>
      <c r="AF186" s="2" t="str">
        <f>IF(AND(Table1[[#This Row],[Cplex MB Cost]]=Table1[[#This Row],[ORTools FZN2 Cost]],Table1[[#This Row],[ORTools FZN2 State]]="Optimal",Table1[[#This Row],[Cplex MB State]]="Suboptimal"),1,"")</f>
        <v/>
      </c>
      <c r="AG186" s="4">
        <f>IF(AND(AC186="Optimal",AD186&lt;&gt;AA186,Table1[[#This Row],[Example]]&lt;&gt;"R001",Table1[[#This Row],[Example]]&lt;&gt;"R002"),AD186-AA186,)</f>
        <v>0</v>
      </c>
      <c r="AH186" s="5" t="s">
        <v>25</v>
      </c>
      <c r="AI186" s="2">
        <v>0</v>
      </c>
      <c r="AJ186" s="2">
        <v>41.954756099999997</v>
      </c>
      <c r="AK186" s="2" t="str">
        <f>IF(AND(Table1[[#This Row],[Cplex MD Cost]]=Table1[[#This Row],[ORTools FZN2 Cost]],Table1[[#This Row],[ORTools FZN2 State]]="Optimal",Table1[[#This Row],[Cplex MD State]]="Suboptimal"),1,"")</f>
        <v/>
      </c>
      <c r="AL186" s="4">
        <f>IF(AND(AH186="Optimal",AI186&lt;&gt;AA186,Table1[[#This Row],[Example]]&lt;&gt;"R001",Table1[[#This Row],[Example]]&lt;&gt;"R002"),AI186-AA186,)</f>
        <v>0</v>
      </c>
      <c r="AM186" s="39" t="s">
        <v>25</v>
      </c>
      <c r="AN186" s="39">
        <v>0</v>
      </c>
      <c r="AO186" s="2">
        <v>0.89765360000000005</v>
      </c>
      <c r="AP18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6" s="4" t="str">
        <f>IF(AND(Table1[[#This Row],[Cplex MI Cost]]=Table1[[#This Row],[ORTools FZN2 Cost]],Table1[[#This Row],[ORTools FZN2 State]]="Optimal",Table1[[#This Row],[Cplex MI State]]="Suboptimal"),1,"")</f>
        <v/>
      </c>
      <c r="AR186" s="12" t="s">
        <v>26</v>
      </c>
      <c r="AS186" s="12">
        <v>0</v>
      </c>
      <c r="AT186" s="12">
        <v>26.986358800000001</v>
      </c>
      <c r="AU186" s="12">
        <f>IF(AND(Table1[[#This Row],[Z3 SMT2-1 Maxres Cost]]=Table1[[#This Row],[ORTools FZN2 Cost]],Table1[[#This Row],[ORTools FZN2 State]]="Optimal"),1,"")</f>
        <v>1</v>
      </c>
      <c r="AV186" s="12" t="s">
        <v>26</v>
      </c>
      <c r="AW186" s="12">
        <v>0</v>
      </c>
      <c r="AX186" s="12">
        <v>27.818677999999998</v>
      </c>
      <c r="AY186" s="12">
        <f>IF(AND(Table1[[#This Row],[Z3 SMT2-1 PdMaxres Cost]]=Table1[[#This Row],[ORTools FZN2 Cost]],Table1[[#This Row],[ORTools FZN2 State]]="Optimal"),1,"")</f>
        <v>1</v>
      </c>
      <c r="AZ186" s="12" t="s">
        <v>26</v>
      </c>
      <c r="BA186" s="12">
        <v>0</v>
      </c>
      <c r="BB186" s="12">
        <v>31.9461157</v>
      </c>
      <c r="BC186" s="12">
        <f>IF(AND(Table1[[#This Row],[Z3 SMT2-1 WMax Cost]]=Table1[[#This Row],[ORTools FZN2 Cost]],Table1[[#This Row],[ORTools FZN2 State]]="Optimal"),1,"")</f>
        <v>1</v>
      </c>
      <c r="BD186" s="12" t="s">
        <v>26</v>
      </c>
      <c r="BE186" s="12">
        <v>0</v>
      </c>
      <c r="BF186" s="12">
        <v>25.906772199999999</v>
      </c>
      <c r="BG186" s="12">
        <f>IF(AND(Table1[[#This Row],[Z3 SMT2-2 Maxres Cost]]=Table1[[#This Row],[ORTools FZN2 Cost]],Table1[[#This Row],[ORTools FZN2 State]]="Optimal"),1,"")</f>
        <v>1</v>
      </c>
      <c r="BH186" s="12" t="s">
        <v>26</v>
      </c>
      <c r="BI186" s="12">
        <v>0</v>
      </c>
      <c r="BJ186" s="12">
        <v>26.2710686</v>
      </c>
      <c r="BK186" s="12">
        <f>IF(AND(Table1[[#This Row],[Z3 SMT2-2 PdMaxres Cost]]=Table1[[#This Row],[ORTools FZN2 Cost]],Table1[[#This Row],[ORTools FZN2 State]]="Optimal"),1,"")</f>
        <v>1</v>
      </c>
      <c r="BL186" s="12" t="s">
        <v>26</v>
      </c>
      <c r="BM186" s="12">
        <v>0</v>
      </c>
      <c r="BN186" s="12">
        <v>25.897792800000001</v>
      </c>
      <c r="BO186" s="11">
        <f>IF(AND(Table1[[#This Row],[Z3 SMT2-2 PdMaxres Cost]]=Table1[[#This Row],[ORTools FZN2 Cost]],Table1[[#This Row],[ORTools FZN2 State]]="Optimal"),1,"")</f>
        <v>1</v>
      </c>
      <c r="BP186" s="5" t="s">
        <v>25</v>
      </c>
      <c r="BQ186" s="2">
        <v>0</v>
      </c>
      <c r="BR186" s="2">
        <v>0.74254980000000004</v>
      </c>
      <c r="BS186" s="2" t="str">
        <f>IF(AND(Table1[[#This Row],[Gurobi MB Cost]]=Table1[[#This Row],[ORTools FZN2 Cost]],Table1[[#This Row],[ORTools FZN2 State]]="Optimal",Table1[[#This Row],[Gurobi MB State]]="Suboptimal"),1,"")</f>
        <v/>
      </c>
      <c r="BT18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6" s="5" t="s">
        <v>25</v>
      </c>
      <c r="BV186" s="2">
        <v>0</v>
      </c>
      <c r="BW186" s="2">
        <v>15.720344799999999</v>
      </c>
      <c r="BX186" s="2" t="str">
        <f>IF(AND(Table1[[#This Row],[Gurobi MD Cost]]=Table1[[#This Row],[ORTools FZN2 Cost]],Table1[[#This Row],[ORTools FZN2 State]]="Optimal",Table1[[#This Row],[Gurobi MD State]]="Suboptimal"),1,"")</f>
        <v/>
      </c>
      <c r="BY18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6" s="5" t="s">
        <v>25</v>
      </c>
      <c r="CA186" s="2">
        <v>0</v>
      </c>
      <c r="CB186" s="2">
        <v>1.3907153000000001</v>
      </c>
      <c r="CC186" s="2" t="str">
        <f>IF(AND(Table1[[#This Row],[Gurobi MI Cost]]=Table1[[#This Row],[ORTools FZN2 Cost]],Table1[[#This Row],[ORTools FZN2 State]]="Optimal",Table1[[#This Row],[Gurobi MI State]]="Suboptimal"),1,"")</f>
        <v/>
      </c>
      <c r="CD18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6" s="39" t="s">
        <v>42</v>
      </c>
      <c r="CF186" s="2">
        <v>-14425</v>
      </c>
      <c r="CG186" s="39">
        <v>306.04091010000002</v>
      </c>
      <c r="CH186" s="39" t="s">
        <v>42</v>
      </c>
      <c r="CI186" s="39">
        <v>-14425</v>
      </c>
      <c r="CJ186" s="2">
        <v>306.12016219999998</v>
      </c>
      <c r="CK186" s="5" t="s">
        <v>25</v>
      </c>
      <c r="CL186" s="2">
        <v>0</v>
      </c>
      <c r="CM186" s="2">
        <v>0.19299999999930201</v>
      </c>
      <c r="CN186" s="5" t="s">
        <v>25</v>
      </c>
      <c r="CO186" s="2">
        <v>0</v>
      </c>
      <c r="CP186" s="2">
        <v>3.9415741</v>
      </c>
      <c r="CQ186" s="5" t="s">
        <v>25</v>
      </c>
      <c r="CR186" s="2">
        <v>0</v>
      </c>
      <c r="CS186" s="2">
        <v>2.1491471999999998</v>
      </c>
      <c r="CT186" s="6" t="s">
        <v>25</v>
      </c>
      <c r="CU186" s="4">
        <v>0</v>
      </c>
      <c r="CV186" s="4">
        <v>2.2179137</v>
      </c>
      <c r="CW186" s="39" t="s">
        <v>25</v>
      </c>
      <c r="CX186" s="39">
        <v>0</v>
      </c>
      <c r="CY186" s="2">
        <v>8.0122</v>
      </c>
      <c r="CZ186" s="2" t="str">
        <f>IF(AND(Table1[[#This Row],[Cplex MZ1 Cost]]=Table1[[#This Row],[ORTools FZN2 Cost]],Table1[[#This Row],[ORTools FZN2 State]]="Optimal",Table1[[#This Row],[Cplex MZ1 State]]="Suboptimal"),1,"")</f>
        <v/>
      </c>
      <c r="DA186" s="5" t="s">
        <v>25</v>
      </c>
      <c r="DB186" s="2">
        <v>0</v>
      </c>
      <c r="DC186" s="2">
        <v>4.0065999999999997</v>
      </c>
      <c r="DD186" s="2" t="str">
        <f>IF(AND(Table1[[#This Row],[Cplex MZ2 Cost]]=Table1[[#This Row],[ORTools FZN2 Cost]],Table1[[#This Row],[ORTools FZN2 State]]="Optimal",Table1[[#This Row],[Cplex MZ2 State]]="Suboptimal"),1,"")</f>
        <v/>
      </c>
      <c r="DE186" s="39" t="s">
        <v>25</v>
      </c>
      <c r="DF186" s="39">
        <v>0</v>
      </c>
      <c r="DG186" s="2">
        <v>7.7306999999999997</v>
      </c>
      <c r="DH186" s="2" t="str">
        <f>IF(AND(Table1[[#This Row],[Gurobi MZ1 Cost]]=Table1[[#This Row],[ORTools FZN2 Cost]],Table1[[#This Row],[ORTools FZN2 State]]="Optimal",Table1[[#This Row],[Gurobi MZ1 State]]="Suboptimal"),1,"")</f>
        <v/>
      </c>
      <c r="DI186" s="5" t="s">
        <v>25</v>
      </c>
      <c r="DJ186" s="2">
        <v>0</v>
      </c>
      <c r="DK186" s="2">
        <v>10.233000000000001</v>
      </c>
      <c r="DL186" s="4" t="str">
        <f>IF(AND(Table1[[#This Row],[Gurobi MZ2 Cost]]=Table1[[#This Row],[ORTools FZN2 Cost]],Table1[[#This Row],[ORTools FZN2 State]]="Optimal",Table1[[#This Row],[Gurobi MZ2 State]]="Suboptimal"),1,"")</f>
        <v/>
      </c>
      <c r="DM186" s="39" t="s">
        <v>25</v>
      </c>
      <c r="DN186" s="39">
        <v>0</v>
      </c>
      <c r="DO186" s="65">
        <v>0.76499999999941704</v>
      </c>
      <c r="DP186" s="4" t="str">
        <f>IF(AND(Table1[[#This Row],[Cplex MC nonDual Cost]]=Table1[[#This Row],[ORTools FZN2 Cost]],Table1[[#This Row],[ORTools FZN2 State]]="Optimal",Table1[[#This Row],[Cplex MC nonDual State]]="Suboptimal"),1,"")</f>
        <v/>
      </c>
      <c r="DQ186" s="5" t="s">
        <v>25</v>
      </c>
      <c r="DR186" s="2">
        <v>0</v>
      </c>
      <c r="DS186" s="2">
        <v>3.5722</v>
      </c>
      <c r="DT186" s="2" t="str">
        <f>IF(AND(Table1[[#This Row],[Cplex MIP DM''z Cost]]=Table1[[#This Row],[ORTools FZN2 Cost]],Table1[[#This Row],[ORTools FZN2 State]]="Optimal",Table1[[#This Row],[Cplex MIP DM''z  State]]="Suboptimal"),1,"")</f>
        <v/>
      </c>
      <c r="DU18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6" s="5" t="s">
        <v>25</v>
      </c>
      <c r="DW186" s="2">
        <v>0</v>
      </c>
      <c r="DX186" s="2">
        <v>12.9231</v>
      </c>
      <c r="DY186" s="4" t="str">
        <f>IF(AND(Table1[[#This Row],[Gurobi DM''z  Cost]]=Table1[[#This Row],[ORTools FZN2 Cost]],Table1[[#This Row],[ORTools FZN2 State]]="Optimal",Table1[[#This Row],[Gurobi DM''z  State]]="Suboptimal"),1,"")</f>
        <v/>
      </c>
      <c r="DZ18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7" spans="1:130" ht="15.75" x14ac:dyDescent="0.25">
      <c r="A187" s="47" t="s">
        <v>213</v>
      </c>
      <c r="B187" s="5">
        <v>36</v>
      </c>
      <c r="C187" s="2">
        <v>18</v>
      </c>
      <c r="D187" s="5">
        <v>90</v>
      </c>
      <c r="E187" s="2">
        <v>27</v>
      </c>
      <c r="F187" s="5">
        <v>17</v>
      </c>
      <c r="G187" s="2">
        <v>0</v>
      </c>
      <c r="H187" s="4">
        <f t="shared" si="2"/>
        <v>0</v>
      </c>
      <c r="I187" s="4">
        <f>Table1[[#This Row],[B]]+Table1[[#This Row],[Atomic Constraints]]+Table1[[#This Row],[Soft Atomic Constraints]]+Table1[[#This Row],[Disjunctive Constraints]]+Table1[[#This Row],[Direct Successors]]</f>
        <v>152</v>
      </c>
      <c r="J187" s="5" t="s">
        <v>25</v>
      </c>
      <c r="K187" s="2">
        <v>3</v>
      </c>
      <c r="L187" s="2">
        <v>9.9751665999999997</v>
      </c>
      <c r="M187" s="2" t="str">
        <f>IF(AND(Table1[[#This Row],[Chuffed MZ1 Cost]]=Table1[[#This Row],[ORTools FZN2 Cost]],Table1[[#This Row],[ORTools FZN2 State]]="Optimal",Table1[[#This Row],[Chuffed MZ1 State]]="Suboptimal"),1,"")</f>
        <v/>
      </c>
      <c r="N187" s="5" t="s">
        <v>25</v>
      </c>
      <c r="O187" s="2">
        <v>3</v>
      </c>
      <c r="P187" s="2">
        <v>7.5558985999999999</v>
      </c>
      <c r="Q187" s="2" t="str">
        <f>IF(AND(Table1[[#This Row],[Chuffed MZ2 Cost]]=Table1[[#This Row],[ORTools FZN2 Cost]],Table1[[#This Row],[ORTools FZN2 State]]="Optimal",Table1[[#This Row],[Chuffed MZ2 State]]="Suboptimal"),1,"")</f>
        <v/>
      </c>
      <c r="R187" s="6" t="s">
        <v>25</v>
      </c>
      <c r="S187" s="4">
        <v>3</v>
      </c>
      <c r="T187" s="4">
        <v>18.3290000000015</v>
      </c>
      <c r="U187" s="4"/>
      <c r="V187" s="5" t="s">
        <v>25</v>
      </c>
      <c r="W187" s="2">
        <v>3</v>
      </c>
      <c r="X187" s="2">
        <v>6.7695436000000004</v>
      </c>
      <c r="Y187" s="2" t="str">
        <f>IF(AND(Table1[[#This Row],[ORTools FZN1 Cost]]=Table1[[#This Row],[ORTools FZN2 Cost]],Table1[[#This Row],[ORTools FZN2 State]]="Optimal",Table1[[#This Row],[ORTools FZN1 State]]="Suboptimal"),1,"")</f>
        <v/>
      </c>
      <c r="Z187" s="5" t="s">
        <v>25</v>
      </c>
      <c r="AA187" s="2">
        <v>3</v>
      </c>
      <c r="AB187" s="2">
        <v>6.0841653000000004</v>
      </c>
      <c r="AC187" s="39" t="s">
        <v>25</v>
      </c>
      <c r="AD187" s="39">
        <v>3</v>
      </c>
      <c r="AE187" s="2">
        <v>26.224934999999999</v>
      </c>
      <c r="AF187" s="2" t="str">
        <f>IF(AND(Table1[[#This Row],[Cplex MB Cost]]=Table1[[#This Row],[ORTools FZN2 Cost]],Table1[[#This Row],[ORTools FZN2 State]]="Optimal",Table1[[#This Row],[Cplex MB State]]="Suboptimal"),1,"")</f>
        <v/>
      </c>
      <c r="AG187" s="4">
        <f>IF(AND(AC187="Optimal",AD187&lt;&gt;AA187,Table1[[#This Row],[Example]]&lt;&gt;"R001",Table1[[#This Row],[Example]]&lt;&gt;"R002"),AD187-AA187,)</f>
        <v>0</v>
      </c>
      <c r="AH187" s="5" t="s">
        <v>26</v>
      </c>
      <c r="AI187" s="2">
        <v>472363</v>
      </c>
      <c r="AJ187" s="2">
        <v>300.2104511</v>
      </c>
      <c r="AK187" s="2" t="str">
        <f>IF(AND(Table1[[#This Row],[Cplex MD Cost]]=Table1[[#This Row],[ORTools FZN2 Cost]],Table1[[#This Row],[ORTools FZN2 State]]="Optimal",Table1[[#This Row],[Cplex MD State]]="Suboptimal"),1,"")</f>
        <v/>
      </c>
      <c r="AL187" s="4">
        <f>IF(AND(AH187="Optimal",AI187&lt;&gt;AA187,Table1[[#This Row],[Example]]&lt;&gt;"R001",Table1[[#This Row],[Example]]&lt;&gt;"R002"),AI187-AA187,)</f>
        <v>0</v>
      </c>
      <c r="AM187" s="39" t="s">
        <v>25</v>
      </c>
      <c r="AN187" s="39">
        <v>3</v>
      </c>
      <c r="AO187" s="2">
        <v>27.946806800000001</v>
      </c>
      <c r="AP18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7" s="4" t="str">
        <f>IF(AND(Table1[[#This Row],[Cplex MI Cost]]=Table1[[#This Row],[ORTools FZN2 Cost]],Table1[[#This Row],[ORTools FZN2 State]]="Optimal",Table1[[#This Row],[Cplex MI State]]="Suboptimal"),1,"")</f>
        <v/>
      </c>
      <c r="AR187" s="5" t="s">
        <v>42</v>
      </c>
      <c r="AS187" s="2">
        <v>-47989</v>
      </c>
      <c r="AT187" s="2">
        <v>300.04602560000001</v>
      </c>
      <c r="AU187" s="2" t="str">
        <f>IF(AND(Table1[[#This Row],[Z3 SMT2-1 Maxres Cost]]=Table1[[#This Row],[ORTools FZN2 Cost]],Table1[[#This Row],[ORTools FZN2 State]]="Optimal"),1,"")</f>
        <v/>
      </c>
      <c r="AV187" s="39" t="s">
        <v>42</v>
      </c>
      <c r="AW187" s="39">
        <v>-47989</v>
      </c>
      <c r="AX187" s="2">
        <v>300.03609310000002</v>
      </c>
      <c r="AY187" s="2" t="str">
        <f>IF(AND(Table1[[#This Row],[Z3 SMT2-1 PdMaxres Cost]]=Table1[[#This Row],[ORTools FZN2 Cost]],Table1[[#This Row],[ORTools FZN2 State]]="Optimal"),1,"")</f>
        <v/>
      </c>
      <c r="AZ187" s="5" t="s">
        <v>42</v>
      </c>
      <c r="BA187" s="2">
        <v>-47989</v>
      </c>
      <c r="BB187" s="39">
        <v>300.14786450000003</v>
      </c>
      <c r="BC187" s="39" t="str">
        <f>IF(AND(Table1[[#This Row],[Z3 SMT2-1 WMax Cost]]=Table1[[#This Row],[ORTools FZN2 Cost]],Table1[[#This Row],[ORTools FZN2 State]]="Optimal"),1,"")</f>
        <v/>
      </c>
      <c r="BD187" s="39" t="s">
        <v>42</v>
      </c>
      <c r="BE187" s="39">
        <v>-47989</v>
      </c>
      <c r="BF187" s="2">
        <v>300.03197979999999</v>
      </c>
      <c r="BG187" s="2" t="str">
        <f>IF(AND(Table1[[#This Row],[Z3 SMT2-2 Maxres Cost]]=Table1[[#This Row],[ORTools FZN2 Cost]],Table1[[#This Row],[ORTools FZN2 State]]="Optimal"),1,"")</f>
        <v/>
      </c>
      <c r="BH187" s="5" t="s">
        <v>42</v>
      </c>
      <c r="BI187" s="2">
        <v>-47989</v>
      </c>
      <c r="BJ187" s="39">
        <v>300.04437739999997</v>
      </c>
      <c r="BK187" s="39" t="str">
        <f>IF(AND(Table1[[#This Row],[Z3 SMT2-2 PdMaxres Cost]]=Table1[[#This Row],[ORTools FZN2 Cost]],Table1[[#This Row],[ORTools FZN2 State]]="Optimal"),1,"")</f>
        <v/>
      </c>
      <c r="BL187" s="39" t="s">
        <v>42</v>
      </c>
      <c r="BM187" s="39">
        <v>-47989</v>
      </c>
      <c r="BN187" s="2">
        <v>300.04049680000003</v>
      </c>
      <c r="BO187" s="4" t="str">
        <f>IF(AND(Table1[[#This Row],[Z3 SMT2-2 PdMaxres Cost]]=Table1[[#This Row],[ORTools FZN2 Cost]],Table1[[#This Row],[ORTools FZN2 State]]="Optimal"),1,"")</f>
        <v/>
      </c>
      <c r="BP187" s="5" t="s">
        <v>25</v>
      </c>
      <c r="BQ187" s="2">
        <v>3</v>
      </c>
      <c r="BR187" s="2">
        <v>23.219712300000001</v>
      </c>
      <c r="BS187" s="2" t="str">
        <f>IF(AND(Table1[[#This Row],[Gurobi MB Cost]]=Table1[[#This Row],[ORTools FZN2 Cost]],Table1[[#This Row],[ORTools FZN2 State]]="Optimal",Table1[[#This Row],[Gurobi MB State]]="Suboptimal"),1,"")</f>
        <v/>
      </c>
      <c r="BT18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7" s="5" t="s">
        <v>25</v>
      </c>
      <c r="BV187" s="2">
        <v>3</v>
      </c>
      <c r="BW187" s="2">
        <v>231.14978550000001</v>
      </c>
      <c r="BX187" s="2" t="str">
        <f>IF(AND(Table1[[#This Row],[Gurobi MD Cost]]=Table1[[#This Row],[ORTools FZN2 Cost]],Table1[[#This Row],[ORTools FZN2 State]]="Optimal",Table1[[#This Row],[Gurobi MD State]]="Suboptimal"),1,"")</f>
        <v/>
      </c>
      <c r="BY18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7" s="5" t="s">
        <v>25</v>
      </c>
      <c r="CA187" s="2">
        <v>3</v>
      </c>
      <c r="CB187" s="2">
        <v>51.772794900000001</v>
      </c>
      <c r="CC187" s="2" t="str">
        <f>IF(AND(Table1[[#This Row],[Gurobi MI Cost]]=Table1[[#This Row],[ORTools FZN2 Cost]],Table1[[#This Row],[ORTools FZN2 State]]="Optimal",Table1[[#This Row],[Gurobi MI State]]="Suboptimal"),1,"")</f>
        <v/>
      </c>
      <c r="CD18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7" s="39" t="s">
        <v>42</v>
      </c>
      <c r="CF187" s="2">
        <v>-47989</v>
      </c>
      <c r="CG187" s="39">
        <v>306.10877729999999</v>
      </c>
      <c r="CH187" s="39" t="s">
        <v>42</v>
      </c>
      <c r="CI187" s="39">
        <v>-47989</v>
      </c>
      <c r="CJ187" s="2">
        <v>306.05306000000002</v>
      </c>
      <c r="CK187" s="5" t="s">
        <v>25</v>
      </c>
      <c r="CL187" s="2">
        <v>3</v>
      </c>
      <c r="CM187" s="2">
        <v>22.102999999999199</v>
      </c>
      <c r="CN187" s="5" t="s">
        <v>26</v>
      </c>
      <c r="CO187" s="2">
        <v>567262</v>
      </c>
      <c r="CP187" s="2">
        <v>301.30433879999998</v>
      </c>
      <c r="CQ187" s="5" t="s">
        <v>25</v>
      </c>
      <c r="CR187" s="2">
        <v>3</v>
      </c>
      <c r="CS187" s="2">
        <v>10.4404147</v>
      </c>
      <c r="CT187" s="6" t="s">
        <v>25</v>
      </c>
      <c r="CU187" s="4">
        <v>3</v>
      </c>
      <c r="CV187" s="4">
        <v>7.4344453000000001</v>
      </c>
      <c r="CW187" s="39" t="s">
        <v>26</v>
      </c>
      <c r="CX187" s="39">
        <v>48103</v>
      </c>
      <c r="CY187" s="2">
        <v>300.01389999999998</v>
      </c>
      <c r="CZ187" s="2" t="str">
        <f>IF(AND(Table1[[#This Row],[Cplex MZ1 Cost]]=Table1[[#This Row],[ORTools FZN2 Cost]],Table1[[#This Row],[ORTools FZN2 State]]="Optimal",Table1[[#This Row],[Cplex MZ1 State]]="Suboptimal"),1,"")</f>
        <v/>
      </c>
      <c r="DA187" s="5" t="s">
        <v>25</v>
      </c>
      <c r="DB187" s="2">
        <v>3</v>
      </c>
      <c r="DC187" s="2">
        <v>190.0684</v>
      </c>
      <c r="DD187" s="2" t="str">
        <f>IF(AND(Table1[[#This Row],[Cplex MZ2 Cost]]=Table1[[#This Row],[ORTools FZN2 Cost]],Table1[[#This Row],[ORTools FZN2 State]]="Optimal",Table1[[#This Row],[Cplex MZ2 State]]="Suboptimal"),1,"")</f>
        <v/>
      </c>
      <c r="DE187" s="39" t="s">
        <v>26</v>
      </c>
      <c r="DF187" s="39">
        <v>48029</v>
      </c>
      <c r="DG187" s="2">
        <v>300.01420000000002</v>
      </c>
      <c r="DH187" s="2" t="str">
        <f>IF(AND(Table1[[#This Row],[Gurobi MZ1 Cost]]=Table1[[#This Row],[ORTools FZN2 Cost]],Table1[[#This Row],[ORTools FZN2 State]]="Optimal",Table1[[#This Row],[Gurobi MZ1 State]]="Suboptimal"),1,"")</f>
        <v/>
      </c>
      <c r="DI187" s="5" t="s">
        <v>25</v>
      </c>
      <c r="DJ187" s="2">
        <v>3</v>
      </c>
      <c r="DK187" s="2">
        <v>188.10210000000001</v>
      </c>
      <c r="DL187" s="4" t="str">
        <f>IF(AND(Table1[[#This Row],[Gurobi MZ2 Cost]]=Table1[[#This Row],[ORTools FZN2 Cost]],Table1[[#This Row],[ORTools FZN2 State]]="Optimal",Table1[[#This Row],[Gurobi MZ2 State]]="Suboptimal"),1,"")</f>
        <v/>
      </c>
      <c r="DM187" s="39" t="s">
        <v>25</v>
      </c>
      <c r="DN187" s="39">
        <v>3</v>
      </c>
      <c r="DO187" s="65">
        <v>37.911000000000001</v>
      </c>
      <c r="DP187" s="4" t="str">
        <f>IF(AND(Table1[[#This Row],[Cplex MC nonDual Cost]]=Table1[[#This Row],[ORTools FZN2 Cost]],Table1[[#This Row],[ORTools FZN2 State]]="Optimal",Table1[[#This Row],[Cplex MC nonDual State]]="Suboptimal"),1,"")</f>
        <v/>
      </c>
      <c r="DQ187" s="5" t="s">
        <v>25</v>
      </c>
      <c r="DR187" s="2">
        <v>3</v>
      </c>
      <c r="DS187" s="2">
        <v>266.2928</v>
      </c>
      <c r="DT187" s="2" t="str">
        <f>IF(AND(Table1[[#This Row],[Cplex MIP DM''z Cost]]=Table1[[#This Row],[ORTools FZN2 Cost]],Table1[[#This Row],[ORTools FZN2 State]]="Optimal",Table1[[#This Row],[Cplex MIP DM''z  State]]="Suboptimal"),1,"")</f>
        <v/>
      </c>
      <c r="DU18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7" s="5" t="s">
        <v>26</v>
      </c>
      <c r="DW187" s="2">
        <v>48027</v>
      </c>
      <c r="DX187" s="2">
        <v>300.00580000000002</v>
      </c>
      <c r="DY187" s="4" t="str">
        <f>IF(AND(Table1[[#This Row],[Gurobi DM''z  Cost]]=Table1[[#This Row],[ORTools FZN2 Cost]],Table1[[#This Row],[ORTools FZN2 State]]="Optimal",Table1[[#This Row],[Gurobi DM''z  State]]="Suboptimal"),1,"")</f>
        <v/>
      </c>
      <c r="DZ18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8" spans="1:130" ht="15.75" x14ac:dyDescent="0.25">
      <c r="A188" s="46" t="s">
        <v>214</v>
      </c>
      <c r="B188" s="5">
        <v>36</v>
      </c>
      <c r="C188" s="2">
        <v>18</v>
      </c>
      <c r="D188" s="5">
        <v>90</v>
      </c>
      <c r="E188" s="2">
        <v>26</v>
      </c>
      <c r="F188" s="5">
        <v>16</v>
      </c>
      <c r="G188" s="2">
        <v>4</v>
      </c>
      <c r="H188" s="4">
        <f t="shared" si="2"/>
        <v>0</v>
      </c>
      <c r="I188" s="4">
        <f>Table1[[#This Row],[B]]+Table1[[#This Row],[Atomic Constraints]]+Table1[[#This Row],[Soft Atomic Constraints]]+Table1[[#This Row],[Disjunctive Constraints]]+Table1[[#This Row],[Direct Successors]]</f>
        <v>154</v>
      </c>
      <c r="J188" s="5" t="s">
        <v>25</v>
      </c>
      <c r="K188" s="2">
        <v>96201</v>
      </c>
      <c r="L188" s="2">
        <v>89.526805400000001</v>
      </c>
      <c r="M188" s="2" t="str">
        <f>IF(AND(Table1[[#This Row],[Chuffed MZ1 Cost]]=Table1[[#This Row],[ORTools FZN2 Cost]],Table1[[#This Row],[ORTools FZN2 State]]="Optimal",Table1[[#This Row],[Chuffed MZ1 State]]="Suboptimal"),1,"")</f>
        <v/>
      </c>
      <c r="N188" s="5" t="s">
        <v>25</v>
      </c>
      <c r="O188" s="2">
        <v>96201</v>
      </c>
      <c r="P188" s="2">
        <v>59.6941907</v>
      </c>
      <c r="Q188" s="2" t="str">
        <f>IF(AND(Table1[[#This Row],[Chuffed MZ2 Cost]]=Table1[[#This Row],[ORTools FZN2 Cost]],Table1[[#This Row],[ORTools FZN2 State]]="Optimal",Table1[[#This Row],[Chuffed MZ2 State]]="Suboptimal"),1,"")</f>
        <v/>
      </c>
      <c r="R188" s="6" t="s">
        <v>25</v>
      </c>
      <c r="S188" s="4">
        <v>96201</v>
      </c>
      <c r="T188" s="4">
        <v>21.5640000000021</v>
      </c>
      <c r="U188" s="4"/>
      <c r="V188" s="5" t="s">
        <v>25</v>
      </c>
      <c r="W188" s="2">
        <v>96201</v>
      </c>
      <c r="X188" s="2">
        <v>6.1677809000000003</v>
      </c>
      <c r="Y188" s="2" t="str">
        <f>IF(AND(Table1[[#This Row],[ORTools FZN1 Cost]]=Table1[[#This Row],[ORTools FZN2 Cost]],Table1[[#This Row],[ORTools FZN2 State]]="Optimal",Table1[[#This Row],[ORTools FZN1 State]]="Suboptimal"),1,"")</f>
        <v/>
      </c>
      <c r="Z188" s="5" t="s">
        <v>25</v>
      </c>
      <c r="AA188" s="2">
        <v>96201</v>
      </c>
      <c r="AB188" s="2">
        <v>4.6912779000000002</v>
      </c>
      <c r="AC188" s="39" t="s">
        <v>42</v>
      </c>
      <c r="AD188" s="39">
        <v>-47989</v>
      </c>
      <c r="AE188" s="2">
        <v>300.0669608</v>
      </c>
      <c r="AF188" s="2" t="str">
        <f>IF(AND(Table1[[#This Row],[Cplex MB Cost]]=Table1[[#This Row],[ORTools FZN2 Cost]],Table1[[#This Row],[ORTools FZN2 State]]="Optimal",Table1[[#This Row],[Cplex MB State]]="Suboptimal"),1,"")</f>
        <v/>
      </c>
      <c r="AG188" s="4">
        <f>IF(AND(AC188="Optimal",AD188&lt;&gt;AA188,Table1[[#This Row],[Example]]&lt;&gt;"R001",Table1[[#This Row],[Example]]&lt;&gt;"R002"),AD188-AA188,)</f>
        <v>0</v>
      </c>
      <c r="AH188" s="5" t="s">
        <v>26</v>
      </c>
      <c r="AI188" s="2">
        <v>757743</v>
      </c>
      <c r="AJ188" s="2">
        <v>300.0848317</v>
      </c>
      <c r="AK188" s="2" t="str">
        <f>IF(AND(Table1[[#This Row],[Cplex MD Cost]]=Table1[[#This Row],[ORTools FZN2 Cost]],Table1[[#This Row],[ORTools FZN2 State]]="Optimal",Table1[[#This Row],[Cplex MD State]]="Suboptimal"),1,"")</f>
        <v/>
      </c>
      <c r="AL188" s="2">
        <f>IF(AND(AH188="Optimal",AI188&lt;&gt;AA188,Table1[[#This Row],[Example]]&lt;&gt;"R001",Table1[[#This Row],[Example]]&lt;&gt;"R002"),AI188-AA188,)</f>
        <v>0</v>
      </c>
      <c r="AM188" s="39" t="s">
        <v>25</v>
      </c>
      <c r="AN188" s="39">
        <v>96206</v>
      </c>
      <c r="AO188" s="2">
        <v>67.365650099999996</v>
      </c>
      <c r="AP18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5</v>
      </c>
      <c r="AQ188" s="4" t="str">
        <f>IF(AND(Table1[[#This Row],[Cplex MI Cost]]=Table1[[#This Row],[ORTools FZN2 Cost]],Table1[[#This Row],[ORTools FZN2 State]]="Optimal",Table1[[#This Row],[Cplex MI State]]="Suboptimal"),1,"")</f>
        <v/>
      </c>
      <c r="AR188" s="5" t="s">
        <v>42</v>
      </c>
      <c r="AS188" s="2">
        <v>-47989</v>
      </c>
      <c r="AT188" s="2">
        <v>300.0395565</v>
      </c>
      <c r="AU188" s="2" t="str">
        <f>IF(AND(Table1[[#This Row],[Z3 SMT2-1 Maxres Cost]]=Table1[[#This Row],[ORTools FZN2 Cost]],Table1[[#This Row],[ORTools FZN2 State]]="Optimal"),1,"")</f>
        <v/>
      </c>
      <c r="AV188" s="39" t="s">
        <v>42</v>
      </c>
      <c r="AW188" s="39">
        <v>-47989</v>
      </c>
      <c r="AX188" s="2">
        <v>300.03608350000002</v>
      </c>
      <c r="AY188" s="2" t="str">
        <f>IF(AND(Table1[[#This Row],[Z3 SMT2-1 PdMaxres Cost]]=Table1[[#This Row],[ORTools FZN2 Cost]],Table1[[#This Row],[ORTools FZN2 State]]="Optimal"),1,"")</f>
        <v/>
      </c>
      <c r="AZ188" s="5" t="s">
        <v>42</v>
      </c>
      <c r="BA188" s="2">
        <v>-47989</v>
      </c>
      <c r="BB188" s="39">
        <v>300.04662359999998</v>
      </c>
      <c r="BC188" s="39" t="str">
        <f>IF(AND(Table1[[#This Row],[Z3 SMT2-1 WMax Cost]]=Table1[[#This Row],[ORTools FZN2 Cost]],Table1[[#This Row],[ORTools FZN2 State]]="Optimal"),1,"")</f>
        <v/>
      </c>
      <c r="BD188" s="39" t="s">
        <v>42</v>
      </c>
      <c r="BE188" s="39">
        <v>-47989</v>
      </c>
      <c r="BF188" s="2">
        <v>300.0449782</v>
      </c>
      <c r="BG188" s="2" t="str">
        <f>IF(AND(Table1[[#This Row],[Z3 SMT2-2 Maxres Cost]]=Table1[[#This Row],[ORTools FZN2 Cost]],Table1[[#This Row],[ORTools FZN2 State]]="Optimal"),1,"")</f>
        <v/>
      </c>
      <c r="BH188" s="5" t="s">
        <v>42</v>
      </c>
      <c r="BI188" s="2">
        <v>-47989</v>
      </c>
      <c r="BJ188" s="39">
        <v>300.03908769999998</v>
      </c>
      <c r="BK188" s="39" t="str">
        <f>IF(AND(Table1[[#This Row],[Z3 SMT2-2 PdMaxres Cost]]=Table1[[#This Row],[ORTools FZN2 Cost]],Table1[[#This Row],[ORTools FZN2 State]]="Optimal"),1,"")</f>
        <v/>
      </c>
      <c r="BL188" s="39" t="s">
        <v>42</v>
      </c>
      <c r="BM188" s="39">
        <v>-47989</v>
      </c>
      <c r="BN188" s="2">
        <v>300.04086030000002</v>
      </c>
      <c r="BO188" s="4" t="str">
        <f>IF(AND(Table1[[#This Row],[Z3 SMT2-2 PdMaxres Cost]]=Table1[[#This Row],[ORTools FZN2 Cost]],Table1[[#This Row],[ORTools FZN2 State]]="Optimal"),1,"")</f>
        <v/>
      </c>
      <c r="BP188" s="5" t="s">
        <v>25</v>
      </c>
      <c r="BQ188" s="2">
        <v>96201</v>
      </c>
      <c r="BR188" s="2">
        <v>160.49508420000001</v>
      </c>
      <c r="BS188" s="2" t="str">
        <f>IF(AND(Table1[[#This Row],[Gurobi MB Cost]]=Table1[[#This Row],[ORTools FZN2 Cost]],Table1[[#This Row],[ORTools FZN2 State]]="Optimal",Table1[[#This Row],[Gurobi MB State]]="Suboptimal"),1,"")</f>
        <v/>
      </c>
      <c r="BT18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8" s="5" t="s">
        <v>26</v>
      </c>
      <c r="BV188" s="2">
        <v>190876</v>
      </c>
      <c r="BW188" s="2">
        <v>300.11702530000002</v>
      </c>
      <c r="BX188" s="2" t="str">
        <f>IF(AND(Table1[[#This Row],[Gurobi MD Cost]]=Table1[[#This Row],[ORTools FZN2 Cost]],Table1[[#This Row],[ORTools FZN2 State]]="Optimal",Table1[[#This Row],[Gurobi MD State]]="Suboptimal"),1,"")</f>
        <v/>
      </c>
      <c r="BY18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8" s="5" t="s">
        <v>25</v>
      </c>
      <c r="CA188" s="2">
        <v>96201</v>
      </c>
      <c r="CB188" s="2">
        <v>69.919442399999994</v>
      </c>
      <c r="CC188" s="2" t="str">
        <f>IF(AND(Table1[[#This Row],[Gurobi MI Cost]]=Table1[[#This Row],[ORTools FZN2 Cost]],Table1[[#This Row],[ORTools FZN2 State]]="Optimal",Table1[[#This Row],[Gurobi MI State]]="Suboptimal"),1,"")</f>
        <v/>
      </c>
      <c r="CD18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8" s="39" t="s">
        <v>42</v>
      </c>
      <c r="CF188" s="2">
        <v>-47989</v>
      </c>
      <c r="CG188" s="39">
        <v>306.03620380000001</v>
      </c>
      <c r="CH188" s="39" t="s">
        <v>42</v>
      </c>
      <c r="CI188" s="39">
        <v>-47989</v>
      </c>
      <c r="CJ188" s="2">
        <v>306.08304370000002</v>
      </c>
      <c r="CK188" s="5" t="s">
        <v>25</v>
      </c>
      <c r="CL188" s="2">
        <v>96201</v>
      </c>
      <c r="CM188" s="2">
        <v>16.241999999998399</v>
      </c>
      <c r="CN188" s="5" t="s">
        <v>25</v>
      </c>
      <c r="CO188" s="2">
        <v>96201</v>
      </c>
      <c r="CP188" s="2">
        <v>32.950711499999997</v>
      </c>
      <c r="CQ188" s="5" t="s">
        <v>25</v>
      </c>
      <c r="CR188" s="2">
        <v>96201</v>
      </c>
      <c r="CS188" s="2">
        <v>9.3928847999999991</v>
      </c>
      <c r="CT188" s="6" t="s">
        <v>25</v>
      </c>
      <c r="CU188" s="4">
        <v>96201</v>
      </c>
      <c r="CV188" s="4">
        <v>10.680502300000001</v>
      </c>
      <c r="CW188" s="39" t="s">
        <v>26</v>
      </c>
      <c r="CX188" s="39">
        <v>191283</v>
      </c>
      <c r="CY188" s="2">
        <v>300.01929999999999</v>
      </c>
      <c r="CZ188" s="2" t="str">
        <f>IF(AND(Table1[[#This Row],[Cplex MZ1 Cost]]=Table1[[#This Row],[ORTools FZN2 Cost]],Table1[[#This Row],[ORTools FZN2 State]]="Optimal",Table1[[#This Row],[Cplex MZ1 State]]="Suboptimal"),1,"")</f>
        <v/>
      </c>
      <c r="DA188" s="5" t="s">
        <v>26</v>
      </c>
      <c r="DB188" s="2">
        <v>240275</v>
      </c>
      <c r="DC188" s="2">
        <v>300.01510000000002</v>
      </c>
      <c r="DD188" s="2" t="str">
        <f>IF(AND(Table1[[#This Row],[Cplex MZ2 Cost]]=Table1[[#This Row],[ORTools FZN2 Cost]],Table1[[#This Row],[ORTools FZN2 State]]="Optimal",Table1[[#This Row],[Cplex MZ2 State]]="Suboptimal"),1,"")</f>
        <v/>
      </c>
      <c r="DE188" s="39" t="s">
        <v>26</v>
      </c>
      <c r="DF188" s="39">
        <v>190955</v>
      </c>
      <c r="DG188" s="2">
        <v>300.00439999999998</v>
      </c>
      <c r="DH188" s="2" t="str">
        <f>IF(AND(Table1[[#This Row],[Gurobi MZ1 Cost]]=Table1[[#This Row],[ORTools FZN2 Cost]],Table1[[#This Row],[ORTools FZN2 State]]="Optimal",Table1[[#This Row],[Gurobi MZ1 State]]="Suboptimal"),1,"")</f>
        <v/>
      </c>
      <c r="DI188" s="5" t="s">
        <v>25</v>
      </c>
      <c r="DJ188" s="2">
        <v>96201</v>
      </c>
      <c r="DK188" s="2">
        <v>286.07060000000001</v>
      </c>
      <c r="DL188" s="4" t="str">
        <f>IF(AND(Table1[[#This Row],[Gurobi MZ2 Cost]]=Table1[[#This Row],[ORTools FZN2 Cost]],Table1[[#This Row],[ORTools FZN2 State]]="Optimal",Table1[[#This Row],[Gurobi MZ2 State]]="Suboptimal"),1,"")</f>
        <v/>
      </c>
      <c r="DM188" s="39" t="s">
        <v>25</v>
      </c>
      <c r="DN188" s="39">
        <v>96201</v>
      </c>
      <c r="DO188" s="65">
        <v>30.2850000000034</v>
      </c>
      <c r="DP188" s="4" t="str">
        <f>IF(AND(Table1[[#This Row],[Cplex MC nonDual Cost]]=Table1[[#This Row],[ORTools FZN2 Cost]],Table1[[#This Row],[ORTools FZN2 State]]="Optimal",Table1[[#This Row],[Cplex MC nonDual State]]="Suboptimal"),1,"")</f>
        <v/>
      </c>
      <c r="DQ188" s="5" t="s">
        <v>26</v>
      </c>
      <c r="DR188" s="2">
        <v>142821</v>
      </c>
      <c r="DS188" s="2">
        <v>300.01130000000001</v>
      </c>
      <c r="DT188" s="2" t="str">
        <f>IF(AND(Table1[[#This Row],[Cplex MIP DM''z Cost]]=Table1[[#This Row],[ORTools FZN2 Cost]],Table1[[#This Row],[ORTools FZN2 State]]="Optimal",Table1[[#This Row],[Cplex MIP DM''z  State]]="Suboptimal"),1,"")</f>
        <v/>
      </c>
      <c r="DU18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8" s="5" t="s">
        <v>26</v>
      </c>
      <c r="DW188" s="2">
        <v>190882</v>
      </c>
      <c r="DX188" s="2">
        <v>300.012</v>
      </c>
      <c r="DY188" s="4" t="str">
        <f>IF(AND(Table1[[#This Row],[Gurobi DM''z  Cost]]=Table1[[#This Row],[ORTools FZN2 Cost]],Table1[[#This Row],[ORTools FZN2 State]]="Optimal",Table1[[#This Row],[Gurobi DM''z  State]]="Suboptimal"),1,"")</f>
        <v/>
      </c>
      <c r="DZ18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89" spans="1:130" ht="15.75" x14ac:dyDescent="0.25">
      <c r="A189" s="47" t="s">
        <v>215</v>
      </c>
      <c r="B189" s="5">
        <v>30</v>
      </c>
      <c r="C189" s="2">
        <v>15</v>
      </c>
      <c r="D189" s="5">
        <v>66</v>
      </c>
      <c r="E189" s="2">
        <v>22</v>
      </c>
      <c r="F189" s="5">
        <v>16</v>
      </c>
      <c r="G189" s="2">
        <v>0</v>
      </c>
      <c r="H189" s="4">
        <f t="shared" si="2"/>
        <v>0</v>
      </c>
      <c r="I189" s="4">
        <f>Table1[[#This Row],[B]]+Table1[[#This Row],[Atomic Constraints]]+Table1[[#This Row],[Soft Atomic Constraints]]+Table1[[#This Row],[Disjunctive Constraints]]+Table1[[#This Row],[Direct Successors]]</f>
        <v>119</v>
      </c>
      <c r="J189" s="5" t="s">
        <v>25</v>
      </c>
      <c r="K189" s="2">
        <v>2</v>
      </c>
      <c r="L189" s="2">
        <v>6.1706038999999997</v>
      </c>
      <c r="M189" s="2" t="str">
        <f>IF(AND(Table1[[#This Row],[Chuffed MZ1 Cost]]=Table1[[#This Row],[ORTools FZN2 Cost]],Table1[[#This Row],[ORTools FZN2 State]]="Optimal",Table1[[#This Row],[Chuffed MZ1 State]]="Suboptimal"),1,"")</f>
        <v/>
      </c>
      <c r="N189" s="5" t="s">
        <v>25</v>
      </c>
      <c r="O189" s="2">
        <v>2</v>
      </c>
      <c r="P189" s="2">
        <v>2.2819522999999999</v>
      </c>
      <c r="Q189" s="2" t="str">
        <f>IF(AND(Table1[[#This Row],[Chuffed MZ2 Cost]]=Table1[[#This Row],[ORTools FZN2 Cost]],Table1[[#This Row],[ORTools FZN2 State]]="Optimal",Table1[[#This Row],[Chuffed MZ2 State]]="Suboptimal"),1,"")</f>
        <v/>
      </c>
      <c r="R189" s="6" t="s">
        <v>25</v>
      </c>
      <c r="S189" s="4">
        <v>2</v>
      </c>
      <c r="T189" s="4">
        <v>1.0560000000004901</v>
      </c>
      <c r="U189" s="4"/>
      <c r="V189" s="5" t="s">
        <v>25</v>
      </c>
      <c r="W189" s="2">
        <v>2</v>
      </c>
      <c r="X189" s="2">
        <v>2.1904347999999998</v>
      </c>
      <c r="Y189" s="2" t="str">
        <f>IF(AND(Table1[[#This Row],[ORTools FZN1 Cost]]=Table1[[#This Row],[ORTools FZN2 Cost]],Table1[[#This Row],[ORTools FZN2 State]]="Optimal",Table1[[#This Row],[ORTools FZN1 State]]="Suboptimal"),1,"")</f>
        <v/>
      </c>
      <c r="Z189" s="5" t="s">
        <v>25</v>
      </c>
      <c r="AA189" s="2">
        <v>2</v>
      </c>
      <c r="AB189" s="2">
        <v>2.8869094</v>
      </c>
      <c r="AC189" s="39" t="s">
        <v>25</v>
      </c>
      <c r="AD189" s="39">
        <v>2</v>
      </c>
      <c r="AE189" s="2">
        <v>10.2542855</v>
      </c>
      <c r="AF189" s="2" t="str">
        <f>IF(AND(Table1[[#This Row],[Cplex MB Cost]]=Table1[[#This Row],[ORTools FZN2 Cost]],Table1[[#This Row],[ORTools FZN2 State]]="Optimal",Table1[[#This Row],[Cplex MB State]]="Suboptimal"),1,"")</f>
        <v/>
      </c>
      <c r="AG189" s="4">
        <f>IF(AND(AC189="Optimal",AD189&lt;&gt;AA189,Table1[[#This Row],[Example]]&lt;&gt;"R001",Table1[[#This Row],[Example]]&lt;&gt;"R002"),AD189-AA189,)</f>
        <v>0</v>
      </c>
      <c r="AH189" s="5" t="s">
        <v>26</v>
      </c>
      <c r="AI189" s="2">
        <v>165101</v>
      </c>
      <c r="AJ189" s="2">
        <v>300.28747859999999</v>
      </c>
      <c r="AK189" s="2" t="str">
        <f>IF(AND(Table1[[#This Row],[Cplex MD Cost]]=Table1[[#This Row],[ORTools FZN2 Cost]],Table1[[#This Row],[ORTools FZN2 State]]="Optimal",Table1[[#This Row],[Cplex MD State]]="Suboptimal"),1,"")</f>
        <v/>
      </c>
      <c r="AL189" s="4">
        <f>IF(AND(AH189="Optimal",AI189&lt;&gt;AA189,Table1[[#This Row],[Example]]&lt;&gt;"R001",Table1[[#This Row],[Example]]&lt;&gt;"R002"),AI189-AA189,)</f>
        <v>0</v>
      </c>
      <c r="AM189" s="39" t="s">
        <v>25</v>
      </c>
      <c r="AN189" s="39">
        <v>2</v>
      </c>
      <c r="AO189" s="2">
        <v>3.7991955000000002</v>
      </c>
      <c r="AP18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89" s="4" t="str">
        <f>IF(AND(Table1[[#This Row],[Cplex MI Cost]]=Table1[[#This Row],[ORTools FZN2 Cost]],Table1[[#This Row],[ORTools FZN2 State]]="Optimal",Table1[[#This Row],[Cplex MI State]]="Suboptimal"),1,"")</f>
        <v/>
      </c>
      <c r="AR189" s="12" t="s">
        <v>26</v>
      </c>
      <c r="AS189" s="12">
        <v>2</v>
      </c>
      <c r="AT189" s="12">
        <v>277.3619893</v>
      </c>
      <c r="AU189" s="12">
        <f>IF(AND(Table1[[#This Row],[Z3 SMT2-1 Maxres Cost]]=Table1[[#This Row],[ORTools FZN2 Cost]],Table1[[#This Row],[ORTools FZN2 State]]="Optimal"),1,"")</f>
        <v>1</v>
      </c>
      <c r="AV189" s="12" t="s">
        <v>26</v>
      </c>
      <c r="AW189" s="12">
        <v>2</v>
      </c>
      <c r="AX189" s="12">
        <v>297.49227029999997</v>
      </c>
      <c r="AY189" s="12">
        <f>IF(AND(Table1[[#This Row],[Z3 SMT2-1 PdMaxres Cost]]=Table1[[#This Row],[ORTools FZN2 Cost]],Table1[[#This Row],[ORTools FZN2 State]]="Optimal"),1,"")</f>
        <v>1</v>
      </c>
      <c r="AZ189" s="5" t="s">
        <v>42</v>
      </c>
      <c r="BA189" s="2">
        <v>-27931</v>
      </c>
      <c r="BB189" s="39">
        <v>300.25353680000001</v>
      </c>
      <c r="BC189" s="39" t="str">
        <f>IF(AND(Table1[[#This Row],[Z3 SMT2-1 WMax Cost]]=Table1[[#This Row],[ORTools FZN2 Cost]],Table1[[#This Row],[ORTools FZN2 State]]="Optimal"),1,"")</f>
        <v/>
      </c>
      <c r="BD189" s="12" t="s">
        <v>26</v>
      </c>
      <c r="BE189" s="12">
        <v>2</v>
      </c>
      <c r="BF189" s="12">
        <v>175.2580092</v>
      </c>
      <c r="BG189" s="12">
        <f>IF(AND(Table1[[#This Row],[Z3 SMT2-2 Maxres Cost]]=Table1[[#This Row],[ORTools FZN2 Cost]],Table1[[#This Row],[ORTools FZN2 State]]="Optimal"),1,"")</f>
        <v>1</v>
      </c>
      <c r="BH189" s="12" t="s">
        <v>26</v>
      </c>
      <c r="BI189" s="12">
        <v>2</v>
      </c>
      <c r="BJ189" s="12">
        <v>172.4838374</v>
      </c>
      <c r="BK189" s="12">
        <f>IF(AND(Table1[[#This Row],[Z3 SMT2-2 PdMaxres Cost]]=Table1[[#This Row],[ORTools FZN2 Cost]],Table1[[#This Row],[ORTools FZN2 State]]="Optimal"),1,"")</f>
        <v>1</v>
      </c>
      <c r="BL189" s="12" t="s">
        <v>26</v>
      </c>
      <c r="BM189" s="12">
        <v>2</v>
      </c>
      <c r="BN189" s="12">
        <v>171.5739227</v>
      </c>
      <c r="BO189" s="11">
        <f>IF(AND(Table1[[#This Row],[Z3 SMT2-2 PdMaxres Cost]]=Table1[[#This Row],[ORTools FZN2 Cost]],Table1[[#This Row],[ORTools FZN2 State]]="Optimal"),1,"")</f>
        <v>1</v>
      </c>
      <c r="BP189" s="5" t="s">
        <v>25</v>
      </c>
      <c r="BQ189" s="2">
        <v>2</v>
      </c>
      <c r="BR189" s="2">
        <v>9.7743526000000003</v>
      </c>
      <c r="BS189" s="2" t="str">
        <f>IF(AND(Table1[[#This Row],[Gurobi MB Cost]]=Table1[[#This Row],[ORTools FZN2 Cost]],Table1[[#This Row],[ORTools FZN2 State]]="Optimal",Table1[[#This Row],[Gurobi MB State]]="Suboptimal"),1,"")</f>
        <v/>
      </c>
      <c r="BT18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89" s="5" t="s">
        <v>25</v>
      </c>
      <c r="BV189" s="2">
        <v>2</v>
      </c>
      <c r="BW189" s="2">
        <v>145.42737</v>
      </c>
      <c r="BX189" s="2" t="str">
        <f>IF(AND(Table1[[#This Row],[Gurobi MD Cost]]=Table1[[#This Row],[ORTools FZN2 Cost]],Table1[[#This Row],[ORTools FZN2 State]]="Optimal",Table1[[#This Row],[Gurobi MD State]]="Suboptimal"),1,"")</f>
        <v/>
      </c>
      <c r="BY18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89" s="5" t="s">
        <v>25</v>
      </c>
      <c r="CA189" s="2">
        <v>2</v>
      </c>
      <c r="CB189" s="2">
        <v>15.4966533</v>
      </c>
      <c r="CC189" s="2" t="str">
        <f>IF(AND(Table1[[#This Row],[Gurobi MI Cost]]=Table1[[#This Row],[ORTools FZN2 Cost]],Table1[[#This Row],[ORTools FZN2 State]]="Optimal",Table1[[#This Row],[Gurobi MI State]]="Suboptimal"),1,"")</f>
        <v/>
      </c>
      <c r="CD18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89" s="39" t="s">
        <v>42</v>
      </c>
      <c r="CF189" s="2">
        <v>-27931</v>
      </c>
      <c r="CG189" s="39">
        <v>306.03498509999997</v>
      </c>
      <c r="CH189" s="39" t="s">
        <v>42</v>
      </c>
      <c r="CI189" s="39">
        <v>-27931</v>
      </c>
      <c r="CJ189" s="2">
        <v>306.080195</v>
      </c>
      <c r="CK189" s="5" t="s">
        <v>25</v>
      </c>
      <c r="CL189" s="2">
        <v>2</v>
      </c>
      <c r="CM189" s="2">
        <v>1.01300000000265</v>
      </c>
      <c r="CN189" s="5" t="s">
        <v>25</v>
      </c>
      <c r="CO189" s="2">
        <v>2</v>
      </c>
      <c r="CP189" s="2">
        <v>100.92111559999999</v>
      </c>
      <c r="CQ189" s="5" t="s">
        <v>25</v>
      </c>
      <c r="CR189" s="2">
        <v>2</v>
      </c>
      <c r="CS189" s="2">
        <v>6.6738419999999996</v>
      </c>
      <c r="CT189" s="6" t="s">
        <v>25</v>
      </c>
      <c r="CU189" s="4">
        <v>2</v>
      </c>
      <c r="CV189" s="4">
        <v>4.1489123000000001</v>
      </c>
      <c r="CW189" s="39" t="s">
        <v>25</v>
      </c>
      <c r="CX189" s="39">
        <v>2</v>
      </c>
      <c r="CY189" s="2">
        <v>110.001</v>
      </c>
      <c r="CZ189" s="2" t="str">
        <f>IF(AND(Table1[[#This Row],[Cplex MZ1 Cost]]=Table1[[#This Row],[ORTools FZN2 Cost]],Table1[[#This Row],[ORTools FZN2 State]]="Optimal",Table1[[#This Row],[Cplex MZ1 State]]="Suboptimal"),1,"")</f>
        <v/>
      </c>
      <c r="DA189" s="5" t="s">
        <v>25</v>
      </c>
      <c r="DB189" s="2">
        <v>2</v>
      </c>
      <c r="DC189" s="2">
        <v>99.977699999999999</v>
      </c>
      <c r="DD189" s="2" t="str">
        <f>IF(AND(Table1[[#This Row],[Cplex MZ2 Cost]]=Table1[[#This Row],[ORTools FZN2 Cost]],Table1[[#This Row],[ORTools FZN2 State]]="Optimal",Table1[[#This Row],[Cplex MZ2 State]]="Suboptimal"),1,"")</f>
        <v/>
      </c>
      <c r="DE189" s="39" t="s">
        <v>25</v>
      </c>
      <c r="DF189" s="39">
        <v>2</v>
      </c>
      <c r="DG189" s="2">
        <v>197.22229999999999</v>
      </c>
      <c r="DH189" s="2" t="str">
        <f>IF(AND(Table1[[#This Row],[Gurobi MZ1 Cost]]=Table1[[#This Row],[ORTools FZN2 Cost]],Table1[[#This Row],[ORTools FZN2 State]]="Optimal",Table1[[#This Row],[Gurobi MZ1 State]]="Suboptimal"),1,"")</f>
        <v/>
      </c>
      <c r="DI189" s="5" t="s">
        <v>25</v>
      </c>
      <c r="DJ189" s="2">
        <v>2</v>
      </c>
      <c r="DK189" s="2">
        <v>52.069899999999997</v>
      </c>
      <c r="DL189" s="4" t="str">
        <f>IF(AND(Table1[[#This Row],[Gurobi MZ2 Cost]]=Table1[[#This Row],[ORTools FZN2 Cost]],Table1[[#This Row],[ORTools FZN2 State]]="Optimal",Table1[[#This Row],[Gurobi MZ2 State]]="Suboptimal"),1,"")</f>
        <v/>
      </c>
      <c r="DM189" s="39" t="s">
        <v>25</v>
      </c>
      <c r="DN189" s="39">
        <v>2</v>
      </c>
      <c r="DO189" s="65">
        <v>3.2170000000005499</v>
      </c>
      <c r="DP189" s="4" t="str">
        <f>IF(AND(Table1[[#This Row],[Cplex MC nonDual Cost]]=Table1[[#This Row],[ORTools FZN2 Cost]],Table1[[#This Row],[ORTools FZN2 State]]="Optimal",Table1[[#This Row],[Cplex MC nonDual State]]="Suboptimal"),1,"")</f>
        <v/>
      </c>
      <c r="DQ189" s="5" t="s">
        <v>25</v>
      </c>
      <c r="DR189" s="2">
        <v>2</v>
      </c>
      <c r="DS189" s="2">
        <v>22.677399999999999</v>
      </c>
      <c r="DT189" s="2" t="str">
        <f>IF(AND(Table1[[#This Row],[Cplex MIP DM''z Cost]]=Table1[[#This Row],[ORTools FZN2 Cost]],Table1[[#This Row],[ORTools FZN2 State]]="Optimal",Table1[[#This Row],[Cplex MIP DM''z  State]]="Suboptimal"),1,"")</f>
        <v/>
      </c>
      <c r="DU18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89" s="5" t="s">
        <v>25</v>
      </c>
      <c r="DW189" s="2">
        <v>2</v>
      </c>
      <c r="DX189" s="2">
        <v>62.600299999999997</v>
      </c>
      <c r="DY189" s="4" t="str">
        <f>IF(AND(Table1[[#This Row],[Gurobi DM''z  Cost]]=Table1[[#This Row],[ORTools FZN2 Cost]],Table1[[#This Row],[ORTools FZN2 State]]="Optimal",Table1[[#This Row],[Gurobi DM''z  State]]="Suboptimal"),1,"")</f>
        <v/>
      </c>
      <c r="DZ18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0" spans="1:130" ht="15.75" x14ac:dyDescent="0.25">
      <c r="A190" s="46" t="s">
        <v>216</v>
      </c>
      <c r="B190" s="5">
        <v>30</v>
      </c>
      <c r="C190" s="2">
        <v>15</v>
      </c>
      <c r="D190" s="5">
        <v>58</v>
      </c>
      <c r="E190" s="2">
        <v>21</v>
      </c>
      <c r="F190" s="5">
        <v>17</v>
      </c>
      <c r="G190" s="2">
        <v>4</v>
      </c>
      <c r="H190" s="4">
        <f t="shared" si="2"/>
        <v>0</v>
      </c>
      <c r="I190" s="4">
        <f>Table1[[#This Row],[B]]+Table1[[#This Row],[Atomic Constraints]]+Table1[[#This Row],[Soft Atomic Constraints]]+Table1[[#This Row],[Disjunctive Constraints]]+Table1[[#This Row],[Direct Successors]]</f>
        <v>115</v>
      </c>
      <c r="J190" s="5" t="s">
        <v>25</v>
      </c>
      <c r="K190" s="2">
        <v>83048</v>
      </c>
      <c r="L190" s="2">
        <v>40.3323094</v>
      </c>
      <c r="M190" s="2" t="str">
        <f>IF(AND(Table1[[#This Row],[Chuffed MZ1 Cost]]=Table1[[#This Row],[ORTools FZN2 Cost]],Table1[[#This Row],[ORTools FZN2 State]]="Optimal",Table1[[#This Row],[Chuffed MZ1 State]]="Suboptimal"),1,"")</f>
        <v/>
      </c>
      <c r="N190" s="5" t="s">
        <v>25</v>
      </c>
      <c r="O190" s="2">
        <v>83048</v>
      </c>
      <c r="P190" s="2">
        <v>14.083652499999999</v>
      </c>
      <c r="Q190" s="2" t="str">
        <f>IF(AND(Table1[[#This Row],[Chuffed MZ2 Cost]]=Table1[[#This Row],[ORTools FZN2 Cost]],Table1[[#This Row],[ORTools FZN2 State]]="Optimal",Table1[[#This Row],[Chuffed MZ2 State]]="Suboptimal"),1,"")</f>
        <v/>
      </c>
      <c r="R190" s="5" t="s">
        <v>25</v>
      </c>
      <c r="S190" s="2">
        <v>83048</v>
      </c>
      <c r="T190" s="2">
        <v>72.945999999999898</v>
      </c>
      <c r="U190" s="2"/>
      <c r="V190" s="5" t="s">
        <v>25</v>
      </c>
      <c r="W190" s="2">
        <v>83048</v>
      </c>
      <c r="X190" s="2">
        <v>3.3490047999999999</v>
      </c>
      <c r="Y190" s="2" t="str">
        <f>IF(AND(Table1[[#This Row],[ORTools FZN1 Cost]]=Table1[[#This Row],[ORTools FZN2 Cost]],Table1[[#This Row],[ORTools FZN2 State]]="Optimal",Table1[[#This Row],[ORTools FZN1 State]]="Suboptimal"),1,"")</f>
        <v/>
      </c>
      <c r="Z190" s="5" t="s">
        <v>25</v>
      </c>
      <c r="AA190" s="2">
        <v>83048</v>
      </c>
      <c r="AB190" s="2">
        <v>2.7622529999999998</v>
      </c>
      <c r="AC190" s="39" t="s">
        <v>25</v>
      </c>
      <c r="AD190" s="39">
        <v>83048</v>
      </c>
      <c r="AE190" s="2">
        <v>124.6625801</v>
      </c>
      <c r="AF190" s="2" t="str">
        <f>IF(AND(Table1[[#This Row],[Cplex MB Cost]]=Table1[[#This Row],[ORTools FZN2 Cost]],Table1[[#This Row],[ORTools FZN2 State]]="Optimal",Table1[[#This Row],[Cplex MB State]]="Suboptimal"),1,"")</f>
        <v/>
      </c>
      <c r="AG190" s="4">
        <f>IF(AND(AC190="Optimal",AD190&lt;&gt;AA190,Table1[[#This Row],[Example]]&lt;&gt;"R001",Table1[[#This Row],[Example]]&lt;&gt;"R002"),AD190-AA190,)</f>
        <v>0</v>
      </c>
      <c r="AH190" s="5" t="s">
        <v>26</v>
      </c>
      <c r="AI190" s="2">
        <v>139327</v>
      </c>
      <c r="AJ190" s="2">
        <v>300.10893320000002</v>
      </c>
      <c r="AK190" s="2" t="str">
        <f>IF(AND(Table1[[#This Row],[Cplex MD Cost]]=Table1[[#This Row],[ORTools FZN2 Cost]],Table1[[#This Row],[ORTools FZN2 State]]="Optimal",Table1[[#This Row],[Cplex MD State]]="Suboptimal"),1,"")</f>
        <v/>
      </c>
      <c r="AL190" s="2">
        <f>IF(AND(AH190="Optimal",AI190&lt;&gt;AA190,Table1[[#This Row],[Example]]&lt;&gt;"R001",Table1[[#This Row],[Example]]&lt;&gt;"R002"),AI190-AA190,)</f>
        <v>0</v>
      </c>
      <c r="AM190" s="39" t="s">
        <v>26</v>
      </c>
      <c r="AN190" s="39">
        <v>83048</v>
      </c>
      <c r="AO190" s="2">
        <v>300.04669680000001</v>
      </c>
      <c r="AP19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0" s="4">
        <f>IF(AND(Table1[[#This Row],[Cplex MI Cost]]=Table1[[#This Row],[ORTools FZN2 Cost]],Table1[[#This Row],[ORTools FZN2 State]]="Optimal",Table1[[#This Row],[Cplex MI State]]="Suboptimal"),1,"")</f>
        <v>1</v>
      </c>
      <c r="AR190" s="12" t="s">
        <v>26</v>
      </c>
      <c r="AS190" s="12">
        <v>83048</v>
      </c>
      <c r="AT190" s="12">
        <v>201.16573690000001</v>
      </c>
      <c r="AU190" s="12">
        <f>IF(AND(Table1[[#This Row],[Z3 SMT2-1 Maxres Cost]]=Table1[[#This Row],[ORTools FZN2 Cost]],Table1[[#This Row],[ORTools FZN2 State]]="Optimal"),1,"")</f>
        <v>1</v>
      </c>
      <c r="AV190" s="12" t="s">
        <v>26</v>
      </c>
      <c r="AW190" s="12">
        <v>83048</v>
      </c>
      <c r="AX190" s="12">
        <v>214.98395450000001</v>
      </c>
      <c r="AY190" s="12">
        <f>IF(AND(Table1[[#This Row],[Z3 SMT2-1 PdMaxres Cost]]=Table1[[#This Row],[ORTools FZN2 Cost]],Table1[[#This Row],[ORTools FZN2 State]]="Optimal"),1,"")</f>
        <v>1</v>
      </c>
      <c r="AZ190" s="12" t="s">
        <v>26</v>
      </c>
      <c r="BA190" s="12">
        <v>83048</v>
      </c>
      <c r="BB190" s="12">
        <v>252.64505869999999</v>
      </c>
      <c r="BC190" s="12">
        <f>IF(AND(Table1[[#This Row],[Z3 SMT2-1 WMax Cost]]=Table1[[#This Row],[ORTools FZN2 Cost]],Table1[[#This Row],[ORTools FZN2 State]]="Optimal"),1,"")</f>
        <v>1</v>
      </c>
      <c r="BD190" s="12" t="s">
        <v>26</v>
      </c>
      <c r="BE190" s="12">
        <v>83048</v>
      </c>
      <c r="BF190" s="12">
        <v>195.7913083</v>
      </c>
      <c r="BG190" s="12">
        <f>IF(AND(Table1[[#This Row],[Z3 SMT2-2 Maxres Cost]]=Table1[[#This Row],[ORTools FZN2 Cost]],Table1[[#This Row],[ORTools FZN2 State]]="Optimal"),1,"")</f>
        <v>1</v>
      </c>
      <c r="BH190" s="12" t="s">
        <v>26</v>
      </c>
      <c r="BI190" s="12">
        <v>83048</v>
      </c>
      <c r="BJ190" s="12">
        <v>197.32057259999999</v>
      </c>
      <c r="BK190" s="12">
        <f>IF(AND(Table1[[#This Row],[Z3 SMT2-2 PdMaxres Cost]]=Table1[[#This Row],[ORTools FZN2 Cost]],Table1[[#This Row],[ORTools FZN2 State]]="Optimal"),1,"")</f>
        <v>1</v>
      </c>
      <c r="BL190" s="12" t="s">
        <v>26</v>
      </c>
      <c r="BM190" s="12">
        <v>83048</v>
      </c>
      <c r="BN190" s="12">
        <v>195.5362724</v>
      </c>
      <c r="BO190" s="11">
        <f>IF(AND(Table1[[#This Row],[Z3 SMT2-2 PdMaxres Cost]]=Table1[[#This Row],[ORTools FZN2 Cost]],Table1[[#This Row],[ORTools FZN2 State]]="Optimal"),1,"")</f>
        <v>1</v>
      </c>
      <c r="BP190" s="5" t="s">
        <v>25</v>
      </c>
      <c r="BQ190" s="2">
        <v>83048</v>
      </c>
      <c r="BR190" s="2">
        <v>42.117615700000002</v>
      </c>
      <c r="BS190" s="2" t="str">
        <f>IF(AND(Table1[[#This Row],[Gurobi MB Cost]]=Table1[[#This Row],[ORTools FZN2 Cost]],Table1[[#This Row],[ORTools FZN2 State]]="Optimal",Table1[[#This Row],[Gurobi MB State]]="Suboptimal"),1,"")</f>
        <v/>
      </c>
      <c r="BT19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0" s="5" t="s">
        <v>25</v>
      </c>
      <c r="BV190" s="2">
        <v>83048</v>
      </c>
      <c r="BW190" s="2">
        <v>184.05327679999999</v>
      </c>
      <c r="BX190" s="2" t="str">
        <f>IF(AND(Table1[[#This Row],[Gurobi MD Cost]]=Table1[[#This Row],[ORTools FZN2 Cost]],Table1[[#This Row],[ORTools FZN2 State]]="Optimal",Table1[[#This Row],[Gurobi MD State]]="Suboptimal"),1,"")</f>
        <v/>
      </c>
      <c r="BY19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0" s="5" t="s">
        <v>25</v>
      </c>
      <c r="CA190" s="2">
        <v>83048</v>
      </c>
      <c r="CB190" s="2">
        <v>43.458602599999999</v>
      </c>
      <c r="CC190" s="2" t="str">
        <f>IF(AND(Table1[[#This Row],[Gurobi MI Cost]]=Table1[[#This Row],[ORTools FZN2 Cost]],Table1[[#This Row],[ORTools FZN2 State]]="Optimal",Table1[[#This Row],[Gurobi MI State]]="Suboptimal"),1,"")</f>
        <v/>
      </c>
      <c r="CD19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0" s="39" t="s">
        <v>42</v>
      </c>
      <c r="CF190" s="2">
        <v>-27931</v>
      </c>
      <c r="CG190" s="39">
        <v>306.0626365</v>
      </c>
      <c r="CH190" s="39" t="s">
        <v>42</v>
      </c>
      <c r="CI190" s="39">
        <v>-27931</v>
      </c>
      <c r="CJ190" s="2">
        <v>306.0928452</v>
      </c>
      <c r="CK190" s="5" t="s">
        <v>25</v>
      </c>
      <c r="CL190" s="2">
        <v>83048</v>
      </c>
      <c r="CM190" s="2">
        <v>45.151000000001702</v>
      </c>
      <c r="CN190" s="5" t="s">
        <v>25</v>
      </c>
      <c r="CO190" s="2">
        <v>83048</v>
      </c>
      <c r="CP190" s="2">
        <v>11.123844699999999</v>
      </c>
      <c r="CQ190" s="5" t="s">
        <v>25</v>
      </c>
      <c r="CR190" s="2">
        <v>83048</v>
      </c>
      <c r="CS190" s="2">
        <v>7.8124969999999996</v>
      </c>
      <c r="CT190" s="6" t="s">
        <v>25</v>
      </c>
      <c r="CU190" s="4">
        <v>83048</v>
      </c>
      <c r="CV190" s="4">
        <v>5.1191282999999999</v>
      </c>
      <c r="CW190" s="39" t="s">
        <v>26</v>
      </c>
      <c r="CX190" s="39">
        <v>138846</v>
      </c>
      <c r="CY190" s="2">
        <v>300.01639999999998</v>
      </c>
      <c r="CZ190" s="2" t="str">
        <f>IF(AND(Table1[[#This Row],[Cplex MZ1 Cost]]=Table1[[#This Row],[ORTools FZN2 Cost]],Table1[[#This Row],[ORTools FZN2 State]]="Optimal",Table1[[#This Row],[Cplex MZ1 State]]="Suboptimal"),1,"")</f>
        <v/>
      </c>
      <c r="DA190" s="5" t="s">
        <v>25</v>
      </c>
      <c r="DB190" s="2">
        <v>83048</v>
      </c>
      <c r="DC190" s="2">
        <v>258.65809999999999</v>
      </c>
      <c r="DD190" s="2" t="str">
        <f>IF(AND(Table1[[#This Row],[Cplex MZ2 Cost]]=Table1[[#This Row],[ORTools FZN2 Cost]],Table1[[#This Row],[ORTools FZN2 State]]="Optimal",Table1[[#This Row],[Cplex MZ2 State]]="Suboptimal"),1,"")</f>
        <v/>
      </c>
      <c r="DE190" s="39" t="s">
        <v>25</v>
      </c>
      <c r="DF190" s="39">
        <v>83048</v>
      </c>
      <c r="DG190" s="2">
        <v>202.8819</v>
      </c>
      <c r="DH190" s="2" t="str">
        <f>IF(AND(Table1[[#This Row],[Gurobi MZ1 Cost]]=Table1[[#This Row],[ORTools FZN2 Cost]],Table1[[#This Row],[ORTools FZN2 State]]="Optimal",Table1[[#This Row],[Gurobi MZ1 State]]="Suboptimal"),1,"")</f>
        <v/>
      </c>
      <c r="DI190" s="5" t="s">
        <v>25</v>
      </c>
      <c r="DJ190" s="2">
        <v>83048</v>
      </c>
      <c r="DK190" s="2">
        <v>84.488699999999994</v>
      </c>
      <c r="DL190" s="4" t="str">
        <f>IF(AND(Table1[[#This Row],[Gurobi MZ2 Cost]]=Table1[[#This Row],[ORTools FZN2 Cost]],Table1[[#This Row],[ORTools FZN2 State]]="Optimal",Table1[[#This Row],[Gurobi MZ2 State]]="Suboptimal"),1,"")</f>
        <v/>
      </c>
      <c r="DM190" s="39" t="s">
        <v>25</v>
      </c>
      <c r="DN190" s="39">
        <v>83048</v>
      </c>
      <c r="DO190" s="65">
        <v>101.240000000001</v>
      </c>
      <c r="DP190" s="4" t="str">
        <f>IF(AND(Table1[[#This Row],[Cplex MC nonDual Cost]]=Table1[[#This Row],[ORTools FZN2 Cost]],Table1[[#This Row],[ORTools FZN2 State]]="Optimal",Table1[[#This Row],[Cplex MC nonDual State]]="Suboptimal"),1,"")</f>
        <v/>
      </c>
      <c r="DQ190" s="5" t="s">
        <v>25</v>
      </c>
      <c r="DR190" s="2">
        <v>83048</v>
      </c>
      <c r="DS190" s="2">
        <v>227.16419999999999</v>
      </c>
      <c r="DT190" s="2" t="str">
        <f>IF(AND(Table1[[#This Row],[Cplex MIP DM''z Cost]]=Table1[[#This Row],[ORTools FZN2 Cost]],Table1[[#This Row],[ORTools FZN2 State]]="Optimal",Table1[[#This Row],[Cplex MIP DM''z  State]]="Suboptimal"),1,"")</f>
        <v/>
      </c>
      <c r="DU19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0" s="5" t="s">
        <v>42</v>
      </c>
      <c r="DW190" s="2"/>
      <c r="DX190" s="2">
        <v>300.00200000000001</v>
      </c>
      <c r="DY190" s="4" t="str">
        <f>IF(AND(Table1[[#This Row],[Gurobi DM''z  Cost]]=Table1[[#This Row],[ORTools FZN2 Cost]],Table1[[#This Row],[ORTools FZN2 State]]="Optimal",Table1[[#This Row],[Gurobi DM''z  State]]="Suboptimal"),1,"")</f>
        <v/>
      </c>
      <c r="DZ19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1" spans="1:130" ht="15.75" x14ac:dyDescent="0.25">
      <c r="A191" s="47" t="s">
        <v>217</v>
      </c>
      <c r="B191" s="5">
        <v>32</v>
      </c>
      <c r="C191" s="2">
        <v>16</v>
      </c>
      <c r="D191" s="5">
        <v>45</v>
      </c>
      <c r="E191" s="2">
        <v>23</v>
      </c>
      <c r="F191" s="5">
        <v>13</v>
      </c>
      <c r="G191" s="2">
        <v>0</v>
      </c>
      <c r="H191" s="4">
        <f t="shared" si="2"/>
        <v>0</v>
      </c>
      <c r="I191" s="4">
        <f>Table1[[#This Row],[B]]+Table1[[#This Row],[Atomic Constraints]]+Table1[[#This Row],[Soft Atomic Constraints]]+Table1[[#This Row],[Disjunctive Constraints]]+Table1[[#This Row],[Direct Successors]]</f>
        <v>97</v>
      </c>
      <c r="J191" s="5" t="s">
        <v>25</v>
      </c>
      <c r="K191" s="2">
        <v>4</v>
      </c>
      <c r="L191" s="2">
        <v>3.5626935</v>
      </c>
      <c r="M191" s="2" t="str">
        <f>IF(AND(Table1[[#This Row],[Chuffed MZ1 Cost]]=Table1[[#This Row],[ORTools FZN2 Cost]],Table1[[#This Row],[ORTools FZN2 State]]="Optimal",Table1[[#This Row],[Chuffed MZ1 State]]="Suboptimal"),1,"")</f>
        <v/>
      </c>
      <c r="N191" s="5" t="s">
        <v>25</v>
      </c>
      <c r="O191" s="2">
        <v>4</v>
      </c>
      <c r="P191" s="2">
        <v>2.6259980999999999</v>
      </c>
      <c r="Q191" s="2" t="str">
        <f>IF(AND(Table1[[#This Row],[Chuffed MZ2 Cost]]=Table1[[#This Row],[ORTools FZN2 Cost]],Table1[[#This Row],[ORTools FZN2 State]]="Optimal",Table1[[#This Row],[Chuffed MZ2 State]]="Suboptimal"),1,"")</f>
        <v/>
      </c>
      <c r="R191" s="6" t="s">
        <v>25</v>
      </c>
      <c r="S191" s="4">
        <v>4</v>
      </c>
      <c r="T191" s="4">
        <v>5.9530000000013397</v>
      </c>
      <c r="U191" s="4"/>
      <c r="V191" s="5" t="s">
        <v>25</v>
      </c>
      <c r="W191" s="2">
        <v>4</v>
      </c>
      <c r="X191" s="2">
        <v>5.5618828000000002</v>
      </c>
      <c r="Y191" s="2" t="str">
        <f>IF(AND(Table1[[#This Row],[ORTools FZN1 Cost]]=Table1[[#This Row],[ORTools FZN2 Cost]],Table1[[#This Row],[ORTools FZN2 State]]="Optimal",Table1[[#This Row],[ORTools FZN1 State]]="Suboptimal"),1,"")</f>
        <v/>
      </c>
      <c r="Z191" s="5" t="s">
        <v>25</v>
      </c>
      <c r="AA191" s="2">
        <v>4</v>
      </c>
      <c r="AB191" s="2">
        <v>7.0801167999999999</v>
      </c>
      <c r="AC191" s="39" t="s">
        <v>25</v>
      </c>
      <c r="AD191" s="39">
        <v>4</v>
      </c>
      <c r="AE191" s="2">
        <v>19.087785499999999</v>
      </c>
      <c r="AF191" s="2" t="str">
        <f>IF(AND(Table1[[#This Row],[Cplex MB Cost]]=Table1[[#This Row],[ORTools FZN2 Cost]],Table1[[#This Row],[ORTools FZN2 State]]="Optimal",Table1[[#This Row],[Cplex MB State]]="Suboptimal"),1,"")</f>
        <v/>
      </c>
      <c r="AG191" s="4">
        <f>IF(AND(AC191="Optimal",AD191&lt;&gt;AA191,Table1[[#This Row],[Example]]&lt;&gt;"R001",Table1[[#This Row],[Example]]&lt;&gt;"R002"),AD191-AA191,)</f>
        <v>0</v>
      </c>
      <c r="AH191" s="5" t="s">
        <v>26</v>
      </c>
      <c r="AI191" s="2">
        <v>132202</v>
      </c>
      <c r="AJ191" s="2">
        <v>300.18308569999999</v>
      </c>
      <c r="AK191" s="2" t="str">
        <f>IF(AND(Table1[[#This Row],[Cplex MD Cost]]=Table1[[#This Row],[ORTools FZN2 Cost]],Table1[[#This Row],[ORTools FZN2 State]]="Optimal",Table1[[#This Row],[Cplex MD State]]="Suboptimal"),1,"")</f>
        <v/>
      </c>
      <c r="AL191" s="4">
        <f>IF(AND(AH191="Optimal",AI191&lt;&gt;AA191,Table1[[#This Row],[Example]]&lt;&gt;"R001",Table1[[#This Row],[Example]]&lt;&gt;"R002"),AI191-AA191,)</f>
        <v>0</v>
      </c>
      <c r="AM191" s="39" t="s">
        <v>25</v>
      </c>
      <c r="AN191" s="39">
        <v>4</v>
      </c>
      <c r="AO191" s="2">
        <v>11.6857392</v>
      </c>
      <c r="AP19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1" s="4" t="str">
        <f>IF(AND(Table1[[#This Row],[Cplex MI Cost]]=Table1[[#This Row],[ORTools FZN2 Cost]],Table1[[#This Row],[ORTools FZN2 State]]="Optimal",Table1[[#This Row],[Cplex MI State]]="Suboptimal"),1,"")</f>
        <v/>
      </c>
      <c r="AR191" s="5" t="s">
        <v>42</v>
      </c>
      <c r="AS191" s="2">
        <v>-33825</v>
      </c>
      <c r="AT191" s="2">
        <v>300.03323169999999</v>
      </c>
      <c r="AU191" s="2" t="str">
        <f>IF(AND(Table1[[#This Row],[Z3 SMT2-1 Maxres Cost]]=Table1[[#This Row],[ORTools FZN2 Cost]],Table1[[#This Row],[ORTools FZN2 State]]="Optimal"),1,"")</f>
        <v/>
      </c>
      <c r="AV191" s="39" t="s">
        <v>42</v>
      </c>
      <c r="AW191" s="39">
        <v>-33825</v>
      </c>
      <c r="AX191" s="2">
        <v>300.03224710000001</v>
      </c>
      <c r="AY191" s="2" t="str">
        <f>IF(AND(Table1[[#This Row],[Z3 SMT2-1 PdMaxres Cost]]=Table1[[#This Row],[ORTools FZN2 Cost]],Table1[[#This Row],[ORTools FZN2 State]]="Optimal"),1,"")</f>
        <v/>
      </c>
      <c r="AZ191" s="5" t="s">
        <v>42</v>
      </c>
      <c r="BA191" s="2">
        <v>-33825</v>
      </c>
      <c r="BB191" s="39">
        <v>300.04471230000001</v>
      </c>
      <c r="BC191" s="39" t="str">
        <f>IF(AND(Table1[[#This Row],[Z3 SMT2-1 WMax Cost]]=Table1[[#This Row],[ORTools FZN2 Cost]],Table1[[#This Row],[ORTools FZN2 State]]="Optimal"),1,"")</f>
        <v/>
      </c>
      <c r="BD191" s="39" t="s">
        <v>42</v>
      </c>
      <c r="BE191" s="39">
        <v>-33825</v>
      </c>
      <c r="BF191" s="2">
        <v>300.05510099999998</v>
      </c>
      <c r="BG191" s="2" t="str">
        <f>IF(AND(Table1[[#This Row],[Z3 SMT2-2 Maxres Cost]]=Table1[[#This Row],[ORTools FZN2 Cost]],Table1[[#This Row],[ORTools FZN2 State]]="Optimal"),1,"")</f>
        <v/>
      </c>
      <c r="BH191" s="5" t="s">
        <v>42</v>
      </c>
      <c r="BI191" s="2">
        <v>-33825</v>
      </c>
      <c r="BJ191" s="39">
        <v>300.03770259999999</v>
      </c>
      <c r="BK191" s="39" t="str">
        <f>IF(AND(Table1[[#This Row],[Z3 SMT2-2 PdMaxres Cost]]=Table1[[#This Row],[ORTools FZN2 Cost]],Table1[[#This Row],[ORTools FZN2 State]]="Optimal"),1,"")</f>
        <v/>
      </c>
      <c r="BL191" s="39" t="s">
        <v>42</v>
      </c>
      <c r="BM191" s="39">
        <v>-33825</v>
      </c>
      <c r="BN191" s="2">
        <v>300.03869650000001</v>
      </c>
      <c r="BO191" s="4" t="str">
        <f>IF(AND(Table1[[#This Row],[Z3 SMT2-2 PdMaxres Cost]]=Table1[[#This Row],[ORTools FZN2 Cost]],Table1[[#This Row],[ORTools FZN2 State]]="Optimal"),1,"")</f>
        <v/>
      </c>
      <c r="BP191" s="5" t="s">
        <v>25</v>
      </c>
      <c r="BQ191" s="2">
        <v>4</v>
      </c>
      <c r="BR191" s="2">
        <v>22.618664800000001</v>
      </c>
      <c r="BS191" s="2" t="str">
        <f>IF(AND(Table1[[#This Row],[Gurobi MB Cost]]=Table1[[#This Row],[ORTools FZN2 Cost]],Table1[[#This Row],[ORTools FZN2 State]]="Optimal",Table1[[#This Row],[Gurobi MB State]]="Suboptimal"),1,"")</f>
        <v/>
      </c>
      <c r="BT19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1" s="5" t="s">
        <v>25</v>
      </c>
      <c r="BV191" s="2">
        <v>4</v>
      </c>
      <c r="BW191" s="2">
        <v>126.410222</v>
      </c>
      <c r="BX191" s="2" t="str">
        <f>IF(AND(Table1[[#This Row],[Gurobi MD Cost]]=Table1[[#This Row],[ORTools FZN2 Cost]],Table1[[#This Row],[ORTools FZN2 State]]="Optimal",Table1[[#This Row],[Gurobi MD State]]="Suboptimal"),1,"")</f>
        <v/>
      </c>
      <c r="BY19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1" s="5" t="s">
        <v>25</v>
      </c>
      <c r="CA191" s="2">
        <v>4</v>
      </c>
      <c r="CB191" s="2">
        <v>19.904339400000001</v>
      </c>
      <c r="CC191" s="2" t="str">
        <f>IF(AND(Table1[[#This Row],[Gurobi MI Cost]]=Table1[[#This Row],[ORTools FZN2 Cost]],Table1[[#This Row],[ORTools FZN2 State]]="Optimal",Table1[[#This Row],[Gurobi MI State]]="Suboptimal"),1,"")</f>
        <v/>
      </c>
      <c r="CD19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1" s="39" t="s">
        <v>42</v>
      </c>
      <c r="CF191" s="2">
        <v>-33825</v>
      </c>
      <c r="CG191" s="39">
        <v>306.06454000000002</v>
      </c>
      <c r="CH191" s="39" t="s">
        <v>42</v>
      </c>
      <c r="CI191" s="39">
        <v>-33825</v>
      </c>
      <c r="CJ191" s="2">
        <v>306.12908820000001</v>
      </c>
      <c r="CK191" s="5" t="s">
        <v>25</v>
      </c>
      <c r="CL191" s="2">
        <v>4</v>
      </c>
      <c r="CM191" s="2">
        <v>5.2799999999988403</v>
      </c>
      <c r="CN191" s="5" t="s">
        <v>25</v>
      </c>
      <c r="CO191" s="2">
        <v>4</v>
      </c>
      <c r="CP191" s="2">
        <v>176.89106100000001</v>
      </c>
      <c r="CQ191" s="5" t="s">
        <v>25</v>
      </c>
      <c r="CR191" s="2">
        <v>4</v>
      </c>
      <c r="CS191" s="2">
        <v>7.2473026999999997</v>
      </c>
      <c r="CT191" s="6" t="s">
        <v>25</v>
      </c>
      <c r="CU191" s="4">
        <v>4</v>
      </c>
      <c r="CV191" s="4">
        <v>5.0800098</v>
      </c>
      <c r="CW191" s="39" t="s">
        <v>26</v>
      </c>
      <c r="CX191" s="39">
        <v>33861</v>
      </c>
      <c r="CY191" s="2">
        <v>300.01850000000002</v>
      </c>
      <c r="CZ191" s="2" t="str">
        <f>IF(AND(Table1[[#This Row],[Cplex MZ1 Cost]]=Table1[[#This Row],[ORTools FZN2 Cost]],Table1[[#This Row],[ORTools FZN2 State]]="Optimal",Table1[[#This Row],[Cplex MZ1 State]]="Suboptimal"),1,"")</f>
        <v/>
      </c>
      <c r="DA191" s="5" t="s">
        <v>25</v>
      </c>
      <c r="DB191" s="2">
        <v>4</v>
      </c>
      <c r="DC191" s="2">
        <v>242.41419999999999</v>
      </c>
      <c r="DD191" s="2" t="str">
        <f>IF(AND(Table1[[#This Row],[Cplex MZ2 Cost]]=Table1[[#This Row],[ORTools FZN2 Cost]],Table1[[#This Row],[ORTools FZN2 State]]="Optimal",Table1[[#This Row],[Cplex MZ2 State]]="Suboptimal"),1,"")</f>
        <v/>
      </c>
      <c r="DE191" s="39" t="s">
        <v>25</v>
      </c>
      <c r="DF191" s="39">
        <v>4</v>
      </c>
      <c r="DG191" s="2">
        <v>134.63050000000001</v>
      </c>
      <c r="DH191" s="2" t="str">
        <f>IF(AND(Table1[[#This Row],[Gurobi MZ1 Cost]]=Table1[[#This Row],[ORTools FZN2 Cost]],Table1[[#This Row],[ORTools FZN2 State]]="Optimal",Table1[[#This Row],[Gurobi MZ1 State]]="Suboptimal"),1,"")</f>
        <v/>
      </c>
      <c r="DI191" s="5" t="s">
        <v>25</v>
      </c>
      <c r="DJ191" s="2">
        <v>4</v>
      </c>
      <c r="DK191" s="2">
        <v>113.7567</v>
      </c>
      <c r="DL191" s="4" t="str">
        <f>IF(AND(Table1[[#This Row],[Gurobi MZ2 Cost]]=Table1[[#This Row],[ORTools FZN2 Cost]],Table1[[#This Row],[ORTools FZN2 State]]="Optimal",Table1[[#This Row],[Gurobi MZ2 State]]="Suboptimal"),1,"")</f>
        <v/>
      </c>
      <c r="DM191" s="39" t="s">
        <v>25</v>
      </c>
      <c r="DN191" s="39">
        <v>4</v>
      </c>
      <c r="DO191" s="65">
        <v>57.9660000000003</v>
      </c>
      <c r="DP191" s="4" t="str">
        <f>IF(AND(Table1[[#This Row],[Cplex MC nonDual Cost]]=Table1[[#This Row],[ORTools FZN2 Cost]],Table1[[#This Row],[ORTools FZN2 State]]="Optimal",Table1[[#This Row],[Cplex MC nonDual State]]="Suboptimal"),1,"")</f>
        <v/>
      </c>
      <c r="DQ191" s="5" t="s">
        <v>26</v>
      </c>
      <c r="DR191" s="2">
        <v>33861</v>
      </c>
      <c r="DS191" s="2">
        <v>300.00639999999999</v>
      </c>
      <c r="DT191" s="2" t="str">
        <f>IF(AND(Table1[[#This Row],[Cplex MIP DM''z Cost]]=Table1[[#This Row],[ORTools FZN2 Cost]],Table1[[#This Row],[ORTools FZN2 State]]="Optimal",Table1[[#This Row],[Cplex MIP DM''z  State]]="Suboptimal"),1,"")</f>
        <v/>
      </c>
      <c r="DU19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1" s="5" t="s">
        <v>26</v>
      </c>
      <c r="DW191" s="2">
        <v>4</v>
      </c>
      <c r="DX191" s="2">
        <v>300.01010000000002</v>
      </c>
      <c r="DY191" s="4">
        <f>IF(AND(Table1[[#This Row],[Gurobi DM''z  Cost]]=Table1[[#This Row],[ORTools FZN2 Cost]],Table1[[#This Row],[ORTools FZN2 State]]="Optimal",Table1[[#This Row],[Gurobi DM''z  State]]="Suboptimal"),1,"")</f>
        <v>1</v>
      </c>
      <c r="DZ19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2" spans="1:130" ht="15.75" x14ac:dyDescent="0.25">
      <c r="A192" s="46" t="s">
        <v>218</v>
      </c>
      <c r="B192" s="5">
        <v>32</v>
      </c>
      <c r="C192" s="2">
        <v>16</v>
      </c>
      <c r="D192" s="5">
        <v>45</v>
      </c>
      <c r="E192" s="2">
        <v>23</v>
      </c>
      <c r="F192" s="5">
        <v>12</v>
      </c>
      <c r="G192" s="2">
        <v>0</v>
      </c>
      <c r="H192" s="4">
        <f t="shared" si="2"/>
        <v>0</v>
      </c>
      <c r="I192" s="4">
        <f>Table1[[#This Row],[B]]+Table1[[#This Row],[Atomic Constraints]]+Table1[[#This Row],[Soft Atomic Constraints]]+Table1[[#This Row],[Disjunctive Constraints]]+Table1[[#This Row],[Direct Successors]]</f>
        <v>96</v>
      </c>
      <c r="J192" s="5" t="s">
        <v>25</v>
      </c>
      <c r="K192" s="2">
        <v>4</v>
      </c>
      <c r="L192" s="2">
        <v>3.5709266999999998</v>
      </c>
      <c r="M192" s="2" t="str">
        <f>IF(AND(Table1[[#This Row],[Chuffed MZ1 Cost]]=Table1[[#This Row],[ORTools FZN2 Cost]],Table1[[#This Row],[ORTools FZN2 State]]="Optimal",Table1[[#This Row],[Chuffed MZ1 State]]="Suboptimal"),1,"")</f>
        <v/>
      </c>
      <c r="N192" s="5" t="s">
        <v>25</v>
      </c>
      <c r="O192" s="2">
        <v>4</v>
      </c>
      <c r="P192" s="2">
        <v>2.8977928999999998</v>
      </c>
      <c r="Q192" s="2" t="str">
        <f>IF(AND(Table1[[#This Row],[Chuffed MZ2 Cost]]=Table1[[#This Row],[ORTools FZN2 Cost]],Table1[[#This Row],[ORTools FZN2 State]]="Optimal",Table1[[#This Row],[Chuffed MZ2 State]]="Suboptimal"),1,"")</f>
        <v/>
      </c>
      <c r="R192" s="5" t="s">
        <v>25</v>
      </c>
      <c r="S192" s="2">
        <v>4</v>
      </c>
      <c r="T192" s="2">
        <v>6.0080000000016298</v>
      </c>
      <c r="U192" s="2"/>
      <c r="V192" s="5" t="s">
        <v>25</v>
      </c>
      <c r="W192" s="2">
        <v>4</v>
      </c>
      <c r="X192" s="2">
        <v>5.5286315999999998</v>
      </c>
      <c r="Y192" s="2" t="str">
        <f>IF(AND(Table1[[#This Row],[ORTools FZN1 Cost]]=Table1[[#This Row],[ORTools FZN2 Cost]],Table1[[#This Row],[ORTools FZN2 State]]="Optimal",Table1[[#This Row],[ORTools FZN1 State]]="Suboptimal"),1,"")</f>
        <v/>
      </c>
      <c r="Z192" s="5" t="s">
        <v>25</v>
      </c>
      <c r="AA192" s="2">
        <v>4</v>
      </c>
      <c r="AB192" s="2">
        <v>4.8862687999999999</v>
      </c>
      <c r="AC192" s="39" t="s">
        <v>25</v>
      </c>
      <c r="AD192" s="39">
        <v>4</v>
      </c>
      <c r="AE192" s="2">
        <v>19.428733999999999</v>
      </c>
      <c r="AF192" s="2" t="str">
        <f>IF(AND(Table1[[#This Row],[Cplex MB Cost]]=Table1[[#This Row],[ORTools FZN2 Cost]],Table1[[#This Row],[ORTools FZN2 State]]="Optimal",Table1[[#This Row],[Cplex MB State]]="Suboptimal"),1,"")</f>
        <v/>
      </c>
      <c r="AG192" s="4">
        <f>IF(AND(AC192="Optimal",AD192&lt;&gt;AA192,Table1[[#This Row],[Example]]&lt;&gt;"R001",Table1[[#This Row],[Example]]&lt;&gt;"R002"),AD192-AA192,)</f>
        <v>0</v>
      </c>
      <c r="AH192" s="5" t="s">
        <v>26</v>
      </c>
      <c r="AI192" s="2">
        <v>265675</v>
      </c>
      <c r="AJ192" s="2">
        <v>300.13236219999999</v>
      </c>
      <c r="AK192" s="2" t="str">
        <f>IF(AND(Table1[[#This Row],[Cplex MD Cost]]=Table1[[#This Row],[ORTools FZN2 Cost]],Table1[[#This Row],[ORTools FZN2 State]]="Optimal",Table1[[#This Row],[Cplex MD State]]="Suboptimal"),1,"")</f>
        <v/>
      </c>
      <c r="AL192" s="2">
        <f>IF(AND(AH192="Optimal",AI192&lt;&gt;AA192,Table1[[#This Row],[Example]]&lt;&gt;"R001",Table1[[#This Row],[Example]]&lt;&gt;"R002"),AI192-AA192,)</f>
        <v>0</v>
      </c>
      <c r="AM192" s="39" t="s">
        <v>25</v>
      </c>
      <c r="AN192" s="39">
        <v>4</v>
      </c>
      <c r="AO192" s="2">
        <v>6.3914901999999998</v>
      </c>
      <c r="AP19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2" s="4" t="str">
        <f>IF(AND(Table1[[#This Row],[Cplex MI Cost]]=Table1[[#This Row],[ORTools FZN2 Cost]],Table1[[#This Row],[ORTools FZN2 State]]="Optimal",Table1[[#This Row],[Cplex MI State]]="Suboptimal"),1,"")</f>
        <v/>
      </c>
      <c r="AR192" s="5" t="s">
        <v>42</v>
      </c>
      <c r="AS192" s="2">
        <v>-33825</v>
      </c>
      <c r="AT192" s="2">
        <v>300.03718500000002</v>
      </c>
      <c r="AU192" s="2" t="str">
        <f>IF(AND(Table1[[#This Row],[Z3 SMT2-1 Maxres Cost]]=Table1[[#This Row],[ORTools FZN2 Cost]],Table1[[#This Row],[ORTools FZN2 State]]="Optimal"),1,"")</f>
        <v/>
      </c>
      <c r="AV192" s="39" t="s">
        <v>42</v>
      </c>
      <c r="AW192" s="39">
        <v>-33825</v>
      </c>
      <c r="AX192" s="2">
        <v>300.04999120000002</v>
      </c>
      <c r="AY192" s="2" t="str">
        <f>IF(AND(Table1[[#This Row],[Z3 SMT2-1 PdMaxres Cost]]=Table1[[#This Row],[ORTools FZN2 Cost]],Table1[[#This Row],[ORTools FZN2 State]]="Optimal"),1,"")</f>
        <v/>
      </c>
      <c r="AZ192" s="5" t="s">
        <v>42</v>
      </c>
      <c r="BA192" s="2">
        <v>-33825</v>
      </c>
      <c r="BB192" s="39">
        <v>300.20170450000001</v>
      </c>
      <c r="BC192" s="39" t="str">
        <f>IF(AND(Table1[[#This Row],[Z3 SMT2-1 WMax Cost]]=Table1[[#This Row],[ORTools FZN2 Cost]],Table1[[#This Row],[ORTools FZN2 State]]="Optimal"),1,"")</f>
        <v/>
      </c>
      <c r="BD192" s="39" t="s">
        <v>42</v>
      </c>
      <c r="BE192" s="39">
        <v>-33825</v>
      </c>
      <c r="BF192" s="2">
        <v>300.05087370000001</v>
      </c>
      <c r="BG192" s="2" t="str">
        <f>IF(AND(Table1[[#This Row],[Z3 SMT2-2 Maxres Cost]]=Table1[[#This Row],[ORTools FZN2 Cost]],Table1[[#This Row],[ORTools FZN2 State]]="Optimal"),1,"")</f>
        <v/>
      </c>
      <c r="BH192" s="5" t="s">
        <v>42</v>
      </c>
      <c r="BI192" s="2">
        <v>-33825</v>
      </c>
      <c r="BJ192" s="39">
        <v>300.03705050000002</v>
      </c>
      <c r="BK192" s="39" t="str">
        <f>IF(AND(Table1[[#This Row],[Z3 SMT2-2 PdMaxres Cost]]=Table1[[#This Row],[ORTools FZN2 Cost]],Table1[[#This Row],[ORTools FZN2 State]]="Optimal"),1,"")</f>
        <v/>
      </c>
      <c r="BL192" s="39" t="s">
        <v>42</v>
      </c>
      <c r="BM192" s="39">
        <v>-33825</v>
      </c>
      <c r="BN192" s="2">
        <v>300.03463319999997</v>
      </c>
      <c r="BO192" s="4" t="str">
        <f>IF(AND(Table1[[#This Row],[Z3 SMT2-2 PdMaxres Cost]]=Table1[[#This Row],[ORTools FZN2 Cost]],Table1[[#This Row],[ORTools FZN2 State]]="Optimal"),1,"")</f>
        <v/>
      </c>
      <c r="BP192" s="5" t="s">
        <v>25</v>
      </c>
      <c r="BQ192" s="2">
        <v>4</v>
      </c>
      <c r="BR192" s="2">
        <v>22.45092</v>
      </c>
      <c r="BS192" s="2" t="str">
        <f>IF(AND(Table1[[#This Row],[Gurobi MB Cost]]=Table1[[#This Row],[ORTools FZN2 Cost]],Table1[[#This Row],[ORTools FZN2 State]]="Optimal",Table1[[#This Row],[Gurobi MB State]]="Suboptimal"),1,"")</f>
        <v/>
      </c>
      <c r="BT19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2" s="5" t="s">
        <v>25</v>
      </c>
      <c r="BV192" s="2">
        <v>4</v>
      </c>
      <c r="BW192" s="2">
        <v>126.92545990000001</v>
      </c>
      <c r="BX192" s="2" t="str">
        <f>IF(AND(Table1[[#This Row],[Gurobi MD Cost]]=Table1[[#This Row],[ORTools FZN2 Cost]],Table1[[#This Row],[ORTools FZN2 State]]="Optimal",Table1[[#This Row],[Gurobi MD State]]="Suboptimal"),1,"")</f>
        <v/>
      </c>
      <c r="BY19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2" s="5" t="s">
        <v>25</v>
      </c>
      <c r="CA192" s="2">
        <v>4</v>
      </c>
      <c r="CB192" s="2">
        <v>19.991956399999999</v>
      </c>
      <c r="CC192" s="2" t="str">
        <f>IF(AND(Table1[[#This Row],[Gurobi MI Cost]]=Table1[[#This Row],[ORTools FZN2 Cost]],Table1[[#This Row],[ORTools FZN2 State]]="Optimal",Table1[[#This Row],[Gurobi MI State]]="Suboptimal"),1,"")</f>
        <v/>
      </c>
      <c r="CD19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2" s="39" t="s">
        <v>42</v>
      </c>
      <c r="CF192" s="2">
        <v>-33825</v>
      </c>
      <c r="CG192" s="39">
        <v>306.06715259999999</v>
      </c>
      <c r="CH192" s="39" t="s">
        <v>42</v>
      </c>
      <c r="CI192" s="39">
        <v>-33825</v>
      </c>
      <c r="CJ192" s="2">
        <v>306.14095090000001</v>
      </c>
      <c r="CK192" s="5" t="s">
        <v>25</v>
      </c>
      <c r="CL192" s="2">
        <v>4</v>
      </c>
      <c r="CM192" s="2">
        <v>5.2330000000001702</v>
      </c>
      <c r="CN192" s="5" t="s">
        <v>26</v>
      </c>
      <c r="CO192" s="2">
        <v>472812</v>
      </c>
      <c r="CP192" s="2">
        <v>301.18258630000003</v>
      </c>
      <c r="CQ192" s="5" t="s">
        <v>25</v>
      </c>
      <c r="CR192" s="2">
        <v>4</v>
      </c>
      <c r="CS192" s="2">
        <v>7.2024476999999996</v>
      </c>
      <c r="CT192" s="6" t="s">
        <v>25</v>
      </c>
      <c r="CU192" s="4">
        <v>4</v>
      </c>
      <c r="CV192" s="4">
        <v>4.9406936000000004</v>
      </c>
      <c r="CW192" s="39" t="s">
        <v>26</v>
      </c>
      <c r="CX192" s="39">
        <v>33861</v>
      </c>
      <c r="CY192" s="2">
        <v>300.02539999999999</v>
      </c>
      <c r="CZ192" s="2" t="str">
        <f>IF(AND(Table1[[#This Row],[Cplex MZ1 Cost]]=Table1[[#This Row],[ORTools FZN2 Cost]],Table1[[#This Row],[ORTools FZN2 State]]="Optimal",Table1[[#This Row],[Cplex MZ1 State]]="Suboptimal"),1,"")</f>
        <v/>
      </c>
      <c r="DA192" s="5" t="s">
        <v>25</v>
      </c>
      <c r="DB192" s="2">
        <v>4</v>
      </c>
      <c r="DC192" s="2">
        <v>79.063100000000006</v>
      </c>
      <c r="DD192" s="2" t="str">
        <f>IF(AND(Table1[[#This Row],[Cplex MZ2 Cost]]=Table1[[#This Row],[ORTools FZN2 Cost]],Table1[[#This Row],[ORTools FZN2 State]]="Optimal",Table1[[#This Row],[Cplex MZ2 State]]="Suboptimal"),1,"")</f>
        <v/>
      </c>
      <c r="DE192" s="39" t="s">
        <v>25</v>
      </c>
      <c r="DF192" s="39">
        <v>4</v>
      </c>
      <c r="DG192" s="2">
        <v>133.79759999999999</v>
      </c>
      <c r="DH192" s="2" t="str">
        <f>IF(AND(Table1[[#This Row],[Gurobi MZ1 Cost]]=Table1[[#This Row],[ORTools FZN2 Cost]],Table1[[#This Row],[ORTools FZN2 State]]="Optimal",Table1[[#This Row],[Gurobi MZ1 State]]="Suboptimal"),1,"")</f>
        <v/>
      </c>
      <c r="DI192" s="5" t="s">
        <v>25</v>
      </c>
      <c r="DJ192" s="2">
        <v>4</v>
      </c>
      <c r="DK192" s="2">
        <v>153.6396</v>
      </c>
      <c r="DL192" s="4" t="str">
        <f>IF(AND(Table1[[#This Row],[Gurobi MZ2 Cost]]=Table1[[#This Row],[ORTools FZN2 Cost]],Table1[[#This Row],[ORTools FZN2 State]]="Optimal",Table1[[#This Row],[Gurobi MZ2 State]]="Suboptimal"),1,"")</f>
        <v/>
      </c>
      <c r="DM192" s="39" t="s">
        <v>25</v>
      </c>
      <c r="DN192" s="39">
        <v>4</v>
      </c>
      <c r="DO192" s="65">
        <v>57.919000000001603</v>
      </c>
      <c r="DP192" s="4" t="str">
        <f>IF(AND(Table1[[#This Row],[Cplex MC nonDual Cost]]=Table1[[#This Row],[ORTools FZN2 Cost]],Table1[[#This Row],[ORTools FZN2 State]]="Optimal",Table1[[#This Row],[Cplex MC nonDual State]]="Suboptimal"),1,"")</f>
        <v/>
      </c>
      <c r="DQ192" s="5" t="s">
        <v>26</v>
      </c>
      <c r="DR192" s="2">
        <v>33861</v>
      </c>
      <c r="DS192" s="2">
        <v>300.0147</v>
      </c>
      <c r="DT192" s="2" t="str">
        <f>IF(AND(Table1[[#This Row],[Cplex MIP DM''z Cost]]=Table1[[#This Row],[ORTools FZN2 Cost]],Table1[[#This Row],[ORTools FZN2 State]]="Optimal",Table1[[#This Row],[Cplex MIP DM''z  State]]="Suboptimal"),1,"")</f>
        <v/>
      </c>
      <c r="DU19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2" s="5" t="s">
        <v>26</v>
      </c>
      <c r="DW192" s="2">
        <v>4</v>
      </c>
      <c r="DX192" s="2">
        <v>300.00869999999998</v>
      </c>
      <c r="DY192" s="4">
        <f>IF(AND(Table1[[#This Row],[Gurobi DM''z  Cost]]=Table1[[#This Row],[ORTools FZN2 Cost]],Table1[[#This Row],[ORTools FZN2 State]]="Optimal",Table1[[#This Row],[Gurobi DM''z  State]]="Suboptimal"),1,"")</f>
        <v>1</v>
      </c>
      <c r="DZ19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3" spans="1:130" ht="15.75" x14ac:dyDescent="0.25">
      <c r="A193" s="47" t="s">
        <v>219</v>
      </c>
      <c r="B193" s="5">
        <v>32</v>
      </c>
      <c r="C193" s="2">
        <v>16</v>
      </c>
      <c r="D193" s="5">
        <v>45</v>
      </c>
      <c r="E193" s="2">
        <v>23</v>
      </c>
      <c r="F193" s="5">
        <v>13</v>
      </c>
      <c r="G193" s="2">
        <v>4</v>
      </c>
      <c r="H193" s="4">
        <f t="shared" si="2"/>
        <v>0</v>
      </c>
      <c r="I193" s="4">
        <f>Table1[[#This Row],[B]]+Table1[[#This Row],[Atomic Constraints]]+Table1[[#This Row],[Soft Atomic Constraints]]+Table1[[#This Row],[Disjunctive Constraints]]+Table1[[#This Row],[Direct Successors]]</f>
        <v>101</v>
      </c>
      <c r="J193" s="5" t="s">
        <v>25</v>
      </c>
      <c r="K193" s="2">
        <v>4</v>
      </c>
      <c r="L193" s="2">
        <v>3.8719619000000001</v>
      </c>
      <c r="M193" s="2" t="str">
        <f>IF(AND(Table1[[#This Row],[Chuffed MZ1 Cost]]=Table1[[#This Row],[ORTools FZN2 Cost]],Table1[[#This Row],[ORTools FZN2 State]]="Optimal",Table1[[#This Row],[Chuffed MZ1 State]]="Suboptimal"),1,"")</f>
        <v/>
      </c>
      <c r="N193" s="5" t="s">
        <v>25</v>
      </c>
      <c r="O193" s="2">
        <v>4</v>
      </c>
      <c r="P193" s="2">
        <v>2.2622390999999999</v>
      </c>
      <c r="Q193" s="2" t="str">
        <f>IF(AND(Table1[[#This Row],[Chuffed MZ2 Cost]]=Table1[[#This Row],[ORTools FZN2 Cost]],Table1[[#This Row],[ORTools FZN2 State]]="Optimal",Table1[[#This Row],[Chuffed MZ2 State]]="Suboptimal"),1,"")</f>
        <v/>
      </c>
      <c r="R193" s="6" t="s">
        <v>25</v>
      </c>
      <c r="S193" s="4">
        <v>4</v>
      </c>
      <c r="T193" s="4">
        <v>5.1569999999992397</v>
      </c>
      <c r="U193" s="4"/>
      <c r="V193" s="5" t="s">
        <v>25</v>
      </c>
      <c r="W193" s="2">
        <v>4</v>
      </c>
      <c r="X193" s="2">
        <v>2.1855696</v>
      </c>
      <c r="Y193" s="2" t="str">
        <f>IF(AND(Table1[[#This Row],[ORTools FZN1 Cost]]=Table1[[#This Row],[ORTools FZN2 Cost]],Table1[[#This Row],[ORTools FZN2 State]]="Optimal",Table1[[#This Row],[ORTools FZN1 State]]="Suboptimal"),1,"")</f>
        <v/>
      </c>
      <c r="Z193" s="5" t="s">
        <v>25</v>
      </c>
      <c r="AA193" s="2">
        <v>4</v>
      </c>
      <c r="AB193" s="2">
        <v>4.9346508</v>
      </c>
      <c r="AC193" s="39" t="s">
        <v>25</v>
      </c>
      <c r="AD193" s="39">
        <v>4</v>
      </c>
      <c r="AE193" s="2">
        <v>27.373220199999999</v>
      </c>
      <c r="AF193" s="2" t="str">
        <f>IF(AND(Table1[[#This Row],[Cplex MB Cost]]=Table1[[#This Row],[ORTools FZN2 Cost]],Table1[[#This Row],[ORTools FZN2 State]]="Optimal",Table1[[#This Row],[Cplex MB State]]="Suboptimal"),1,"")</f>
        <v/>
      </c>
      <c r="AG193" s="4">
        <f>IF(AND(AC193="Optimal",AD193&lt;&gt;AA193,Table1[[#This Row],[Example]]&lt;&gt;"R001",Table1[[#This Row],[Example]]&lt;&gt;"R002"),AD193-AA193,)</f>
        <v>0</v>
      </c>
      <c r="AH193" s="5" t="s">
        <v>26</v>
      </c>
      <c r="AI193" s="2">
        <v>264485</v>
      </c>
      <c r="AJ193" s="2">
        <v>300.32747219999999</v>
      </c>
      <c r="AK193" s="2" t="str">
        <f>IF(AND(Table1[[#This Row],[Cplex MD Cost]]=Table1[[#This Row],[ORTools FZN2 Cost]],Table1[[#This Row],[ORTools FZN2 State]]="Optimal",Table1[[#This Row],[Cplex MD State]]="Suboptimal"),1,"")</f>
        <v/>
      </c>
      <c r="AL193" s="4">
        <f>IF(AND(AH193="Optimal",AI193&lt;&gt;AA193,Table1[[#This Row],[Example]]&lt;&gt;"R001",Table1[[#This Row],[Example]]&lt;&gt;"R002"),AI193-AA193,)</f>
        <v>0</v>
      </c>
      <c r="AM193" s="39" t="s">
        <v>25</v>
      </c>
      <c r="AN193" s="39">
        <v>4</v>
      </c>
      <c r="AO193" s="2">
        <v>6.0013958000000001</v>
      </c>
      <c r="AP19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3" s="4" t="str">
        <f>IF(AND(Table1[[#This Row],[Cplex MI Cost]]=Table1[[#This Row],[ORTools FZN2 Cost]],Table1[[#This Row],[ORTools FZN2 State]]="Optimal",Table1[[#This Row],[Cplex MI State]]="Suboptimal"),1,"")</f>
        <v/>
      </c>
      <c r="AR193" s="5" t="s">
        <v>42</v>
      </c>
      <c r="AS193" s="2">
        <v>-33825</v>
      </c>
      <c r="AT193" s="2">
        <v>300.03413890000002</v>
      </c>
      <c r="AU193" s="2" t="str">
        <f>IF(AND(Table1[[#This Row],[Z3 SMT2-1 Maxres Cost]]=Table1[[#This Row],[ORTools FZN2 Cost]],Table1[[#This Row],[ORTools FZN2 State]]="Optimal"),1,"")</f>
        <v/>
      </c>
      <c r="AV193" s="39" t="s">
        <v>42</v>
      </c>
      <c r="AW193" s="39">
        <v>-33825</v>
      </c>
      <c r="AX193" s="2">
        <v>300.04377529999999</v>
      </c>
      <c r="AY193" s="2" t="str">
        <f>IF(AND(Table1[[#This Row],[Z3 SMT2-1 PdMaxres Cost]]=Table1[[#This Row],[ORTools FZN2 Cost]],Table1[[#This Row],[ORTools FZN2 State]]="Optimal"),1,"")</f>
        <v/>
      </c>
      <c r="AZ193" s="5" t="s">
        <v>42</v>
      </c>
      <c r="BA193" s="2">
        <v>-33825</v>
      </c>
      <c r="BB193" s="39">
        <v>300.05111310000001</v>
      </c>
      <c r="BC193" s="39" t="str">
        <f>IF(AND(Table1[[#This Row],[Z3 SMT2-1 WMax Cost]]=Table1[[#This Row],[ORTools FZN2 Cost]],Table1[[#This Row],[ORTools FZN2 State]]="Optimal"),1,"")</f>
        <v/>
      </c>
      <c r="BD193" s="39" t="s">
        <v>42</v>
      </c>
      <c r="BE193" s="39">
        <v>-33825</v>
      </c>
      <c r="BF193" s="2">
        <v>300.04964100000001</v>
      </c>
      <c r="BG193" s="2" t="str">
        <f>IF(AND(Table1[[#This Row],[Z3 SMT2-2 Maxres Cost]]=Table1[[#This Row],[ORTools FZN2 Cost]],Table1[[#This Row],[ORTools FZN2 State]]="Optimal"),1,"")</f>
        <v/>
      </c>
      <c r="BH193" s="12" t="s">
        <v>26</v>
      </c>
      <c r="BI193" s="12">
        <v>4</v>
      </c>
      <c r="BJ193" s="12">
        <v>298.45213209999997</v>
      </c>
      <c r="BK193" s="12">
        <f>IF(AND(Table1[[#This Row],[Z3 SMT2-2 PdMaxres Cost]]=Table1[[#This Row],[ORTools FZN2 Cost]],Table1[[#This Row],[ORTools FZN2 State]]="Optimal"),1,"")</f>
        <v>1</v>
      </c>
      <c r="BL193" s="12" t="s">
        <v>26</v>
      </c>
      <c r="BM193" s="12">
        <v>4</v>
      </c>
      <c r="BN193" s="12">
        <v>296.12564040000001</v>
      </c>
      <c r="BO193" s="11">
        <f>IF(AND(Table1[[#This Row],[Z3 SMT2-2 PdMaxres Cost]]=Table1[[#This Row],[ORTools FZN2 Cost]],Table1[[#This Row],[ORTools FZN2 State]]="Optimal"),1,"")</f>
        <v>1</v>
      </c>
      <c r="BP193" s="5" t="s">
        <v>25</v>
      </c>
      <c r="BQ193" s="2">
        <v>4</v>
      </c>
      <c r="BR193" s="2">
        <v>13.6387281</v>
      </c>
      <c r="BS193" s="2" t="str">
        <f>IF(AND(Table1[[#This Row],[Gurobi MB Cost]]=Table1[[#This Row],[ORTools FZN2 Cost]],Table1[[#This Row],[ORTools FZN2 State]]="Optimal",Table1[[#This Row],[Gurobi MB State]]="Suboptimal"),1,"")</f>
        <v/>
      </c>
      <c r="BT19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3" s="5" t="s">
        <v>25</v>
      </c>
      <c r="BV193" s="2">
        <v>4</v>
      </c>
      <c r="BW193" s="2">
        <v>203.02393799999999</v>
      </c>
      <c r="BX193" s="2" t="str">
        <f>IF(AND(Table1[[#This Row],[Gurobi MD Cost]]=Table1[[#This Row],[ORTools FZN2 Cost]],Table1[[#This Row],[ORTools FZN2 State]]="Optimal",Table1[[#This Row],[Gurobi MD State]]="Suboptimal"),1,"")</f>
        <v/>
      </c>
      <c r="BY19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3" s="5" t="s">
        <v>25</v>
      </c>
      <c r="CA193" s="2">
        <v>4</v>
      </c>
      <c r="CB193" s="2">
        <v>17.896809900000001</v>
      </c>
      <c r="CC193" s="2" t="str">
        <f>IF(AND(Table1[[#This Row],[Gurobi MI Cost]]=Table1[[#This Row],[ORTools FZN2 Cost]],Table1[[#This Row],[ORTools FZN2 State]]="Optimal",Table1[[#This Row],[Gurobi MI State]]="Suboptimal"),1,"")</f>
        <v/>
      </c>
      <c r="CD19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3" s="39" t="s">
        <v>42</v>
      </c>
      <c r="CF193" s="2">
        <v>-33825</v>
      </c>
      <c r="CG193" s="39">
        <v>306.06274050000002</v>
      </c>
      <c r="CH193" s="39" t="s">
        <v>42</v>
      </c>
      <c r="CI193" s="39">
        <v>-33825</v>
      </c>
      <c r="CJ193" s="2">
        <v>306.14120279999997</v>
      </c>
      <c r="CK193" s="5" t="s">
        <v>25</v>
      </c>
      <c r="CL193" s="2">
        <v>4</v>
      </c>
      <c r="CM193" s="2">
        <v>7.0800000000017498</v>
      </c>
      <c r="CN193" s="5" t="s">
        <v>26</v>
      </c>
      <c r="CO193" s="2">
        <v>504588</v>
      </c>
      <c r="CP193" s="2">
        <v>301.18330459999999</v>
      </c>
      <c r="CQ193" s="5" t="s">
        <v>25</v>
      </c>
      <c r="CR193" s="2">
        <v>4</v>
      </c>
      <c r="CS193" s="2">
        <v>6.7486544000000004</v>
      </c>
      <c r="CT193" s="6" t="s">
        <v>25</v>
      </c>
      <c r="CU193" s="4">
        <v>4</v>
      </c>
      <c r="CV193" s="4">
        <v>4.9943833</v>
      </c>
      <c r="CW193" s="39" t="s">
        <v>26</v>
      </c>
      <c r="CX193" s="39">
        <v>33862</v>
      </c>
      <c r="CY193" s="2">
        <v>300.01900000000001</v>
      </c>
      <c r="CZ193" s="2" t="str">
        <f>IF(AND(Table1[[#This Row],[Cplex MZ1 Cost]]=Table1[[#This Row],[ORTools FZN2 Cost]],Table1[[#This Row],[ORTools FZN2 State]]="Optimal",Table1[[#This Row],[Cplex MZ1 State]]="Suboptimal"),1,"")</f>
        <v/>
      </c>
      <c r="DA193" s="5" t="s">
        <v>25</v>
      </c>
      <c r="DB193" s="2">
        <v>4</v>
      </c>
      <c r="DC193" s="2">
        <v>88.8613</v>
      </c>
      <c r="DD193" s="2" t="str">
        <f>IF(AND(Table1[[#This Row],[Cplex MZ2 Cost]]=Table1[[#This Row],[ORTools FZN2 Cost]],Table1[[#This Row],[ORTools FZN2 State]]="Optimal",Table1[[#This Row],[Cplex MZ2 State]]="Suboptimal"),1,"")</f>
        <v/>
      </c>
      <c r="DE193" s="39" t="s">
        <v>25</v>
      </c>
      <c r="DF193" s="39">
        <v>4</v>
      </c>
      <c r="DG193" s="2">
        <v>237.0393</v>
      </c>
      <c r="DH193" s="2" t="str">
        <f>IF(AND(Table1[[#This Row],[Gurobi MZ1 Cost]]=Table1[[#This Row],[ORTools FZN2 Cost]],Table1[[#This Row],[ORTools FZN2 State]]="Optimal",Table1[[#This Row],[Gurobi MZ1 State]]="Suboptimal"),1,"")</f>
        <v/>
      </c>
      <c r="DI193" s="5" t="s">
        <v>25</v>
      </c>
      <c r="DJ193" s="2">
        <v>4</v>
      </c>
      <c r="DK193" s="2">
        <v>178.3382</v>
      </c>
      <c r="DL193" s="4" t="str">
        <f>IF(AND(Table1[[#This Row],[Gurobi MZ2 Cost]]=Table1[[#This Row],[ORTools FZN2 Cost]],Table1[[#This Row],[ORTools FZN2 State]]="Optimal",Table1[[#This Row],[Gurobi MZ2 State]]="Suboptimal"),1,"")</f>
        <v/>
      </c>
      <c r="DM193" s="39" t="s">
        <v>25</v>
      </c>
      <c r="DN193" s="39">
        <v>4</v>
      </c>
      <c r="DO193" s="65">
        <v>38.740000000001601</v>
      </c>
      <c r="DP193" s="4" t="str">
        <f>IF(AND(Table1[[#This Row],[Cplex MC nonDual Cost]]=Table1[[#This Row],[ORTools FZN2 Cost]],Table1[[#This Row],[ORTools FZN2 State]]="Optimal",Table1[[#This Row],[Cplex MC nonDual State]]="Suboptimal"),1,"")</f>
        <v/>
      </c>
      <c r="DQ193" s="5" t="s">
        <v>26</v>
      </c>
      <c r="DR193" s="2">
        <v>33860</v>
      </c>
      <c r="DS193" s="2">
        <v>300.01260000000002</v>
      </c>
      <c r="DT193" s="2" t="str">
        <f>IF(AND(Table1[[#This Row],[Cplex MIP DM''z Cost]]=Table1[[#This Row],[ORTools FZN2 Cost]],Table1[[#This Row],[ORTools FZN2 State]]="Optimal",Table1[[#This Row],[Cplex MIP DM''z  State]]="Suboptimal"),1,"")</f>
        <v/>
      </c>
      <c r="DU19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3" s="5" t="s">
        <v>25</v>
      </c>
      <c r="DW193" s="2">
        <v>4</v>
      </c>
      <c r="DX193" s="2">
        <v>185.39519999999999</v>
      </c>
      <c r="DY193" s="4" t="str">
        <f>IF(AND(Table1[[#This Row],[Gurobi DM''z  Cost]]=Table1[[#This Row],[ORTools FZN2 Cost]],Table1[[#This Row],[ORTools FZN2 State]]="Optimal",Table1[[#This Row],[Gurobi DM''z  State]]="Suboptimal"),1,"")</f>
        <v/>
      </c>
      <c r="DZ19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4" spans="1:130" ht="15.75" x14ac:dyDescent="0.25">
      <c r="A194" s="46" t="s">
        <v>220</v>
      </c>
      <c r="B194" s="5">
        <v>38</v>
      </c>
      <c r="C194" s="2">
        <v>19</v>
      </c>
      <c r="D194" s="5">
        <v>137</v>
      </c>
      <c r="E194" s="2">
        <v>27</v>
      </c>
      <c r="F194" s="5">
        <v>20</v>
      </c>
      <c r="G194" s="2">
        <v>0</v>
      </c>
      <c r="H194" s="4">
        <f t="shared" si="2"/>
        <v>0</v>
      </c>
      <c r="I194" s="4">
        <f>Table1[[#This Row],[B]]+Table1[[#This Row],[Atomic Constraints]]+Table1[[#This Row],[Soft Atomic Constraints]]+Table1[[#This Row],[Disjunctive Constraints]]+Table1[[#This Row],[Direct Successors]]</f>
        <v>203</v>
      </c>
      <c r="J194" s="5" t="s">
        <v>25</v>
      </c>
      <c r="K194" s="2">
        <v>8</v>
      </c>
      <c r="L194" s="2">
        <v>9.0373064999999997</v>
      </c>
      <c r="M194" s="2" t="str">
        <f>IF(AND(Table1[[#This Row],[Chuffed MZ1 Cost]]=Table1[[#This Row],[ORTools FZN2 Cost]],Table1[[#This Row],[ORTools FZN2 State]]="Optimal",Table1[[#This Row],[Chuffed MZ1 State]]="Suboptimal"),1,"")</f>
        <v/>
      </c>
      <c r="N194" s="5" t="s">
        <v>25</v>
      </c>
      <c r="O194" s="2">
        <v>8</v>
      </c>
      <c r="P194" s="2">
        <v>13.407140399999999</v>
      </c>
      <c r="Q194" s="2" t="str">
        <f>IF(AND(Table1[[#This Row],[Chuffed MZ2 Cost]]=Table1[[#This Row],[ORTools FZN2 Cost]],Table1[[#This Row],[ORTools FZN2 State]]="Optimal",Table1[[#This Row],[Chuffed MZ2 State]]="Suboptimal"),1,"")</f>
        <v/>
      </c>
      <c r="R194" s="11" t="s">
        <v>26</v>
      </c>
      <c r="S194" s="11">
        <v>8</v>
      </c>
      <c r="T194" s="11">
        <v>300.07400000000098</v>
      </c>
      <c r="U194" s="11">
        <v>1</v>
      </c>
      <c r="V194" s="5" t="s">
        <v>25</v>
      </c>
      <c r="W194" s="2">
        <v>8</v>
      </c>
      <c r="X194" s="2">
        <v>7.2432233999999998</v>
      </c>
      <c r="Y194" s="2" t="str">
        <f>IF(AND(Table1[[#This Row],[ORTools FZN1 Cost]]=Table1[[#This Row],[ORTools FZN2 Cost]],Table1[[#This Row],[ORTools FZN2 State]]="Optimal",Table1[[#This Row],[ORTools FZN1 State]]="Suboptimal"),1,"")</f>
        <v/>
      </c>
      <c r="Z194" s="5" t="s">
        <v>25</v>
      </c>
      <c r="AA194" s="2">
        <v>8</v>
      </c>
      <c r="AB194" s="2">
        <v>6.8603576999999998</v>
      </c>
      <c r="AC194" s="39" t="s">
        <v>25</v>
      </c>
      <c r="AD194" s="39">
        <v>8</v>
      </c>
      <c r="AE194" s="2">
        <v>33.430600099999999</v>
      </c>
      <c r="AF194" s="2" t="str">
        <f>IF(AND(Table1[[#This Row],[Cplex MB Cost]]=Table1[[#This Row],[ORTools FZN2 Cost]],Table1[[#This Row],[ORTools FZN2 State]]="Optimal",Table1[[#This Row],[Cplex MB State]]="Suboptimal"),1,"")</f>
        <v/>
      </c>
      <c r="AG194" s="4">
        <f>IF(AND(AC194="Optimal",AD194&lt;&gt;AA194,Table1[[#This Row],[Example]]&lt;&gt;"R001",Table1[[#This Row],[Example]]&lt;&gt;"R002"),AD194-AA194,)</f>
        <v>0</v>
      </c>
      <c r="AH194" s="5" t="s">
        <v>26</v>
      </c>
      <c r="AI194" s="2">
        <v>606726</v>
      </c>
      <c r="AJ194" s="2">
        <v>300.38702060000003</v>
      </c>
      <c r="AK194" s="2" t="str">
        <f>IF(AND(Table1[[#This Row],[Cplex MD Cost]]=Table1[[#This Row],[ORTools FZN2 Cost]],Table1[[#This Row],[ORTools FZN2 State]]="Optimal",Table1[[#This Row],[Cplex MD State]]="Suboptimal"),1,"")</f>
        <v/>
      </c>
      <c r="AL194" s="4">
        <f>IF(AND(AH194="Optimal",AI194&lt;&gt;AA194,Table1[[#This Row],[Example]]&lt;&gt;"R001",Table1[[#This Row],[Example]]&lt;&gt;"R002"),AI194-AA194,)</f>
        <v>0</v>
      </c>
      <c r="AM194" s="39" t="s">
        <v>25</v>
      </c>
      <c r="AN194" s="39">
        <v>8</v>
      </c>
      <c r="AO194" s="2">
        <v>3.9582636999999998</v>
      </c>
      <c r="AP19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4" s="4" t="str">
        <f>IF(AND(Table1[[#This Row],[Cplex MI Cost]]=Table1[[#This Row],[ORTools FZN2 Cost]],Table1[[#This Row],[ORTools FZN2 State]]="Optimal",Table1[[#This Row],[Cplex MI State]]="Suboptimal"),1,"")</f>
        <v/>
      </c>
      <c r="AR194" s="5" t="s">
        <v>42</v>
      </c>
      <c r="AS194" s="2">
        <v>-56355</v>
      </c>
      <c r="AT194" s="2">
        <v>300.03936169999997</v>
      </c>
      <c r="AU194" s="2" t="str">
        <f>IF(AND(Table1[[#This Row],[Z3 SMT2-1 Maxres Cost]]=Table1[[#This Row],[ORTools FZN2 Cost]],Table1[[#This Row],[ORTools FZN2 State]]="Optimal"),1,"")</f>
        <v/>
      </c>
      <c r="AV194" s="39" t="s">
        <v>42</v>
      </c>
      <c r="AW194" s="39">
        <v>-56355</v>
      </c>
      <c r="AX194" s="2">
        <v>300.04357909999999</v>
      </c>
      <c r="AY194" s="2" t="str">
        <f>IF(AND(Table1[[#This Row],[Z3 SMT2-1 PdMaxres Cost]]=Table1[[#This Row],[ORTools FZN2 Cost]],Table1[[#This Row],[ORTools FZN2 State]]="Optimal"),1,"")</f>
        <v/>
      </c>
      <c r="AZ194" s="5" t="s">
        <v>42</v>
      </c>
      <c r="BA194" s="2">
        <v>-56355</v>
      </c>
      <c r="BB194" s="39">
        <v>300.23303550000003</v>
      </c>
      <c r="BC194" s="39" t="str">
        <f>IF(AND(Table1[[#This Row],[Z3 SMT2-1 WMax Cost]]=Table1[[#This Row],[ORTools FZN2 Cost]],Table1[[#This Row],[ORTools FZN2 State]]="Optimal"),1,"")</f>
        <v/>
      </c>
      <c r="BD194" s="39" t="s">
        <v>42</v>
      </c>
      <c r="BE194" s="39">
        <v>-56355</v>
      </c>
      <c r="BF194" s="2">
        <v>300.03986909999998</v>
      </c>
      <c r="BG194" s="2" t="str">
        <f>IF(AND(Table1[[#This Row],[Z3 SMT2-2 Maxres Cost]]=Table1[[#This Row],[ORTools FZN2 Cost]],Table1[[#This Row],[ORTools FZN2 State]]="Optimal"),1,"")</f>
        <v/>
      </c>
      <c r="BH194" s="5" t="s">
        <v>42</v>
      </c>
      <c r="BI194" s="2">
        <v>-56355</v>
      </c>
      <c r="BJ194" s="39">
        <v>300.05068110000002</v>
      </c>
      <c r="BK194" s="39" t="str">
        <f>IF(AND(Table1[[#This Row],[Z3 SMT2-2 PdMaxres Cost]]=Table1[[#This Row],[ORTools FZN2 Cost]],Table1[[#This Row],[ORTools FZN2 State]]="Optimal"),1,"")</f>
        <v/>
      </c>
      <c r="BL194" s="39" t="s">
        <v>42</v>
      </c>
      <c r="BM194" s="39">
        <v>-56355</v>
      </c>
      <c r="BN194" s="2">
        <v>300.05229869999999</v>
      </c>
      <c r="BO194" s="4" t="str">
        <f>IF(AND(Table1[[#This Row],[Z3 SMT2-2 PdMaxres Cost]]=Table1[[#This Row],[ORTools FZN2 Cost]],Table1[[#This Row],[ORTools FZN2 State]]="Optimal"),1,"")</f>
        <v/>
      </c>
      <c r="BP194" s="5" t="s">
        <v>25</v>
      </c>
      <c r="BQ194" s="2">
        <v>8</v>
      </c>
      <c r="BR194" s="2">
        <v>43.903825900000001</v>
      </c>
      <c r="BS194" s="2" t="str">
        <f>IF(AND(Table1[[#This Row],[Gurobi MB Cost]]=Table1[[#This Row],[ORTools FZN2 Cost]],Table1[[#This Row],[ORTools FZN2 State]]="Optimal",Table1[[#This Row],[Gurobi MB State]]="Suboptimal"),1,"")</f>
        <v/>
      </c>
      <c r="BT19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4" s="5" t="s">
        <v>26</v>
      </c>
      <c r="BV194" s="2">
        <v>111423</v>
      </c>
      <c r="BW194" s="2">
        <v>300.33301390000003</v>
      </c>
      <c r="BX194" s="2" t="str">
        <f>IF(AND(Table1[[#This Row],[Gurobi MD Cost]]=Table1[[#This Row],[ORTools FZN2 Cost]],Table1[[#This Row],[ORTools FZN2 State]]="Optimal",Table1[[#This Row],[Gurobi MD State]]="Suboptimal"),1,"")</f>
        <v/>
      </c>
      <c r="BY19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4" s="5" t="s">
        <v>25</v>
      </c>
      <c r="CA194" s="2">
        <v>8</v>
      </c>
      <c r="CB194" s="2">
        <v>50.464207999999999</v>
      </c>
      <c r="CC194" s="2" t="str">
        <f>IF(AND(Table1[[#This Row],[Gurobi MI Cost]]=Table1[[#This Row],[ORTools FZN2 Cost]],Table1[[#This Row],[ORTools FZN2 State]]="Optimal",Table1[[#This Row],[Gurobi MI State]]="Suboptimal"),1,"")</f>
        <v/>
      </c>
      <c r="CD19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4" s="39" t="s">
        <v>42</v>
      </c>
      <c r="CF194" s="2">
        <v>-56355</v>
      </c>
      <c r="CG194" s="39">
        <v>306.11268760000002</v>
      </c>
      <c r="CH194" s="39" t="s">
        <v>42</v>
      </c>
      <c r="CI194" s="39">
        <v>-56355</v>
      </c>
      <c r="CJ194" s="2">
        <v>306.06025540000002</v>
      </c>
      <c r="CK194" s="5" t="s">
        <v>25</v>
      </c>
      <c r="CL194" s="2">
        <v>8</v>
      </c>
      <c r="CM194" s="2">
        <v>4.8940000000002302</v>
      </c>
      <c r="CN194" s="5" t="s">
        <v>26</v>
      </c>
      <c r="CO194" s="2">
        <v>893241</v>
      </c>
      <c r="CP194" s="2">
        <v>301.3816405</v>
      </c>
      <c r="CQ194" s="5" t="s">
        <v>25</v>
      </c>
      <c r="CR194" s="2">
        <v>8</v>
      </c>
      <c r="CS194" s="2">
        <v>15.358352999999999</v>
      </c>
      <c r="CT194" s="6" t="s">
        <v>25</v>
      </c>
      <c r="CU194" s="4">
        <v>8</v>
      </c>
      <c r="CV194" s="4">
        <v>9.2261545999999992</v>
      </c>
      <c r="CW194" s="39" t="s">
        <v>26</v>
      </c>
      <c r="CX194" s="39">
        <v>332467</v>
      </c>
      <c r="CY194" s="2">
        <v>300.0138</v>
      </c>
      <c r="CZ194" s="2" t="str">
        <f>IF(AND(Table1[[#This Row],[Cplex MZ1 Cost]]=Table1[[#This Row],[ORTools FZN2 Cost]],Table1[[#This Row],[ORTools FZN2 State]]="Optimal",Table1[[#This Row],[Cplex MZ1 State]]="Suboptimal"),1,"")</f>
        <v/>
      </c>
      <c r="DA194" s="5" t="s">
        <v>25</v>
      </c>
      <c r="DB194" s="2">
        <v>8</v>
      </c>
      <c r="DC194" s="2">
        <v>84.057199999999995</v>
      </c>
      <c r="DD194" s="2" t="str">
        <f>IF(AND(Table1[[#This Row],[Cplex MZ2 Cost]]=Table1[[#This Row],[ORTools FZN2 Cost]],Table1[[#This Row],[ORTools FZN2 State]]="Optimal",Table1[[#This Row],[Cplex MZ2 State]]="Suboptimal"),1,"")</f>
        <v/>
      </c>
      <c r="DE194" s="12" t="s">
        <v>26</v>
      </c>
      <c r="DF194" s="12">
        <v>8</v>
      </c>
      <c r="DG194" s="12">
        <v>300.00959999999998</v>
      </c>
      <c r="DH194" s="12">
        <f>IF(AND(Table1[[#This Row],[Gurobi MZ1 Cost]]=Table1[[#This Row],[ORTools FZN2 Cost]],Table1[[#This Row],[ORTools FZN2 State]]="Optimal",Table1[[#This Row],[Gurobi MZ1 State]]="Suboptimal"),1,"")</f>
        <v>1</v>
      </c>
      <c r="DI194" s="5" t="s">
        <v>25</v>
      </c>
      <c r="DJ194" s="2">
        <v>8</v>
      </c>
      <c r="DK194" s="2">
        <v>273.65249999999997</v>
      </c>
      <c r="DL194" s="4" t="str">
        <f>IF(AND(Table1[[#This Row],[Gurobi MZ2 Cost]]=Table1[[#This Row],[ORTools FZN2 Cost]],Table1[[#This Row],[ORTools FZN2 State]]="Optimal",Table1[[#This Row],[Gurobi MZ2 State]]="Suboptimal"),1,"")</f>
        <v/>
      </c>
      <c r="DM194" s="39" t="s">
        <v>25</v>
      </c>
      <c r="DN194" s="39">
        <v>8</v>
      </c>
      <c r="DO194" s="65">
        <v>16.181000000000399</v>
      </c>
      <c r="DP194" s="4" t="str">
        <f>IF(AND(Table1[[#This Row],[Cplex MC nonDual Cost]]=Table1[[#This Row],[ORTools FZN2 Cost]],Table1[[#This Row],[ORTools FZN2 State]]="Optimal",Table1[[#This Row],[Cplex MC nonDual State]]="Suboptimal"),1,"")</f>
        <v/>
      </c>
      <c r="DQ194" s="5" t="s">
        <v>26</v>
      </c>
      <c r="DR194" s="2">
        <v>8</v>
      </c>
      <c r="DS194" s="2">
        <v>300.01</v>
      </c>
      <c r="DT194" s="2">
        <f>IF(AND(Table1[[#This Row],[Cplex MIP DM''z Cost]]=Table1[[#This Row],[ORTools FZN2 Cost]],Table1[[#This Row],[ORTools FZN2 State]]="Optimal",Table1[[#This Row],[Cplex MIP DM''z  State]]="Suboptimal"),1,"")</f>
        <v>1</v>
      </c>
      <c r="DU19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4" s="5" t="s">
        <v>25</v>
      </c>
      <c r="DW194" s="2">
        <v>8</v>
      </c>
      <c r="DX194" s="2">
        <v>180.44120000000001</v>
      </c>
      <c r="DY194" s="4" t="str">
        <f>IF(AND(Table1[[#This Row],[Gurobi DM''z  Cost]]=Table1[[#This Row],[ORTools FZN2 Cost]],Table1[[#This Row],[ORTools FZN2 State]]="Optimal",Table1[[#This Row],[Gurobi DM''z  State]]="Suboptimal"),1,"")</f>
        <v/>
      </c>
      <c r="DZ19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5" spans="1:130" ht="15.75" x14ac:dyDescent="0.25">
      <c r="A195" s="47" t="s">
        <v>221</v>
      </c>
      <c r="B195" s="5">
        <v>32</v>
      </c>
      <c r="C195" s="2">
        <v>16</v>
      </c>
      <c r="D195" s="5">
        <v>81</v>
      </c>
      <c r="E195" s="2">
        <v>23</v>
      </c>
      <c r="F195" s="5">
        <v>12</v>
      </c>
      <c r="G195" s="2">
        <v>0</v>
      </c>
      <c r="H195" s="4">
        <f t="shared" ref="H195:H258" si="3" xml:space="preserve"> B195-PRODUCT(2,C195)</f>
        <v>0</v>
      </c>
      <c r="I195" s="4">
        <f>Table1[[#This Row],[B]]+Table1[[#This Row],[Atomic Constraints]]+Table1[[#This Row],[Soft Atomic Constraints]]+Table1[[#This Row],[Disjunctive Constraints]]+Table1[[#This Row],[Direct Successors]]</f>
        <v>132</v>
      </c>
      <c r="J195" s="5" t="s">
        <v>25</v>
      </c>
      <c r="K195" s="2">
        <v>5</v>
      </c>
      <c r="L195" s="2">
        <v>4.2019789000000003</v>
      </c>
      <c r="M195" s="2" t="str">
        <f>IF(AND(Table1[[#This Row],[Chuffed MZ1 Cost]]=Table1[[#This Row],[ORTools FZN2 Cost]],Table1[[#This Row],[ORTools FZN2 State]]="Optimal",Table1[[#This Row],[Chuffed MZ1 State]]="Suboptimal"),1,"")</f>
        <v/>
      </c>
      <c r="N195" s="5" t="s">
        <v>25</v>
      </c>
      <c r="O195" s="2">
        <v>5</v>
      </c>
      <c r="P195" s="2">
        <v>2.6000947999999999</v>
      </c>
      <c r="Q195" s="2" t="str">
        <f>IF(AND(Table1[[#This Row],[Chuffed MZ2 Cost]]=Table1[[#This Row],[ORTools FZN2 Cost]],Table1[[#This Row],[ORTools FZN2 State]]="Optimal",Table1[[#This Row],[Chuffed MZ2 State]]="Suboptimal"),1,"")</f>
        <v/>
      </c>
      <c r="R195" s="6" t="s">
        <v>25</v>
      </c>
      <c r="S195" s="4">
        <v>5</v>
      </c>
      <c r="T195" s="4">
        <v>4.625</v>
      </c>
      <c r="U195" s="4"/>
      <c r="V195" s="5" t="s">
        <v>25</v>
      </c>
      <c r="W195" s="2">
        <v>5</v>
      </c>
      <c r="X195" s="2">
        <v>4.2321562000000004</v>
      </c>
      <c r="Y195" s="2" t="str">
        <f>IF(AND(Table1[[#This Row],[ORTools FZN1 Cost]]=Table1[[#This Row],[ORTools FZN2 Cost]],Table1[[#This Row],[ORTools FZN2 State]]="Optimal",Table1[[#This Row],[ORTools FZN1 State]]="Suboptimal"),1,"")</f>
        <v/>
      </c>
      <c r="Z195" s="5" t="s">
        <v>25</v>
      </c>
      <c r="AA195" s="2">
        <v>5</v>
      </c>
      <c r="AB195" s="2">
        <v>2.8954051000000001</v>
      </c>
      <c r="AC195" s="39" t="s">
        <v>25</v>
      </c>
      <c r="AD195" s="39">
        <v>5</v>
      </c>
      <c r="AE195" s="2">
        <v>7.3800740999999999</v>
      </c>
      <c r="AF195" s="2" t="str">
        <f>IF(AND(Table1[[#This Row],[Cplex MB Cost]]=Table1[[#This Row],[ORTools FZN2 Cost]],Table1[[#This Row],[ORTools FZN2 State]]="Optimal",Table1[[#This Row],[Cplex MB State]]="Suboptimal"),1,"")</f>
        <v/>
      </c>
      <c r="AG195" s="4">
        <f>IF(AND(AC195="Optimal",AD195&lt;&gt;AA195,Table1[[#This Row],[Example]]&lt;&gt;"R001",Table1[[#This Row],[Example]]&lt;&gt;"R002"),AD195-AA195,)</f>
        <v>0</v>
      </c>
      <c r="AH195" s="5" t="s">
        <v>26</v>
      </c>
      <c r="AI195" s="2">
        <v>466475</v>
      </c>
      <c r="AJ195" s="2">
        <v>300.27621169999998</v>
      </c>
      <c r="AK195" s="2" t="str">
        <f>IF(AND(Table1[[#This Row],[Cplex MD Cost]]=Table1[[#This Row],[ORTools FZN2 Cost]],Table1[[#This Row],[ORTools FZN2 State]]="Optimal",Table1[[#This Row],[Cplex MD State]]="Suboptimal"),1,"")</f>
        <v/>
      </c>
      <c r="AL195" s="4">
        <f>IF(AND(AH195="Optimal",AI195&lt;&gt;AA195,Table1[[#This Row],[Example]]&lt;&gt;"R001",Table1[[#This Row],[Example]]&lt;&gt;"R002"),AI195-AA195,)</f>
        <v>0</v>
      </c>
      <c r="AM195" s="39" t="s">
        <v>25</v>
      </c>
      <c r="AN195" s="39">
        <v>5</v>
      </c>
      <c r="AO195" s="2">
        <v>4.4230802999999996</v>
      </c>
      <c r="AP19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5" s="4" t="str">
        <f>IF(AND(Table1[[#This Row],[Cplex MI Cost]]=Table1[[#This Row],[ORTools FZN2 Cost]],Table1[[#This Row],[ORTools FZN2 State]]="Optimal",Table1[[#This Row],[Cplex MI State]]="Suboptimal"),1,"")</f>
        <v/>
      </c>
      <c r="AR195" s="5" t="s">
        <v>42</v>
      </c>
      <c r="AS195" s="2">
        <v>-33825</v>
      </c>
      <c r="AT195" s="2">
        <v>300.04114989999999</v>
      </c>
      <c r="AU195" s="2" t="str">
        <f>IF(AND(Table1[[#This Row],[Z3 SMT2-1 Maxres Cost]]=Table1[[#This Row],[ORTools FZN2 Cost]],Table1[[#This Row],[ORTools FZN2 State]]="Optimal"),1,"")</f>
        <v/>
      </c>
      <c r="AV195" s="39" t="s">
        <v>42</v>
      </c>
      <c r="AW195" s="39">
        <v>-33825</v>
      </c>
      <c r="AX195" s="2">
        <v>300.05099360000003</v>
      </c>
      <c r="AY195" s="2" t="str">
        <f>IF(AND(Table1[[#This Row],[Z3 SMT2-1 PdMaxres Cost]]=Table1[[#This Row],[ORTools FZN2 Cost]],Table1[[#This Row],[ORTools FZN2 State]]="Optimal"),1,"")</f>
        <v/>
      </c>
      <c r="AZ195" s="5" t="s">
        <v>42</v>
      </c>
      <c r="BA195" s="2">
        <v>-33825</v>
      </c>
      <c r="BB195" s="39">
        <v>300.1437075</v>
      </c>
      <c r="BC195" s="39" t="str">
        <f>IF(AND(Table1[[#This Row],[Z3 SMT2-1 WMax Cost]]=Table1[[#This Row],[ORTools FZN2 Cost]],Table1[[#This Row],[ORTools FZN2 State]]="Optimal"),1,"")</f>
        <v/>
      </c>
      <c r="BD195" s="39" t="s">
        <v>42</v>
      </c>
      <c r="BE195" s="39">
        <v>-33825</v>
      </c>
      <c r="BF195" s="2">
        <v>300.04879529999999</v>
      </c>
      <c r="BG195" s="2" t="str">
        <f>IF(AND(Table1[[#This Row],[Z3 SMT2-2 Maxres Cost]]=Table1[[#This Row],[ORTools FZN2 Cost]],Table1[[#This Row],[ORTools FZN2 State]]="Optimal"),1,"")</f>
        <v/>
      </c>
      <c r="BH195" s="5" t="s">
        <v>42</v>
      </c>
      <c r="BI195" s="2">
        <v>-33825</v>
      </c>
      <c r="BJ195" s="39">
        <v>300.03187910000003</v>
      </c>
      <c r="BK195" s="39" t="str">
        <f>IF(AND(Table1[[#This Row],[Z3 SMT2-2 PdMaxres Cost]]=Table1[[#This Row],[ORTools FZN2 Cost]],Table1[[#This Row],[ORTools FZN2 State]]="Optimal"),1,"")</f>
        <v/>
      </c>
      <c r="BL195" s="39" t="s">
        <v>42</v>
      </c>
      <c r="BM195" s="39">
        <v>-33825</v>
      </c>
      <c r="BN195" s="2">
        <v>300.03950140000001</v>
      </c>
      <c r="BO195" s="4" t="str">
        <f>IF(AND(Table1[[#This Row],[Z3 SMT2-2 PdMaxres Cost]]=Table1[[#This Row],[ORTools FZN2 Cost]],Table1[[#This Row],[ORTools FZN2 State]]="Optimal"),1,"")</f>
        <v/>
      </c>
      <c r="BP195" s="5" t="s">
        <v>25</v>
      </c>
      <c r="BQ195" s="2">
        <v>5</v>
      </c>
      <c r="BR195" s="2">
        <v>19.764429400000001</v>
      </c>
      <c r="BS195" s="2" t="str">
        <f>IF(AND(Table1[[#This Row],[Gurobi MB Cost]]=Table1[[#This Row],[ORTools FZN2 Cost]],Table1[[#This Row],[ORTools FZN2 State]]="Optimal",Table1[[#This Row],[Gurobi MB State]]="Suboptimal"),1,"")</f>
        <v/>
      </c>
      <c r="BT19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5" s="5" t="s">
        <v>25</v>
      </c>
      <c r="BV195" s="2">
        <v>5</v>
      </c>
      <c r="BW195" s="2">
        <v>127.1209796</v>
      </c>
      <c r="BX195" s="2" t="str">
        <f>IF(AND(Table1[[#This Row],[Gurobi MD Cost]]=Table1[[#This Row],[ORTools FZN2 Cost]],Table1[[#This Row],[ORTools FZN2 State]]="Optimal",Table1[[#This Row],[Gurobi MD State]]="Suboptimal"),1,"")</f>
        <v/>
      </c>
      <c r="BY19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5" s="5" t="s">
        <v>25</v>
      </c>
      <c r="CA195" s="2">
        <v>5</v>
      </c>
      <c r="CB195" s="2">
        <v>15.2701978</v>
      </c>
      <c r="CC195" s="2" t="str">
        <f>IF(AND(Table1[[#This Row],[Gurobi MI Cost]]=Table1[[#This Row],[ORTools FZN2 Cost]],Table1[[#This Row],[ORTools FZN2 State]]="Optimal",Table1[[#This Row],[Gurobi MI State]]="Suboptimal"),1,"")</f>
        <v/>
      </c>
      <c r="CD19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5" s="39" t="s">
        <v>42</v>
      </c>
      <c r="CF195" s="2">
        <v>-33825</v>
      </c>
      <c r="CG195" s="39">
        <v>306.06020169999999</v>
      </c>
      <c r="CH195" s="39" t="s">
        <v>42</v>
      </c>
      <c r="CI195" s="39">
        <v>-33825</v>
      </c>
      <c r="CJ195" s="2">
        <v>306.07911739999997</v>
      </c>
      <c r="CK195" s="5" t="s">
        <v>25</v>
      </c>
      <c r="CL195" s="2">
        <v>5</v>
      </c>
      <c r="CM195" s="2">
        <v>2.0570000000006998</v>
      </c>
      <c r="CN195" s="5" t="s">
        <v>25</v>
      </c>
      <c r="CO195" s="2">
        <v>5</v>
      </c>
      <c r="CP195" s="2">
        <v>70.794742299999996</v>
      </c>
      <c r="CQ195" s="5" t="s">
        <v>25</v>
      </c>
      <c r="CR195" s="2">
        <v>5</v>
      </c>
      <c r="CS195" s="2">
        <v>6.8932896000000001</v>
      </c>
      <c r="CT195" s="6" t="s">
        <v>25</v>
      </c>
      <c r="CU195" s="4">
        <v>5</v>
      </c>
      <c r="CV195" s="4">
        <v>5.2251801000000002</v>
      </c>
      <c r="CW195" s="39" t="s">
        <v>25</v>
      </c>
      <c r="CX195" s="39">
        <v>5</v>
      </c>
      <c r="CY195" s="2">
        <v>292.99829999999997</v>
      </c>
      <c r="CZ195" s="2" t="str">
        <f>IF(AND(Table1[[#This Row],[Cplex MZ1 Cost]]=Table1[[#This Row],[ORTools FZN2 Cost]],Table1[[#This Row],[ORTools FZN2 State]]="Optimal",Table1[[#This Row],[Cplex MZ1 State]]="Suboptimal"),1,"")</f>
        <v/>
      </c>
      <c r="DA195" s="5" t="s">
        <v>26</v>
      </c>
      <c r="DB195" s="2">
        <v>33992</v>
      </c>
      <c r="DC195" s="2">
        <v>300.02170000000001</v>
      </c>
      <c r="DD195" s="2" t="str">
        <f>IF(AND(Table1[[#This Row],[Cplex MZ2 Cost]]=Table1[[#This Row],[ORTools FZN2 Cost]],Table1[[#This Row],[ORTools FZN2 State]]="Optimal",Table1[[#This Row],[Cplex MZ2 State]]="Suboptimal"),1,"")</f>
        <v/>
      </c>
      <c r="DE195" s="39" t="s">
        <v>25</v>
      </c>
      <c r="DF195" s="39">
        <v>5</v>
      </c>
      <c r="DG195" s="2">
        <v>191.3296</v>
      </c>
      <c r="DH195" s="2" t="str">
        <f>IF(AND(Table1[[#This Row],[Gurobi MZ1 Cost]]=Table1[[#This Row],[ORTools FZN2 Cost]],Table1[[#This Row],[ORTools FZN2 State]]="Optimal",Table1[[#This Row],[Gurobi MZ1 State]]="Suboptimal"),1,"")</f>
        <v/>
      </c>
      <c r="DI195" s="5" t="s">
        <v>25</v>
      </c>
      <c r="DJ195" s="2">
        <v>5</v>
      </c>
      <c r="DK195" s="2">
        <v>120.5652</v>
      </c>
      <c r="DL195" s="4" t="str">
        <f>IF(AND(Table1[[#This Row],[Gurobi MZ2 Cost]]=Table1[[#This Row],[ORTools FZN2 Cost]],Table1[[#This Row],[ORTools FZN2 State]]="Optimal",Table1[[#This Row],[Gurobi MZ2 State]]="Suboptimal"),1,"")</f>
        <v/>
      </c>
      <c r="DM195" s="39" t="s">
        <v>25</v>
      </c>
      <c r="DN195" s="39">
        <v>5</v>
      </c>
      <c r="DO195" s="65">
        <v>42.679000000000002</v>
      </c>
      <c r="DP195" s="4" t="str">
        <f>IF(AND(Table1[[#This Row],[Cplex MC nonDual Cost]]=Table1[[#This Row],[ORTools FZN2 Cost]],Table1[[#This Row],[ORTools FZN2 State]]="Optimal",Table1[[#This Row],[Cplex MC nonDual State]]="Suboptimal"),1,"")</f>
        <v/>
      </c>
      <c r="DQ195" s="5" t="s">
        <v>25</v>
      </c>
      <c r="DR195" s="2">
        <v>5</v>
      </c>
      <c r="DS195" s="2">
        <v>209.75280000000001</v>
      </c>
      <c r="DT195" s="2" t="str">
        <f>IF(AND(Table1[[#This Row],[Cplex MIP DM''z Cost]]=Table1[[#This Row],[ORTools FZN2 Cost]],Table1[[#This Row],[ORTools FZN2 State]]="Optimal",Table1[[#This Row],[Cplex MIP DM''z  State]]="Suboptimal"),1,"")</f>
        <v/>
      </c>
      <c r="DU19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5" s="5" t="s">
        <v>26</v>
      </c>
      <c r="DW195" s="2">
        <v>5</v>
      </c>
      <c r="DX195" s="2">
        <v>300.00599999999997</v>
      </c>
      <c r="DY195" s="4">
        <f>IF(AND(Table1[[#This Row],[Gurobi DM''z  Cost]]=Table1[[#This Row],[ORTools FZN2 Cost]],Table1[[#This Row],[ORTools FZN2 State]]="Optimal",Table1[[#This Row],[Gurobi DM''z  State]]="Suboptimal"),1,"")</f>
        <v>1</v>
      </c>
      <c r="DZ19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6" spans="1:130" ht="15.75" x14ac:dyDescent="0.25">
      <c r="A196" s="46" t="s">
        <v>222</v>
      </c>
      <c r="B196" s="5">
        <v>20</v>
      </c>
      <c r="C196" s="2">
        <v>10</v>
      </c>
      <c r="D196" s="5">
        <v>19</v>
      </c>
      <c r="E196" s="2">
        <v>15</v>
      </c>
      <c r="F196" s="5">
        <v>8</v>
      </c>
      <c r="G196" s="2">
        <v>2</v>
      </c>
      <c r="H196" s="4">
        <f t="shared" si="3"/>
        <v>0</v>
      </c>
      <c r="I196" s="4">
        <f>Table1[[#This Row],[B]]+Table1[[#This Row],[Atomic Constraints]]+Table1[[#This Row],[Soft Atomic Constraints]]+Table1[[#This Row],[Disjunctive Constraints]]+Table1[[#This Row],[Direct Successors]]</f>
        <v>54</v>
      </c>
      <c r="J196" s="5" t="s">
        <v>25</v>
      </c>
      <c r="K196" s="2">
        <v>1</v>
      </c>
      <c r="L196" s="2">
        <v>0.91715740000000001</v>
      </c>
      <c r="M196" s="2" t="str">
        <f>IF(AND(Table1[[#This Row],[Chuffed MZ1 Cost]]=Table1[[#This Row],[ORTools FZN2 Cost]],Table1[[#This Row],[ORTools FZN2 State]]="Optimal",Table1[[#This Row],[Chuffed MZ1 State]]="Suboptimal"),1,"")</f>
        <v/>
      </c>
      <c r="N196" s="5" t="s">
        <v>25</v>
      </c>
      <c r="O196" s="2">
        <v>1</v>
      </c>
      <c r="P196" s="2">
        <v>0.93344590000000005</v>
      </c>
      <c r="Q196" s="2" t="str">
        <f>IF(AND(Table1[[#This Row],[Chuffed MZ2 Cost]]=Table1[[#This Row],[ORTools FZN2 Cost]],Table1[[#This Row],[ORTools FZN2 State]]="Optimal",Table1[[#This Row],[Chuffed MZ2 State]]="Suboptimal"),1,"")</f>
        <v/>
      </c>
      <c r="R196" s="6" t="s">
        <v>25</v>
      </c>
      <c r="S196" s="4">
        <v>1</v>
      </c>
      <c r="T196" s="4">
        <v>0.11000000000058199</v>
      </c>
      <c r="U196" s="4"/>
      <c r="V196" s="5" t="s">
        <v>25</v>
      </c>
      <c r="W196" s="2">
        <v>1</v>
      </c>
      <c r="X196" s="2">
        <v>0.78545750000000003</v>
      </c>
      <c r="Y196" s="2" t="str">
        <f>IF(AND(Table1[[#This Row],[ORTools FZN1 Cost]]=Table1[[#This Row],[ORTools FZN2 Cost]],Table1[[#This Row],[ORTools FZN2 State]]="Optimal",Table1[[#This Row],[ORTools FZN1 State]]="Suboptimal"),1,"")</f>
        <v/>
      </c>
      <c r="Z196" s="5" t="s">
        <v>25</v>
      </c>
      <c r="AA196" s="2">
        <v>1</v>
      </c>
      <c r="AB196" s="2">
        <v>1.0200345</v>
      </c>
      <c r="AC196" s="39" t="s">
        <v>25</v>
      </c>
      <c r="AD196" s="39">
        <v>1</v>
      </c>
      <c r="AE196" s="2">
        <v>2.5102148999999998</v>
      </c>
      <c r="AF196" s="2" t="str">
        <f>IF(AND(Table1[[#This Row],[Cplex MB Cost]]=Table1[[#This Row],[ORTools FZN2 Cost]],Table1[[#This Row],[ORTools FZN2 State]]="Optimal",Table1[[#This Row],[Cplex MB State]]="Suboptimal"),1,"")</f>
        <v/>
      </c>
      <c r="AG196" s="4">
        <f>IF(AND(AC196="Optimal",AD196&lt;&gt;AA196,Table1[[#This Row],[Example]]&lt;&gt;"R001",Table1[[#This Row],[Example]]&lt;&gt;"R002"),AD196-AA196,)</f>
        <v>0</v>
      </c>
      <c r="AH196" s="5" t="s">
        <v>25</v>
      </c>
      <c r="AI196" s="2">
        <v>1</v>
      </c>
      <c r="AJ196" s="2">
        <v>7.7981147999999996</v>
      </c>
      <c r="AK196" s="2" t="str">
        <f>IF(AND(Table1[[#This Row],[Cplex MD Cost]]=Table1[[#This Row],[ORTools FZN2 Cost]],Table1[[#This Row],[ORTools FZN2 State]]="Optimal",Table1[[#This Row],[Cplex MD State]]="Suboptimal"),1,"")</f>
        <v/>
      </c>
      <c r="AL196" s="4">
        <f>IF(AND(AH196="Optimal",AI196&lt;&gt;AA196,Table1[[#This Row],[Example]]&lt;&gt;"R001",Table1[[#This Row],[Example]]&lt;&gt;"R002"),AI196-AA196,)</f>
        <v>0</v>
      </c>
      <c r="AM196" s="39" t="s">
        <v>25</v>
      </c>
      <c r="AN196" s="39">
        <v>1</v>
      </c>
      <c r="AO196" s="2">
        <v>0.9496985</v>
      </c>
      <c r="AP19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6" s="4" t="str">
        <f>IF(AND(Table1[[#This Row],[Cplex MI Cost]]=Table1[[#This Row],[ORTools FZN2 Cost]],Table1[[#This Row],[ORTools FZN2 State]]="Optimal",Table1[[#This Row],[Cplex MI State]]="Suboptimal"),1,"")</f>
        <v/>
      </c>
      <c r="AR196" s="12" t="s">
        <v>26</v>
      </c>
      <c r="AS196" s="12">
        <v>1</v>
      </c>
      <c r="AT196" s="12">
        <v>20.229641399999998</v>
      </c>
      <c r="AU196" s="12">
        <f>IF(AND(Table1[[#This Row],[Z3 SMT2-1 Maxres Cost]]=Table1[[#This Row],[ORTools FZN2 Cost]],Table1[[#This Row],[ORTools FZN2 State]]="Optimal"),1,"")</f>
        <v>1</v>
      </c>
      <c r="AV196" s="12" t="s">
        <v>26</v>
      </c>
      <c r="AW196" s="12">
        <v>1</v>
      </c>
      <c r="AX196" s="12">
        <v>21.1102408</v>
      </c>
      <c r="AY196" s="12">
        <f>IF(AND(Table1[[#This Row],[Z3 SMT2-1 PdMaxres Cost]]=Table1[[#This Row],[ORTools FZN2 Cost]],Table1[[#This Row],[ORTools FZN2 State]]="Optimal"),1,"")</f>
        <v>1</v>
      </c>
      <c r="AZ196" s="12" t="s">
        <v>26</v>
      </c>
      <c r="BA196" s="12">
        <v>1</v>
      </c>
      <c r="BB196" s="12">
        <v>24.510210499999999</v>
      </c>
      <c r="BC196" s="12">
        <f>IF(AND(Table1[[#This Row],[Z3 SMT2-1 WMax Cost]]=Table1[[#This Row],[ORTools FZN2 Cost]],Table1[[#This Row],[ORTools FZN2 State]]="Optimal"),1,"")</f>
        <v>1</v>
      </c>
      <c r="BD196" s="12" t="s">
        <v>26</v>
      </c>
      <c r="BE196" s="12">
        <v>1</v>
      </c>
      <c r="BF196" s="12">
        <v>18.8502093</v>
      </c>
      <c r="BG196" s="12">
        <f>IF(AND(Table1[[#This Row],[Z3 SMT2-2 Maxres Cost]]=Table1[[#This Row],[ORTools FZN2 Cost]],Table1[[#This Row],[ORTools FZN2 State]]="Optimal"),1,"")</f>
        <v>1</v>
      </c>
      <c r="BH196" s="12" t="s">
        <v>26</v>
      </c>
      <c r="BI196" s="12">
        <v>1</v>
      </c>
      <c r="BJ196" s="12">
        <v>18.491631699999999</v>
      </c>
      <c r="BK196" s="12">
        <f>IF(AND(Table1[[#This Row],[Z3 SMT2-2 PdMaxres Cost]]=Table1[[#This Row],[ORTools FZN2 Cost]],Table1[[#This Row],[ORTools FZN2 State]]="Optimal"),1,"")</f>
        <v>1</v>
      </c>
      <c r="BL196" s="12" t="s">
        <v>26</v>
      </c>
      <c r="BM196" s="12">
        <v>1</v>
      </c>
      <c r="BN196" s="12">
        <v>18.879361800000002</v>
      </c>
      <c r="BO196" s="11">
        <f>IF(AND(Table1[[#This Row],[Z3 SMT2-2 PdMaxres Cost]]=Table1[[#This Row],[ORTools FZN2 Cost]],Table1[[#This Row],[ORTools FZN2 State]]="Optimal"),1,"")</f>
        <v>1</v>
      </c>
      <c r="BP196" s="5" t="s">
        <v>25</v>
      </c>
      <c r="BQ196" s="2">
        <v>1</v>
      </c>
      <c r="BR196" s="2">
        <v>0.87530779999999997</v>
      </c>
      <c r="BS196" s="2" t="str">
        <f>IF(AND(Table1[[#This Row],[Gurobi MB Cost]]=Table1[[#This Row],[ORTools FZN2 Cost]],Table1[[#This Row],[ORTools FZN2 State]]="Optimal",Table1[[#This Row],[Gurobi MB State]]="Suboptimal"),1,"")</f>
        <v/>
      </c>
      <c r="BT19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6" s="5" t="s">
        <v>25</v>
      </c>
      <c r="BV196" s="2">
        <v>1</v>
      </c>
      <c r="BW196" s="2">
        <v>13.1352656</v>
      </c>
      <c r="BX196" s="2" t="str">
        <f>IF(AND(Table1[[#This Row],[Gurobi MD Cost]]=Table1[[#This Row],[ORTools FZN2 Cost]],Table1[[#This Row],[ORTools FZN2 State]]="Optimal",Table1[[#This Row],[Gurobi MD State]]="Suboptimal"),1,"")</f>
        <v/>
      </c>
      <c r="BY19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6" s="5" t="s">
        <v>25</v>
      </c>
      <c r="CA196" s="2">
        <v>1</v>
      </c>
      <c r="CB196" s="2">
        <v>0.76983040000000003</v>
      </c>
      <c r="CC196" s="2" t="str">
        <f>IF(AND(Table1[[#This Row],[Gurobi MI Cost]]=Table1[[#This Row],[ORTools FZN2 Cost]],Table1[[#This Row],[ORTools FZN2 State]]="Optimal",Table1[[#This Row],[Gurobi MI State]]="Suboptimal"),1,"")</f>
        <v/>
      </c>
      <c r="CD19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6" s="39" t="s">
        <v>42</v>
      </c>
      <c r="CF196" s="2">
        <v>-8421</v>
      </c>
      <c r="CG196" s="39">
        <v>306.04531450000002</v>
      </c>
      <c r="CH196" s="39" t="s">
        <v>42</v>
      </c>
      <c r="CI196" s="39">
        <v>-8421</v>
      </c>
      <c r="CJ196" s="2">
        <v>306.0040017</v>
      </c>
      <c r="CK196" s="5" t="s">
        <v>25</v>
      </c>
      <c r="CL196" s="2">
        <v>1</v>
      </c>
      <c r="CM196" s="2">
        <v>0.118999999998778</v>
      </c>
      <c r="CN196" s="5" t="s">
        <v>25</v>
      </c>
      <c r="CO196" s="2">
        <v>1</v>
      </c>
      <c r="CP196" s="2">
        <v>1.7469687</v>
      </c>
      <c r="CQ196" s="5" t="s">
        <v>25</v>
      </c>
      <c r="CR196" s="2">
        <v>1</v>
      </c>
      <c r="CS196" s="2">
        <v>1.1921168</v>
      </c>
      <c r="CT196" s="6" t="s">
        <v>25</v>
      </c>
      <c r="CU196" s="4">
        <v>1</v>
      </c>
      <c r="CV196" s="4">
        <v>1.2903235</v>
      </c>
      <c r="CW196" s="39" t="s">
        <v>25</v>
      </c>
      <c r="CX196" s="39">
        <v>1</v>
      </c>
      <c r="CY196" s="2">
        <v>2.2907000000000002</v>
      </c>
      <c r="CZ196" s="2" t="str">
        <f>IF(AND(Table1[[#This Row],[Cplex MZ1 Cost]]=Table1[[#This Row],[ORTools FZN2 Cost]],Table1[[#This Row],[ORTools FZN2 State]]="Optimal",Table1[[#This Row],[Cplex MZ1 State]]="Suboptimal"),1,"")</f>
        <v/>
      </c>
      <c r="DA196" s="5" t="s">
        <v>25</v>
      </c>
      <c r="DB196" s="2">
        <v>1</v>
      </c>
      <c r="DC196" s="2">
        <v>7.0582000000000003</v>
      </c>
      <c r="DD196" s="2" t="str">
        <f>IF(AND(Table1[[#This Row],[Cplex MZ2 Cost]]=Table1[[#This Row],[ORTools FZN2 Cost]],Table1[[#This Row],[ORTools FZN2 State]]="Optimal",Table1[[#This Row],[Cplex MZ2 State]]="Suboptimal"),1,"")</f>
        <v/>
      </c>
      <c r="DE196" s="39" t="s">
        <v>25</v>
      </c>
      <c r="DF196" s="39">
        <v>1</v>
      </c>
      <c r="DG196" s="2">
        <v>7.2998000000000003</v>
      </c>
      <c r="DH196" s="2" t="str">
        <f>IF(AND(Table1[[#This Row],[Gurobi MZ1 Cost]]=Table1[[#This Row],[ORTools FZN2 Cost]],Table1[[#This Row],[ORTools FZN2 State]]="Optimal",Table1[[#This Row],[Gurobi MZ1 State]]="Suboptimal"),1,"")</f>
        <v/>
      </c>
      <c r="DI196" s="5" t="s">
        <v>25</v>
      </c>
      <c r="DJ196" s="2">
        <v>1</v>
      </c>
      <c r="DK196" s="2">
        <v>5.8377999999999997</v>
      </c>
      <c r="DL196" s="4" t="str">
        <f>IF(AND(Table1[[#This Row],[Gurobi MZ2 Cost]]=Table1[[#This Row],[ORTools FZN2 Cost]],Table1[[#This Row],[ORTools FZN2 State]]="Optimal",Table1[[#This Row],[Gurobi MZ2 State]]="Suboptimal"),1,"")</f>
        <v/>
      </c>
      <c r="DM196" s="39" t="s">
        <v>25</v>
      </c>
      <c r="DN196" s="39">
        <v>1</v>
      </c>
      <c r="DO196" s="65">
        <v>0.157999999999447</v>
      </c>
      <c r="DP196" s="4" t="str">
        <f>IF(AND(Table1[[#This Row],[Cplex MC nonDual Cost]]=Table1[[#This Row],[ORTools FZN2 Cost]],Table1[[#This Row],[ORTools FZN2 State]]="Optimal",Table1[[#This Row],[Cplex MC nonDual State]]="Suboptimal"),1,"")</f>
        <v/>
      </c>
      <c r="DQ196" s="5" t="s">
        <v>25</v>
      </c>
      <c r="DR196" s="2">
        <v>1</v>
      </c>
      <c r="DS196" s="2">
        <v>3.3228</v>
      </c>
      <c r="DT196" s="2" t="str">
        <f>IF(AND(Table1[[#This Row],[Cplex MIP DM''z Cost]]=Table1[[#This Row],[ORTools FZN2 Cost]],Table1[[#This Row],[ORTools FZN2 State]]="Optimal",Table1[[#This Row],[Cplex MIP DM''z  State]]="Suboptimal"),1,"")</f>
        <v/>
      </c>
      <c r="DU19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6" s="5" t="s">
        <v>25</v>
      </c>
      <c r="DW196" s="2">
        <v>1</v>
      </c>
      <c r="DX196" s="2">
        <v>13.921099999999999</v>
      </c>
      <c r="DY196" s="4" t="str">
        <f>IF(AND(Table1[[#This Row],[Gurobi DM''z  Cost]]=Table1[[#This Row],[ORTools FZN2 Cost]],Table1[[#This Row],[ORTools FZN2 State]]="Optimal",Table1[[#This Row],[Gurobi DM''z  State]]="Suboptimal"),1,"")</f>
        <v/>
      </c>
      <c r="DZ19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7" spans="1:130" ht="15.75" x14ac:dyDescent="0.25">
      <c r="A197" s="47" t="s">
        <v>223</v>
      </c>
      <c r="B197" s="5">
        <v>20</v>
      </c>
      <c r="C197" s="2">
        <v>10</v>
      </c>
      <c r="D197" s="5">
        <v>20</v>
      </c>
      <c r="E197" s="2">
        <v>13</v>
      </c>
      <c r="F197" s="5">
        <v>7</v>
      </c>
      <c r="G197" s="2">
        <v>0</v>
      </c>
      <c r="H197" s="4">
        <f t="shared" si="3"/>
        <v>0</v>
      </c>
      <c r="I197" s="4">
        <f>Table1[[#This Row],[B]]+Table1[[#This Row],[Atomic Constraints]]+Table1[[#This Row],[Soft Atomic Constraints]]+Table1[[#This Row],[Disjunctive Constraints]]+Table1[[#This Row],[Direct Successors]]</f>
        <v>50</v>
      </c>
      <c r="J197" s="5" t="s">
        <v>25</v>
      </c>
      <c r="K197" s="2">
        <v>1</v>
      </c>
      <c r="L197" s="2">
        <v>0.87317849999999997</v>
      </c>
      <c r="M197" s="2" t="str">
        <f>IF(AND(Table1[[#This Row],[Chuffed MZ1 Cost]]=Table1[[#This Row],[ORTools FZN2 Cost]],Table1[[#This Row],[ORTools FZN2 State]]="Optimal",Table1[[#This Row],[Chuffed MZ1 State]]="Suboptimal"),1,"")</f>
        <v/>
      </c>
      <c r="N197" s="5" t="s">
        <v>25</v>
      </c>
      <c r="O197" s="2">
        <v>1</v>
      </c>
      <c r="P197" s="2">
        <v>0.94622070000000003</v>
      </c>
      <c r="Q197" s="2" t="str">
        <f>IF(AND(Table1[[#This Row],[Chuffed MZ2 Cost]]=Table1[[#This Row],[ORTools FZN2 Cost]],Table1[[#This Row],[ORTools FZN2 State]]="Optimal",Table1[[#This Row],[Chuffed MZ2 State]]="Suboptimal"),1,"")</f>
        <v/>
      </c>
      <c r="R197" s="5" t="s">
        <v>25</v>
      </c>
      <c r="S197" s="2">
        <v>1</v>
      </c>
      <c r="T197" s="2">
        <v>0.10699999999997099</v>
      </c>
      <c r="U197" s="2"/>
      <c r="V197" s="5" t="s">
        <v>25</v>
      </c>
      <c r="W197" s="2">
        <v>1</v>
      </c>
      <c r="X197" s="2">
        <v>0.66319950000000005</v>
      </c>
      <c r="Y197" s="2" t="str">
        <f>IF(AND(Table1[[#This Row],[ORTools FZN1 Cost]]=Table1[[#This Row],[ORTools FZN2 Cost]],Table1[[#This Row],[ORTools FZN2 State]]="Optimal",Table1[[#This Row],[ORTools FZN1 State]]="Suboptimal"),1,"")</f>
        <v/>
      </c>
      <c r="Z197" s="5" t="s">
        <v>25</v>
      </c>
      <c r="AA197" s="2">
        <v>1</v>
      </c>
      <c r="AB197" s="2">
        <v>0.63157980000000002</v>
      </c>
      <c r="AC197" s="39" t="s">
        <v>25</v>
      </c>
      <c r="AD197" s="39">
        <v>1</v>
      </c>
      <c r="AE197" s="2">
        <v>1.6545258</v>
      </c>
      <c r="AF197" s="2" t="str">
        <f>IF(AND(Table1[[#This Row],[Cplex MB Cost]]=Table1[[#This Row],[ORTools FZN2 Cost]],Table1[[#This Row],[ORTools FZN2 State]]="Optimal",Table1[[#This Row],[Cplex MB State]]="Suboptimal"),1,"")</f>
        <v/>
      </c>
      <c r="AG197" s="4">
        <f>IF(AND(AC197="Optimal",AD197&lt;&gt;AA197,Table1[[#This Row],[Example]]&lt;&gt;"R001",Table1[[#This Row],[Example]]&lt;&gt;"R002"),AD197-AA197,)</f>
        <v>0</v>
      </c>
      <c r="AH197" s="5" t="s">
        <v>25</v>
      </c>
      <c r="AI197" s="2">
        <v>1</v>
      </c>
      <c r="AJ197" s="2">
        <v>32.081948199999999</v>
      </c>
      <c r="AK197" s="2" t="str">
        <f>IF(AND(Table1[[#This Row],[Cplex MD Cost]]=Table1[[#This Row],[ORTools FZN2 Cost]],Table1[[#This Row],[ORTools FZN2 State]]="Optimal",Table1[[#This Row],[Cplex MD State]]="Suboptimal"),1,"")</f>
        <v/>
      </c>
      <c r="AL197" s="4">
        <f>IF(AND(AH197="Optimal",AI197&lt;&gt;AA197,Table1[[#This Row],[Example]]&lt;&gt;"R001",Table1[[#This Row],[Example]]&lt;&gt;"R002"),AI197-AA197,)</f>
        <v>0</v>
      </c>
      <c r="AM197" s="39" t="s">
        <v>25</v>
      </c>
      <c r="AN197" s="39">
        <v>1</v>
      </c>
      <c r="AO197" s="2">
        <v>0.75284200000000001</v>
      </c>
      <c r="AP19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7" s="2" t="str">
        <f>IF(AND(Table1[[#This Row],[Cplex MI Cost]]=Table1[[#This Row],[ORTools FZN2 Cost]],Table1[[#This Row],[ORTools FZN2 State]]="Optimal",Table1[[#This Row],[Cplex MI State]]="Suboptimal"),1,"")</f>
        <v/>
      </c>
      <c r="AR197" s="12" t="s">
        <v>26</v>
      </c>
      <c r="AS197" s="12">
        <v>1</v>
      </c>
      <c r="AT197" s="12">
        <v>17.563775400000001</v>
      </c>
      <c r="AU197" s="12">
        <f>IF(AND(Table1[[#This Row],[Z3 SMT2-1 Maxres Cost]]=Table1[[#This Row],[ORTools FZN2 Cost]],Table1[[#This Row],[ORTools FZN2 State]]="Optimal"),1,"")</f>
        <v>1</v>
      </c>
      <c r="AV197" s="12" t="s">
        <v>26</v>
      </c>
      <c r="AW197" s="12">
        <v>1</v>
      </c>
      <c r="AX197" s="12">
        <v>18.309949700000001</v>
      </c>
      <c r="AY197" s="12">
        <f>IF(AND(Table1[[#This Row],[Z3 SMT2-1 PdMaxres Cost]]=Table1[[#This Row],[ORTools FZN2 Cost]],Table1[[#This Row],[ORTools FZN2 State]]="Optimal"),1,"")</f>
        <v>1</v>
      </c>
      <c r="AZ197" s="12" t="s">
        <v>26</v>
      </c>
      <c r="BA197" s="12">
        <v>1</v>
      </c>
      <c r="BB197" s="12">
        <v>20.636258999999999</v>
      </c>
      <c r="BC197" s="12">
        <f>IF(AND(Table1[[#This Row],[Z3 SMT2-1 WMax Cost]]=Table1[[#This Row],[ORTools FZN2 Cost]],Table1[[#This Row],[ORTools FZN2 State]]="Optimal"),1,"")</f>
        <v>1</v>
      </c>
      <c r="BD197" s="12" t="s">
        <v>26</v>
      </c>
      <c r="BE197" s="12">
        <v>1</v>
      </c>
      <c r="BF197" s="12">
        <v>14.149054899999999</v>
      </c>
      <c r="BG197" s="12">
        <f>IF(AND(Table1[[#This Row],[Z3 SMT2-2 Maxres Cost]]=Table1[[#This Row],[ORTools FZN2 Cost]],Table1[[#This Row],[ORTools FZN2 State]]="Optimal"),1,"")</f>
        <v>1</v>
      </c>
      <c r="BH197" s="12" t="s">
        <v>26</v>
      </c>
      <c r="BI197" s="12">
        <v>1</v>
      </c>
      <c r="BJ197" s="12">
        <v>14.487638199999999</v>
      </c>
      <c r="BK197" s="12">
        <f>IF(AND(Table1[[#This Row],[Z3 SMT2-2 PdMaxres Cost]]=Table1[[#This Row],[ORTools FZN2 Cost]],Table1[[#This Row],[ORTools FZN2 State]]="Optimal"),1,"")</f>
        <v>1</v>
      </c>
      <c r="BL197" s="12" t="s">
        <v>26</v>
      </c>
      <c r="BM197" s="12">
        <v>1</v>
      </c>
      <c r="BN197" s="12">
        <v>14.4946588</v>
      </c>
      <c r="BO197" s="11">
        <f>IF(AND(Table1[[#This Row],[Z3 SMT2-2 PdMaxres Cost]]=Table1[[#This Row],[ORTools FZN2 Cost]],Table1[[#This Row],[ORTools FZN2 State]]="Optimal"),1,"")</f>
        <v>1</v>
      </c>
      <c r="BP197" s="5" t="s">
        <v>25</v>
      </c>
      <c r="BQ197" s="2">
        <v>1</v>
      </c>
      <c r="BR197" s="2">
        <v>0.82546399999999998</v>
      </c>
      <c r="BS197" s="2" t="str">
        <f>IF(AND(Table1[[#This Row],[Gurobi MB Cost]]=Table1[[#This Row],[ORTools FZN2 Cost]],Table1[[#This Row],[ORTools FZN2 State]]="Optimal",Table1[[#This Row],[Gurobi MB State]]="Suboptimal"),1,"")</f>
        <v/>
      </c>
      <c r="BT19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7" s="5" t="s">
        <v>25</v>
      </c>
      <c r="BV197" s="2">
        <v>1</v>
      </c>
      <c r="BW197" s="2">
        <v>9.8804835999999998</v>
      </c>
      <c r="BX197" s="2" t="str">
        <f>IF(AND(Table1[[#This Row],[Gurobi MD Cost]]=Table1[[#This Row],[ORTools FZN2 Cost]],Table1[[#This Row],[ORTools FZN2 State]]="Optimal",Table1[[#This Row],[Gurobi MD State]]="Suboptimal"),1,"")</f>
        <v/>
      </c>
      <c r="BY19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7" s="5" t="s">
        <v>25</v>
      </c>
      <c r="CA197" s="2">
        <v>1</v>
      </c>
      <c r="CB197" s="2">
        <v>0.74886909999999995</v>
      </c>
      <c r="CC197" s="2" t="str">
        <f>IF(AND(Table1[[#This Row],[Gurobi MI Cost]]=Table1[[#This Row],[ORTools FZN2 Cost]],Table1[[#This Row],[ORTools FZN2 State]]="Optimal",Table1[[#This Row],[Gurobi MI State]]="Suboptimal"),1,"")</f>
        <v/>
      </c>
      <c r="CD19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7" s="39" t="s">
        <v>42</v>
      </c>
      <c r="CF197" s="2">
        <v>-8421</v>
      </c>
      <c r="CG197" s="39">
        <v>306.0383999</v>
      </c>
      <c r="CH197" s="39" t="s">
        <v>42</v>
      </c>
      <c r="CI197" s="39">
        <v>-8421</v>
      </c>
      <c r="CJ197" s="2">
        <v>306.02267879999999</v>
      </c>
      <c r="CK197" s="5" t="s">
        <v>25</v>
      </c>
      <c r="CL197" s="2">
        <v>1</v>
      </c>
      <c r="CM197" s="2">
        <v>0.120999999999185</v>
      </c>
      <c r="CN197" s="5" t="s">
        <v>25</v>
      </c>
      <c r="CO197" s="2">
        <v>1</v>
      </c>
      <c r="CP197" s="2">
        <v>1.7949166999999999</v>
      </c>
      <c r="CQ197" s="5" t="s">
        <v>25</v>
      </c>
      <c r="CR197" s="2">
        <v>1</v>
      </c>
      <c r="CS197" s="2">
        <v>1.5468957999999999</v>
      </c>
      <c r="CT197" s="6" t="s">
        <v>25</v>
      </c>
      <c r="CU197" s="4">
        <v>1</v>
      </c>
      <c r="CV197" s="4">
        <v>1.3255488</v>
      </c>
      <c r="CW197" s="39" t="s">
        <v>25</v>
      </c>
      <c r="CX197" s="39">
        <v>1</v>
      </c>
      <c r="CY197" s="2">
        <v>7.1369999999999996</v>
      </c>
      <c r="CZ197" s="2" t="str">
        <f>IF(AND(Table1[[#This Row],[Cplex MZ1 Cost]]=Table1[[#This Row],[ORTools FZN2 Cost]],Table1[[#This Row],[ORTools FZN2 State]]="Optimal",Table1[[#This Row],[Cplex MZ1 State]]="Suboptimal"),1,"")</f>
        <v/>
      </c>
      <c r="DA197" s="5" t="s">
        <v>25</v>
      </c>
      <c r="DB197" s="2">
        <v>1</v>
      </c>
      <c r="DC197" s="2">
        <v>9.2149000000000001</v>
      </c>
      <c r="DD197" s="2" t="str">
        <f>IF(AND(Table1[[#This Row],[Cplex MZ2 Cost]]=Table1[[#This Row],[ORTools FZN2 Cost]],Table1[[#This Row],[ORTools FZN2 State]]="Optimal",Table1[[#This Row],[Cplex MZ2 State]]="Suboptimal"),1,"")</f>
        <v/>
      </c>
      <c r="DE197" s="39" t="s">
        <v>25</v>
      </c>
      <c r="DF197" s="39">
        <v>1</v>
      </c>
      <c r="DG197" s="2">
        <v>4.8642000000000003</v>
      </c>
      <c r="DH197" s="2" t="str">
        <f>IF(AND(Table1[[#This Row],[Gurobi MZ1 Cost]]=Table1[[#This Row],[ORTools FZN2 Cost]],Table1[[#This Row],[ORTools FZN2 State]]="Optimal",Table1[[#This Row],[Gurobi MZ1 State]]="Suboptimal"),1,"")</f>
        <v/>
      </c>
      <c r="DI197" s="5" t="s">
        <v>25</v>
      </c>
      <c r="DJ197" s="2">
        <v>1</v>
      </c>
      <c r="DK197" s="2">
        <v>4.7732000000000001</v>
      </c>
      <c r="DL197" s="4" t="str">
        <f>IF(AND(Table1[[#This Row],[Gurobi MZ2 Cost]]=Table1[[#This Row],[ORTools FZN2 Cost]],Table1[[#This Row],[ORTools FZN2 State]]="Optimal",Table1[[#This Row],[Gurobi MZ2 State]]="Suboptimal"),1,"")</f>
        <v/>
      </c>
      <c r="DM197" s="39" t="s">
        <v>25</v>
      </c>
      <c r="DN197" s="39">
        <v>1</v>
      </c>
      <c r="DO197" s="65">
        <v>0.120000000002619</v>
      </c>
      <c r="DP197" s="4" t="str">
        <f>IF(AND(Table1[[#This Row],[Cplex MC nonDual Cost]]=Table1[[#This Row],[ORTools FZN2 Cost]],Table1[[#This Row],[ORTools FZN2 State]]="Optimal",Table1[[#This Row],[Cplex MC nonDual State]]="Suboptimal"),1,"")</f>
        <v/>
      </c>
      <c r="DQ197" s="5" t="s">
        <v>25</v>
      </c>
      <c r="DR197" s="2">
        <v>1</v>
      </c>
      <c r="DS197" s="2">
        <v>5.1102999999999996</v>
      </c>
      <c r="DT197" s="2" t="str">
        <f>IF(AND(Table1[[#This Row],[Cplex MIP DM''z Cost]]=Table1[[#This Row],[ORTools FZN2 Cost]],Table1[[#This Row],[ORTools FZN2 State]]="Optimal",Table1[[#This Row],[Cplex MIP DM''z  State]]="Suboptimal"),1,"")</f>
        <v/>
      </c>
      <c r="DU19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7" s="5" t="s">
        <v>25</v>
      </c>
      <c r="DW197" s="2">
        <v>1</v>
      </c>
      <c r="DX197" s="2">
        <v>5.1890000000000001</v>
      </c>
      <c r="DY197" s="4" t="str">
        <f>IF(AND(Table1[[#This Row],[Gurobi DM''z  Cost]]=Table1[[#This Row],[ORTools FZN2 Cost]],Table1[[#This Row],[ORTools FZN2 State]]="Optimal",Table1[[#This Row],[Gurobi DM''z  State]]="Suboptimal"),1,"")</f>
        <v/>
      </c>
      <c r="DZ19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8" spans="1:130" ht="15.75" x14ac:dyDescent="0.25">
      <c r="A198" s="46" t="s">
        <v>224</v>
      </c>
      <c r="B198" s="5">
        <v>20</v>
      </c>
      <c r="C198" s="2">
        <v>10</v>
      </c>
      <c r="D198" s="5">
        <v>19</v>
      </c>
      <c r="E198" s="2">
        <v>15</v>
      </c>
      <c r="F198" s="5">
        <v>11</v>
      </c>
      <c r="G198" s="2">
        <v>3</v>
      </c>
      <c r="H198" s="4">
        <f t="shared" si="3"/>
        <v>0</v>
      </c>
      <c r="I198" s="4">
        <f>Table1[[#This Row],[B]]+Table1[[#This Row],[Atomic Constraints]]+Table1[[#This Row],[Soft Atomic Constraints]]+Table1[[#This Row],[Disjunctive Constraints]]+Table1[[#This Row],[Direct Successors]]</f>
        <v>58</v>
      </c>
      <c r="J198" s="5" t="s">
        <v>25</v>
      </c>
      <c r="K198" s="2">
        <v>1</v>
      </c>
      <c r="L198" s="2">
        <v>0.91172260000000005</v>
      </c>
      <c r="M198" s="2" t="str">
        <f>IF(AND(Table1[[#This Row],[Chuffed MZ1 Cost]]=Table1[[#This Row],[ORTools FZN2 Cost]],Table1[[#This Row],[ORTools FZN2 State]]="Optimal",Table1[[#This Row],[Chuffed MZ1 State]]="Suboptimal"),1,"")</f>
        <v/>
      </c>
      <c r="N198" s="5" t="s">
        <v>25</v>
      </c>
      <c r="O198" s="2">
        <v>1</v>
      </c>
      <c r="P198" s="2">
        <v>0.91610199999999997</v>
      </c>
      <c r="Q198" s="2" t="str">
        <f>IF(AND(Table1[[#This Row],[Chuffed MZ2 Cost]]=Table1[[#This Row],[ORTools FZN2 Cost]],Table1[[#This Row],[ORTools FZN2 State]]="Optimal",Table1[[#This Row],[Chuffed MZ2 State]]="Suboptimal"),1,"")</f>
        <v/>
      </c>
      <c r="R198" s="6" t="s">
        <v>25</v>
      </c>
      <c r="S198" s="4">
        <v>1</v>
      </c>
      <c r="T198" s="4">
        <v>0.13499999999839901</v>
      </c>
      <c r="U198" s="4"/>
      <c r="V198" s="5" t="s">
        <v>25</v>
      </c>
      <c r="W198" s="2">
        <v>1</v>
      </c>
      <c r="X198" s="2">
        <v>0.98300650000000001</v>
      </c>
      <c r="Y198" s="2" t="str">
        <f>IF(AND(Table1[[#This Row],[ORTools FZN1 Cost]]=Table1[[#This Row],[ORTools FZN2 Cost]],Table1[[#This Row],[ORTools FZN2 State]]="Optimal",Table1[[#This Row],[ORTools FZN1 State]]="Suboptimal"),1,"")</f>
        <v/>
      </c>
      <c r="Z198" s="5" t="s">
        <v>25</v>
      </c>
      <c r="AA198" s="2">
        <v>1</v>
      </c>
      <c r="AB198" s="2">
        <v>0.94346269999999999</v>
      </c>
      <c r="AC198" s="39" t="s">
        <v>25</v>
      </c>
      <c r="AD198" s="39">
        <v>1</v>
      </c>
      <c r="AE198" s="2">
        <v>2.2691080000000001</v>
      </c>
      <c r="AF198" s="2" t="str">
        <f>IF(AND(Table1[[#This Row],[Cplex MB Cost]]=Table1[[#This Row],[ORTools FZN2 Cost]],Table1[[#This Row],[ORTools FZN2 State]]="Optimal",Table1[[#This Row],[Cplex MB State]]="Suboptimal"),1,"")</f>
        <v/>
      </c>
      <c r="AG198" s="4">
        <f>IF(AND(AC198="Optimal",AD198&lt;&gt;AA198,Table1[[#This Row],[Example]]&lt;&gt;"R001",Table1[[#This Row],[Example]]&lt;&gt;"R002"),AD198-AA198,)</f>
        <v>0</v>
      </c>
      <c r="AH198" s="5" t="s">
        <v>25</v>
      </c>
      <c r="AI198" s="2">
        <v>1</v>
      </c>
      <c r="AJ198" s="2">
        <v>59.875067899999998</v>
      </c>
      <c r="AK198" s="2" t="str">
        <f>IF(AND(Table1[[#This Row],[Cplex MD Cost]]=Table1[[#This Row],[ORTools FZN2 Cost]],Table1[[#This Row],[ORTools FZN2 State]]="Optimal",Table1[[#This Row],[Cplex MD State]]="Suboptimal"),1,"")</f>
        <v/>
      </c>
      <c r="AL198" s="4">
        <f>IF(AND(AH198="Optimal",AI198&lt;&gt;AA198,Table1[[#This Row],[Example]]&lt;&gt;"R001",Table1[[#This Row],[Example]]&lt;&gt;"R002"),AI198-AA198,)</f>
        <v>0</v>
      </c>
      <c r="AM198" s="39" t="s">
        <v>25</v>
      </c>
      <c r="AN198" s="39">
        <v>1</v>
      </c>
      <c r="AO198" s="2">
        <v>0.86178980000000005</v>
      </c>
      <c r="AP19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8" s="4" t="str">
        <f>IF(AND(Table1[[#This Row],[Cplex MI Cost]]=Table1[[#This Row],[ORTools FZN2 Cost]],Table1[[#This Row],[ORTools FZN2 State]]="Optimal",Table1[[#This Row],[Cplex MI State]]="Suboptimal"),1,"")</f>
        <v/>
      </c>
      <c r="AR198" s="12" t="s">
        <v>26</v>
      </c>
      <c r="AS198" s="12">
        <v>1</v>
      </c>
      <c r="AT198" s="12">
        <v>19.244705100000001</v>
      </c>
      <c r="AU198" s="12">
        <f>IF(AND(Table1[[#This Row],[Z3 SMT2-1 Maxres Cost]]=Table1[[#This Row],[ORTools FZN2 Cost]],Table1[[#This Row],[ORTools FZN2 State]]="Optimal"),1,"")</f>
        <v>1</v>
      </c>
      <c r="AV198" s="12" t="s">
        <v>26</v>
      </c>
      <c r="AW198" s="12">
        <v>1</v>
      </c>
      <c r="AX198" s="12">
        <v>19.855461500000001</v>
      </c>
      <c r="AY198" s="12">
        <f>IF(AND(Table1[[#This Row],[Z3 SMT2-1 PdMaxres Cost]]=Table1[[#This Row],[ORTools FZN2 Cost]],Table1[[#This Row],[ORTools FZN2 State]]="Optimal"),1,"")</f>
        <v>1</v>
      </c>
      <c r="AZ198" s="12" t="s">
        <v>26</v>
      </c>
      <c r="BA198" s="12">
        <v>1</v>
      </c>
      <c r="BB198" s="12">
        <v>23.044545599999999</v>
      </c>
      <c r="BC198" s="12">
        <f>IF(AND(Table1[[#This Row],[Z3 SMT2-1 WMax Cost]]=Table1[[#This Row],[ORTools FZN2 Cost]],Table1[[#This Row],[ORTools FZN2 State]]="Optimal"),1,"")</f>
        <v>1</v>
      </c>
      <c r="BD198" s="12" t="s">
        <v>26</v>
      </c>
      <c r="BE198" s="12">
        <v>1</v>
      </c>
      <c r="BF198" s="12">
        <v>13.983039399999999</v>
      </c>
      <c r="BG198" s="12">
        <f>IF(AND(Table1[[#This Row],[Z3 SMT2-2 Maxres Cost]]=Table1[[#This Row],[ORTools FZN2 Cost]],Table1[[#This Row],[ORTools FZN2 State]]="Optimal"),1,"")</f>
        <v>1</v>
      </c>
      <c r="BH198" s="12" t="s">
        <v>26</v>
      </c>
      <c r="BI198" s="12">
        <v>1</v>
      </c>
      <c r="BJ198" s="12">
        <v>14.5567051</v>
      </c>
      <c r="BK198" s="12">
        <f>IF(AND(Table1[[#This Row],[Z3 SMT2-2 PdMaxres Cost]]=Table1[[#This Row],[ORTools FZN2 Cost]],Table1[[#This Row],[ORTools FZN2 State]]="Optimal"),1,"")</f>
        <v>1</v>
      </c>
      <c r="BL198" s="12" t="s">
        <v>26</v>
      </c>
      <c r="BM198" s="12">
        <v>1</v>
      </c>
      <c r="BN198" s="12">
        <v>14.5035822</v>
      </c>
      <c r="BO198" s="11">
        <f>IF(AND(Table1[[#This Row],[Z3 SMT2-2 PdMaxres Cost]]=Table1[[#This Row],[ORTools FZN2 Cost]],Table1[[#This Row],[ORTools FZN2 State]]="Optimal"),1,"")</f>
        <v>1</v>
      </c>
      <c r="BP198" s="5" t="s">
        <v>25</v>
      </c>
      <c r="BQ198" s="2">
        <v>1</v>
      </c>
      <c r="BR198" s="2">
        <v>0.80894719999999998</v>
      </c>
      <c r="BS198" s="2" t="str">
        <f>IF(AND(Table1[[#This Row],[Gurobi MB Cost]]=Table1[[#This Row],[ORTools FZN2 Cost]],Table1[[#This Row],[ORTools FZN2 State]]="Optimal",Table1[[#This Row],[Gurobi MB State]]="Suboptimal"),1,"")</f>
        <v/>
      </c>
      <c r="BT19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8" s="5" t="s">
        <v>25</v>
      </c>
      <c r="BV198" s="2">
        <v>1</v>
      </c>
      <c r="BW198" s="2">
        <v>18.076959299999999</v>
      </c>
      <c r="BX198" s="2" t="str">
        <f>IF(AND(Table1[[#This Row],[Gurobi MD Cost]]=Table1[[#This Row],[ORTools FZN2 Cost]],Table1[[#This Row],[ORTools FZN2 State]]="Optimal",Table1[[#This Row],[Gurobi MD State]]="Suboptimal"),1,"")</f>
        <v/>
      </c>
      <c r="BY19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8" s="5" t="s">
        <v>25</v>
      </c>
      <c r="CA198" s="2">
        <v>1</v>
      </c>
      <c r="CB198" s="2">
        <v>0.79642950000000001</v>
      </c>
      <c r="CC198" s="2" t="str">
        <f>IF(AND(Table1[[#This Row],[Gurobi MI Cost]]=Table1[[#This Row],[ORTools FZN2 Cost]],Table1[[#This Row],[ORTools FZN2 State]]="Optimal",Table1[[#This Row],[Gurobi MI State]]="Suboptimal"),1,"")</f>
        <v/>
      </c>
      <c r="CD19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8" s="39" t="s">
        <v>42</v>
      </c>
      <c r="CF198" s="2">
        <v>-8421</v>
      </c>
      <c r="CG198" s="39">
        <v>306.04167109999997</v>
      </c>
      <c r="CH198" s="39" t="s">
        <v>42</v>
      </c>
      <c r="CI198" s="39">
        <v>-8421</v>
      </c>
      <c r="CJ198" s="2">
        <v>306.08707440000001</v>
      </c>
      <c r="CK198" s="5" t="s">
        <v>25</v>
      </c>
      <c r="CL198" s="2">
        <v>1</v>
      </c>
      <c r="CM198" s="2">
        <v>0.13399999999819601</v>
      </c>
      <c r="CN198" s="5" t="s">
        <v>25</v>
      </c>
      <c r="CO198" s="2">
        <v>1</v>
      </c>
      <c r="CP198" s="2">
        <v>1.8818182000000001</v>
      </c>
      <c r="CQ198" s="5" t="s">
        <v>25</v>
      </c>
      <c r="CR198" s="2">
        <v>1</v>
      </c>
      <c r="CS198" s="2">
        <v>1.3761783999999999</v>
      </c>
      <c r="CT198" s="6" t="s">
        <v>25</v>
      </c>
      <c r="CU198" s="4">
        <v>1</v>
      </c>
      <c r="CV198" s="4">
        <v>1.3055808</v>
      </c>
      <c r="CW198" s="39" t="s">
        <v>25</v>
      </c>
      <c r="CX198" s="39">
        <v>1</v>
      </c>
      <c r="CY198" s="2">
        <v>2.3134000000000001</v>
      </c>
      <c r="CZ198" s="2" t="str">
        <f>IF(AND(Table1[[#This Row],[Cplex MZ1 Cost]]=Table1[[#This Row],[ORTools FZN2 Cost]],Table1[[#This Row],[ORTools FZN2 State]]="Optimal",Table1[[#This Row],[Cplex MZ1 State]]="Suboptimal"),1,"")</f>
        <v/>
      </c>
      <c r="DA198" s="5" t="s">
        <v>25</v>
      </c>
      <c r="DB198" s="2">
        <v>1</v>
      </c>
      <c r="DC198" s="2">
        <v>4.6858000000000004</v>
      </c>
      <c r="DD198" s="2" t="str">
        <f>IF(AND(Table1[[#This Row],[Cplex MZ2 Cost]]=Table1[[#This Row],[ORTools FZN2 Cost]],Table1[[#This Row],[ORTools FZN2 State]]="Optimal",Table1[[#This Row],[Cplex MZ2 State]]="Suboptimal"),1,"")</f>
        <v/>
      </c>
      <c r="DE198" s="39" t="s">
        <v>25</v>
      </c>
      <c r="DF198" s="39">
        <v>1</v>
      </c>
      <c r="DG198" s="2">
        <v>10.474600000000001</v>
      </c>
      <c r="DH198" s="2" t="str">
        <f>IF(AND(Table1[[#This Row],[Gurobi MZ1 Cost]]=Table1[[#This Row],[ORTools FZN2 Cost]],Table1[[#This Row],[ORTools FZN2 State]]="Optimal",Table1[[#This Row],[Gurobi MZ1 State]]="Suboptimal"),1,"")</f>
        <v/>
      </c>
      <c r="DI198" s="5" t="s">
        <v>25</v>
      </c>
      <c r="DJ198" s="2">
        <v>1</v>
      </c>
      <c r="DK198" s="2">
        <v>5.2830000000000004</v>
      </c>
      <c r="DL198" s="4" t="str">
        <f>IF(AND(Table1[[#This Row],[Gurobi MZ2 Cost]]=Table1[[#This Row],[ORTools FZN2 Cost]],Table1[[#This Row],[ORTools FZN2 State]]="Optimal",Table1[[#This Row],[Gurobi MZ2 State]]="Suboptimal"),1,"")</f>
        <v/>
      </c>
      <c r="DM198" s="39" t="s">
        <v>25</v>
      </c>
      <c r="DN198" s="39">
        <v>1</v>
      </c>
      <c r="DO198" s="65">
        <v>0.42400000000270599</v>
      </c>
      <c r="DP198" s="4" t="str">
        <f>IF(AND(Table1[[#This Row],[Cplex MC nonDual Cost]]=Table1[[#This Row],[ORTools FZN2 Cost]],Table1[[#This Row],[ORTools FZN2 State]]="Optimal",Table1[[#This Row],[Cplex MC nonDual State]]="Suboptimal"),1,"")</f>
        <v/>
      </c>
      <c r="DQ198" s="5" t="s">
        <v>25</v>
      </c>
      <c r="DR198" s="2">
        <v>1</v>
      </c>
      <c r="DS198" s="2">
        <v>1.3925000000000001</v>
      </c>
      <c r="DT198" s="2" t="str">
        <f>IF(AND(Table1[[#This Row],[Cplex MIP DM''z Cost]]=Table1[[#This Row],[ORTools FZN2 Cost]],Table1[[#This Row],[ORTools FZN2 State]]="Optimal",Table1[[#This Row],[Cplex MIP DM''z  State]]="Suboptimal"),1,"")</f>
        <v/>
      </c>
      <c r="DU19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8" s="5" t="s">
        <v>25</v>
      </c>
      <c r="DW198" s="2">
        <v>1</v>
      </c>
      <c r="DX198" s="2">
        <v>4.9505999999999997</v>
      </c>
      <c r="DY198" s="4" t="str">
        <f>IF(AND(Table1[[#This Row],[Gurobi DM''z  Cost]]=Table1[[#This Row],[ORTools FZN2 Cost]],Table1[[#This Row],[ORTools FZN2 State]]="Optimal",Table1[[#This Row],[Gurobi DM''z  State]]="Suboptimal"),1,"")</f>
        <v/>
      </c>
      <c r="DZ19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199" spans="1:130" ht="15.75" x14ac:dyDescent="0.25">
      <c r="A199" s="47" t="s">
        <v>225</v>
      </c>
      <c r="B199" s="5">
        <v>14</v>
      </c>
      <c r="C199" s="2">
        <v>7</v>
      </c>
      <c r="D199" s="5">
        <v>9</v>
      </c>
      <c r="E199" s="2">
        <v>10</v>
      </c>
      <c r="F199" s="5">
        <v>4</v>
      </c>
      <c r="G199" s="2">
        <v>0</v>
      </c>
      <c r="H199" s="4">
        <f t="shared" si="3"/>
        <v>0</v>
      </c>
      <c r="I199" s="4">
        <f>Table1[[#This Row],[B]]+Table1[[#This Row],[Atomic Constraints]]+Table1[[#This Row],[Soft Atomic Constraints]]+Table1[[#This Row],[Disjunctive Constraints]]+Table1[[#This Row],[Direct Successors]]</f>
        <v>30</v>
      </c>
      <c r="J199" s="5" t="s">
        <v>25</v>
      </c>
      <c r="K199" s="2">
        <v>1</v>
      </c>
      <c r="L199" s="2">
        <v>0.71438330000000005</v>
      </c>
      <c r="M199" s="2" t="str">
        <f>IF(AND(Table1[[#This Row],[Chuffed MZ1 Cost]]=Table1[[#This Row],[ORTools FZN2 Cost]],Table1[[#This Row],[ORTools FZN2 State]]="Optimal",Table1[[#This Row],[Chuffed MZ1 State]]="Suboptimal"),1,"")</f>
        <v/>
      </c>
      <c r="N199" s="5" t="s">
        <v>25</v>
      </c>
      <c r="O199" s="2">
        <v>1</v>
      </c>
      <c r="P199" s="2">
        <v>0.70869479999999996</v>
      </c>
      <c r="Q199" s="2" t="str">
        <f>IF(AND(Table1[[#This Row],[Chuffed MZ2 Cost]]=Table1[[#This Row],[ORTools FZN2 Cost]],Table1[[#This Row],[ORTools FZN2 State]]="Optimal",Table1[[#This Row],[Chuffed MZ2 State]]="Suboptimal"),1,"")</f>
        <v/>
      </c>
      <c r="R199" s="5" t="s">
        <v>25</v>
      </c>
      <c r="S199" s="2">
        <v>1</v>
      </c>
      <c r="T199" s="2">
        <v>8.5000000002764906E-2</v>
      </c>
      <c r="U199" s="2"/>
      <c r="V199" s="5" t="s">
        <v>25</v>
      </c>
      <c r="W199" s="2">
        <v>1</v>
      </c>
      <c r="X199" s="2">
        <v>0.27004319999999998</v>
      </c>
      <c r="Y199" s="2" t="str">
        <f>IF(AND(Table1[[#This Row],[ORTools FZN1 Cost]]=Table1[[#This Row],[ORTools FZN2 Cost]],Table1[[#This Row],[ORTools FZN2 State]]="Optimal",Table1[[#This Row],[ORTools FZN1 State]]="Suboptimal"),1,"")</f>
        <v/>
      </c>
      <c r="Z199" s="5" t="s">
        <v>25</v>
      </c>
      <c r="AA199" s="2">
        <v>1</v>
      </c>
      <c r="AB199" s="2">
        <v>0.28981400000000002</v>
      </c>
      <c r="AC199" s="39" t="s">
        <v>25</v>
      </c>
      <c r="AD199" s="39">
        <v>1</v>
      </c>
      <c r="AE199" s="2">
        <v>0.54190240000000001</v>
      </c>
      <c r="AF199" s="2" t="str">
        <f>IF(AND(Table1[[#This Row],[Cplex MB Cost]]=Table1[[#This Row],[ORTools FZN2 Cost]],Table1[[#This Row],[ORTools FZN2 State]]="Optimal",Table1[[#This Row],[Cplex MB State]]="Suboptimal"),1,"")</f>
        <v/>
      </c>
      <c r="AG199" s="4">
        <f>IF(AND(AC199="Optimal",AD199&lt;&gt;AA199,Table1[[#This Row],[Example]]&lt;&gt;"R001",Table1[[#This Row],[Example]]&lt;&gt;"R002"),AD199-AA199,)</f>
        <v>0</v>
      </c>
      <c r="AH199" s="5" t="s">
        <v>25</v>
      </c>
      <c r="AI199" s="2">
        <v>1</v>
      </c>
      <c r="AJ199" s="2">
        <v>1.7035251</v>
      </c>
      <c r="AK199" s="2" t="str">
        <f>IF(AND(Table1[[#This Row],[Cplex MD Cost]]=Table1[[#This Row],[ORTools FZN2 Cost]],Table1[[#This Row],[ORTools FZN2 State]]="Optimal",Table1[[#This Row],[Cplex MD State]]="Suboptimal"),1,"")</f>
        <v/>
      </c>
      <c r="AL199" s="4">
        <f>IF(AND(AH199="Optimal",AI199&lt;&gt;AA199,Table1[[#This Row],[Example]]&lt;&gt;"R001",Table1[[#This Row],[Example]]&lt;&gt;"R002"),AI199-AA199,)</f>
        <v>0</v>
      </c>
      <c r="AM199" s="39" t="s">
        <v>25</v>
      </c>
      <c r="AN199" s="39">
        <v>1</v>
      </c>
      <c r="AO199" s="2">
        <v>0.29350340000000003</v>
      </c>
      <c r="AP19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199" s="2" t="str">
        <f>IF(AND(Table1[[#This Row],[Cplex MI Cost]]=Table1[[#This Row],[ORTools FZN2 Cost]],Table1[[#This Row],[ORTools FZN2 State]]="Optimal",Table1[[#This Row],[Cplex MI State]]="Suboptimal"),1,"")</f>
        <v/>
      </c>
      <c r="AR199" s="12" t="s">
        <v>26</v>
      </c>
      <c r="AS199" s="12">
        <v>1</v>
      </c>
      <c r="AT199" s="12">
        <v>2.4506307999999999</v>
      </c>
      <c r="AU199" s="12">
        <f>IF(AND(Table1[[#This Row],[Z3 SMT2-1 Maxres Cost]]=Table1[[#This Row],[ORTools FZN2 Cost]],Table1[[#This Row],[ORTools FZN2 State]]="Optimal"),1,"")</f>
        <v>1</v>
      </c>
      <c r="AV199" s="12" t="s">
        <v>26</v>
      </c>
      <c r="AW199" s="12">
        <v>1</v>
      </c>
      <c r="AX199" s="12">
        <v>2.4524669000000001</v>
      </c>
      <c r="AY199" s="12">
        <f>IF(AND(Table1[[#This Row],[Z3 SMT2-1 PdMaxres Cost]]=Table1[[#This Row],[ORTools FZN2 Cost]],Table1[[#This Row],[ORTools FZN2 State]]="Optimal"),1,"")</f>
        <v>1</v>
      </c>
      <c r="AZ199" s="12" t="s">
        <v>26</v>
      </c>
      <c r="BA199" s="12">
        <v>1</v>
      </c>
      <c r="BB199" s="12">
        <v>2.8005341000000001</v>
      </c>
      <c r="BC199" s="12">
        <f>IF(AND(Table1[[#This Row],[Z3 SMT2-1 WMax Cost]]=Table1[[#This Row],[ORTools FZN2 Cost]],Table1[[#This Row],[ORTools FZN2 State]]="Optimal"),1,"")</f>
        <v>1</v>
      </c>
      <c r="BD199" s="12" t="s">
        <v>26</v>
      </c>
      <c r="BE199" s="12">
        <v>1</v>
      </c>
      <c r="BF199" s="12">
        <v>2.1437179999999998</v>
      </c>
      <c r="BG199" s="12">
        <f>IF(AND(Table1[[#This Row],[Z3 SMT2-2 Maxres Cost]]=Table1[[#This Row],[ORTools FZN2 Cost]],Table1[[#This Row],[ORTools FZN2 State]]="Optimal"),1,"")</f>
        <v>1</v>
      </c>
      <c r="BH199" s="12" t="s">
        <v>26</v>
      </c>
      <c r="BI199" s="12">
        <v>1</v>
      </c>
      <c r="BJ199" s="12">
        <v>2.2273412000000001</v>
      </c>
      <c r="BK199" s="12">
        <f>IF(AND(Table1[[#This Row],[Z3 SMT2-2 PdMaxres Cost]]=Table1[[#This Row],[ORTools FZN2 Cost]],Table1[[#This Row],[ORTools FZN2 State]]="Optimal"),1,"")</f>
        <v>1</v>
      </c>
      <c r="BL199" s="12" t="s">
        <v>26</v>
      </c>
      <c r="BM199" s="12">
        <v>1</v>
      </c>
      <c r="BN199" s="12">
        <v>2.2684508999999999</v>
      </c>
      <c r="BO199" s="11">
        <f>IF(AND(Table1[[#This Row],[Z3 SMT2-2 PdMaxres Cost]]=Table1[[#This Row],[ORTools FZN2 Cost]],Table1[[#This Row],[ORTools FZN2 State]]="Optimal"),1,"")</f>
        <v>1</v>
      </c>
      <c r="BP199" s="5" t="s">
        <v>25</v>
      </c>
      <c r="BQ199" s="2">
        <v>1</v>
      </c>
      <c r="BR199" s="2">
        <v>0.27095649999999999</v>
      </c>
      <c r="BS199" s="2" t="str">
        <f>IF(AND(Table1[[#This Row],[Gurobi MB Cost]]=Table1[[#This Row],[ORTools FZN2 Cost]],Table1[[#This Row],[ORTools FZN2 State]]="Optimal",Table1[[#This Row],[Gurobi MB State]]="Suboptimal"),1,"")</f>
        <v/>
      </c>
      <c r="BT19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199" s="5" t="s">
        <v>25</v>
      </c>
      <c r="BV199" s="2">
        <v>1</v>
      </c>
      <c r="BW199" s="2">
        <v>3.5922567999999999</v>
      </c>
      <c r="BX199" s="2" t="str">
        <f>IF(AND(Table1[[#This Row],[Gurobi MD Cost]]=Table1[[#This Row],[ORTools FZN2 Cost]],Table1[[#This Row],[ORTools FZN2 State]]="Optimal",Table1[[#This Row],[Gurobi MD State]]="Suboptimal"),1,"")</f>
        <v/>
      </c>
      <c r="BY19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199" s="5" t="s">
        <v>25</v>
      </c>
      <c r="CA199" s="2">
        <v>1</v>
      </c>
      <c r="CB199" s="2">
        <v>0.29362490000000002</v>
      </c>
      <c r="CC199" s="2" t="str">
        <f>IF(AND(Table1[[#This Row],[Gurobi MI Cost]]=Table1[[#This Row],[ORTools FZN2 Cost]],Table1[[#This Row],[ORTools FZN2 State]]="Optimal",Table1[[#This Row],[Gurobi MI State]]="Suboptimal"),1,"")</f>
        <v/>
      </c>
      <c r="CD19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199" s="39" t="s">
        <v>42</v>
      </c>
      <c r="CF199" s="2">
        <v>-2955</v>
      </c>
      <c r="CG199" s="39">
        <v>306.02815729999998</v>
      </c>
      <c r="CH199" s="39" t="s">
        <v>42</v>
      </c>
      <c r="CI199" s="39">
        <v>-2955</v>
      </c>
      <c r="CJ199" s="2">
        <v>306.07504499999999</v>
      </c>
      <c r="CK199" s="5" t="s">
        <v>25</v>
      </c>
      <c r="CL199" s="2">
        <v>1</v>
      </c>
      <c r="CM199" s="2">
        <v>9.30000000007567E-2</v>
      </c>
      <c r="CN199" s="5" t="s">
        <v>25</v>
      </c>
      <c r="CO199" s="2">
        <v>1</v>
      </c>
      <c r="CP199" s="2">
        <v>0.71286079999999996</v>
      </c>
      <c r="CQ199" s="5" t="s">
        <v>25</v>
      </c>
      <c r="CR199" s="2">
        <v>1</v>
      </c>
      <c r="CS199" s="2">
        <v>0.53539020000000004</v>
      </c>
      <c r="CT199" s="6" t="s">
        <v>25</v>
      </c>
      <c r="CU199" s="4">
        <v>1</v>
      </c>
      <c r="CV199" s="4">
        <v>0.54060900000000001</v>
      </c>
      <c r="CW199" s="39" t="s">
        <v>25</v>
      </c>
      <c r="CX199" s="39">
        <v>1</v>
      </c>
      <c r="CY199" s="2">
        <v>0.6794</v>
      </c>
      <c r="CZ199" s="2" t="str">
        <f>IF(AND(Table1[[#This Row],[Cplex MZ1 Cost]]=Table1[[#This Row],[ORTools FZN2 Cost]],Table1[[#This Row],[ORTools FZN2 State]]="Optimal",Table1[[#This Row],[Cplex MZ1 State]]="Suboptimal"),1,"")</f>
        <v/>
      </c>
      <c r="DA199" s="5" t="s">
        <v>25</v>
      </c>
      <c r="DB199" s="2">
        <v>1</v>
      </c>
      <c r="DC199" s="2">
        <v>0.99250000000000005</v>
      </c>
      <c r="DD199" s="2" t="str">
        <f>IF(AND(Table1[[#This Row],[Cplex MZ2 Cost]]=Table1[[#This Row],[ORTools FZN2 Cost]],Table1[[#This Row],[ORTools FZN2 State]]="Optimal",Table1[[#This Row],[Cplex MZ2 State]]="Suboptimal"),1,"")</f>
        <v/>
      </c>
      <c r="DE199" s="39" t="s">
        <v>25</v>
      </c>
      <c r="DF199" s="39">
        <v>1</v>
      </c>
      <c r="DG199" s="2">
        <v>1.6517999999999999</v>
      </c>
      <c r="DH199" s="2" t="str">
        <f>IF(AND(Table1[[#This Row],[Gurobi MZ1 Cost]]=Table1[[#This Row],[ORTools FZN2 Cost]],Table1[[#This Row],[ORTools FZN2 State]]="Optimal",Table1[[#This Row],[Gurobi MZ1 State]]="Suboptimal"),1,"")</f>
        <v/>
      </c>
      <c r="DI199" s="5" t="s">
        <v>25</v>
      </c>
      <c r="DJ199" s="2">
        <v>1</v>
      </c>
      <c r="DK199" s="2">
        <v>1.151</v>
      </c>
      <c r="DL199" s="4" t="str">
        <f>IF(AND(Table1[[#This Row],[Gurobi MZ2 Cost]]=Table1[[#This Row],[ORTools FZN2 Cost]],Table1[[#This Row],[ORTools FZN2 State]]="Optimal",Table1[[#This Row],[Gurobi MZ2 State]]="Suboptimal"),1,"")</f>
        <v/>
      </c>
      <c r="DM199" s="39" t="s">
        <v>25</v>
      </c>
      <c r="DN199" s="39">
        <v>1</v>
      </c>
      <c r="DO199" s="65">
        <v>0.100000000002182</v>
      </c>
      <c r="DP199" s="4" t="str">
        <f>IF(AND(Table1[[#This Row],[Cplex MC nonDual Cost]]=Table1[[#This Row],[ORTools FZN2 Cost]],Table1[[#This Row],[ORTools FZN2 State]]="Optimal",Table1[[#This Row],[Cplex MC nonDual State]]="Suboptimal"),1,"")</f>
        <v/>
      </c>
      <c r="DQ199" s="5" t="s">
        <v>25</v>
      </c>
      <c r="DR199" s="2">
        <v>1</v>
      </c>
      <c r="DS199" s="2">
        <v>0.34539999999999998</v>
      </c>
      <c r="DT199" s="2" t="str">
        <f>IF(AND(Table1[[#This Row],[Cplex MIP DM''z Cost]]=Table1[[#This Row],[ORTools FZN2 Cost]],Table1[[#This Row],[ORTools FZN2 State]]="Optimal",Table1[[#This Row],[Cplex MIP DM''z  State]]="Suboptimal"),1,"")</f>
        <v/>
      </c>
      <c r="DU19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199" s="5" t="s">
        <v>25</v>
      </c>
      <c r="DW199" s="2">
        <v>1</v>
      </c>
      <c r="DX199" s="2">
        <v>1.0462</v>
      </c>
      <c r="DY199" s="4" t="str">
        <f>IF(AND(Table1[[#This Row],[Gurobi DM''z  Cost]]=Table1[[#This Row],[ORTools FZN2 Cost]],Table1[[#This Row],[ORTools FZN2 State]]="Optimal",Table1[[#This Row],[Gurobi DM''z  State]]="Suboptimal"),1,"")</f>
        <v/>
      </c>
      <c r="DZ19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0" spans="1:130" ht="15.75" x14ac:dyDescent="0.25">
      <c r="A200" s="46" t="s">
        <v>226</v>
      </c>
      <c r="B200" s="5">
        <v>20</v>
      </c>
      <c r="C200" s="2">
        <v>10</v>
      </c>
      <c r="D200" s="5">
        <v>19</v>
      </c>
      <c r="E200" s="2">
        <v>15</v>
      </c>
      <c r="F200" s="5">
        <v>8</v>
      </c>
      <c r="G200" s="2">
        <v>0</v>
      </c>
      <c r="H200" s="4">
        <f t="shared" si="3"/>
        <v>0</v>
      </c>
      <c r="I200" s="4">
        <f>Table1[[#This Row],[B]]+Table1[[#This Row],[Atomic Constraints]]+Table1[[#This Row],[Soft Atomic Constraints]]+Table1[[#This Row],[Disjunctive Constraints]]+Table1[[#This Row],[Direct Successors]]</f>
        <v>52</v>
      </c>
      <c r="J200" s="5" t="s">
        <v>25</v>
      </c>
      <c r="K200" s="2">
        <v>1</v>
      </c>
      <c r="L200" s="2">
        <v>0.92775960000000002</v>
      </c>
      <c r="M200" s="2" t="str">
        <f>IF(AND(Table1[[#This Row],[Chuffed MZ1 Cost]]=Table1[[#This Row],[ORTools FZN2 Cost]],Table1[[#This Row],[ORTools FZN2 State]]="Optimal",Table1[[#This Row],[Chuffed MZ1 State]]="Suboptimal"),1,"")</f>
        <v/>
      </c>
      <c r="N200" s="5" t="s">
        <v>25</v>
      </c>
      <c r="O200" s="2">
        <v>1</v>
      </c>
      <c r="P200" s="2">
        <v>0.94448310000000002</v>
      </c>
      <c r="Q200" s="2" t="str">
        <f>IF(AND(Table1[[#This Row],[Chuffed MZ2 Cost]]=Table1[[#This Row],[ORTools FZN2 Cost]],Table1[[#This Row],[ORTools FZN2 State]]="Optimal",Table1[[#This Row],[Chuffed MZ2 State]]="Suboptimal"),1,"")</f>
        <v/>
      </c>
      <c r="R200" s="6" t="s">
        <v>25</v>
      </c>
      <c r="S200" s="4">
        <v>1</v>
      </c>
      <c r="T200" s="4">
        <v>0.111000000000786</v>
      </c>
      <c r="U200" s="4"/>
      <c r="V200" s="5" t="s">
        <v>25</v>
      </c>
      <c r="W200" s="2">
        <v>1</v>
      </c>
      <c r="X200" s="2">
        <v>1.0085982</v>
      </c>
      <c r="Y200" s="2" t="str">
        <f>IF(AND(Table1[[#This Row],[ORTools FZN1 Cost]]=Table1[[#This Row],[ORTools FZN2 Cost]],Table1[[#This Row],[ORTools FZN2 State]]="Optimal",Table1[[#This Row],[ORTools FZN1 State]]="Suboptimal"),1,"")</f>
        <v/>
      </c>
      <c r="Z200" s="5" t="s">
        <v>25</v>
      </c>
      <c r="AA200" s="2">
        <v>1</v>
      </c>
      <c r="AB200" s="2">
        <v>0.77397559999999999</v>
      </c>
      <c r="AC200" s="39" t="s">
        <v>25</v>
      </c>
      <c r="AD200" s="39">
        <v>1</v>
      </c>
      <c r="AE200" s="2">
        <v>2.5946843999999998</v>
      </c>
      <c r="AF200" s="2" t="str">
        <f>IF(AND(Table1[[#This Row],[Cplex MB Cost]]=Table1[[#This Row],[ORTools FZN2 Cost]],Table1[[#This Row],[ORTools FZN2 State]]="Optimal",Table1[[#This Row],[Cplex MB State]]="Suboptimal"),1,"")</f>
        <v/>
      </c>
      <c r="AG200" s="4">
        <f>IF(AND(AC200="Optimal",AD200&lt;&gt;AA200,Table1[[#This Row],[Example]]&lt;&gt;"R001",Table1[[#This Row],[Example]]&lt;&gt;"R002"),AD200-AA200,)</f>
        <v>0</v>
      </c>
      <c r="AH200" s="5" t="s">
        <v>25</v>
      </c>
      <c r="AI200" s="2">
        <v>1</v>
      </c>
      <c r="AJ200" s="2">
        <v>45.643918800000002</v>
      </c>
      <c r="AK200" s="2" t="str">
        <f>IF(AND(Table1[[#This Row],[Cplex MD Cost]]=Table1[[#This Row],[ORTools FZN2 Cost]],Table1[[#This Row],[ORTools FZN2 State]]="Optimal",Table1[[#This Row],[Cplex MD State]]="Suboptimal"),1,"")</f>
        <v/>
      </c>
      <c r="AL200" s="4">
        <f>IF(AND(AH200="Optimal",AI200&lt;&gt;AA200,Table1[[#This Row],[Example]]&lt;&gt;"R001",Table1[[#This Row],[Example]]&lt;&gt;"R002"),AI200-AA200,)</f>
        <v>0</v>
      </c>
      <c r="AM200" s="39" t="s">
        <v>25</v>
      </c>
      <c r="AN200" s="39">
        <v>1</v>
      </c>
      <c r="AO200" s="2">
        <v>0.78145849999999994</v>
      </c>
      <c r="AP20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0" s="4" t="str">
        <f>IF(AND(Table1[[#This Row],[Cplex MI Cost]]=Table1[[#This Row],[ORTools FZN2 Cost]],Table1[[#This Row],[ORTools FZN2 State]]="Optimal",Table1[[#This Row],[Cplex MI State]]="Suboptimal"),1,"")</f>
        <v/>
      </c>
      <c r="AR200" s="12" t="s">
        <v>26</v>
      </c>
      <c r="AS200" s="12">
        <v>1</v>
      </c>
      <c r="AT200" s="12">
        <v>19.748239099999999</v>
      </c>
      <c r="AU200" s="12">
        <f>IF(AND(Table1[[#This Row],[Z3 SMT2-1 Maxres Cost]]=Table1[[#This Row],[ORTools FZN2 Cost]],Table1[[#This Row],[ORTools FZN2 State]]="Optimal"),1,"")</f>
        <v>1</v>
      </c>
      <c r="AV200" s="12" t="s">
        <v>26</v>
      </c>
      <c r="AW200" s="12">
        <v>1</v>
      </c>
      <c r="AX200" s="12">
        <v>20.427320300000002</v>
      </c>
      <c r="AY200" s="12">
        <f>IF(AND(Table1[[#This Row],[Z3 SMT2-1 PdMaxres Cost]]=Table1[[#This Row],[ORTools FZN2 Cost]],Table1[[#This Row],[ORTools FZN2 State]]="Optimal"),1,"")</f>
        <v>1</v>
      </c>
      <c r="AZ200" s="12" t="s">
        <v>26</v>
      </c>
      <c r="BA200" s="12">
        <v>1</v>
      </c>
      <c r="BB200" s="12">
        <v>24.5413414</v>
      </c>
      <c r="BC200" s="12">
        <f>IF(AND(Table1[[#This Row],[Z3 SMT2-1 WMax Cost]]=Table1[[#This Row],[ORTools FZN2 Cost]],Table1[[#This Row],[ORTools FZN2 State]]="Optimal"),1,"")</f>
        <v>1</v>
      </c>
      <c r="BD200" s="12" t="s">
        <v>26</v>
      </c>
      <c r="BE200" s="12">
        <v>1</v>
      </c>
      <c r="BF200" s="12">
        <v>12.978070799999999</v>
      </c>
      <c r="BG200" s="12">
        <f>IF(AND(Table1[[#This Row],[Z3 SMT2-2 Maxres Cost]]=Table1[[#This Row],[ORTools FZN2 Cost]],Table1[[#This Row],[ORTools FZN2 State]]="Optimal"),1,"")</f>
        <v>1</v>
      </c>
      <c r="BH200" s="12" t="s">
        <v>26</v>
      </c>
      <c r="BI200" s="12">
        <v>1</v>
      </c>
      <c r="BJ200" s="12">
        <v>13.202114999999999</v>
      </c>
      <c r="BK200" s="12">
        <f>IF(AND(Table1[[#This Row],[Z3 SMT2-2 PdMaxres Cost]]=Table1[[#This Row],[ORTools FZN2 Cost]],Table1[[#This Row],[ORTools FZN2 State]]="Optimal"),1,"")</f>
        <v>1</v>
      </c>
      <c r="BL200" s="12" t="s">
        <v>26</v>
      </c>
      <c r="BM200" s="12">
        <v>1</v>
      </c>
      <c r="BN200" s="12">
        <v>13.2864512</v>
      </c>
      <c r="BO200" s="11">
        <f>IF(AND(Table1[[#This Row],[Z3 SMT2-2 PdMaxres Cost]]=Table1[[#This Row],[ORTools FZN2 Cost]],Table1[[#This Row],[ORTools FZN2 State]]="Optimal"),1,"")</f>
        <v>1</v>
      </c>
      <c r="BP200" s="5" t="s">
        <v>25</v>
      </c>
      <c r="BQ200" s="2">
        <v>1</v>
      </c>
      <c r="BR200" s="2">
        <v>0.79571899999999995</v>
      </c>
      <c r="BS200" s="2" t="str">
        <f>IF(AND(Table1[[#This Row],[Gurobi MB Cost]]=Table1[[#This Row],[ORTools FZN2 Cost]],Table1[[#This Row],[ORTools FZN2 State]]="Optimal",Table1[[#This Row],[Gurobi MB State]]="Suboptimal"),1,"")</f>
        <v/>
      </c>
      <c r="BT20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0" s="5" t="s">
        <v>25</v>
      </c>
      <c r="BV200" s="2">
        <v>1</v>
      </c>
      <c r="BW200" s="2">
        <v>5.2687616000000004</v>
      </c>
      <c r="BX200" s="2" t="str">
        <f>IF(AND(Table1[[#This Row],[Gurobi MD Cost]]=Table1[[#This Row],[ORTools FZN2 Cost]],Table1[[#This Row],[ORTools FZN2 State]]="Optimal",Table1[[#This Row],[Gurobi MD State]]="Suboptimal"),1,"")</f>
        <v/>
      </c>
      <c r="BY20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0" s="5" t="s">
        <v>25</v>
      </c>
      <c r="CA200" s="2">
        <v>1</v>
      </c>
      <c r="CB200" s="2">
        <v>0.7580074</v>
      </c>
      <c r="CC200" s="2" t="str">
        <f>IF(AND(Table1[[#This Row],[Gurobi MI Cost]]=Table1[[#This Row],[ORTools FZN2 Cost]],Table1[[#This Row],[ORTools FZN2 State]]="Optimal",Table1[[#This Row],[Gurobi MI State]]="Suboptimal"),1,"")</f>
        <v/>
      </c>
      <c r="CD20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0" s="39" t="s">
        <v>42</v>
      </c>
      <c r="CF200" s="2">
        <v>-8421</v>
      </c>
      <c r="CG200" s="39">
        <v>306.17902700000002</v>
      </c>
      <c r="CH200" s="39" t="s">
        <v>42</v>
      </c>
      <c r="CI200" s="39">
        <v>-8421</v>
      </c>
      <c r="CJ200" s="2">
        <v>306.03314130000001</v>
      </c>
      <c r="CK200" s="5" t="s">
        <v>25</v>
      </c>
      <c r="CL200" s="2">
        <v>1</v>
      </c>
      <c r="CM200" s="2">
        <v>0.13599999999860299</v>
      </c>
      <c r="CN200" s="5" t="s">
        <v>25</v>
      </c>
      <c r="CO200" s="2">
        <v>1</v>
      </c>
      <c r="CP200" s="2">
        <v>4.2007260000000004</v>
      </c>
      <c r="CQ200" s="5" t="s">
        <v>25</v>
      </c>
      <c r="CR200" s="2">
        <v>1</v>
      </c>
      <c r="CS200" s="2">
        <v>1.5445382999999999</v>
      </c>
      <c r="CT200" s="6" t="s">
        <v>25</v>
      </c>
      <c r="CU200" s="4">
        <v>1</v>
      </c>
      <c r="CV200" s="4">
        <v>1.2339483</v>
      </c>
      <c r="CW200" s="39" t="s">
        <v>25</v>
      </c>
      <c r="CX200" s="39">
        <v>1</v>
      </c>
      <c r="CY200" s="2">
        <v>24.876200000000001</v>
      </c>
      <c r="CZ200" s="2" t="str">
        <f>IF(AND(Table1[[#This Row],[Cplex MZ1 Cost]]=Table1[[#This Row],[ORTools FZN2 Cost]],Table1[[#This Row],[ORTools FZN2 State]]="Optimal",Table1[[#This Row],[Cplex MZ1 State]]="Suboptimal"),1,"")</f>
        <v/>
      </c>
      <c r="DA200" s="5" t="s">
        <v>25</v>
      </c>
      <c r="DB200" s="2">
        <v>1</v>
      </c>
      <c r="DC200" s="2">
        <v>7.7925000000000004</v>
      </c>
      <c r="DD200" s="2" t="str">
        <f>IF(AND(Table1[[#This Row],[Cplex MZ2 Cost]]=Table1[[#This Row],[ORTools FZN2 Cost]],Table1[[#This Row],[ORTools FZN2 State]]="Optimal",Table1[[#This Row],[Cplex MZ2 State]]="Suboptimal"),1,"")</f>
        <v/>
      </c>
      <c r="DE200" s="39" t="s">
        <v>25</v>
      </c>
      <c r="DF200" s="39">
        <v>1</v>
      </c>
      <c r="DG200" s="2">
        <v>7.2610000000000001</v>
      </c>
      <c r="DH200" s="2" t="str">
        <f>IF(AND(Table1[[#This Row],[Gurobi MZ1 Cost]]=Table1[[#This Row],[ORTools FZN2 Cost]],Table1[[#This Row],[ORTools FZN2 State]]="Optimal",Table1[[#This Row],[Gurobi MZ1 State]]="Suboptimal"),1,"")</f>
        <v/>
      </c>
      <c r="DI200" s="5" t="s">
        <v>25</v>
      </c>
      <c r="DJ200" s="2">
        <v>1</v>
      </c>
      <c r="DK200" s="2">
        <v>3.7888999999999999</v>
      </c>
      <c r="DL200" s="4" t="str">
        <f>IF(AND(Table1[[#This Row],[Gurobi MZ2 Cost]]=Table1[[#This Row],[ORTools FZN2 Cost]],Table1[[#This Row],[ORTools FZN2 State]]="Optimal",Table1[[#This Row],[Gurobi MZ2 State]]="Suboptimal"),1,"")</f>
        <v/>
      </c>
      <c r="DM200" s="39" t="s">
        <v>25</v>
      </c>
      <c r="DN200" s="39">
        <v>1</v>
      </c>
      <c r="DO200" s="65">
        <v>0.20600000000194901</v>
      </c>
      <c r="DP200" s="4" t="str">
        <f>IF(AND(Table1[[#This Row],[Cplex MC nonDual Cost]]=Table1[[#This Row],[ORTools FZN2 Cost]],Table1[[#This Row],[ORTools FZN2 State]]="Optimal",Table1[[#This Row],[Cplex MC nonDual State]]="Suboptimal"),1,"")</f>
        <v/>
      </c>
      <c r="DQ200" s="5" t="s">
        <v>25</v>
      </c>
      <c r="DR200" s="2">
        <v>1</v>
      </c>
      <c r="DS200" s="2">
        <v>4.4406999999999996</v>
      </c>
      <c r="DT200" s="2" t="str">
        <f>IF(AND(Table1[[#This Row],[Cplex MIP DM''z Cost]]=Table1[[#This Row],[ORTools FZN2 Cost]],Table1[[#This Row],[ORTools FZN2 State]]="Optimal",Table1[[#This Row],[Cplex MIP DM''z  State]]="Suboptimal"),1,"")</f>
        <v/>
      </c>
      <c r="DU20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0" s="5" t="s">
        <v>25</v>
      </c>
      <c r="DW200" s="2">
        <v>1</v>
      </c>
      <c r="DX200" s="2">
        <v>5.2797999999999998</v>
      </c>
      <c r="DY200" s="4" t="str">
        <f>IF(AND(Table1[[#This Row],[Gurobi DM''z  Cost]]=Table1[[#This Row],[ORTools FZN2 Cost]],Table1[[#This Row],[ORTools FZN2 State]]="Optimal",Table1[[#This Row],[Gurobi DM''z  State]]="Suboptimal"),1,"")</f>
        <v/>
      </c>
      <c r="DZ20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1" spans="1:130" ht="15.75" x14ac:dyDescent="0.25">
      <c r="A201" s="47" t="s">
        <v>227</v>
      </c>
      <c r="B201" s="5">
        <v>40</v>
      </c>
      <c r="C201" s="2">
        <v>20</v>
      </c>
      <c r="D201" s="5">
        <v>185</v>
      </c>
      <c r="E201" s="2">
        <v>27</v>
      </c>
      <c r="F201" s="5">
        <v>18</v>
      </c>
      <c r="G201" s="2">
        <v>0</v>
      </c>
      <c r="H201" s="4">
        <f t="shared" si="3"/>
        <v>0</v>
      </c>
      <c r="I201" s="4">
        <f>Table1[[#This Row],[B]]+Table1[[#This Row],[Atomic Constraints]]+Table1[[#This Row],[Soft Atomic Constraints]]+Table1[[#This Row],[Disjunctive Constraints]]+Table1[[#This Row],[Direct Successors]]</f>
        <v>250</v>
      </c>
      <c r="J201" s="5" t="s">
        <v>25</v>
      </c>
      <c r="K201" s="2">
        <v>129723</v>
      </c>
      <c r="L201" s="2">
        <v>77.598058100000003</v>
      </c>
      <c r="M201" s="2" t="str">
        <f>IF(AND(Table1[[#This Row],[Chuffed MZ1 Cost]]=Table1[[#This Row],[ORTools FZN2 Cost]],Table1[[#This Row],[ORTools FZN2 State]]="Optimal",Table1[[#This Row],[Chuffed MZ1 State]]="Suboptimal"),1,"")</f>
        <v/>
      </c>
      <c r="N201" s="5" t="s">
        <v>25</v>
      </c>
      <c r="O201" s="2">
        <v>129723</v>
      </c>
      <c r="P201" s="2">
        <v>61.163909199999999</v>
      </c>
      <c r="Q201" s="2" t="str">
        <f>IF(AND(Table1[[#This Row],[Chuffed MZ2 Cost]]=Table1[[#This Row],[ORTools FZN2 Cost]],Table1[[#This Row],[ORTools FZN2 State]]="Optimal",Table1[[#This Row],[Chuffed MZ2 State]]="Suboptimal"),1,"")</f>
        <v/>
      </c>
      <c r="R201" s="6" t="s">
        <v>25</v>
      </c>
      <c r="S201" s="4">
        <v>129729</v>
      </c>
      <c r="T201" s="4">
        <v>0.46000000000276497</v>
      </c>
      <c r="U201" s="4"/>
      <c r="V201" s="5" t="s">
        <v>25</v>
      </c>
      <c r="W201" s="2">
        <v>129723</v>
      </c>
      <c r="X201" s="2">
        <v>6.9432866999999998</v>
      </c>
      <c r="Y201" s="2" t="str">
        <f>IF(AND(Table1[[#This Row],[ORTools FZN1 Cost]]=Table1[[#This Row],[ORTools FZN2 Cost]],Table1[[#This Row],[ORTools FZN2 State]]="Optimal",Table1[[#This Row],[ORTools FZN1 State]]="Suboptimal"),1,"")</f>
        <v/>
      </c>
      <c r="Z201" s="5" t="s">
        <v>25</v>
      </c>
      <c r="AA201" s="2">
        <v>129723</v>
      </c>
      <c r="AB201" s="2">
        <v>5.4628287000000002</v>
      </c>
      <c r="AC201" s="39" t="s">
        <v>25</v>
      </c>
      <c r="AD201" s="39">
        <v>129723</v>
      </c>
      <c r="AE201" s="2">
        <v>49.77205</v>
      </c>
      <c r="AF201" s="2" t="str">
        <f>IF(AND(Table1[[#This Row],[Cplex MB Cost]]=Table1[[#This Row],[ORTools FZN2 Cost]],Table1[[#This Row],[ORTools FZN2 State]]="Optimal",Table1[[#This Row],[Cplex MB State]]="Suboptimal"),1,"")</f>
        <v/>
      </c>
      <c r="AG201" s="4">
        <f>IF(AND(AC201="Optimal",AD201&lt;&gt;AA201,Table1[[#This Row],[Example]]&lt;&gt;"R001",Table1[[#This Row],[Example]]&lt;&gt;"R002"),AD201-AA201,)</f>
        <v>0</v>
      </c>
      <c r="AH201" s="5" t="s">
        <v>26</v>
      </c>
      <c r="AI201" s="2">
        <v>1290768</v>
      </c>
      <c r="AJ201" s="2">
        <v>300.35069420000002</v>
      </c>
      <c r="AK201" s="2" t="str">
        <f>IF(AND(Table1[[#This Row],[Cplex MD Cost]]=Table1[[#This Row],[ORTools FZN2 Cost]],Table1[[#This Row],[ORTools FZN2 State]]="Optimal",Table1[[#This Row],[Cplex MD State]]="Suboptimal"),1,"")</f>
        <v/>
      </c>
      <c r="AL201" s="4">
        <f>IF(AND(AH201="Optimal",AI201&lt;&gt;AA201,Table1[[#This Row],[Example]]&lt;&gt;"R001",Table1[[#This Row],[Example]]&lt;&gt;"R002"),AI201-AA201,)</f>
        <v>0</v>
      </c>
      <c r="AM201" s="39" t="s">
        <v>25</v>
      </c>
      <c r="AN201" s="39">
        <v>129724</v>
      </c>
      <c r="AO201" s="2">
        <v>134.02422110000001</v>
      </c>
      <c r="AP20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1</v>
      </c>
      <c r="AQ201" s="4" t="str">
        <f>IF(AND(Table1[[#This Row],[Cplex MI Cost]]=Table1[[#This Row],[ORTools FZN2 Cost]],Table1[[#This Row],[ORTools FZN2 State]]="Optimal",Table1[[#This Row],[Cplex MI State]]="Suboptimal"),1,"")</f>
        <v/>
      </c>
      <c r="AR201" s="5" t="s">
        <v>42</v>
      </c>
      <c r="AS201" s="2">
        <v>-65641</v>
      </c>
      <c r="AT201" s="2">
        <v>300.04294279999999</v>
      </c>
      <c r="AU201" s="2" t="str">
        <f>IF(AND(Table1[[#This Row],[Z3 SMT2-1 Maxres Cost]]=Table1[[#This Row],[ORTools FZN2 Cost]],Table1[[#This Row],[ORTools FZN2 State]]="Optimal"),1,"")</f>
        <v/>
      </c>
      <c r="AV201" s="39" t="s">
        <v>42</v>
      </c>
      <c r="AW201" s="39">
        <v>-65641</v>
      </c>
      <c r="AX201" s="2">
        <v>300.04240829999998</v>
      </c>
      <c r="AY201" s="2" t="str">
        <f>IF(AND(Table1[[#This Row],[Z3 SMT2-1 PdMaxres Cost]]=Table1[[#This Row],[ORTools FZN2 Cost]],Table1[[#This Row],[ORTools FZN2 State]]="Optimal"),1,"")</f>
        <v/>
      </c>
      <c r="AZ201" s="5" t="s">
        <v>42</v>
      </c>
      <c r="BA201" s="2">
        <v>-65641</v>
      </c>
      <c r="BB201" s="39">
        <v>300.19568409999999</v>
      </c>
      <c r="BC201" s="39" t="str">
        <f>IF(AND(Table1[[#This Row],[Z3 SMT2-1 WMax Cost]]=Table1[[#This Row],[ORTools FZN2 Cost]],Table1[[#This Row],[ORTools FZN2 State]]="Optimal"),1,"")</f>
        <v/>
      </c>
      <c r="BD201" s="39" t="s">
        <v>42</v>
      </c>
      <c r="BE201" s="39">
        <v>-65641</v>
      </c>
      <c r="BF201" s="2">
        <v>300.04550849999998</v>
      </c>
      <c r="BG201" s="2" t="str">
        <f>IF(AND(Table1[[#This Row],[Z3 SMT2-2 Maxres Cost]]=Table1[[#This Row],[ORTools FZN2 Cost]],Table1[[#This Row],[ORTools FZN2 State]]="Optimal"),1,"")</f>
        <v/>
      </c>
      <c r="BH201" s="5" t="s">
        <v>42</v>
      </c>
      <c r="BI201" s="2">
        <v>-65641</v>
      </c>
      <c r="BJ201" s="39">
        <v>300.04115410000003</v>
      </c>
      <c r="BK201" s="39" t="str">
        <f>IF(AND(Table1[[#This Row],[Z3 SMT2-2 PdMaxres Cost]]=Table1[[#This Row],[ORTools FZN2 Cost]],Table1[[#This Row],[ORTools FZN2 State]]="Optimal"),1,"")</f>
        <v/>
      </c>
      <c r="BL201" s="39" t="s">
        <v>42</v>
      </c>
      <c r="BM201" s="39">
        <v>-65641</v>
      </c>
      <c r="BN201" s="2">
        <v>300.04413469999997</v>
      </c>
      <c r="BO201" s="4" t="str">
        <f>IF(AND(Table1[[#This Row],[Z3 SMT2-2 PdMaxres Cost]]=Table1[[#This Row],[ORTools FZN2 Cost]],Table1[[#This Row],[ORTools FZN2 State]]="Optimal"),1,"")</f>
        <v/>
      </c>
      <c r="BP201" s="5" t="s">
        <v>25</v>
      </c>
      <c r="BQ201" s="2">
        <v>129724</v>
      </c>
      <c r="BR201" s="2">
        <v>73.565435100000002</v>
      </c>
      <c r="BS201" s="2" t="str">
        <f>IF(AND(Table1[[#This Row],[Gurobi MB Cost]]=Table1[[#This Row],[ORTools FZN2 Cost]],Table1[[#This Row],[ORTools FZN2 State]]="Optimal",Table1[[#This Row],[Gurobi MB State]]="Suboptimal"),1,"")</f>
        <v/>
      </c>
      <c r="BT20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1</v>
      </c>
      <c r="BU201" s="5" t="s">
        <v>26</v>
      </c>
      <c r="BV201" s="2">
        <v>258005</v>
      </c>
      <c r="BW201" s="2">
        <v>300.2119988</v>
      </c>
      <c r="BX201" s="2" t="str">
        <f>IF(AND(Table1[[#This Row],[Gurobi MD Cost]]=Table1[[#This Row],[ORTools FZN2 Cost]],Table1[[#This Row],[ORTools FZN2 State]]="Optimal",Table1[[#This Row],[Gurobi MD State]]="Suboptimal"),1,"")</f>
        <v/>
      </c>
      <c r="BY20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1" s="5" t="s">
        <v>25</v>
      </c>
      <c r="CA201" s="2">
        <v>129723</v>
      </c>
      <c r="CB201" s="2">
        <v>98.610830100000001</v>
      </c>
      <c r="CC201" s="2" t="str">
        <f>IF(AND(Table1[[#This Row],[Gurobi MI Cost]]=Table1[[#This Row],[ORTools FZN2 Cost]],Table1[[#This Row],[ORTools FZN2 State]]="Optimal",Table1[[#This Row],[Gurobi MI State]]="Suboptimal"),1,"")</f>
        <v/>
      </c>
      <c r="CD20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1" s="39" t="s">
        <v>42</v>
      </c>
      <c r="CF201" s="2">
        <v>-65641</v>
      </c>
      <c r="CG201" s="39">
        <v>306.05630930000001</v>
      </c>
      <c r="CH201" s="39" t="s">
        <v>42</v>
      </c>
      <c r="CI201" s="39">
        <v>-65641</v>
      </c>
      <c r="CJ201" s="2">
        <v>306.07510200000002</v>
      </c>
      <c r="CK201" s="5" t="s">
        <v>25</v>
      </c>
      <c r="CL201" s="2">
        <v>129727</v>
      </c>
      <c r="CM201" s="2">
        <v>0.50899999999819601</v>
      </c>
      <c r="CN201" s="5" t="s">
        <v>25</v>
      </c>
      <c r="CO201" s="2">
        <v>129723</v>
      </c>
      <c r="CP201" s="2">
        <v>72.296986099999998</v>
      </c>
      <c r="CQ201" s="5" t="s">
        <v>25</v>
      </c>
      <c r="CR201" s="2">
        <v>129723</v>
      </c>
      <c r="CS201" s="2">
        <v>11.633234399999999</v>
      </c>
      <c r="CT201" s="6" t="s">
        <v>25</v>
      </c>
      <c r="CU201" s="4">
        <v>129723</v>
      </c>
      <c r="CV201" s="4">
        <v>9.7746096999999992</v>
      </c>
      <c r="CW201" s="39" t="s">
        <v>26</v>
      </c>
      <c r="CX201" s="12">
        <v>129723</v>
      </c>
      <c r="CY201" s="12">
        <v>300.01929999999999</v>
      </c>
      <c r="CZ201" s="12">
        <f>IF(AND(Table1[[#This Row],[Cplex MZ1 Cost]]=Table1[[#This Row],[ORTools FZN2 Cost]],Table1[[#This Row],[ORTools FZN2 State]]="Optimal",Table1[[#This Row],[Cplex MZ1 State]]="Suboptimal"),1,"")</f>
        <v>1</v>
      </c>
      <c r="DA201" s="5" t="s">
        <v>25</v>
      </c>
      <c r="DB201" s="2">
        <v>129723</v>
      </c>
      <c r="DC201" s="2">
        <v>175.30840000000001</v>
      </c>
      <c r="DD201" s="2" t="str">
        <f>IF(AND(Table1[[#This Row],[Cplex MZ2 Cost]]=Table1[[#This Row],[ORTools FZN2 Cost]],Table1[[#This Row],[ORTools FZN2 State]]="Optimal",Table1[[#This Row],[Cplex MZ2 State]]="Suboptimal"),1,"")</f>
        <v/>
      </c>
      <c r="DE201" s="39" t="s">
        <v>26</v>
      </c>
      <c r="DF201" s="39">
        <v>453285</v>
      </c>
      <c r="DG201" s="2">
        <v>300.04719999999998</v>
      </c>
      <c r="DH201" s="2" t="str">
        <f>IF(AND(Table1[[#This Row],[Gurobi MZ1 Cost]]=Table1[[#This Row],[ORTools FZN2 Cost]],Table1[[#This Row],[ORTools FZN2 State]]="Optimal",Table1[[#This Row],[Gurobi MZ1 State]]="Suboptimal"),1,"")</f>
        <v/>
      </c>
      <c r="DI201" s="5" t="s">
        <v>26</v>
      </c>
      <c r="DJ201" s="2">
        <v>193724</v>
      </c>
      <c r="DK201" s="2">
        <v>300.00540000000001</v>
      </c>
      <c r="DL201" s="4" t="str">
        <f>IF(AND(Table1[[#This Row],[Gurobi MZ2 Cost]]=Table1[[#This Row],[ORTools FZN2 Cost]],Table1[[#This Row],[ORTools FZN2 State]]="Optimal",Table1[[#This Row],[Gurobi MZ2 State]]="Suboptimal"),1,"")</f>
        <v/>
      </c>
      <c r="DM201" s="39" t="s">
        <v>25</v>
      </c>
      <c r="DN201" s="39">
        <v>129723</v>
      </c>
      <c r="DO201" s="65">
        <v>3.9969999999993799</v>
      </c>
      <c r="DP201" s="4" t="str">
        <f>IF(AND(Table1[[#This Row],[Cplex MC nonDual Cost]]=Table1[[#This Row],[ORTools FZN2 Cost]],Table1[[#This Row],[ORTools FZN2 State]]="Optimal",Table1[[#This Row],[Cplex MC nonDual State]]="Suboptimal"),1,"")</f>
        <v/>
      </c>
      <c r="DQ201" s="5" t="s">
        <v>25</v>
      </c>
      <c r="DR201" s="2">
        <v>129723</v>
      </c>
      <c r="DS201" s="2">
        <v>117.367</v>
      </c>
      <c r="DT201" s="2" t="str">
        <f>IF(AND(Table1[[#This Row],[Cplex MIP DM''z Cost]]=Table1[[#This Row],[ORTools FZN2 Cost]],Table1[[#This Row],[ORTools FZN2 State]]="Optimal",Table1[[#This Row],[Cplex MIP DM''z  State]]="Suboptimal"),1,"")</f>
        <v/>
      </c>
      <c r="DU20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1" s="5" t="s">
        <v>26</v>
      </c>
      <c r="DW201" s="2">
        <v>193723</v>
      </c>
      <c r="DX201" s="2">
        <v>299.99950000000001</v>
      </c>
      <c r="DY201" s="4" t="str">
        <f>IF(AND(Table1[[#This Row],[Gurobi DM''z  Cost]]=Table1[[#This Row],[ORTools FZN2 Cost]],Table1[[#This Row],[ORTools FZN2 State]]="Optimal",Table1[[#This Row],[Gurobi DM''z  State]]="Suboptimal"),1,"")</f>
        <v/>
      </c>
      <c r="DZ20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2" spans="1:130" ht="15.75" x14ac:dyDescent="0.25">
      <c r="A202" s="46" t="s">
        <v>228</v>
      </c>
      <c r="B202" s="5">
        <v>40</v>
      </c>
      <c r="C202" s="2">
        <v>20</v>
      </c>
      <c r="D202" s="5">
        <v>187</v>
      </c>
      <c r="E202" s="2">
        <v>27</v>
      </c>
      <c r="F202" s="5">
        <v>17</v>
      </c>
      <c r="G202" s="2">
        <v>0</v>
      </c>
      <c r="H202" s="4">
        <f t="shared" si="3"/>
        <v>0</v>
      </c>
      <c r="I202" s="4">
        <f>Table1[[#This Row],[B]]+Table1[[#This Row],[Atomic Constraints]]+Table1[[#This Row],[Soft Atomic Constraints]]+Table1[[#This Row],[Disjunctive Constraints]]+Table1[[#This Row],[Direct Successors]]</f>
        <v>251</v>
      </c>
      <c r="J202" s="5" t="s">
        <v>25</v>
      </c>
      <c r="K202" s="2">
        <v>129723</v>
      </c>
      <c r="L202" s="2">
        <v>63.887201300000001</v>
      </c>
      <c r="M202" s="2" t="str">
        <f>IF(AND(Table1[[#This Row],[Chuffed MZ1 Cost]]=Table1[[#This Row],[ORTools FZN2 Cost]],Table1[[#This Row],[ORTools FZN2 State]]="Optimal",Table1[[#This Row],[Chuffed MZ1 State]]="Suboptimal"),1,"")</f>
        <v/>
      </c>
      <c r="N202" s="5" t="s">
        <v>25</v>
      </c>
      <c r="O202" s="2">
        <v>129723</v>
      </c>
      <c r="P202" s="2">
        <v>5.3947715000000001</v>
      </c>
      <c r="Q202" s="2" t="str">
        <f>IF(AND(Table1[[#This Row],[Chuffed MZ2 Cost]]=Table1[[#This Row],[ORTools FZN2 Cost]],Table1[[#This Row],[ORTools FZN2 State]]="Optimal",Table1[[#This Row],[Chuffed MZ2 State]]="Suboptimal"),1,"")</f>
        <v/>
      </c>
      <c r="R202" s="6" t="s">
        <v>25</v>
      </c>
      <c r="S202" s="4">
        <v>129726</v>
      </c>
      <c r="T202" s="4">
        <v>0.36000000000058202</v>
      </c>
      <c r="U202" s="4"/>
      <c r="V202" s="5" t="s">
        <v>25</v>
      </c>
      <c r="W202" s="2">
        <v>129723</v>
      </c>
      <c r="X202" s="2">
        <v>7.0315631999999999</v>
      </c>
      <c r="Y202" s="2" t="str">
        <f>IF(AND(Table1[[#This Row],[ORTools FZN1 Cost]]=Table1[[#This Row],[ORTools FZN2 Cost]],Table1[[#This Row],[ORTools FZN2 State]]="Optimal",Table1[[#This Row],[ORTools FZN1 State]]="Suboptimal"),1,"")</f>
        <v/>
      </c>
      <c r="Z202" s="5" t="s">
        <v>25</v>
      </c>
      <c r="AA202" s="2">
        <v>129723</v>
      </c>
      <c r="AB202" s="2">
        <v>7.8550250999999998</v>
      </c>
      <c r="AC202" s="39" t="s">
        <v>25</v>
      </c>
      <c r="AD202" s="39">
        <v>129723</v>
      </c>
      <c r="AE202" s="2">
        <v>120.53613609999999</v>
      </c>
      <c r="AF202" s="2" t="str">
        <f>IF(AND(Table1[[#This Row],[Cplex MB Cost]]=Table1[[#This Row],[ORTools FZN2 Cost]],Table1[[#This Row],[ORTools FZN2 State]]="Optimal",Table1[[#This Row],[Cplex MB State]]="Suboptimal"),1,"")</f>
        <v/>
      </c>
      <c r="AG202" s="4">
        <f>IF(AND(AC202="Optimal",AD202&lt;&gt;AA202,Table1[[#This Row],[Example]]&lt;&gt;"R001",Table1[[#This Row],[Example]]&lt;&gt;"R002"),AD202-AA202,)</f>
        <v>0</v>
      </c>
      <c r="AH202" s="5" t="s">
        <v>26</v>
      </c>
      <c r="AI202" s="2">
        <v>1032768</v>
      </c>
      <c r="AJ202" s="2">
        <v>300.25205799999998</v>
      </c>
      <c r="AK202" s="2" t="str">
        <f>IF(AND(Table1[[#This Row],[Cplex MD Cost]]=Table1[[#This Row],[ORTools FZN2 Cost]],Table1[[#This Row],[ORTools FZN2 State]]="Optimal",Table1[[#This Row],[Cplex MD State]]="Suboptimal"),1,"")</f>
        <v/>
      </c>
      <c r="AL202" s="2">
        <f>IF(AND(AH202="Optimal",AI202&lt;&gt;AA202,Table1[[#This Row],[Example]]&lt;&gt;"R001",Table1[[#This Row],[Example]]&lt;&gt;"R002"),AI202-AA202,)</f>
        <v>0</v>
      </c>
      <c r="AM202" s="39" t="s">
        <v>25</v>
      </c>
      <c r="AN202" s="39">
        <v>129723</v>
      </c>
      <c r="AO202" s="2">
        <v>64.754649099999995</v>
      </c>
      <c r="AP202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2" s="2" t="str">
        <f>IF(AND(Table1[[#This Row],[Cplex MI Cost]]=Table1[[#This Row],[ORTools FZN2 Cost]],Table1[[#This Row],[ORTools FZN2 State]]="Optimal",Table1[[#This Row],[Cplex MI State]]="Suboptimal"),1,"")</f>
        <v/>
      </c>
      <c r="AR202" s="5" t="s">
        <v>42</v>
      </c>
      <c r="AS202" s="2">
        <v>-65641</v>
      </c>
      <c r="AT202" s="2">
        <v>300.04291990000002</v>
      </c>
      <c r="AU202" s="2" t="str">
        <f>IF(AND(Table1[[#This Row],[Z3 SMT2-1 Maxres Cost]]=Table1[[#This Row],[ORTools FZN2 Cost]],Table1[[#This Row],[ORTools FZN2 State]]="Optimal"),1,"")</f>
        <v/>
      </c>
      <c r="AV202" s="39" t="s">
        <v>42</v>
      </c>
      <c r="AW202" s="39">
        <v>-65641</v>
      </c>
      <c r="AX202" s="2">
        <v>300.03805899999998</v>
      </c>
      <c r="AY202" s="2" t="str">
        <f>IF(AND(Table1[[#This Row],[Z3 SMT2-1 PdMaxres Cost]]=Table1[[#This Row],[ORTools FZN2 Cost]],Table1[[#This Row],[ORTools FZN2 State]]="Optimal"),1,"")</f>
        <v/>
      </c>
      <c r="AZ202" s="5" t="s">
        <v>42</v>
      </c>
      <c r="BA202" s="2">
        <v>-65641</v>
      </c>
      <c r="BB202" s="39">
        <v>300.04475100000002</v>
      </c>
      <c r="BC202" s="39" t="str">
        <f>IF(AND(Table1[[#This Row],[Z3 SMT2-1 WMax Cost]]=Table1[[#This Row],[ORTools FZN2 Cost]],Table1[[#This Row],[ORTools FZN2 State]]="Optimal"),1,"")</f>
        <v/>
      </c>
      <c r="BD202" s="39" t="s">
        <v>42</v>
      </c>
      <c r="BE202" s="39">
        <v>-65641</v>
      </c>
      <c r="BF202" s="2">
        <v>300.0509887</v>
      </c>
      <c r="BG202" s="2" t="str">
        <f>IF(AND(Table1[[#This Row],[Z3 SMT2-2 Maxres Cost]]=Table1[[#This Row],[ORTools FZN2 Cost]],Table1[[#This Row],[ORTools FZN2 State]]="Optimal"),1,"")</f>
        <v/>
      </c>
      <c r="BH202" s="5" t="s">
        <v>42</v>
      </c>
      <c r="BI202" s="2">
        <v>-65641</v>
      </c>
      <c r="BJ202" s="39">
        <v>300.04422390000002</v>
      </c>
      <c r="BK202" s="39" t="str">
        <f>IF(AND(Table1[[#This Row],[Z3 SMT2-2 PdMaxres Cost]]=Table1[[#This Row],[ORTools FZN2 Cost]],Table1[[#This Row],[ORTools FZN2 State]]="Optimal"),1,"")</f>
        <v/>
      </c>
      <c r="BL202" s="39" t="s">
        <v>42</v>
      </c>
      <c r="BM202" s="39">
        <v>-65641</v>
      </c>
      <c r="BN202" s="2">
        <v>300.04506140000001</v>
      </c>
      <c r="BO202" s="4" t="str">
        <f>IF(AND(Table1[[#This Row],[Z3 SMT2-2 PdMaxres Cost]]=Table1[[#This Row],[ORTools FZN2 Cost]],Table1[[#This Row],[ORTools FZN2 State]]="Optimal"),1,"")</f>
        <v/>
      </c>
      <c r="BP202" s="5" t="s">
        <v>25</v>
      </c>
      <c r="BQ202" s="2">
        <v>129723</v>
      </c>
      <c r="BR202" s="2">
        <v>91.025628999999995</v>
      </c>
      <c r="BS202" s="2" t="str">
        <f>IF(AND(Table1[[#This Row],[Gurobi MB Cost]]=Table1[[#This Row],[ORTools FZN2 Cost]],Table1[[#This Row],[ORTools FZN2 State]]="Optimal",Table1[[#This Row],[Gurobi MB State]]="Suboptimal"),1,"")</f>
        <v/>
      </c>
      <c r="BT20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2" s="5" t="s">
        <v>26</v>
      </c>
      <c r="BV202" s="2">
        <v>1307136</v>
      </c>
      <c r="BW202" s="2">
        <v>300.07486169999999</v>
      </c>
      <c r="BX202" s="2" t="str">
        <f>IF(AND(Table1[[#This Row],[Gurobi MD Cost]]=Table1[[#This Row],[ORTools FZN2 Cost]],Table1[[#This Row],[ORTools FZN2 State]]="Optimal",Table1[[#This Row],[Gurobi MD State]]="Suboptimal"),1,"")</f>
        <v/>
      </c>
      <c r="BY20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2" s="5" t="s">
        <v>25</v>
      </c>
      <c r="CA202" s="2">
        <v>129723</v>
      </c>
      <c r="CB202" s="2">
        <v>84.806363399999995</v>
      </c>
      <c r="CC202" s="2" t="str">
        <f>IF(AND(Table1[[#This Row],[Gurobi MI Cost]]=Table1[[#This Row],[ORTools FZN2 Cost]],Table1[[#This Row],[ORTools FZN2 State]]="Optimal",Table1[[#This Row],[Gurobi MI State]]="Suboptimal"),1,"")</f>
        <v/>
      </c>
      <c r="CD20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2" s="39" t="s">
        <v>42</v>
      </c>
      <c r="CF202" s="2">
        <v>-65641</v>
      </c>
      <c r="CG202" s="39">
        <v>306.09617550000002</v>
      </c>
      <c r="CH202" s="39" t="s">
        <v>42</v>
      </c>
      <c r="CI202" s="39">
        <v>-65641</v>
      </c>
      <c r="CJ202" s="2">
        <v>306.08897280000002</v>
      </c>
      <c r="CK202" s="5" t="s">
        <v>25</v>
      </c>
      <c r="CL202" s="2">
        <v>129729</v>
      </c>
      <c r="CM202" s="2">
        <v>0.315999999998894</v>
      </c>
      <c r="CN202" s="5" t="s">
        <v>26</v>
      </c>
      <c r="CO202" s="2">
        <v>1032770</v>
      </c>
      <c r="CP202" s="2">
        <v>301.4576093</v>
      </c>
      <c r="CQ202" s="5" t="s">
        <v>25</v>
      </c>
      <c r="CR202" s="2">
        <v>129723</v>
      </c>
      <c r="CS202" s="2">
        <v>12.8446234</v>
      </c>
      <c r="CT202" s="6" t="s">
        <v>25</v>
      </c>
      <c r="CU202" s="4">
        <v>129723</v>
      </c>
      <c r="CV202" s="4">
        <v>9.7482538999999999</v>
      </c>
      <c r="CW202" s="39" t="s">
        <v>26</v>
      </c>
      <c r="CX202" s="12">
        <v>129723</v>
      </c>
      <c r="CY202" s="12">
        <v>300.01389999999998</v>
      </c>
      <c r="CZ202" s="12">
        <f>IF(AND(Table1[[#This Row],[Cplex MZ1 Cost]]=Table1[[#This Row],[ORTools FZN2 Cost]],Table1[[#This Row],[ORTools FZN2 State]]="Optimal",Table1[[#This Row],[Cplex MZ1 State]]="Suboptimal"),1,"")</f>
        <v>1</v>
      </c>
      <c r="DA202" s="5" t="s">
        <v>25</v>
      </c>
      <c r="DB202" s="2">
        <v>129723</v>
      </c>
      <c r="DC202" s="2">
        <v>238.3229</v>
      </c>
      <c r="DD202" s="2" t="str">
        <f>IF(AND(Table1[[#This Row],[Cplex MZ2 Cost]]=Table1[[#This Row],[ORTools FZN2 Cost]],Table1[[#This Row],[ORTools FZN2 State]]="Optimal",Table1[[#This Row],[Cplex MZ2 State]]="Suboptimal"),1,"")</f>
        <v/>
      </c>
      <c r="DE202" s="39" t="s">
        <v>26</v>
      </c>
      <c r="DF202" s="39">
        <v>129724</v>
      </c>
      <c r="DG202" s="2">
        <v>300.00810000000001</v>
      </c>
      <c r="DH202" s="2" t="str">
        <f>IF(AND(Table1[[#This Row],[Gurobi MZ1 Cost]]=Table1[[#This Row],[ORTools FZN2 Cost]],Table1[[#This Row],[ORTools FZN2 State]]="Optimal",Table1[[#This Row],[Gurobi MZ1 State]]="Suboptimal"),1,"")</f>
        <v/>
      </c>
      <c r="DI202" s="5" t="s">
        <v>25</v>
      </c>
      <c r="DJ202" s="2">
        <v>129723</v>
      </c>
      <c r="DK202" s="2">
        <v>239.0232</v>
      </c>
      <c r="DL202" s="4" t="str">
        <f>IF(AND(Table1[[#This Row],[Gurobi MZ2 Cost]]=Table1[[#This Row],[ORTools FZN2 Cost]],Table1[[#This Row],[ORTools FZN2 State]]="Optimal",Table1[[#This Row],[Gurobi MZ2 State]]="Suboptimal"),1,"")</f>
        <v/>
      </c>
      <c r="DM202" s="39" t="s">
        <v>25</v>
      </c>
      <c r="DN202" s="39">
        <v>129723</v>
      </c>
      <c r="DO202" s="65">
        <v>4.9249999999992697</v>
      </c>
      <c r="DP202" s="4" t="str">
        <f>IF(AND(Table1[[#This Row],[Cplex MC nonDual Cost]]=Table1[[#This Row],[ORTools FZN2 Cost]],Table1[[#This Row],[ORTools FZN2 State]]="Optimal",Table1[[#This Row],[Cplex MC nonDual State]]="Suboptimal"),1,"")</f>
        <v/>
      </c>
      <c r="DQ202" s="5" t="s">
        <v>25</v>
      </c>
      <c r="DR202" s="2">
        <v>129723</v>
      </c>
      <c r="DS202" s="2">
        <v>151.5917</v>
      </c>
      <c r="DT202" s="2" t="str">
        <f>IF(AND(Table1[[#This Row],[Cplex MIP DM''z Cost]]=Table1[[#This Row],[ORTools FZN2 Cost]],Table1[[#This Row],[ORTools FZN2 State]]="Optimal",Table1[[#This Row],[Cplex MIP DM''z  State]]="Suboptimal"),1,"")</f>
        <v/>
      </c>
      <c r="DU20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2" s="5" t="s">
        <v>26</v>
      </c>
      <c r="DW202" s="2">
        <v>259486</v>
      </c>
      <c r="DX202" s="2">
        <v>300.00439999999998</v>
      </c>
      <c r="DY202" s="4" t="str">
        <f>IF(AND(Table1[[#This Row],[Gurobi DM''z  Cost]]=Table1[[#This Row],[ORTools FZN2 Cost]],Table1[[#This Row],[ORTools FZN2 State]]="Optimal",Table1[[#This Row],[Gurobi DM''z  State]]="Suboptimal"),1,"")</f>
        <v/>
      </c>
      <c r="DZ20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3" spans="1:130" ht="15.75" x14ac:dyDescent="0.25">
      <c r="A203" s="47" t="s">
        <v>229</v>
      </c>
      <c r="B203" s="5">
        <v>40</v>
      </c>
      <c r="C203" s="2">
        <v>20</v>
      </c>
      <c r="D203" s="5">
        <v>184</v>
      </c>
      <c r="E203" s="2">
        <v>27</v>
      </c>
      <c r="F203" s="5">
        <v>21</v>
      </c>
      <c r="G203" s="2">
        <v>2</v>
      </c>
      <c r="H203" s="4">
        <f t="shared" si="3"/>
        <v>0</v>
      </c>
      <c r="I203" s="4">
        <f>Table1[[#This Row],[B]]+Table1[[#This Row],[Atomic Constraints]]+Table1[[#This Row],[Soft Atomic Constraints]]+Table1[[#This Row],[Disjunctive Constraints]]+Table1[[#This Row],[Direct Successors]]</f>
        <v>254</v>
      </c>
      <c r="J203" s="5" t="s">
        <v>25</v>
      </c>
      <c r="K203" s="2">
        <v>129723</v>
      </c>
      <c r="L203" s="2">
        <v>37.181758299999998</v>
      </c>
      <c r="M203" s="2" t="str">
        <f>IF(AND(Table1[[#This Row],[Chuffed MZ1 Cost]]=Table1[[#This Row],[ORTools FZN2 Cost]],Table1[[#This Row],[ORTools FZN2 State]]="Optimal",Table1[[#This Row],[Chuffed MZ1 State]]="Suboptimal"),1,"")</f>
        <v/>
      </c>
      <c r="N203" s="5" t="s">
        <v>25</v>
      </c>
      <c r="O203" s="2">
        <v>129723</v>
      </c>
      <c r="P203" s="2">
        <v>58.492312300000002</v>
      </c>
      <c r="Q203" s="2" t="str">
        <f>IF(AND(Table1[[#This Row],[Chuffed MZ2 Cost]]=Table1[[#This Row],[ORTools FZN2 Cost]],Table1[[#This Row],[ORTools FZN2 State]]="Optimal",Table1[[#This Row],[Chuffed MZ2 State]]="Suboptimal"),1,"")</f>
        <v/>
      </c>
      <c r="R203" s="6" t="s">
        <v>25</v>
      </c>
      <c r="S203" s="4">
        <v>129729</v>
      </c>
      <c r="T203" s="4">
        <v>0.61899999999877797</v>
      </c>
      <c r="U203" s="4"/>
      <c r="V203" s="5" t="s">
        <v>25</v>
      </c>
      <c r="W203" s="2">
        <v>129723</v>
      </c>
      <c r="X203" s="2">
        <v>7.3944261999999998</v>
      </c>
      <c r="Y203" s="2" t="str">
        <f>IF(AND(Table1[[#This Row],[ORTools FZN1 Cost]]=Table1[[#This Row],[ORTools FZN2 Cost]],Table1[[#This Row],[ORTools FZN2 State]]="Optimal",Table1[[#This Row],[ORTools FZN1 State]]="Suboptimal"),1,"")</f>
        <v/>
      </c>
      <c r="Z203" s="5" t="s">
        <v>25</v>
      </c>
      <c r="AA203" s="2">
        <v>129723</v>
      </c>
      <c r="AB203" s="2">
        <v>7.0545644999999997</v>
      </c>
      <c r="AC203" s="39" t="s">
        <v>25</v>
      </c>
      <c r="AD203" s="39">
        <v>129724</v>
      </c>
      <c r="AE203" s="2">
        <v>56.8292407</v>
      </c>
      <c r="AF203" s="2" t="str">
        <f>IF(AND(Table1[[#This Row],[Cplex MB Cost]]=Table1[[#This Row],[ORTools FZN2 Cost]],Table1[[#This Row],[ORTools FZN2 State]]="Optimal",Table1[[#This Row],[Cplex MB State]]="Suboptimal"),1,"")</f>
        <v/>
      </c>
      <c r="AG203" s="4">
        <f>IF(AND(AC203="Optimal",AD203&lt;&gt;AA203,Table1[[#This Row],[Example]]&lt;&gt;"R001",Table1[[#This Row],[Example]]&lt;&gt;"R002"),AD203-AA203,)</f>
        <v>1</v>
      </c>
      <c r="AH203" s="5" t="s">
        <v>26</v>
      </c>
      <c r="AI203" s="2">
        <v>643647</v>
      </c>
      <c r="AJ203" s="2">
        <v>300.21467730000001</v>
      </c>
      <c r="AK203" s="2" t="str">
        <f>IF(AND(Table1[[#This Row],[Cplex MD Cost]]=Table1[[#This Row],[ORTools FZN2 Cost]],Table1[[#This Row],[ORTools FZN2 State]]="Optimal",Table1[[#This Row],[Cplex MD State]]="Suboptimal"),1,"")</f>
        <v/>
      </c>
      <c r="AL203" s="4">
        <f>IF(AND(AH203="Optimal",AI203&lt;&gt;AA203,Table1[[#This Row],[Example]]&lt;&gt;"R001",Table1[[#This Row],[Example]]&lt;&gt;"R002"),AI203-AA203,)</f>
        <v>0</v>
      </c>
      <c r="AM203" s="39" t="s">
        <v>25</v>
      </c>
      <c r="AN203" s="39">
        <v>129723</v>
      </c>
      <c r="AO203" s="2">
        <v>37.103773799999999</v>
      </c>
      <c r="AP20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3" s="4" t="str">
        <f>IF(AND(Table1[[#This Row],[Cplex MI Cost]]=Table1[[#This Row],[ORTools FZN2 Cost]],Table1[[#This Row],[ORTools FZN2 State]]="Optimal",Table1[[#This Row],[Cplex MI State]]="Suboptimal"),1,"")</f>
        <v/>
      </c>
      <c r="AR203" s="5" t="s">
        <v>42</v>
      </c>
      <c r="AS203" s="2">
        <v>-65641</v>
      </c>
      <c r="AT203" s="2">
        <v>300.04538450000001</v>
      </c>
      <c r="AU203" s="2" t="str">
        <f>IF(AND(Table1[[#This Row],[Z3 SMT2-1 Maxres Cost]]=Table1[[#This Row],[ORTools FZN2 Cost]],Table1[[#This Row],[ORTools FZN2 State]]="Optimal"),1,"")</f>
        <v/>
      </c>
      <c r="AV203" s="39" t="s">
        <v>42</v>
      </c>
      <c r="AW203" s="39">
        <v>-65641</v>
      </c>
      <c r="AX203" s="2">
        <v>300.0431312</v>
      </c>
      <c r="AY203" s="2" t="str">
        <f>IF(AND(Table1[[#This Row],[Z3 SMT2-1 PdMaxres Cost]]=Table1[[#This Row],[ORTools FZN2 Cost]],Table1[[#This Row],[ORTools FZN2 State]]="Optimal"),1,"")</f>
        <v/>
      </c>
      <c r="AZ203" s="5" t="s">
        <v>42</v>
      </c>
      <c r="BA203" s="2">
        <v>-65641</v>
      </c>
      <c r="BB203" s="39">
        <v>300.0571152</v>
      </c>
      <c r="BC203" s="39" t="str">
        <f>IF(AND(Table1[[#This Row],[Z3 SMT2-1 WMax Cost]]=Table1[[#This Row],[ORTools FZN2 Cost]],Table1[[#This Row],[ORTools FZN2 State]]="Optimal"),1,"")</f>
        <v/>
      </c>
      <c r="BD203" s="39" t="s">
        <v>42</v>
      </c>
      <c r="BE203" s="39">
        <v>-65641</v>
      </c>
      <c r="BF203" s="2">
        <v>300.04945170000002</v>
      </c>
      <c r="BG203" s="2" t="str">
        <f>IF(AND(Table1[[#This Row],[Z3 SMT2-2 Maxres Cost]]=Table1[[#This Row],[ORTools FZN2 Cost]],Table1[[#This Row],[ORTools FZN2 State]]="Optimal"),1,"")</f>
        <v/>
      </c>
      <c r="BH203" s="5" t="s">
        <v>42</v>
      </c>
      <c r="BI203" s="2">
        <v>-65641</v>
      </c>
      <c r="BJ203" s="39">
        <v>300.0395426</v>
      </c>
      <c r="BK203" s="39" t="str">
        <f>IF(AND(Table1[[#This Row],[Z3 SMT2-2 PdMaxres Cost]]=Table1[[#This Row],[ORTools FZN2 Cost]],Table1[[#This Row],[ORTools FZN2 State]]="Optimal"),1,"")</f>
        <v/>
      </c>
      <c r="BL203" s="39" t="s">
        <v>42</v>
      </c>
      <c r="BM203" s="39">
        <v>-65641</v>
      </c>
      <c r="BN203" s="2">
        <v>300.05033650000001</v>
      </c>
      <c r="BO203" s="4" t="str">
        <f>IF(AND(Table1[[#This Row],[Z3 SMT2-2 PdMaxres Cost]]=Table1[[#This Row],[ORTools FZN2 Cost]],Table1[[#This Row],[ORTools FZN2 State]]="Optimal"),1,"")</f>
        <v/>
      </c>
      <c r="BP203" s="5" t="s">
        <v>25</v>
      </c>
      <c r="BQ203" s="2">
        <v>129723</v>
      </c>
      <c r="BR203" s="2">
        <v>63.901221499999998</v>
      </c>
      <c r="BS203" s="2" t="str">
        <f>IF(AND(Table1[[#This Row],[Gurobi MB Cost]]=Table1[[#This Row],[ORTools FZN2 Cost]],Table1[[#This Row],[ORTools FZN2 State]]="Optimal",Table1[[#This Row],[Gurobi MB State]]="Suboptimal"),1,"")</f>
        <v/>
      </c>
      <c r="BT20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3" s="5" t="s">
        <v>42</v>
      </c>
      <c r="BV203" s="2">
        <v>-65641</v>
      </c>
      <c r="BW203" s="2">
        <v>300.23970919999999</v>
      </c>
      <c r="BX203" s="2" t="str">
        <f>IF(AND(Table1[[#This Row],[Gurobi MD Cost]]=Table1[[#This Row],[ORTools FZN2 Cost]],Table1[[#This Row],[ORTools FZN2 State]]="Optimal",Table1[[#This Row],[Gurobi MD State]]="Suboptimal"),1,"")</f>
        <v/>
      </c>
      <c r="BY20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3" s="5" t="s">
        <v>25</v>
      </c>
      <c r="CA203" s="2">
        <v>129723</v>
      </c>
      <c r="CB203" s="2">
        <v>109.3866103</v>
      </c>
      <c r="CC203" s="2" t="str">
        <f>IF(AND(Table1[[#This Row],[Gurobi MI Cost]]=Table1[[#This Row],[ORTools FZN2 Cost]],Table1[[#This Row],[ORTools FZN2 State]]="Optimal",Table1[[#This Row],[Gurobi MI State]]="Suboptimal"),1,"")</f>
        <v/>
      </c>
      <c r="CD20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3" s="39" t="s">
        <v>42</v>
      </c>
      <c r="CF203" s="2">
        <v>-65641</v>
      </c>
      <c r="CG203" s="39">
        <v>306.06455749999998</v>
      </c>
      <c r="CH203" s="39" t="s">
        <v>42</v>
      </c>
      <c r="CI203" s="39">
        <v>-65641</v>
      </c>
      <c r="CJ203" s="2">
        <v>306.09585320000002</v>
      </c>
      <c r="CK203" s="5" t="s">
        <v>25</v>
      </c>
      <c r="CL203" s="2">
        <v>129729</v>
      </c>
      <c r="CM203" s="2">
        <v>0.46800000000075698</v>
      </c>
      <c r="CN203" s="5" t="s">
        <v>25</v>
      </c>
      <c r="CO203" s="2">
        <v>129723</v>
      </c>
      <c r="CP203" s="2">
        <v>112.2627093</v>
      </c>
      <c r="CQ203" s="5" t="s">
        <v>25</v>
      </c>
      <c r="CR203" s="2">
        <v>129723</v>
      </c>
      <c r="CS203" s="2">
        <v>11.874986399999999</v>
      </c>
      <c r="CT203" s="6" t="s">
        <v>25</v>
      </c>
      <c r="CU203" s="4">
        <v>129723</v>
      </c>
      <c r="CV203" s="4">
        <v>9.2848798000000006</v>
      </c>
      <c r="CW203" s="39" t="s">
        <v>26</v>
      </c>
      <c r="CX203" s="12">
        <v>129723</v>
      </c>
      <c r="CY203" s="12">
        <v>300.01100000000002</v>
      </c>
      <c r="CZ203" s="12">
        <f>IF(AND(Table1[[#This Row],[Cplex MZ1 Cost]]=Table1[[#This Row],[ORTools FZN2 Cost]],Table1[[#This Row],[ORTools FZN2 State]]="Optimal",Table1[[#This Row],[Cplex MZ1 State]]="Suboptimal"),1,"")</f>
        <v>1</v>
      </c>
      <c r="DA203" s="5" t="s">
        <v>25</v>
      </c>
      <c r="DB203" s="2">
        <v>129723</v>
      </c>
      <c r="DC203" s="2">
        <v>103.15479999999999</v>
      </c>
      <c r="DD203" s="2" t="str">
        <f>IF(AND(Table1[[#This Row],[Cplex MZ2 Cost]]=Table1[[#This Row],[ORTools FZN2 Cost]],Table1[[#This Row],[ORTools FZN2 State]]="Optimal",Table1[[#This Row],[Cplex MZ2 State]]="Suboptimal"),1,"")</f>
        <v/>
      </c>
      <c r="DE203" s="12" t="s">
        <v>26</v>
      </c>
      <c r="DF203" s="12">
        <v>129723</v>
      </c>
      <c r="DG203" s="12">
        <v>300.00529999999998</v>
      </c>
      <c r="DH203" s="12">
        <f>IF(AND(Table1[[#This Row],[Gurobi MZ1 Cost]]=Table1[[#This Row],[ORTools FZN2 Cost]],Table1[[#This Row],[ORTools FZN2 State]]="Optimal",Table1[[#This Row],[Gurobi MZ1 State]]="Suboptimal"),1,"")</f>
        <v>1</v>
      </c>
      <c r="DI203" s="12" t="s">
        <v>26</v>
      </c>
      <c r="DJ203" s="12">
        <v>129723</v>
      </c>
      <c r="DK203" s="12">
        <v>300.00560000000002</v>
      </c>
      <c r="DL203" s="11">
        <f>IF(AND(Table1[[#This Row],[Gurobi MZ2 Cost]]=Table1[[#This Row],[ORTools FZN2 Cost]],Table1[[#This Row],[ORTools FZN2 State]]="Optimal",Table1[[#This Row],[Gurobi MZ2 State]]="Suboptimal"),1,"")</f>
        <v>1</v>
      </c>
      <c r="DM203" s="39" t="s">
        <v>25</v>
      </c>
      <c r="DN203" s="39">
        <v>129726</v>
      </c>
      <c r="DO203" s="65">
        <v>0.95100000000093099</v>
      </c>
      <c r="DP203" s="4" t="str">
        <f>IF(AND(Table1[[#This Row],[Cplex MC nonDual Cost]]=Table1[[#This Row],[ORTools FZN2 Cost]],Table1[[#This Row],[ORTools FZN2 State]]="Optimal",Table1[[#This Row],[Cplex MC nonDual State]]="Suboptimal"),1,"")</f>
        <v/>
      </c>
      <c r="DQ203" s="5" t="s">
        <v>26</v>
      </c>
      <c r="DR203" s="2">
        <v>129723</v>
      </c>
      <c r="DS203" s="2">
        <v>300.02210000000002</v>
      </c>
      <c r="DT203" s="2">
        <f>IF(AND(Table1[[#This Row],[Cplex MIP DM''z Cost]]=Table1[[#This Row],[ORTools FZN2 Cost]],Table1[[#This Row],[ORTools FZN2 State]]="Optimal",Table1[[#This Row],[Cplex MIP DM''z  State]]="Suboptimal"),1,"")</f>
        <v>1</v>
      </c>
      <c r="DU20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3" s="5" t="s">
        <v>26</v>
      </c>
      <c r="DW203" s="2">
        <v>129723</v>
      </c>
      <c r="DX203" s="2">
        <v>299.9923</v>
      </c>
      <c r="DY203" s="4">
        <f>IF(AND(Table1[[#This Row],[Gurobi DM''z  Cost]]=Table1[[#This Row],[ORTools FZN2 Cost]],Table1[[#This Row],[ORTools FZN2 State]]="Optimal",Table1[[#This Row],[Gurobi DM''z  State]]="Suboptimal"),1,"")</f>
        <v>1</v>
      </c>
      <c r="DZ20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4" spans="1:130" ht="15.75" x14ac:dyDescent="0.25">
      <c r="A204" s="46" t="s">
        <v>230</v>
      </c>
      <c r="B204" s="5">
        <v>44</v>
      </c>
      <c r="C204" s="2">
        <v>22</v>
      </c>
      <c r="D204" s="5">
        <v>176</v>
      </c>
      <c r="E204" s="2">
        <v>29</v>
      </c>
      <c r="F204" s="5">
        <v>14</v>
      </c>
      <c r="G204" s="2">
        <v>0</v>
      </c>
      <c r="H204" s="4">
        <f t="shared" si="3"/>
        <v>0</v>
      </c>
      <c r="I204" s="4">
        <f>Table1[[#This Row],[B]]+Table1[[#This Row],[Atomic Constraints]]+Table1[[#This Row],[Soft Atomic Constraints]]+Table1[[#This Row],[Disjunctive Constraints]]+Table1[[#This Row],[Direct Successors]]</f>
        <v>241</v>
      </c>
      <c r="J204" s="5" t="s">
        <v>25</v>
      </c>
      <c r="K204" s="2">
        <v>172396</v>
      </c>
      <c r="L204" s="2">
        <v>246.67101310000001</v>
      </c>
      <c r="M204" s="2" t="str">
        <f>IF(AND(Table1[[#This Row],[Chuffed MZ1 Cost]]=Table1[[#This Row],[ORTools FZN2 Cost]],Table1[[#This Row],[ORTools FZN2 State]]="Optimal",Table1[[#This Row],[Chuffed MZ1 State]]="Suboptimal"),1,"")</f>
        <v/>
      </c>
      <c r="N204" s="5" t="s">
        <v>25</v>
      </c>
      <c r="O204" s="2">
        <v>172396</v>
      </c>
      <c r="P204" s="2">
        <v>268.07058590000003</v>
      </c>
      <c r="Q204" s="2" t="str">
        <f>IF(AND(Table1[[#This Row],[Chuffed MZ2 Cost]]=Table1[[#This Row],[ORTools FZN2 Cost]],Table1[[#This Row],[ORTools FZN2 State]]="Optimal",Table1[[#This Row],[Chuffed MZ2 State]]="Suboptimal"),1,"")</f>
        <v/>
      </c>
      <c r="R204" s="5" t="s">
        <v>25</v>
      </c>
      <c r="S204" s="2">
        <v>172396</v>
      </c>
      <c r="T204" s="2">
        <v>4.3260000000009304</v>
      </c>
      <c r="U204" s="2"/>
      <c r="V204" s="5" t="s">
        <v>25</v>
      </c>
      <c r="W204" s="2">
        <v>172396</v>
      </c>
      <c r="X204" s="2">
        <v>16.5090298</v>
      </c>
      <c r="Y204" s="2" t="str">
        <f>IF(AND(Table1[[#This Row],[ORTools FZN1 Cost]]=Table1[[#This Row],[ORTools FZN2 Cost]],Table1[[#This Row],[ORTools FZN2 State]]="Optimal",Table1[[#This Row],[ORTools FZN1 State]]="Suboptimal"),1,"")</f>
        <v/>
      </c>
      <c r="Z204" s="5" t="s">
        <v>25</v>
      </c>
      <c r="AA204" s="2">
        <v>172396</v>
      </c>
      <c r="AB204" s="2">
        <v>19.799638399999999</v>
      </c>
      <c r="AC204" s="39" t="s">
        <v>26</v>
      </c>
      <c r="AD204" s="39">
        <v>862097</v>
      </c>
      <c r="AE204" s="2">
        <v>300.1853031</v>
      </c>
      <c r="AF204" s="2" t="str">
        <f>IF(AND(Table1[[#This Row],[Cplex MB Cost]]=Table1[[#This Row],[ORTools FZN2 Cost]],Table1[[#This Row],[ORTools FZN2 State]]="Optimal",Table1[[#This Row],[Cplex MB State]]="Suboptimal"),1,"")</f>
        <v/>
      </c>
      <c r="AG204" s="4">
        <f>IF(AND(AC204="Optimal",AD204&lt;&gt;AA204,Table1[[#This Row],[Example]]&lt;&gt;"R001",Table1[[#This Row],[Example]]&lt;&gt;"R002"),AD204-AA204,)</f>
        <v>0</v>
      </c>
      <c r="AH204" s="5" t="s">
        <v>42</v>
      </c>
      <c r="AI204" s="2">
        <v>-87165</v>
      </c>
      <c r="AJ204" s="2">
        <v>300.65989109999998</v>
      </c>
      <c r="AK204" s="2" t="str">
        <f>IF(AND(Table1[[#This Row],[Cplex MD Cost]]=Table1[[#This Row],[ORTools FZN2 Cost]],Table1[[#This Row],[ORTools FZN2 State]]="Optimal",Table1[[#This Row],[Cplex MD State]]="Suboptimal"),1,"")</f>
        <v/>
      </c>
      <c r="AL204" s="4">
        <f>IF(AND(AH204="Optimal",AI204&lt;&gt;AA204,Table1[[#This Row],[Example]]&lt;&gt;"R001",Table1[[#This Row],[Example]]&lt;&gt;"R002"),AI204-AA204,)</f>
        <v>0</v>
      </c>
      <c r="AM204" s="39" t="s">
        <v>26</v>
      </c>
      <c r="AN204" s="39">
        <v>172396</v>
      </c>
      <c r="AO204" s="2">
        <v>300.11103650000001</v>
      </c>
      <c r="AP20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4" s="4">
        <f>IF(AND(Table1[[#This Row],[Cplex MI Cost]]=Table1[[#This Row],[ORTools FZN2 Cost]],Table1[[#This Row],[ORTools FZN2 State]]="Optimal",Table1[[#This Row],[Cplex MI State]]="Suboptimal"),1,"")</f>
        <v>1</v>
      </c>
      <c r="AR204" s="5" t="s">
        <v>42</v>
      </c>
      <c r="AS204" s="2">
        <v>-87165</v>
      </c>
      <c r="AT204" s="2">
        <v>300.04055449999998</v>
      </c>
      <c r="AU204" s="2" t="str">
        <f>IF(AND(Table1[[#This Row],[Z3 SMT2-1 Maxres Cost]]=Table1[[#This Row],[ORTools FZN2 Cost]],Table1[[#This Row],[ORTools FZN2 State]]="Optimal"),1,"")</f>
        <v/>
      </c>
      <c r="AV204" s="39" t="s">
        <v>42</v>
      </c>
      <c r="AW204" s="39">
        <v>-87165</v>
      </c>
      <c r="AX204" s="2">
        <v>300.0404795</v>
      </c>
      <c r="AY204" s="2" t="str">
        <f>IF(AND(Table1[[#This Row],[Z3 SMT2-1 PdMaxres Cost]]=Table1[[#This Row],[ORTools FZN2 Cost]],Table1[[#This Row],[ORTools FZN2 State]]="Optimal"),1,"")</f>
        <v/>
      </c>
      <c r="AZ204" s="5" t="s">
        <v>42</v>
      </c>
      <c r="BA204" s="2">
        <v>-87165</v>
      </c>
      <c r="BB204" s="39">
        <v>300.06478759999999</v>
      </c>
      <c r="BC204" s="39" t="str">
        <f>IF(AND(Table1[[#This Row],[Z3 SMT2-1 WMax Cost]]=Table1[[#This Row],[ORTools FZN2 Cost]],Table1[[#This Row],[ORTools FZN2 State]]="Optimal"),1,"")</f>
        <v/>
      </c>
      <c r="BD204" s="39" t="s">
        <v>42</v>
      </c>
      <c r="BE204" s="39">
        <v>-87165</v>
      </c>
      <c r="BF204" s="2">
        <v>300.04420019999998</v>
      </c>
      <c r="BG204" s="2" t="str">
        <f>IF(AND(Table1[[#This Row],[Z3 SMT2-2 Maxres Cost]]=Table1[[#This Row],[ORTools FZN2 Cost]],Table1[[#This Row],[ORTools FZN2 State]]="Optimal"),1,"")</f>
        <v/>
      </c>
      <c r="BH204" s="5" t="s">
        <v>42</v>
      </c>
      <c r="BI204" s="2">
        <v>-87165</v>
      </c>
      <c r="BJ204" s="39">
        <v>300.05363670000003</v>
      </c>
      <c r="BK204" s="39" t="str">
        <f>IF(AND(Table1[[#This Row],[Z3 SMT2-2 PdMaxres Cost]]=Table1[[#This Row],[ORTools FZN2 Cost]],Table1[[#This Row],[ORTools FZN2 State]]="Optimal"),1,"")</f>
        <v/>
      </c>
      <c r="BL204" s="39" t="s">
        <v>42</v>
      </c>
      <c r="BM204" s="39">
        <v>-87165</v>
      </c>
      <c r="BN204" s="2">
        <v>300.04363860000001</v>
      </c>
      <c r="BO204" s="4" t="str">
        <f>IF(AND(Table1[[#This Row],[Z3 SMT2-2 PdMaxres Cost]]=Table1[[#This Row],[ORTools FZN2 Cost]],Table1[[#This Row],[ORTools FZN2 State]]="Optimal"),1,"")</f>
        <v/>
      </c>
      <c r="BP204" s="5" t="s">
        <v>25</v>
      </c>
      <c r="BQ204" s="2">
        <v>172396</v>
      </c>
      <c r="BR204" s="2">
        <v>282.20668999999998</v>
      </c>
      <c r="BS204" s="2" t="str">
        <f>IF(AND(Table1[[#This Row],[Gurobi MB Cost]]=Table1[[#This Row],[ORTools FZN2 Cost]],Table1[[#This Row],[ORTools FZN2 State]]="Optimal",Table1[[#This Row],[Gurobi MB State]]="Suboptimal"),1,"")</f>
        <v/>
      </c>
      <c r="BT20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4" s="5" t="s">
        <v>26</v>
      </c>
      <c r="BV204" s="2">
        <v>687951</v>
      </c>
      <c r="BW204" s="2">
        <v>300.1872846</v>
      </c>
      <c r="BX204" s="2" t="str">
        <f>IF(AND(Table1[[#This Row],[Gurobi MD Cost]]=Table1[[#This Row],[ORTools FZN2 Cost]],Table1[[#This Row],[ORTools FZN2 State]]="Optimal",Table1[[#This Row],[Gurobi MD State]]="Suboptimal"),1,"")</f>
        <v/>
      </c>
      <c r="BY20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4" s="5" t="s">
        <v>25</v>
      </c>
      <c r="CA204" s="2">
        <v>172396</v>
      </c>
      <c r="CB204" s="2">
        <v>71.927106899999998</v>
      </c>
      <c r="CC204" s="2" t="str">
        <f>IF(AND(Table1[[#This Row],[Gurobi MI Cost]]=Table1[[#This Row],[ORTools FZN2 Cost]],Table1[[#This Row],[ORTools FZN2 State]]="Optimal",Table1[[#This Row],[Gurobi MI State]]="Suboptimal"),1,"")</f>
        <v/>
      </c>
      <c r="CD20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4" s="39" t="s">
        <v>42</v>
      </c>
      <c r="CF204" s="2">
        <v>-87165</v>
      </c>
      <c r="CG204" s="39">
        <v>306.08918469999998</v>
      </c>
      <c r="CH204" s="39" t="s">
        <v>42</v>
      </c>
      <c r="CI204" s="39">
        <v>-87165</v>
      </c>
      <c r="CJ204" s="2">
        <v>306.16230619999999</v>
      </c>
      <c r="CK204" s="5" t="s">
        <v>25</v>
      </c>
      <c r="CL204" s="2">
        <v>172400</v>
      </c>
      <c r="CM204" s="2">
        <v>1.65600000000268</v>
      </c>
      <c r="CN204" s="5" t="s">
        <v>42</v>
      </c>
      <c r="CO204" s="2">
        <v>-87165</v>
      </c>
      <c r="CP204" s="2">
        <v>301.63568609999999</v>
      </c>
      <c r="CQ204" s="5" t="s">
        <v>25</v>
      </c>
      <c r="CR204" s="2">
        <v>172396</v>
      </c>
      <c r="CS204" s="2">
        <v>25.193505600000002</v>
      </c>
      <c r="CT204" s="6" t="s">
        <v>25</v>
      </c>
      <c r="CU204" s="4">
        <v>172396</v>
      </c>
      <c r="CV204" s="4">
        <v>13.942513</v>
      </c>
      <c r="CW204" s="39" t="s">
        <v>26</v>
      </c>
      <c r="CX204" s="39">
        <v>519165</v>
      </c>
      <c r="CY204" s="2">
        <v>300.02409999999998</v>
      </c>
      <c r="CZ204" s="2" t="str">
        <f>IF(AND(Table1[[#This Row],[Cplex MZ1 Cost]]=Table1[[#This Row],[ORTools FZN2 Cost]],Table1[[#This Row],[ORTools FZN2 State]]="Optimal",Table1[[#This Row],[Cplex MZ1 State]]="Suboptimal"),1,"")</f>
        <v/>
      </c>
      <c r="DA204" s="12" t="s">
        <v>26</v>
      </c>
      <c r="DB204" s="12">
        <v>172396</v>
      </c>
      <c r="DC204" s="12">
        <v>300.02390000000003</v>
      </c>
      <c r="DD204" s="12">
        <f>IF(AND(Table1[[#This Row],[Cplex MZ2 Cost]]=Table1[[#This Row],[ORTools FZN2 Cost]],Table1[[#This Row],[ORTools FZN2 State]]="Optimal",Table1[[#This Row],[Cplex MZ2 State]]="Suboptimal"),1,"")</f>
        <v>1</v>
      </c>
      <c r="DE204" s="39" t="s">
        <v>26</v>
      </c>
      <c r="DF204" s="39">
        <v>260176</v>
      </c>
      <c r="DG204" s="2">
        <v>300.00619999999998</v>
      </c>
      <c r="DH204" s="2" t="str">
        <f>IF(AND(Table1[[#This Row],[Gurobi MZ1 Cost]]=Table1[[#This Row],[ORTools FZN2 Cost]],Table1[[#This Row],[ORTools FZN2 State]]="Optimal",Table1[[#This Row],[Gurobi MZ1 State]]="Suboptimal"),1,"")</f>
        <v/>
      </c>
      <c r="DI204" s="5" t="s">
        <v>26</v>
      </c>
      <c r="DJ204" s="2">
        <v>172484</v>
      </c>
      <c r="DK204" s="2">
        <v>300.0061</v>
      </c>
      <c r="DL204" s="4" t="str">
        <f>IF(AND(Table1[[#This Row],[Gurobi MZ2 Cost]]=Table1[[#This Row],[ORTools FZN2 Cost]],Table1[[#This Row],[ORTools FZN2 State]]="Optimal",Table1[[#This Row],[Gurobi MZ2 State]]="Suboptimal"),1,"")</f>
        <v/>
      </c>
      <c r="DM204" s="39" t="s">
        <v>25</v>
      </c>
      <c r="DN204" s="39">
        <v>172396</v>
      </c>
      <c r="DO204" s="65">
        <v>7.6749999999992697</v>
      </c>
      <c r="DP204" s="4" t="str">
        <f>IF(AND(Table1[[#This Row],[Cplex MC nonDual Cost]]=Table1[[#This Row],[ORTools FZN2 Cost]],Table1[[#This Row],[ORTools FZN2 State]]="Optimal",Table1[[#This Row],[Cplex MC nonDual State]]="Suboptimal"),1,"")</f>
        <v/>
      </c>
      <c r="DQ204" s="5" t="s">
        <v>26</v>
      </c>
      <c r="DR204" s="2">
        <v>172484</v>
      </c>
      <c r="DS204" s="2">
        <v>300.017</v>
      </c>
      <c r="DT204" s="2" t="str">
        <f>IF(AND(Table1[[#This Row],[Cplex MIP DM''z Cost]]=Table1[[#This Row],[ORTools FZN2 Cost]],Table1[[#This Row],[ORTools FZN2 State]]="Optimal",Table1[[#This Row],[Cplex MIP DM''z  State]]="Suboptimal"),1,"")</f>
        <v/>
      </c>
      <c r="DU20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4" s="5" t="s">
        <v>26</v>
      </c>
      <c r="DW204" s="2">
        <v>345052</v>
      </c>
      <c r="DX204" s="2">
        <v>300.05549999999999</v>
      </c>
      <c r="DY204" s="4" t="str">
        <f>IF(AND(Table1[[#This Row],[Gurobi DM''z  Cost]]=Table1[[#This Row],[ORTools FZN2 Cost]],Table1[[#This Row],[ORTools FZN2 State]]="Optimal",Table1[[#This Row],[Gurobi DM''z  State]]="Suboptimal"),1,"")</f>
        <v/>
      </c>
      <c r="DZ20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5" spans="1:130" ht="15.75" x14ac:dyDescent="0.25">
      <c r="A205" s="47" t="s">
        <v>231</v>
      </c>
      <c r="B205" s="5">
        <v>64</v>
      </c>
      <c r="C205" s="2">
        <v>32</v>
      </c>
      <c r="D205" s="5">
        <v>264</v>
      </c>
      <c r="E205" s="2">
        <v>50</v>
      </c>
      <c r="F205" s="5">
        <v>42</v>
      </c>
      <c r="G205" s="2">
        <v>0</v>
      </c>
      <c r="H205" s="4">
        <f t="shared" si="3"/>
        <v>0</v>
      </c>
      <c r="I205" s="4">
        <f>Table1[[#This Row],[B]]+Table1[[#This Row],[Atomic Constraints]]+Table1[[#This Row],[Soft Atomic Constraints]]+Table1[[#This Row],[Disjunctive Constraints]]+Table1[[#This Row],[Direct Successors]]</f>
        <v>388</v>
      </c>
      <c r="J205" s="5" t="s">
        <v>26</v>
      </c>
      <c r="K205" s="2">
        <v>7703500</v>
      </c>
      <c r="L205" s="2">
        <v>302.9183635</v>
      </c>
      <c r="M205" s="2" t="str">
        <f>IF(AND(Table1[[#This Row],[Chuffed MZ1 Cost]]=Table1[[#This Row],[ORTools FZN2 Cost]],Table1[[#This Row],[ORTools FZN2 State]]="Optimal",Table1[[#This Row],[Chuffed MZ1 State]]="Suboptimal"),1,"")</f>
        <v/>
      </c>
      <c r="N205" s="5" t="s">
        <v>26</v>
      </c>
      <c r="O205" s="2">
        <v>7146510</v>
      </c>
      <c r="P205" s="2">
        <v>302.9469512</v>
      </c>
      <c r="Q205" s="2" t="str">
        <f>IF(AND(Table1[[#This Row],[Chuffed MZ2 Cost]]=Table1[[#This Row],[ORTools FZN2 Cost]],Table1[[#This Row],[ORTools FZN2 State]]="Optimal",Table1[[#This Row],[Chuffed MZ2 State]]="Suboptimal"),1,"")</f>
        <v/>
      </c>
      <c r="R205" s="6" t="s">
        <v>26</v>
      </c>
      <c r="S205" s="4">
        <v>1065865</v>
      </c>
      <c r="T205" s="4">
        <v>300.13900000000302</v>
      </c>
      <c r="U205" s="4"/>
      <c r="V205" s="5" t="s">
        <v>25</v>
      </c>
      <c r="W205" s="2">
        <v>1065801</v>
      </c>
      <c r="X205" s="2">
        <v>88.540374</v>
      </c>
      <c r="Y205" s="2" t="str">
        <f>IF(AND(Table1[[#This Row],[ORTools FZN1 Cost]]=Table1[[#This Row],[ORTools FZN2 Cost]],Table1[[#This Row],[ORTools FZN2 State]]="Optimal",Table1[[#This Row],[ORTools FZN1 State]]="Suboptimal"),1,"")</f>
        <v/>
      </c>
      <c r="Z205" s="5" t="s">
        <v>25</v>
      </c>
      <c r="AA205" s="2">
        <v>1065801</v>
      </c>
      <c r="AB205" s="2">
        <v>95.759907499999997</v>
      </c>
      <c r="AC205" s="39" t="s">
        <v>42</v>
      </c>
      <c r="AD205" s="39">
        <v>-266305</v>
      </c>
      <c r="AE205" s="2">
        <v>300.19662219999998</v>
      </c>
      <c r="AF205" s="2" t="str">
        <f>IF(AND(Table1[[#This Row],[Cplex MB Cost]]=Table1[[#This Row],[ORTools FZN2 Cost]],Table1[[#This Row],[ORTools FZN2 State]]="Optimal",Table1[[#This Row],[Cplex MB State]]="Suboptimal"),1,"")</f>
        <v/>
      </c>
      <c r="AG205" s="4">
        <f>IF(AND(AC205="Optimal",AD205&lt;&gt;AA205,Table1[[#This Row],[Example]]&lt;&gt;"R001",Table1[[#This Row],[Example]]&lt;&gt;"R002"),AD205-AA205,)</f>
        <v>0</v>
      </c>
      <c r="AH205" s="5" t="s">
        <v>42</v>
      </c>
      <c r="AI205" s="2">
        <v>-266305</v>
      </c>
      <c r="AJ205" s="2">
        <v>300.54528520000002</v>
      </c>
      <c r="AK205" s="2" t="str">
        <f>IF(AND(Table1[[#This Row],[Cplex MD Cost]]=Table1[[#This Row],[ORTools FZN2 Cost]],Table1[[#This Row],[ORTools FZN2 State]]="Optimal",Table1[[#This Row],[Cplex MD State]]="Suboptimal"),1,"")</f>
        <v/>
      </c>
      <c r="AL205" s="2">
        <f>IF(AND(AH205="Optimal",AI205&lt;&gt;AA205,Table1[[#This Row],[Example]]&lt;&gt;"R001",Table1[[#This Row],[Example]]&lt;&gt;"R002"),AI205-AA205,)</f>
        <v>0</v>
      </c>
      <c r="AM205" s="39" t="s">
        <v>42</v>
      </c>
      <c r="AN205" s="39">
        <v>-266305</v>
      </c>
      <c r="AO205" s="2">
        <v>300.13423269999998</v>
      </c>
      <c r="AP20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5" s="2" t="str">
        <f>IF(AND(Table1[[#This Row],[Cplex MI Cost]]=Table1[[#This Row],[ORTools FZN2 Cost]],Table1[[#This Row],[ORTools FZN2 State]]="Optimal",Table1[[#This Row],[Cplex MI State]]="Suboptimal"),1,"")</f>
        <v/>
      </c>
      <c r="AR205" s="5" t="s">
        <v>42</v>
      </c>
      <c r="AS205" s="2">
        <v>-266305</v>
      </c>
      <c r="AT205" s="2">
        <v>300.07363459999999</v>
      </c>
      <c r="AU205" s="2" t="str">
        <f>IF(AND(Table1[[#This Row],[Z3 SMT2-1 Maxres Cost]]=Table1[[#This Row],[ORTools FZN2 Cost]],Table1[[#This Row],[ORTools FZN2 State]]="Optimal"),1,"")</f>
        <v/>
      </c>
      <c r="AV205" s="39" t="s">
        <v>42</v>
      </c>
      <c r="AW205" s="39">
        <v>-266305</v>
      </c>
      <c r="AX205" s="2">
        <v>300.06391819999999</v>
      </c>
      <c r="AY205" s="2" t="str">
        <f>IF(AND(Table1[[#This Row],[Z3 SMT2-1 PdMaxres Cost]]=Table1[[#This Row],[ORTools FZN2 Cost]],Table1[[#This Row],[ORTools FZN2 State]]="Optimal"),1,"")</f>
        <v/>
      </c>
      <c r="AZ205" s="5" t="s">
        <v>42</v>
      </c>
      <c r="BA205" s="2">
        <v>-266305</v>
      </c>
      <c r="BB205" s="39">
        <v>300.07287689999998</v>
      </c>
      <c r="BC205" s="39" t="str">
        <f>IF(AND(Table1[[#This Row],[Z3 SMT2-1 WMax Cost]]=Table1[[#This Row],[ORTools FZN2 Cost]],Table1[[#This Row],[ORTools FZN2 State]]="Optimal"),1,"")</f>
        <v/>
      </c>
      <c r="BD205" s="39" t="s">
        <v>42</v>
      </c>
      <c r="BE205" s="39">
        <v>-266305</v>
      </c>
      <c r="BF205" s="2">
        <v>300.06485320000002</v>
      </c>
      <c r="BG205" s="2" t="str">
        <f>IF(AND(Table1[[#This Row],[Z3 SMT2-2 Maxres Cost]]=Table1[[#This Row],[ORTools FZN2 Cost]],Table1[[#This Row],[ORTools FZN2 State]]="Optimal"),1,"")</f>
        <v/>
      </c>
      <c r="BH205" s="5" t="s">
        <v>42</v>
      </c>
      <c r="BI205" s="2">
        <v>-266305</v>
      </c>
      <c r="BJ205" s="39">
        <v>300.06209519999999</v>
      </c>
      <c r="BK205" s="39" t="str">
        <f>IF(AND(Table1[[#This Row],[Z3 SMT2-2 PdMaxres Cost]]=Table1[[#This Row],[ORTools FZN2 Cost]],Table1[[#This Row],[ORTools FZN2 State]]="Optimal"),1,"")</f>
        <v/>
      </c>
      <c r="BL205" s="39" t="s">
        <v>42</v>
      </c>
      <c r="BM205" s="39">
        <v>-266305</v>
      </c>
      <c r="BN205" s="2">
        <v>300.06250649999998</v>
      </c>
      <c r="BO205" s="4" t="str">
        <f>IF(AND(Table1[[#This Row],[Z3 SMT2-2 PdMaxres Cost]]=Table1[[#This Row],[ORTools FZN2 Cost]],Table1[[#This Row],[ORTools FZN2 State]]="Optimal"),1,"")</f>
        <v/>
      </c>
      <c r="BP205" s="5" t="s">
        <v>42</v>
      </c>
      <c r="BQ205" s="2">
        <v>-266305</v>
      </c>
      <c r="BR205" s="2">
        <v>300.4049622</v>
      </c>
      <c r="BS205" s="2" t="str">
        <f>IF(AND(Table1[[#This Row],[Gurobi MB Cost]]=Table1[[#This Row],[ORTools FZN2 Cost]],Table1[[#This Row],[ORTools FZN2 State]]="Optimal",Table1[[#This Row],[Gurobi MB State]]="Suboptimal"),1,"")</f>
        <v/>
      </c>
      <c r="BT20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5" s="5" t="s">
        <v>42</v>
      </c>
      <c r="BV205" s="2">
        <v>-266305</v>
      </c>
      <c r="BW205" s="2">
        <v>300.22383070000001</v>
      </c>
      <c r="BX205" s="2" t="str">
        <f>IF(AND(Table1[[#This Row],[Gurobi MD Cost]]=Table1[[#This Row],[ORTools FZN2 Cost]],Table1[[#This Row],[ORTools FZN2 State]]="Optimal",Table1[[#This Row],[Gurobi MD State]]="Suboptimal"),1,"")</f>
        <v/>
      </c>
      <c r="BY20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5" s="5" t="s">
        <v>42</v>
      </c>
      <c r="CA205" s="2">
        <v>-266305</v>
      </c>
      <c r="CB205" s="2">
        <v>300.20038629999999</v>
      </c>
      <c r="CC205" s="2" t="str">
        <f>IF(AND(Table1[[#This Row],[Gurobi MI Cost]]=Table1[[#This Row],[ORTools FZN2 Cost]],Table1[[#This Row],[ORTools FZN2 State]]="Optimal",Table1[[#This Row],[Gurobi MI State]]="Suboptimal"),1,"")</f>
        <v/>
      </c>
      <c r="CD20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5" s="39" t="s">
        <v>42</v>
      </c>
      <c r="CF205" s="2">
        <v>-266305</v>
      </c>
      <c r="CG205" s="39">
        <v>306.16684900000001</v>
      </c>
      <c r="CH205" s="39" t="s">
        <v>42</v>
      </c>
      <c r="CI205" s="39">
        <v>-266305</v>
      </c>
      <c r="CJ205" s="2">
        <v>306.16055160000002</v>
      </c>
      <c r="CK205" s="5" t="s">
        <v>26</v>
      </c>
      <c r="CL205" s="2">
        <v>1065867</v>
      </c>
      <c r="CM205" s="2">
        <v>300.14899999999801</v>
      </c>
      <c r="CN205" s="5" t="s">
        <v>26</v>
      </c>
      <c r="CO205" s="2">
        <v>6347082</v>
      </c>
      <c r="CP205" s="2">
        <v>302.88773149999997</v>
      </c>
      <c r="CQ205" s="5" t="s">
        <v>25</v>
      </c>
      <c r="CR205" s="2">
        <v>1065801</v>
      </c>
      <c r="CS205" s="2">
        <v>140.9255124</v>
      </c>
      <c r="CT205" s="6" t="s">
        <v>25</v>
      </c>
      <c r="CU205" s="4">
        <v>1065801</v>
      </c>
      <c r="CV205" s="4">
        <v>44.7879273</v>
      </c>
      <c r="CW205" s="39" t="s">
        <v>26</v>
      </c>
      <c r="CX205" s="39">
        <v>3175818</v>
      </c>
      <c r="CY205" s="2">
        <v>300.02519999999998</v>
      </c>
      <c r="CZ205" s="2" t="str">
        <f>IF(AND(Table1[[#This Row],[Cplex MZ1 Cost]]=Table1[[#This Row],[ORTools FZN2 Cost]],Table1[[#This Row],[ORTools FZN2 State]]="Optimal",Table1[[#This Row],[Cplex MZ1 State]]="Suboptimal"),1,"")</f>
        <v/>
      </c>
      <c r="DA205" s="5" t="s">
        <v>42</v>
      </c>
      <c r="DB205" s="2"/>
      <c r="DC205" s="2">
        <v>300.02850000000001</v>
      </c>
      <c r="DD205" s="2" t="str">
        <f>IF(AND(Table1[[#This Row],[Cplex MZ2 Cost]]=Table1[[#This Row],[ORTools FZN2 Cost]],Table1[[#This Row],[ORTools FZN2 State]]="Optimal",Table1[[#This Row],[Cplex MZ2 State]]="Suboptimal"),1,"")</f>
        <v/>
      </c>
      <c r="DE205" s="39" t="s">
        <v>42</v>
      </c>
      <c r="DF205" s="39"/>
      <c r="DG205" s="2">
        <v>300.94560000000001</v>
      </c>
      <c r="DH205" s="2" t="str">
        <f>IF(AND(Table1[[#This Row],[Gurobi MZ1 Cost]]=Table1[[#This Row],[ORTools FZN2 Cost]],Table1[[#This Row],[ORTools FZN2 State]]="Optimal",Table1[[#This Row],[Gurobi MZ1 State]]="Suboptimal"),1,"")</f>
        <v/>
      </c>
      <c r="DI205" s="5" t="s">
        <v>42</v>
      </c>
      <c r="DJ205" s="2"/>
      <c r="DK205" s="2">
        <v>300.00990000000002</v>
      </c>
      <c r="DL205" s="4" t="str">
        <f>IF(AND(Table1[[#This Row],[Gurobi MZ2 Cost]]=Table1[[#This Row],[ORTools FZN2 Cost]],Table1[[#This Row],[ORTools FZN2 State]]="Optimal",Table1[[#This Row],[Gurobi MZ2 State]]="Suboptimal"),1,"")</f>
        <v/>
      </c>
      <c r="DM205" s="12" t="s">
        <v>26</v>
      </c>
      <c r="DN205" s="12">
        <v>1065801</v>
      </c>
      <c r="DO205" s="69">
        <v>300.09300000000002</v>
      </c>
      <c r="DP205" s="11">
        <f>IF(AND(Table1[[#This Row],[Cplex MC nonDual Cost]]=Table1[[#This Row],[ORTools FZN2 Cost]],Table1[[#This Row],[ORTools FZN2 State]]="Optimal",Table1[[#This Row],[Cplex MC nonDual State]]="Suboptimal"),1,"")</f>
        <v>1</v>
      </c>
      <c r="DQ205" s="5" t="s">
        <v>42</v>
      </c>
      <c r="DR205" s="2"/>
      <c r="DS205" s="2">
        <v>300.02409999999998</v>
      </c>
      <c r="DT205" s="2" t="str">
        <f>IF(AND(Table1[[#This Row],[Cplex MIP DM''z Cost]]=Table1[[#This Row],[ORTools FZN2 Cost]],Table1[[#This Row],[ORTools FZN2 State]]="Optimal",Table1[[#This Row],[Cplex MIP DM''z  State]]="Suboptimal"),1,"")</f>
        <v/>
      </c>
      <c r="DU20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5" s="5" t="s">
        <v>42</v>
      </c>
      <c r="DW205" s="2"/>
      <c r="DX205" s="2">
        <v>300.0086</v>
      </c>
      <c r="DY205" s="4" t="str">
        <f>IF(AND(Table1[[#This Row],[Gurobi DM''z  Cost]]=Table1[[#This Row],[ORTools FZN2 Cost]],Table1[[#This Row],[ORTools FZN2 State]]="Optimal",Table1[[#This Row],[Gurobi DM''z  State]]="Suboptimal"),1,"")</f>
        <v/>
      </c>
      <c r="DZ20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6" spans="1:130" ht="15.75" x14ac:dyDescent="0.25">
      <c r="A206" s="46" t="s">
        <v>232</v>
      </c>
      <c r="B206" s="5">
        <v>64</v>
      </c>
      <c r="C206" s="2">
        <v>32</v>
      </c>
      <c r="D206" s="5">
        <v>264</v>
      </c>
      <c r="E206" s="2">
        <v>50</v>
      </c>
      <c r="F206" s="5">
        <v>47</v>
      </c>
      <c r="G206" s="2">
        <v>0</v>
      </c>
      <c r="H206" s="4">
        <f t="shared" si="3"/>
        <v>0</v>
      </c>
      <c r="I206" s="4">
        <f>Table1[[#This Row],[B]]+Table1[[#This Row],[Atomic Constraints]]+Table1[[#This Row],[Soft Atomic Constraints]]+Table1[[#This Row],[Disjunctive Constraints]]+Table1[[#This Row],[Direct Successors]]</f>
        <v>393</v>
      </c>
      <c r="J206" s="5" t="s">
        <v>26</v>
      </c>
      <c r="K206" s="2">
        <v>7944850</v>
      </c>
      <c r="L206" s="2">
        <v>302.91290670000001</v>
      </c>
      <c r="M206" s="2" t="str">
        <f>IF(AND(Table1[[#This Row],[Chuffed MZ1 Cost]]=Table1[[#This Row],[ORTools FZN2 Cost]],Table1[[#This Row],[ORTools FZN2 State]]="Optimal",Table1[[#This Row],[Chuffed MZ1 State]]="Suboptimal"),1,"")</f>
        <v/>
      </c>
      <c r="N206" s="5" t="s">
        <v>26</v>
      </c>
      <c r="O206" s="2">
        <v>7420575</v>
      </c>
      <c r="P206" s="2">
        <v>303.02963879999999</v>
      </c>
      <c r="Q206" s="2" t="str">
        <f>IF(AND(Table1[[#This Row],[Chuffed MZ2 Cost]]=Table1[[#This Row],[ORTools FZN2 Cost]],Table1[[#This Row],[ORTools FZN2 State]]="Optimal",Table1[[#This Row],[Chuffed MZ2 State]]="Suboptimal"),1,"")</f>
        <v/>
      </c>
      <c r="R206" s="11" t="s">
        <v>26</v>
      </c>
      <c r="S206" s="11">
        <v>1065801</v>
      </c>
      <c r="T206" s="11">
        <v>300.187000000002</v>
      </c>
      <c r="U206" s="11">
        <v>1</v>
      </c>
      <c r="V206" s="5" t="s">
        <v>25</v>
      </c>
      <c r="W206" s="2">
        <v>1065801</v>
      </c>
      <c r="X206" s="2">
        <v>101.5508457</v>
      </c>
      <c r="Y206" s="2" t="str">
        <f>IF(AND(Table1[[#This Row],[ORTools FZN1 Cost]]=Table1[[#This Row],[ORTools FZN2 Cost]],Table1[[#This Row],[ORTools FZN2 State]]="Optimal",Table1[[#This Row],[ORTools FZN1 State]]="Suboptimal"),1,"")</f>
        <v/>
      </c>
      <c r="Z206" s="5" t="s">
        <v>25</v>
      </c>
      <c r="AA206" s="2">
        <v>1065801</v>
      </c>
      <c r="AB206" s="2">
        <v>88.494121899999996</v>
      </c>
      <c r="AC206" s="39" t="s">
        <v>42</v>
      </c>
      <c r="AD206" s="39">
        <v>-266305</v>
      </c>
      <c r="AE206" s="2">
        <v>300.14893060000003</v>
      </c>
      <c r="AF206" s="2" t="str">
        <f>IF(AND(Table1[[#This Row],[Cplex MB Cost]]=Table1[[#This Row],[ORTools FZN2 Cost]],Table1[[#This Row],[ORTools FZN2 State]]="Optimal",Table1[[#This Row],[Cplex MB State]]="Suboptimal"),1,"")</f>
        <v/>
      </c>
      <c r="AG206" s="4">
        <f>IF(AND(AC206="Optimal",AD206&lt;&gt;AA206,Table1[[#This Row],[Example]]&lt;&gt;"R001",Table1[[#This Row],[Example]]&lt;&gt;"R002"),AD206-AA206,)</f>
        <v>0</v>
      </c>
      <c r="AH206" s="5" t="s">
        <v>42</v>
      </c>
      <c r="AI206" s="2">
        <v>-266305</v>
      </c>
      <c r="AJ206" s="2">
        <v>300.64589460000002</v>
      </c>
      <c r="AK206" s="2" t="str">
        <f>IF(AND(Table1[[#This Row],[Cplex MD Cost]]=Table1[[#This Row],[ORTools FZN2 Cost]],Table1[[#This Row],[ORTools FZN2 State]]="Optimal",Table1[[#This Row],[Cplex MD State]]="Suboptimal"),1,"")</f>
        <v/>
      </c>
      <c r="AL206" s="4">
        <f>IF(AND(AH206="Optimal",AI206&lt;&gt;AA206,Table1[[#This Row],[Example]]&lt;&gt;"R001",Table1[[#This Row],[Example]]&lt;&gt;"R002"),AI206-AA206,)</f>
        <v>0</v>
      </c>
      <c r="AM206" s="39" t="s">
        <v>26</v>
      </c>
      <c r="AN206" s="39">
        <v>2905739</v>
      </c>
      <c r="AO206" s="2">
        <v>300.17101100000002</v>
      </c>
      <c r="AP20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6" s="4" t="str">
        <f>IF(AND(Table1[[#This Row],[Cplex MI Cost]]=Table1[[#This Row],[ORTools FZN2 Cost]],Table1[[#This Row],[ORTools FZN2 State]]="Optimal",Table1[[#This Row],[Cplex MI State]]="Suboptimal"),1,"")</f>
        <v/>
      </c>
      <c r="AR206" s="5" t="s">
        <v>42</v>
      </c>
      <c r="AS206" s="2">
        <v>-266305</v>
      </c>
      <c r="AT206" s="2">
        <v>300.07069209999997</v>
      </c>
      <c r="AU206" s="2" t="str">
        <f>IF(AND(Table1[[#This Row],[Z3 SMT2-1 Maxres Cost]]=Table1[[#This Row],[ORTools FZN2 Cost]],Table1[[#This Row],[ORTools FZN2 State]]="Optimal"),1,"")</f>
        <v/>
      </c>
      <c r="AV206" s="39" t="s">
        <v>42</v>
      </c>
      <c r="AW206" s="39">
        <v>-266305</v>
      </c>
      <c r="AX206" s="2">
        <v>300.06560250000001</v>
      </c>
      <c r="AY206" s="2" t="str">
        <f>IF(AND(Table1[[#This Row],[Z3 SMT2-1 PdMaxres Cost]]=Table1[[#This Row],[ORTools FZN2 Cost]],Table1[[#This Row],[ORTools FZN2 State]]="Optimal"),1,"")</f>
        <v/>
      </c>
      <c r="AZ206" s="5" t="s">
        <v>42</v>
      </c>
      <c r="BA206" s="2">
        <v>-266305</v>
      </c>
      <c r="BB206" s="39">
        <v>300.06226070000002</v>
      </c>
      <c r="BC206" s="39" t="str">
        <f>IF(AND(Table1[[#This Row],[Z3 SMT2-1 WMax Cost]]=Table1[[#This Row],[ORTools FZN2 Cost]],Table1[[#This Row],[ORTools FZN2 State]]="Optimal"),1,"")</f>
        <v/>
      </c>
      <c r="BD206" s="39" t="s">
        <v>42</v>
      </c>
      <c r="BE206" s="39">
        <v>-266305</v>
      </c>
      <c r="BF206" s="2">
        <v>300.06134700000001</v>
      </c>
      <c r="BG206" s="2" t="str">
        <f>IF(AND(Table1[[#This Row],[Z3 SMT2-2 Maxres Cost]]=Table1[[#This Row],[ORTools FZN2 Cost]],Table1[[#This Row],[ORTools FZN2 State]]="Optimal"),1,"")</f>
        <v/>
      </c>
      <c r="BH206" s="5" t="s">
        <v>42</v>
      </c>
      <c r="BI206" s="2">
        <v>-266305</v>
      </c>
      <c r="BJ206" s="39">
        <v>300.06174249999998</v>
      </c>
      <c r="BK206" s="39" t="str">
        <f>IF(AND(Table1[[#This Row],[Z3 SMT2-2 PdMaxres Cost]]=Table1[[#This Row],[ORTools FZN2 Cost]],Table1[[#This Row],[ORTools FZN2 State]]="Optimal"),1,"")</f>
        <v/>
      </c>
      <c r="BL206" s="39" t="s">
        <v>42</v>
      </c>
      <c r="BM206" s="39">
        <v>-266305</v>
      </c>
      <c r="BN206" s="2">
        <v>300.07015569999999</v>
      </c>
      <c r="BO206" s="4" t="str">
        <f>IF(AND(Table1[[#This Row],[Z3 SMT2-2 PdMaxres Cost]]=Table1[[#This Row],[ORTools FZN2 Cost]],Table1[[#This Row],[ORTools FZN2 State]]="Optimal"),1,"")</f>
        <v/>
      </c>
      <c r="BP206" s="5" t="s">
        <v>42</v>
      </c>
      <c r="BQ206" s="2">
        <v>-266305</v>
      </c>
      <c r="BR206" s="2">
        <v>300.15051119999998</v>
      </c>
      <c r="BS206" s="2" t="str">
        <f>IF(AND(Table1[[#This Row],[Gurobi MB Cost]]=Table1[[#This Row],[ORTools FZN2 Cost]],Table1[[#This Row],[ORTools FZN2 State]]="Optimal",Table1[[#This Row],[Gurobi MB State]]="Suboptimal"),1,"")</f>
        <v/>
      </c>
      <c r="BT20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6" s="5" t="s">
        <v>42</v>
      </c>
      <c r="BV206" s="2">
        <v>-266305</v>
      </c>
      <c r="BW206" s="2">
        <v>300.10370899999998</v>
      </c>
      <c r="BX206" s="2" t="str">
        <f>IF(AND(Table1[[#This Row],[Gurobi MD Cost]]=Table1[[#This Row],[ORTools FZN2 Cost]],Table1[[#This Row],[ORTools FZN2 State]]="Optimal",Table1[[#This Row],[Gurobi MD State]]="Suboptimal"),1,"")</f>
        <v/>
      </c>
      <c r="BY20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6" s="5" t="s">
        <v>42</v>
      </c>
      <c r="CA206" s="2">
        <v>-266305</v>
      </c>
      <c r="CB206" s="2">
        <v>300.1915363</v>
      </c>
      <c r="CC206" s="2" t="str">
        <f>IF(AND(Table1[[#This Row],[Gurobi MI Cost]]=Table1[[#This Row],[ORTools FZN2 Cost]],Table1[[#This Row],[ORTools FZN2 State]]="Optimal",Table1[[#This Row],[Gurobi MI State]]="Suboptimal"),1,"")</f>
        <v/>
      </c>
      <c r="CD20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6" s="39" t="s">
        <v>42</v>
      </c>
      <c r="CF206" s="2">
        <v>-266305</v>
      </c>
      <c r="CG206" s="39">
        <v>306.08779850000002</v>
      </c>
      <c r="CH206" s="39" t="s">
        <v>42</v>
      </c>
      <c r="CI206" s="39">
        <v>-266305</v>
      </c>
      <c r="CJ206" s="2">
        <v>306.1989916</v>
      </c>
      <c r="CK206" s="5" t="s">
        <v>26</v>
      </c>
      <c r="CL206" s="2">
        <v>1065801</v>
      </c>
      <c r="CM206" s="2">
        <v>300.19100000000299</v>
      </c>
      <c r="CN206" s="5" t="s">
        <v>26</v>
      </c>
      <c r="CO206" s="2">
        <v>7179091</v>
      </c>
      <c r="CP206" s="2">
        <v>302.90179869999997</v>
      </c>
      <c r="CQ206" s="5" t="s">
        <v>25</v>
      </c>
      <c r="CR206" s="2">
        <v>1065801</v>
      </c>
      <c r="CS206" s="2">
        <v>137.70197300000001</v>
      </c>
      <c r="CT206" s="6" t="s">
        <v>25</v>
      </c>
      <c r="CU206" s="4">
        <v>1065801</v>
      </c>
      <c r="CV206" s="4">
        <v>46.725118999999999</v>
      </c>
      <c r="CW206" s="39" t="s">
        <v>26</v>
      </c>
      <c r="CX206" s="39">
        <v>6072151</v>
      </c>
      <c r="CY206" s="2">
        <v>300.0247</v>
      </c>
      <c r="CZ206" s="2" t="str">
        <f>IF(AND(Table1[[#This Row],[Cplex MZ1 Cost]]=Table1[[#This Row],[ORTools FZN2 Cost]],Table1[[#This Row],[ORTools FZN2 State]]="Optimal",Table1[[#This Row],[Cplex MZ1 State]]="Suboptimal"),1,"")</f>
        <v/>
      </c>
      <c r="DA206" s="5" t="s">
        <v>42</v>
      </c>
      <c r="DB206" s="2"/>
      <c r="DC206" s="2">
        <v>300.00819999999999</v>
      </c>
      <c r="DD206" s="2" t="str">
        <f>IF(AND(Table1[[#This Row],[Cplex MZ2 Cost]]=Table1[[#This Row],[ORTools FZN2 Cost]],Table1[[#This Row],[ORTools FZN2 State]]="Optimal",Table1[[#This Row],[Cplex MZ2 State]]="Suboptimal"),1,"")</f>
        <v/>
      </c>
      <c r="DE206" s="39" t="s">
        <v>42</v>
      </c>
      <c r="DF206" s="39"/>
      <c r="DG206" s="2">
        <v>300.01150000000001</v>
      </c>
      <c r="DH206" s="2" t="str">
        <f>IF(AND(Table1[[#This Row],[Gurobi MZ1 Cost]]=Table1[[#This Row],[ORTools FZN2 Cost]],Table1[[#This Row],[ORTools FZN2 State]]="Optimal",Table1[[#This Row],[Gurobi MZ1 State]]="Suboptimal"),1,"")</f>
        <v/>
      </c>
      <c r="DI206" s="5" t="s">
        <v>42</v>
      </c>
      <c r="DJ206" s="2"/>
      <c r="DK206" s="2">
        <v>300.15730000000002</v>
      </c>
      <c r="DL206" s="4" t="str">
        <f>IF(AND(Table1[[#This Row],[Gurobi MZ2 Cost]]=Table1[[#This Row],[ORTools FZN2 Cost]],Table1[[#This Row],[ORTools FZN2 State]]="Optimal",Table1[[#This Row],[Gurobi MZ2 State]]="Suboptimal"),1,"")</f>
        <v/>
      </c>
      <c r="DM206" s="12" t="s">
        <v>26</v>
      </c>
      <c r="DN206" s="12">
        <v>1065801</v>
      </c>
      <c r="DO206" s="69">
        <v>300.03000000000202</v>
      </c>
      <c r="DP206" s="11">
        <f>IF(AND(Table1[[#This Row],[Cplex MC nonDual Cost]]=Table1[[#This Row],[ORTools FZN2 Cost]],Table1[[#This Row],[ORTools FZN2 State]]="Optimal",Table1[[#This Row],[Cplex MC nonDual State]]="Suboptimal"),1,"")</f>
        <v>1</v>
      </c>
      <c r="DQ206" s="5" t="s">
        <v>26</v>
      </c>
      <c r="DR206" s="2">
        <v>4224914</v>
      </c>
      <c r="DS206" s="2">
        <v>300.02999999999997</v>
      </c>
      <c r="DT206" s="2" t="str">
        <f>IF(AND(Table1[[#This Row],[Cplex MIP DM''z Cost]]=Table1[[#This Row],[ORTools FZN2 Cost]],Table1[[#This Row],[ORTools FZN2 State]]="Optimal",Table1[[#This Row],[Cplex MIP DM''z  State]]="Suboptimal"),1,"")</f>
        <v/>
      </c>
      <c r="DU20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6" s="5" t="s">
        <v>42</v>
      </c>
      <c r="DW206" s="2"/>
      <c r="DX206" s="2">
        <v>300.00889999999998</v>
      </c>
      <c r="DY206" s="4" t="str">
        <f>IF(AND(Table1[[#This Row],[Gurobi DM''z  Cost]]=Table1[[#This Row],[ORTools FZN2 Cost]],Table1[[#This Row],[ORTools FZN2 State]]="Optimal",Table1[[#This Row],[Gurobi DM''z  State]]="Suboptimal"),1,"")</f>
        <v/>
      </c>
      <c r="DZ20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7" spans="1:130" ht="15.75" x14ac:dyDescent="0.25">
      <c r="A207" s="47" t="s">
        <v>233</v>
      </c>
      <c r="B207" s="5">
        <v>56</v>
      </c>
      <c r="C207" s="2">
        <v>28</v>
      </c>
      <c r="D207" s="5">
        <v>207</v>
      </c>
      <c r="E207" s="2">
        <v>43</v>
      </c>
      <c r="F207" s="5">
        <v>42</v>
      </c>
      <c r="G207" s="2">
        <v>0</v>
      </c>
      <c r="H207" s="4">
        <f t="shared" si="3"/>
        <v>0</v>
      </c>
      <c r="I207" s="4">
        <f>Table1[[#This Row],[B]]+Table1[[#This Row],[Atomic Constraints]]+Table1[[#This Row],[Soft Atomic Constraints]]+Table1[[#This Row],[Disjunctive Constraints]]+Table1[[#This Row],[Direct Successors]]</f>
        <v>320</v>
      </c>
      <c r="J207" s="5" t="s">
        <v>26</v>
      </c>
      <c r="K207" s="2">
        <v>3903719</v>
      </c>
      <c r="L207" s="2">
        <v>302.37626039999998</v>
      </c>
      <c r="M207" s="2" t="str">
        <f>IF(AND(Table1[[#This Row],[Chuffed MZ1 Cost]]=Table1[[#This Row],[ORTools FZN2 Cost]],Table1[[#This Row],[ORTools FZN2 State]]="Optimal",Table1[[#This Row],[Chuffed MZ1 State]]="Suboptimal"),1,"")</f>
        <v/>
      </c>
      <c r="N207" s="5" t="s">
        <v>26</v>
      </c>
      <c r="O207" s="2">
        <v>3197392</v>
      </c>
      <c r="P207" s="2">
        <v>302.44206730000002</v>
      </c>
      <c r="Q207" s="2" t="str">
        <f>IF(AND(Table1[[#This Row],[Chuffed MZ2 Cost]]=Table1[[#This Row],[ORTools FZN2 Cost]],Table1[[#This Row],[ORTools FZN2 State]]="Optimal",Table1[[#This Row],[Chuffed MZ2 State]]="Suboptimal"),1,"")</f>
        <v/>
      </c>
      <c r="R207" s="11" t="s">
        <v>26</v>
      </c>
      <c r="S207" s="11">
        <v>715743</v>
      </c>
      <c r="T207" s="11">
        <v>300.02200000000101</v>
      </c>
      <c r="U207" s="11">
        <v>1</v>
      </c>
      <c r="V207" s="5" t="s">
        <v>25</v>
      </c>
      <c r="W207" s="2">
        <v>715743</v>
      </c>
      <c r="X207" s="2">
        <v>49.667157000000003</v>
      </c>
      <c r="Y207" s="2" t="str">
        <f>IF(AND(Table1[[#This Row],[ORTools FZN1 Cost]]=Table1[[#This Row],[ORTools FZN2 Cost]],Table1[[#This Row],[ORTools FZN2 State]]="Optimal",Table1[[#This Row],[ORTools FZN1 State]]="Suboptimal"),1,"")</f>
        <v/>
      </c>
      <c r="Z207" s="5" t="s">
        <v>25</v>
      </c>
      <c r="AA207" s="2">
        <v>715743</v>
      </c>
      <c r="AB207" s="2">
        <v>61.416863800000002</v>
      </c>
      <c r="AC207" s="39" t="s">
        <v>42</v>
      </c>
      <c r="AD207" s="39">
        <v>-178809</v>
      </c>
      <c r="AE207" s="2">
        <v>300.198106</v>
      </c>
      <c r="AF207" s="2" t="str">
        <f>IF(AND(Table1[[#This Row],[Cplex MB Cost]]=Table1[[#This Row],[ORTools FZN2 Cost]],Table1[[#This Row],[ORTools FZN2 State]]="Optimal",Table1[[#This Row],[Cplex MB State]]="Suboptimal"),1,"")</f>
        <v/>
      </c>
      <c r="AG207" s="4">
        <f>IF(AND(AC207="Optimal",AD207&lt;&gt;AA207,Table1[[#This Row],[Example]]&lt;&gt;"R001",Table1[[#This Row],[Example]]&lt;&gt;"R002"),AD207-AA207,)</f>
        <v>0</v>
      </c>
      <c r="AH207" s="5" t="s">
        <v>42</v>
      </c>
      <c r="AI207" s="2">
        <v>-178809</v>
      </c>
      <c r="AJ207" s="2">
        <v>300.75068720000002</v>
      </c>
      <c r="AK207" s="2" t="str">
        <f>IF(AND(Table1[[#This Row],[Cplex MD Cost]]=Table1[[#This Row],[ORTools FZN2 Cost]],Table1[[#This Row],[ORTools FZN2 State]]="Optimal",Table1[[#This Row],[Cplex MD State]]="Suboptimal"),1,"")</f>
        <v/>
      </c>
      <c r="AL207" s="2">
        <f>IF(AND(AH207="Optimal",AI207&lt;&gt;AA207,Table1[[#This Row],[Example]]&lt;&gt;"R001",Table1[[#This Row],[Example]]&lt;&gt;"R002"),AI207-AA207,)</f>
        <v>0</v>
      </c>
      <c r="AM207" s="39" t="s">
        <v>26</v>
      </c>
      <c r="AN207" s="39">
        <v>1418040</v>
      </c>
      <c r="AO207" s="2">
        <v>300.12683800000002</v>
      </c>
      <c r="AP20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7" s="2" t="str">
        <f>IF(AND(Table1[[#This Row],[Cplex MI Cost]]=Table1[[#This Row],[ORTools FZN2 Cost]],Table1[[#This Row],[ORTools FZN2 State]]="Optimal",Table1[[#This Row],[Cplex MI State]]="Suboptimal"),1,"")</f>
        <v/>
      </c>
      <c r="AR207" s="5" t="s">
        <v>42</v>
      </c>
      <c r="AS207" s="2">
        <v>-178809</v>
      </c>
      <c r="AT207" s="2">
        <v>300.05411809999998</v>
      </c>
      <c r="AU207" s="2" t="str">
        <f>IF(AND(Table1[[#This Row],[Z3 SMT2-1 Maxres Cost]]=Table1[[#This Row],[ORTools FZN2 Cost]],Table1[[#This Row],[ORTools FZN2 State]]="Optimal"),1,"")</f>
        <v/>
      </c>
      <c r="AV207" s="39" t="s">
        <v>42</v>
      </c>
      <c r="AW207" s="39">
        <v>-178809</v>
      </c>
      <c r="AX207" s="2">
        <v>300.05694949999997</v>
      </c>
      <c r="AY207" s="2" t="str">
        <f>IF(AND(Table1[[#This Row],[Z3 SMT2-1 PdMaxres Cost]]=Table1[[#This Row],[ORTools FZN2 Cost]],Table1[[#This Row],[ORTools FZN2 State]]="Optimal"),1,"")</f>
        <v/>
      </c>
      <c r="AZ207" s="5" t="s">
        <v>42</v>
      </c>
      <c r="BA207" s="2">
        <v>-178809</v>
      </c>
      <c r="BB207" s="39">
        <v>300.06178540000002</v>
      </c>
      <c r="BC207" s="39" t="str">
        <f>IF(AND(Table1[[#This Row],[Z3 SMT2-1 WMax Cost]]=Table1[[#This Row],[ORTools FZN2 Cost]],Table1[[#This Row],[ORTools FZN2 State]]="Optimal"),1,"")</f>
        <v/>
      </c>
      <c r="BD207" s="39" t="s">
        <v>42</v>
      </c>
      <c r="BE207" s="39">
        <v>-178809</v>
      </c>
      <c r="BF207" s="2">
        <v>300.05791470000003</v>
      </c>
      <c r="BG207" s="2" t="str">
        <f>IF(AND(Table1[[#This Row],[Z3 SMT2-2 Maxres Cost]]=Table1[[#This Row],[ORTools FZN2 Cost]],Table1[[#This Row],[ORTools FZN2 State]]="Optimal"),1,"")</f>
        <v/>
      </c>
      <c r="BH207" s="5" t="s">
        <v>42</v>
      </c>
      <c r="BI207" s="2">
        <v>-178809</v>
      </c>
      <c r="BJ207" s="39">
        <v>300.06147920000001</v>
      </c>
      <c r="BK207" s="39" t="str">
        <f>IF(AND(Table1[[#This Row],[Z3 SMT2-2 PdMaxres Cost]]=Table1[[#This Row],[ORTools FZN2 Cost]],Table1[[#This Row],[ORTools FZN2 State]]="Optimal"),1,"")</f>
        <v/>
      </c>
      <c r="BL207" s="39" t="s">
        <v>42</v>
      </c>
      <c r="BM207" s="39">
        <v>-178809</v>
      </c>
      <c r="BN207" s="2">
        <v>300.04913800000003</v>
      </c>
      <c r="BO207" s="4" t="str">
        <f>IF(AND(Table1[[#This Row],[Z3 SMT2-2 PdMaxres Cost]]=Table1[[#This Row],[ORTools FZN2 Cost]],Table1[[#This Row],[ORTools FZN2 State]]="Optimal"),1,"")</f>
        <v/>
      </c>
      <c r="BP207" s="5" t="s">
        <v>26</v>
      </c>
      <c r="BQ207" s="2">
        <v>1604356</v>
      </c>
      <c r="BR207" s="2">
        <v>300.0996427</v>
      </c>
      <c r="BS207" s="2" t="str">
        <f>IF(AND(Table1[[#This Row],[Gurobi MB Cost]]=Table1[[#This Row],[ORTools FZN2 Cost]],Table1[[#This Row],[ORTools FZN2 State]]="Optimal",Table1[[#This Row],[Gurobi MB State]]="Suboptimal"),1,"")</f>
        <v/>
      </c>
      <c r="BT20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7" s="5" t="s">
        <v>42</v>
      </c>
      <c r="BV207" s="2">
        <v>-178809</v>
      </c>
      <c r="BW207" s="2">
        <v>300.22965599999998</v>
      </c>
      <c r="BX207" s="2" t="str">
        <f>IF(AND(Table1[[#This Row],[Gurobi MD Cost]]=Table1[[#This Row],[ORTools FZN2 Cost]],Table1[[#This Row],[ORTools FZN2 State]]="Optimal",Table1[[#This Row],[Gurobi MD State]]="Suboptimal"),1,"")</f>
        <v/>
      </c>
      <c r="BY20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7" s="5" t="s">
        <v>42</v>
      </c>
      <c r="CA207" s="2">
        <v>-178809</v>
      </c>
      <c r="CB207" s="2">
        <v>300.20940239999999</v>
      </c>
      <c r="CC207" s="2" t="str">
        <f>IF(AND(Table1[[#This Row],[Gurobi MI Cost]]=Table1[[#This Row],[ORTools FZN2 Cost]],Table1[[#This Row],[ORTools FZN2 State]]="Optimal",Table1[[#This Row],[Gurobi MI State]]="Suboptimal"),1,"")</f>
        <v/>
      </c>
      <c r="CD20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7" s="39" t="s">
        <v>42</v>
      </c>
      <c r="CF207" s="2">
        <v>-178809</v>
      </c>
      <c r="CG207" s="39">
        <v>306.12198469999998</v>
      </c>
      <c r="CH207" s="39" t="s">
        <v>42</v>
      </c>
      <c r="CI207" s="39">
        <v>-178809</v>
      </c>
      <c r="CJ207" s="2">
        <v>306.13144579999999</v>
      </c>
      <c r="CK207" s="5" t="s">
        <v>26</v>
      </c>
      <c r="CL207" s="2">
        <v>715799</v>
      </c>
      <c r="CM207" s="2">
        <v>300.08200000000198</v>
      </c>
      <c r="CN207" s="5" t="s">
        <v>26</v>
      </c>
      <c r="CO207" s="2">
        <v>3538889</v>
      </c>
      <c r="CP207" s="2">
        <v>302.32308369999998</v>
      </c>
      <c r="CQ207" s="5" t="s">
        <v>25</v>
      </c>
      <c r="CR207" s="2">
        <v>715743</v>
      </c>
      <c r="CS207" s="2">
        <v>59.650162700000003</v>
      </c>
      <c r="CT207" s="6" t="s">
        <v>25</v>
      </c>
      <c r="CU207" s="4">
        <v>715743</v>
      </c>
      <c r="CV207" s="4">
        <v>30.447479399999999</v>
      </c>
      <c r="CW207" s="39" t="s">
        <v>26</v>
      </c>
      <c r="CX207" s="39">
        <v>2309515</v>
      </c>
      <c r="CY207" s="2">
        <v>300.02089999999998</v>
      </c>
      <c r="CZ207" s="2" t="str">
        <f>IF(AND(Table1[[#This Row],[Cplex MZ1 Cost]]=Table1[[#This Row],[ORTools FZN2 Cost]],Table1[[#This Row],[ORTools FZN2 State]]="Optimal",Table1[[#This Row],[Cplex MZ1 State]]="Suboptimal"),1,"")</f>
        <v/>
      </c>
      <c r="DA207" s="5" t="s">
        <v>26</v>
      </c>
      <c r="DB207" s="2">
        <v>2303290</v>
      </c>
      <c r="DC207" s="2">
        <v>300.03539999999998</v>
      </c>
      <c r="DD207" s="2" t="str">
        <f>IF(AND(Table1[[#This Row],[Cplex MZ2 Cost]]=Table1[[#This Row],[ORTools FZN2 Cost]],Table1[[#This Row],[ORTools FZN2 State]]="Optimal",Table1[[#This Row],[Cplex MZ2 State]]="Suboptimal"),1,"")</f>
        <v/>
      </c>
      <c r="DE207" s="39" t="s">
        <v>42</v>
      </c>
      <c r="DF207" s="39"/>
      <c r="DG207" s="2">
        <v>300.36950000000002</v>
      </c>
      <c r="DH207" s="2" t="str">
        <f>IF(AND(Table1[[#This Row],[Gurobi MZ1 Cost]]=Table1[[#This Row],[ORTools FZN2 Cost]],Table1[[#This Row],[ORTools FZN2 State]]="Optimal",Table1[[#This Row],[Gurobi MZ1 State]]="Suboptimal"),1,"")</f>
        <v/>
      </c>
      <c r="DI207" s="5" t="s">
        <v>42</v>
      </c>
      <c r="DJ207" s="2"/>
      <c r="DK207" s="2">
        <v>300.0043</v>
      </c>
      <c r="DL207" s="4" t="str">
        <f>IF(AND(Table1[[#This Row],[Gurobi MZ2 Cost]]=Table1[[#This Row],[ORTools FZN2 Cost]],Table1[[#This Row],[ORTools FZN2 State]]="Optimal",Table1[[#This Row],[Gurobi MZ2 State]]="Suboptimal"),1,"")</f>
        <v/>
      </c>
      <c r="DM207" s="12" t="s">
        <v>26</v>
      </c>
      <c r="DN207" s="12">
        <v>715743</v>
      </c>
      <c r="DO207" s="69">
        <v>300.12199999999899</v>
      </c>
      <c r="DP207" s="11">
        <f>IF(AND(Table1[[#This Row],[Cplex MC nonDual Cost]]=Table1[[#This Row],[ORTools FZN2 Cost]],Table1[[#This Row],[ORTools FZN2 State]]="Optimal",Table1[[#This Row],[Cplex MC nonDual State]]="Suboptimal"),1,"")</f>
        <v>1</v>
      </c>
      <c r="DQ207" s="5" t="s">
        <v>26</v>
      </c>
      <c r="DR207" s="2">
        <v>1773082</v>
      </c>
      <c r="DS207" s="2">
        <v>300.02449999999999</v>
      </c>
      <c r="DT207" s="2" t="str">
        <f>IF(AND(Table1[[#This Row],[Cplex MIP DM''z Cost]]=Table1[[#This Row],[ORTools FZN2 Cost]],Table1[[#This Row],[ORTools FZN2 State]]="Optimal",Table1[[#This Row],[Cplex MIP DM''z  State]]="Suboptimal"),1,"")</f>
        <v/>
      </c>
      <c r="DU20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7" s="5" t="s">
        <v>42</v>
      </c>
      <c r="DW207" s="2"/>
      <c r="DX207" s="2">
        <v>300.04939999999999</v>
      </c>
      <c r="DY207" s="4" t="str">
        <f>IF(AND(Table1[[#This Row],[Gurobi DM''z  Cost]]=Table1[[#This Row],[ORTools FZN2 Cost]],Table1[[#This Row],[ORTools FZN2 State]]="Optimal",Table1[[#This Row],[Gurobi DM''z  State]]="Suboptimal"),1,"")</f>
        <v/>
      </c>
      <c r="DZ20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8" spans="1:130" ht="15.75" x14ac:dyDescent="0.25">
      <c r="A208" s="46" t="s">
        <v>234</v>
      </c>
      <c r="B208" s="5">
        <v>56</v>
      </c>
      <c r="C208" s="2">
        <v>28</v>
      </c>
      <c r="D208" s="5">
        <v>207</v>
      </c>
      <c r="E208" s="2">
        <v>43</v>
      </c>
      <c r="F208" s="5">
        <v>34</v>
      </c>
      <c r="G208" s="2">
        <v>0</v>
      </c>
      <c r="H208" s="4">
        <f t="shared" si="3"/>
        <v>0</v>
      </c>
      <c r="I208" s="4">
        <f>Table1[[#This Row],[B]]+Table1[[#This Row],[Atomic Constraints]]+Table1[[#This Row],[Soft Atomic Constraints]]+Table1[[#This Row],[Disjunctive Constraints]]+Table1[[#This Row],[Direct Successors]]</f>
        <v>312</v>
      </c>
      <c r="J208" s="5" t="s">
        <v>26</v>
      </c>
      <c r="K208" s="2">
        <v>3740828</v>
      </c>
      <c r="L208" s="2">
        <v>302.3573389</v>
      </c>
      <c r="M208" s="2" t="str">
        <f>IF(AND(Table1[[#This Row],[Chuffed MZ1 Cost]]=Table1[[#This Row],[ORTools FZN2 Cost]],Table1[[#This Row],[ORTools FZN2 State]]="Optimal",Table1[[#This Row],[Chuffed MZ1 State]]="Suboptimal"),1,"")</f>
        <v/>
      </c>
      <c r="N208" s="5" t="s">
        <v>26</v>
      </c>
      <c r="O208" s="2">
        <v>3728170</v>
      </c>
      <c r="P208" s="2">
        <v>302.37299350000001</v>
      </c>
      <c r="Q208" s="2" t="str">
        <f>IF(AND(Table1[[#This Row],[Chuffed MZ2 Cost]]=Table1[[#This Row],[ORTools FZN2 Cost]],Table1[[#This Row],[ORTools FZN2 State]]="Optimal",Table1[[#This Row],[Chuffed MZ2 State]]="Suboptimal"),1,"")</f>
        <v/>
      </c>
      <c r="R208" s="12" t="s">
        <v>26</v>
      </c>
      <c r="S208" s="12">
        <v>715743</v>
      </c>
      <c r="T208" s="12">
        <v>300.06499999999897</v>
      </c>
      <c r="U208" s="12">
        <v>1</v>
      </c>
      <c r="V208" s="5" t="s">
        <v>25</v>
      </c>
      <c r="W208" s="2">
        <v>715743</v>
      </c>
      <c r="X208" s="2">
        <v>44.9322284</v>
      </c>
      <c r="Y208" s="2" t="str">
        <f>IF(AND(Table1[[#This Row],[ORTools FZN1 Cost]]=Table1[[#This Row],[ORTools FZN2 Cost]],Table1[[#This Row],[ORTools FZN2 State]]="Optimal",Table1[[#This Row],[ORTools FZN1 State]]="Suboptimal"),1,"")</f>
        <v/>
      </c>
      <c r="Z208" s="5" t="s">
        <v>25</v>
      </c>
      <c r="AA208" s="2">
        <v>715743</v>
      </c>
      <c r="AB208" s="2">
        <v>52.799033799999997</v>
      </c>
      <c r="AC208" s="39" t="s">
        <v>42</v>
      </c>
      <c r="AD208" s="39">
        <v>-178809</v>
      </c>
      <c r="AE208" s="2">
        <v>300.19984779999999</v>
      </c>
      <c r="AF208" s="2" t="str">
        <f>IF(AND(Table1[[#This Row],[Cplex MB Cost]]=Table1[[#This Row],[ORTools FZN2 Cost]],Table1[[#This Row],[ORTools FZN2 State]]="Optimal",Table1[[#This Row],[Cplex MB State]]="Suboptimal"),1,"")</f>
        <v/>
      </c>
      <c r="AG208" s="4">
        <f>IF(AND(AC208="Optimal",AD208&lt;&gt;AA208,Table1[[#This Row],[Example]]&lt;&gt;"R001",Table1[[#This Row],[Example]]&lt;&gt;"R002"),AD208-AA208,)</f>
        <v>0</v>
      </c>
      <c r="AH208" s="5" t="s">
        <v>42</v>
      </c>
      <c r="AI208" s="2">
        <v>-178809</v>
      </c>
      <c r="AJ208" s="2">
        <v>301.08940439999998</v>
      </c>
      <c r="AK208" s="2" t="str">
        <f>IF(AND(Table1[[#This Row],[Cplex MD Cost]]=Table1[[#This Row],[ORTools FZN2 Cost]],Table1[[#This Row],[ORTools FZN2 State]]="Optimal",Table1[[#This Row],[Cplex MD State]]="Suboptimal"),1,"")</f>
        <v/>
      </c>
      <c r="AL208" s="2">
        <f>IF(AND(AH208="Optimal",AI208&lt;&gt;AA208,Table1[[#This Row],[Example]]&lt;&gt;"R001",Table1[[#This Row],[Example]]&lt;&gt;"R002"),AI208-AA208,)</f>
        <v>0</v>
      </c>
      <c r="AM208" s="39" t="s">
        <v>26</v>
      </c>
      <c r="AN208" s="39">
        <v>1424364</v>
      </c>
      <c r="AO208" s="2">
        <v>300.16615400000001</v>
      </c>
      <c r="AP20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8" s="4" t="str">
        <f>IF(AND(Table1[[#This Row],[Cplex MI Cost]]=Table1[[#This Row],[ORTools FZN2 Cost]],Table1[[#This Row],[ORTools FZN2 State]]="Optimal",Table1[[#This Row],[Cplex MI State]]="Suboptimal"),1,"")</f>
        <v/>
      </c>
      <c r="AR208" s="5" t="s">
        <v>42</v>
      </c>
      <c r="AS208" s="2">
        <v>-178809</v>
      </c>
      <c r="AT208" s="2">
        <v>300.061171</v>
      </c>
      <c r="AU208" s="2" t="str">
        <f>IF(AND(Table1[[#This Row],[Z3 SMT2-1 Maxres Cost]]=Table1[[#This Row],[ORTools FZN2 Cost]],Table1[[#This Row],[ORTools FZN2 State]]="Optimal"),1,"")</f>
        <v/>
      </c>
      <c r="AV208" s="39" t="s">
        <v>42</v>
      </c>
      <c r="AW208" s="39">
        <v>-178809</v>
      </c>
      <c r="AX208" s="2">
        <v>300.06015280000003</v>
      </c>
      <c r="AY208" s="2" t="str">
        <f>IF(AND(Table1[[#This Row],[Z3 SMT2-1 PdMaxres Cost]]=Table1[[#This Row],[ORTools FZN2 Cost]],Table1[[#This Row],[ORTools FZN2 State]]="Optimal"),1,"")</f>
        <v/>
      </c>
      <c r="AZ208" s="5" t="s">
        <v>42</v>
      </c>
      <c r="BA208" s="2">
        <v>-178809</v>
      </c>
      <c r="BB208" s="39">
        <v>300.05011020000001</v>
      </c>
      <c r="BC208" s="39" t="str">
        <f>IF(AND(Table1[[#This Row],[Z3 SMT2-1 WMax Cost]]=Table1[[#This Row],[ORTools FZN2 Cost]],Table1[[#This Row],[ORTools FZN2 State]]="Optimal"),1,"")</f>
        <v/>
      </c>
      <c r="BD208" s="39" t="s">
        <v>42</v>
      </c>
      <c r="BE208" s="39">
        <v>-178809</v>
      </c>
      <c r="BF208" s="2">
        <v>300.0570113</v>
      </c>
      <c r="BG208" s="2" t="str">
        <f>IF(AND(Table1[[#This Row],[Z3 SMT2-2 Maxres Cost]]=Table1[[#This Row],[ORTools FZN2 Cost]],Table1[[#This Row],[ORTools FZN2 State]]="Optimal"),1,"")</f>
        <v/>
      </c>
      <c r="BH208" s="5" t="s">
        <v>42</v>
      </c>
      <c r="BI208" s="2">
        <v>-178809</v>
      </c>
      <c r="BJ208" s="39">
        <v>300.0569041</v>
      </c>
      <c r="BK208" s="39" t="str">
        <f>IF(AND(Table1[[#This Row],[Z3 SMT2-2 PdMaxres Cost]]=Table1[[#This Row],[ORTools FZN2 Cost]],Table1[[#This Row],[ORTools FZN2 State]]="Optimal"),1,"")</f>
        <v/>
      </c>
      <c r="BL208" s="39" t="s">
        <v>42</v>
      </c>
      <c r="BM208" s="39">
        <v>-178809</v>
      </c>
      <c r="BN208" s="2">
        <v>300.04656699999998</v>
      </c>
      <c r="BO208" s="4" t="str">
        <f>IF(AND(Table1[[#This Row],[Z3 SMT2-2 PdMaxres Cost]]=Table1[[#This Row],[ORTools FZN2 Cost]],Table1[[#This Row],[ORTools FZN2 State]]="Optimal"),1,"")</f>
        <v/>
      </c>
      <c r="BP208" s="5" t="s">
        <v>42</v>
      </c>
      <c r="BQ208" s="2">
        <v>-178809</v>
      </c>
      <c r="BR208" s="2">
        <v>300.12108110000003</v>
      </c>
      <c r="BS208" s="2" t="str">
        <f>IF(AND(Table1[[#This Row],[Gurobi MB Cost]]=Table1[[#This Row],[ORTools FZN2 Cost]],Table1[[#This Row],[ORTools FZN2 State]]="Optimal",Table1[[#This Row],[Gurobi MB State]]="Suboptimal"),1,"")</f>
        <v/>
      </c>
      <c r="BT20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8" s="5" t="s">
        <v>42</v>
      </c>
      <c r="BV208" s="2">
        <v>-178809</v>
      </c>
      <c r="BW208" s="2">
        <v>301.06126840000002</v>
      </c>
      <c r="BX208" s="2" t="str">
        <f>IF(AND(Table1[[#This Row],[Gurobi MD Cost]]=Table1[[#This Row],[ORTools FZN2 Cost]],Table1[[#This Row],[ORTools FZN2 State]]="Optimal",Table1[[#This Row],[Gurobi MD State]]="Suboptimal"),1,"")</f>
        <v/>
      </c>
      <c r="BY20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8" s="5" t="s">
        <v>42</v>
      </c>
      <c r="CA208" s="2">
        <v>-178809</v>
      </c>
      <c r="CB208" s="2">
        <v>300.15237109999998</v>
      </c>
      <c r="CC208" s="2" t="str">
        <f>IF(AND(Table1[[#This Row],[Gurobi MI Cost]]=Table1[[#This Row],[ORTools FZN2 Cost]],Table1[[#This Row],[ORTools FZN2 State]]="Optimal",Table1[[#This Row],[Gurobi MI State]]="Suboptimal"),1,"")</f>
        <v/>
      </c>
      <c r="CD20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8" s="39" t="s">
        <v>42</v>
      </c>
      <c r="CF208" s="2">
        <v>-178809</v>
      </c>
      <c r="CG208" s="39">
        <v>306.26541099999997</v>
      </c>
      <c r="CH208" s="39" t="s">
        <v>42</v>
      </c>
      <c r="CI208" s="39">
        <v>-178809</v>
      </c>
      <c r="CJ208" s="2">
        <v>306.09550100000001</v>
      </c>
      <c r="CK208" s="5" t="s">
        <v>26</v>
      </c>
      <c r="CL208" s="2">
        <v>715743</v>
      </c>
      <c r="CM208" s="2">
        <v>300.14400000000001</v>
      </c>
      <c r="CN208" s="5" t="s">
        <v>26</v>
      </c>
      <c r="CO208" s="2">
        <v>2316350</v>
      </c>
      <c r="CP208" s="2">
        <v>302.3617132</v>
      </c>
      <c r="CQ208" s="5" t="s">
        <v>25</v>
      </c>
      <c r="CR208" s="2">
        <v>715743</v>
      </c>
      <c r="CS208" s="2">
        <v>64.816231000000002</v>
      </c>
      <c r="CT208" s="6" t="s">
        <v>25</v>
      </c>
      <c r="CU208" s="4">
        <v>715743</v>
      </c>
      <c r="CV208" s="4">
        <v>27.362312200000002</v>
      </c>
      <c r="CW208" s="39" t="s">
        <v>26</v>
      </c>
      <c r="CX208" s="39">
        <v>3008498</v>
      </c>
      <c r="CY208" s="2">
        <v>300.0197</v>
      </c>
      <c r="CZ208" s="2" t="str">
        <f>IF(AND(Table1[[#This Row],[Cplex MZ1 Cost]]=Table1[[#This Row],[ORTools FZN2 Cost]],Table1[[#This Row],[ORTools FZN2 State]]="Optimal",Table1[[#This Row],[Cplex MZ1 State]]="Suboptimal"),1,"")</f>
        <v/>
      </c>
      <c r="DA208" s="5" t="s">
        <v>26</v>
      </c>
      <c r="DB208" s="2">
        <v>2300433</v>
      </c>
      <c r="DC208" s="2">
        <v>300.01949999999999</v>
      </c>
      <c r="DD208" s="2" t="str">
        <f>IF(AND(Table1[[#This Row],[Cplex MZ2 Cost]]=Table1[[#This Row],[ORTools FZN2 Cost]],Table1[[#This Row],[ORTools FZN2 State]]="Optimal",Table1[[#This Row],[Cplex MZ2 State]]="Suboptimal"),1,"")</f>
        <v/>
      </c>
      <c r="DE208" s="39" t="s">
        <v>26</v>
      </c>
      <c r="DF208" s="39">
        <v>2303287</v>
      </c>
      <c r="DG208" s="2">
        <v>300.6773</v>
      </c>
      <c r="DH208" s="2" t="str">
        <f>IF(AND(Table1[[#This Row],[Gurobi MZ1 Cost]]=Table1[[#This Row],[ORTools FZN2 Cost]],Table1[[#This Row],[ORTools FZN2 State]]="Optimal",Table1[[#This Row],[Gurobi MZ1 State]]="Suboptimal"),1,"")</f>
        <v/>
      </c>
      <c r="DI208" s="5" t="s">
        <v>42</v>
      </c>
      <c r="DJ208" s="2"/>
      <c r="DK208" s="2">
        <v>300.01580000000001</v>
      </c>
      <c r="DL208" s="4" t="str">
        <f>IF(AND(Table1[[#This Row],[Gurobi MZ2 Cost]]=Table1[[#This Row],[ORTools FZN2 Cost]],Table1[[#This Row],[ORTools FZN2 State]]="Optimal",Table1[[#This Row],[Gurobi MZ2 State]]="Suboptimal"),1,"")</f>
        <v/>
      </c>
      <c r="DM208" s="12" t="s">
        <v>26</v>
      </c>
      <c r="DN208" s="12">
        <v>715743</v>
      </c>
      <c r="DO208" s="69">
        <v>300.13799999999901</v>
      </c>
      <c r="DP208" s="11">
        <f>IF(AND(Table1[[#This Row],[Cplex MC nonDual Cost]]=Table1[[#This Row],[ORTools FZN2 Cost]],Table1[[#This Row],[ORTools FZN2 State]]="Optimal",Table1[[#This Row],[Cplex MC nonDual State]]="Suboptimal"),1,"")</f>
        <v>1</v>
      </c>
      <c r="DQ208" s="5" t="s">
        <v>26</v>
      </c>
      <c r="DR208" s="2">
        <v>3196837</v>
      </c>
      <c r="DS208" s="2">
        <v>300.02359999999999</v>
      </c>
      <c r="DT208" s="2" t="str">
        <f>IF(AND(Table1[[#This Row],[Cplex MIP DM''z Cost]]=Table1[[#This Row],[ORTools FZN2 Cost]],Table1[[#This Row],[ORTools FZN2 State]]="Optimal",Table1[[#This Row],[Cplex MIP DM''z  State]]="Suboptimal"),1,"")</f>
        <v/>
      </c>
      <c r="DU20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8" s="5" t="s">
        <v>42</v>
      </c>
      <c r="DW208" s="2"/>
      <c r="DX208" s="2">
        <v>300.0034</v>
      </c>
      <c r="DY208" s="4" t="str">
        <f>IF(AND(Table1[[#This Row],[Gurobi DM''z  Cost]]=Table1[[#This Row],[ORTools FZN2 Cost]],Table1[[#This Row],[ORTools FZN2 State]]="Optimal",Table1[[#This Row],[Gurobi DM''z  State]]="Suboptimal"),1,"")</f>
        <v/>
      </c>
      <c r="DZ20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09" spans="1:130" ht="15.75" x14ac:dyDescent="0.25">
      <c r="A209" s="47" t="s">
        <v>235</v>
      </c>
      <c r="B209" s="5">
        <v>56</v>
      </c>
      <c r="C209" s="2">
        <v>28</v>
      </c>
      <c r="D209" s="5">
        <v>207</v>
      </c>
      <c r="E209" s="2">
        <v>43</v>
      </c>
      <c r="F209" s="5">
        <v>31</v>
      </c>
      <c r="G209" s="2">
        <v>0</v>
      </c>
      <c r="H209" s="4">
        <f t="shared" si="3"/>
        <v>0</v>
      </c>
      <c r="I209" s="4">
        <f>Table1[[#This Row],[B]]+Table1[[#This Row],[Atomic Constraints]]+Table1[[#This Row],[Soft Atomic Constraints]]+Table1[[#This Row],[Disjunctive Constraints]]+Table1[[#This Row],[Direct Successors]]</f>
        <v>309</v>
      </c>
      <c r="J209" s="5" t="s">
        <v>26</v>
      </c>
      <c r="K209" s="2">
        <v>4095139</v>
      </c>
      <c r="L209" s="2">
        <v>302.3671574</v>
      </c>
      <c r="M209" s="2" t="str">
        <f>IF(AND(Table1[[#This Row],[Chuffed MZ1 Cost]]=Table1[[#This Row],[ORTools FZN2 Cost]],Table1[[#This Row],[ORTools FZN2 State]]="Optimal",Table1[[#This Row],[Chuffed MZ1 State]]="Suboptimal"),1,"")</f>
        <v/>
      </c>
      <c r="N209" s="5" t="s">
        <v>26</v>
      </c>
      <c r="O209" s="2">
        <v>3714828</v>
      </c>
      <c r="P209" s="2">
        <v>302.43158119999998</v>
      </c>
      <c r="Q209" s="2" t="str">
        <f>IF(AND(Table1[[#This Row],[Chuffed MZ2 Cost]]=Table1[[#This Row],[ORTools FZN2 Cost]],Table1[[#This Row],[ORTools FZN2 State]]="Optimal",Table1[[#This Row],[Chuffed MZ2 State]]="Suboptimal"),1,"")</f>
        <v/>
      </c>
      <c r="R209" s="11" t="s">
        <v>26</v>
      </c>
      <c r="S209" s="11">
        <v>715743</v>
      </c>
      <c r="T209" s="11">
        <v>300.142</v>
      </c>
      <c r="U209" s="11">
        <v>1</v>
      </c>
      <c r="V209" s="5" t="s">
        <v>25</v>
      </c>
      <c r="W209" s="2">
        <v>715743</v>
      </c>
      <c r="X209" s="2">
        <v>49.145634700000002</v>
      </c>
      <c r="Y209" s="2" t="str">
        <f>IF(AND(Table1[[#This Row],[ORTools FZN1 Cost]]=Table1[[#This Row],[ORTools FZN2 Cost]],Table1[[#This Row],[ORTools FZN2 State]]="Optimal",Table1[[#This Row],[ORTools FZN1 State]]="Suboptimal"),1,"")</f>
        <v/>
      </c>
      <c r="Z209" s="5" t="s">
        <v>25</v>
      </c>
      <c r="AA209" s="2">
        <v>715743</v>
      </c>
      <c r="AB209" s="2">
        <v>46.863706999999998</v>
      </c>
      <c r="AC209" s="39" t="s">
        <v>42</v>
      </c>
      <c r="AD209" s="39">
        <v>-178809</v>
      </c>
      <c r="AE209" s="2">
        <v>300.19084220000002</v>
      </c>
      <c r="AF209" s="2" t="str">
        <f>IF(AND(Table1[[#This Row],[Cplex MB Cost]]=Table1[[#This Row],[ORTools FZN2 Cost]],Table1[[#This Row],[ORTools FZN2 State]]="Optimal",Table1[[#This Row],[Cplex MB State]]="Suboptimal"),1,"")</f>
        <v/>
      </c>
      <c r="AG209" s="4">
        <f>IF(AND(AC209="Optimal",AD209&lt;&gt;AA209,Table1[[#This Row],[Example]]&lt;&gt;"R001",Table1[[#This Row],[Example]]&lt;&gt;"R002"),AD209-AA209,)</f>
        <v>0</v>
      </c>
      <c r="AH209" s="5" t="s">
        <v>42</v>
      </c>
      <c r="AI209" s="2">
        <v>-178809</v>
      </c>
      <c r="AJ209" s="2">
        <v>300.4317527</v>
      </c>
      <c r="AK209" s="2" t="str">
        <f>IF(AND(Table1[[#This Row],[Cplex MD Cost]]=Table1[[#This Row],[ORTools FZN2 Cost]],Table1[[#This Row],[ORTools FZN2 State]]="Optimal",Table1[[#This Row],[Cplex MD State]]="Suboptimal"),1,"")</f>
        <v/>
      </c>
      <c r="AL209" s="2">
        <f>IF(AND(AH209="Optimal",AI209&lt;&gt;AA209,Table1[[#This Row],[Example]]&lt;&gt;"R001",Table1[[#This Row],[Example]]&lt;&gt;"R002"),AI209-AA209,)</f>
        <v>0</v>
      </c>
      <c r="AM209" s="39" t="s">
        <v>26</v>
      </c>
      <c r="AN209" s="39">
        <v>4430354</v>
      </c>
      <c r="AO209" s="2">
        <v>300.14006569999998</v>
      </c>
      <c r="AP20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09" s="2" t="str">
        <f>IF(AND(Table1[[#This Row],[Cplex MI Cost]]=Table1[[#This Row],[ORTools FZN2 Cost]],Table1[[#This Row],[ORTools FZN2 State]]="Optimal",Table1[[#This Row],[Cplex MI State]]="Suboptimal"),1,"")</f>
        <v/>
      </c>
      <c r="AR209" s="5" t="s">
        <v>42</v>
      </c>
      <c r="AS209" s="2">
        <v>-178809</v>
      </c>
      <c r="AT209" s="2">
        <v>300.05935090000003</v>
      </c>
      <c r="AU209" s="2" t="str">
        <f>IF(AND(Table1[[#This Row],[Z3 SMT2-1 Maxres Cost]]=Table1[[#This Row],[ORTools FZN2 Cost]],Table1[[#This Row],[ORTools FZN2 State]]="Optimal"),1,"")</f>
        <v/>
      </c>
      <c r="AV209" s="39" t="s">
        <v>42</v>
      </c>
      <c r="AW209" s="39">
        <v>-178809</v>
      </c>
      <c r="AX209" s="2">
        <v>300.05602970000001</v>
      </c>
      <c r="AY209" s="2" t="str">
        <f>IF(AND(Table1[[#This Row],[Z3 SMT2-1 PdMaxres Cost]]=Table1[[#This Row],[ORTools FZN2 Cost]],Table1[[#This Row],[ORTools FZN2 State]]="Optimal"),1,"")</f>
        <v/>
      </c>
      <c r="AZ209" s="5" t="s">
        <v>42</v>
      </c>
      <c r="BA209" s="2">
        <v>-178809</v>
      </c>
      <c r="BB209" s="39">
        <v>300.05362259999998</v>
      </c>
      <c r="BC209" s="39" t="str">
        <f>IF(AND(Table1[[#This Row],[Z3 SMT2-1 WMax Cost]]=Table1[[#This Row],[ORTools FZN2 Cost]],Table1[[#This Row],[ORTools FZN2 State]]="Optimal"),1,"")</f>
        <v/>
      </c>
      <c r="BD209" s="39" t="s">
        <v>42</v>
      </c>
      <c r="BE209" s="39">
        <v>-178809</v>
      </c>
      <c r="BF209" s="2">
        <v>300.06322690000002</v>
      </c>
      <c r="BG209" s="2" t="str">
        <f>IF(AND(Table1[[#This Row],[Z3 SMT2-2 Maxres Cost]]=Table1[[#This Row],[ORTools FZN2 Cost]],Table1[[#This Row],[ORTools FZN2 State]]="Optimal"),1,"")</f>
        <v/>
      </c>
      <c r="BH209" s="5" t="s">
        <v>42</v>
      </c>
      <c r="BI209" s="2">
        <v>-178809</v>
      </c>
      <c r="BJ209" s="39">
        <v>300.06051980000001</v>
      </c>
      <c r="BK209" s="39" t="str">
        <f>IF(AND(Table1[[#This Row],[Z3 SMT2-2 PdMaxres Cost]]=Table1[[#This Row],[ORTools FZN2 Cost]],Table1[[#This Row],[ORTools FZN2 State]]="Optimal"),1,"")</f>
        <v/>
      </c>
      <c r="BL209" s="39" t="s">
        <v>42</v>
      </c>
      <c r="BM209" s="39">
        <v>-178809</v>
      </c>
      <c r="BN209" s="2">
        <v>300.06029219999999</v>
      </c>
      <c r="BO209" s="4" t="str">
        <f>IF(AND(Table1[[#This Row],[Z3 SMT2-2 PdMaxres Cost]]=Table1[[#This Row],[ORTools FZN2 Cost]],Table1[[#This Row],[ORTools FZN2 State]]="Optimal"),1,"")</f>
        <v/>
      </c>
      <c r="BP209" s="5" t="s">
        <v>42</v>
      </c>
      <c r="BQ209" s="2">
        <v>-178809</v>
      </c>
      <c r="BR209" s="2">
        <v>300.24103450000001</v>
      </c>
      <c r="BS209" s="2" t="str">
        <f>IF(AND(Table1[[#This Row],[Gurobi MB Cost]]=Table1[[#This Row],[ORTools FZN2 Cost]],Table1[[#This Row],[ORTools FZN2 State]]="Optimal",Table1[[#This Row],[Gurobi MB State]]="Suboptimal"),1,"")</f>
        <v/>
      </c>
      <c r="BT20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09" s="5" t="s">
        <v>42</v>
      </c>
      <c r="BV209" s="2">
        <v>-178809</v>
      </c>
      <c r="BW209" s="2">
        <v>300.20293270000002</v>
      </c>
      <c r="BX209" s="2" t="str">
        <f>IF(AND(Table1[[#This Row],[Gurobi MD Cost]]=Table1[[#This Row],[ORTools FZN2 Cost]],Table1[[#This Row],[ORTools FZN2 State]]="Optimal",Table1[[#This Row],[Gurobi MD State]]="Suboptimal"),1,"")</f>
        <v/>
      </c>
      <c r="BY20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09" s="5" t="s">
        <v>42</v>
      </c>
      <c r="CA209" s="2">
        <v>-178809</v>
      </c>
      <c r="CB209" s="2">
        <v>305.9761403</v>
      </c>
      <c r="CC209" s="2" t="str">
        <f>IF(AND(Table1[[#This Row],[Gurobi MI Cost]]=Table1[[#This Row],[ORTools FZN2 Cost]],Table1[[#This Row],[ORTools FZN2 State]]="Optimal",Table1[[#This Row],[Gurobi MI State]]="Suboptimal"),1,"")</f>
        <v/>
      </c>
      <c r="CD20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09" s="39" t="s">
        <v>42</v>
      </c>
      <c r="CF209" s="2">
        <v>-178809</v>
      </c>
      <c r="CG209" s="39">
        <v>306.10275360000003</v>
      </c>
      <c r="CH209" s="39" t="s">
        <v>42</v>
      </c>
      <c r="CI209" s="39">
        <v>-178809</v>
      </c>
      <c r="CJ209" s="2">
        <v>306.12166869999999</v>
      </c>
      <c r="CK209" s="5" t="s">
        <v>26</v>
      </c>
      <c r="CL209" s="2">
        <v>715743</v>
      </c>
      <c r="CM209" s="2">
        <v>300.02999999999901</v>
      </c>
      <c r="CN209" s="5" t="s">
        <v>42</v>
      </c>
      <c r="CO209" s="2">
        <v>-178809</v>
      </c>
      <c r="CP209" s="2">
        <v>302.24595640000001</v>
      </c>
      <c r="CQ209" s="5" t="s">
        <v>25</v>
      </c>
      <c r="CR209" s="2">
        <v>715743</v>
      </c>
      <c r="CS209" s="2">
        <v>55.118578399999997</v>
      </c>
      <c r="CT209" s="6" t="s">
        <v>25</v>
      </c>
      <c r="CU209" s="4">
        <v>715743</v>
      </c>
      <c r="CV209" s="4">
        <v>33.898627500000003</v>
      </c>
      <c r="CW209" s="39" t="s">
        <v>26</v>
      </c>
      <c r="CX209" s="39">
        <v>2836295</v>
      </c>
      <c r="CY209" s="2">
        <v>300.01319999999998</v>
      </c>
      <c r="CZ209" s="2" t="str">
        <f>IF(AND(Table1[[#This Row],[Cplex MZ1 Cost]]=Table1[[#This Row],[ORTools FZN2 Cost]],Table1[[#This Row],[ORTools FZN2 State]]="Optimal",Table1[[#This Row],[Cplex MZ1 State]]="Suboptimal"),1,"")</f>
        <v/>
      </c>
      <c r="DA209" s="5" t="s">
        <v>26</v>
      </c>
      <c r="DB209" s="2">
        <v>2123915</v>
      </c>
      <c r="DC209" s="2">
        <v>300.03379999999999</v>
      </c>
      <c r="DD209" s="2" t="str">
        <f>IF(AND(Table1[[#This Row],[Cplex MZ2 Cost]]=Table1[[#This Row],[ORTools FZN2 Cost]],Table1[[#This Row],[ORTools FZN2 State]]="Optimal",Table1[[#This Row],[Cplex MZ2 State]]="Suboptimal"),1,"")</f>
        <v/>
      </c>
      <c r="DE209" s="39" t="s">
        <v>42</v>
      </c>
      <c r="DF209" s="39"/>
      <c r="DG209" s="2">
        <v>300.05220000000003</v>
      </c>
      <c r="DH209" s="2" t="str">
        <f>IF(AND(Table1[[#This Row],[Gurobi MZ1 Cost]]=Table1[[#This Row],[ORTools FZN2 Cost]],Table1[[#This Row],[ORTools FZN2 State]]="Optimal",Table1[[#This Row],[Gurobi MZ1 State]]="Suboptimal"),1,"")</f>
        <v/>
      </c>
      <c r="DI209" s="5" t="s">
        <v>42</v>
      </c>
      <c r="DJ209" s="2"/>
      <c r="DK209" s="2">
        <v>300.0292</v>
      </c>
      <c r="DL209" s="4" t="str">
        <f>IF(AND(Table1[[#This Row],[Gurobi MZ2 Cost]]=Table1[[#This Row],[ORTools FZN2 Cost]],Table1[[#This Row],[ORTools FZN2 State]]="Optimal",Table1[[#This Row],[Gurobi MZ2 State]]="Suboptimal"),1,"")</f>
        <v/>
      </c>
      <c r="DM209" s="12" t="s">
        <v>26</v>
      </c>
      <c r="DN209" s="12">
        <v>715743</v>
      </c>
      <c r="DO209" s="69">
        <v>300.13400000000098</v>
      </c>
      <c r="DP209" s="11">
        <f>IF(AND(Table1[[#This Row],[Cplex MC nonDual Cost]]=Table1[[#This Row],[ORTools FZN2 Cost]],Table1[[#This Row],[ORTools FZN2 State]]="Optimal",Table1[[#This Row],[Cplex MC nonDual State]]="Suboptimal"),1,"")</f>
        <v>1</v>
      </c>
      <c r="DQ209" s="5" t="s">
        <v>26</v>
      </c>
      <c r="DR209" s="2">
        <v>2845604</v>
      </c>
      <c r="DS209" s="2">
        <v>300.03039999999999</v>
      </c>
      <c r="DT209" s="2" t="str">
        <f>IF(AND(Table1[[#This Row],[Cplex MIP DM''z Cost]]=Table1[[#This Row],[ORTools FZN2 Cost]],Table1[[#This Row],[ORTools FZN2 State]]="Optimal",Table1[[#This Row],[Cplex MIP DM''z  State]]="Suboptimal"),1,"")</f>
        <v/>
      </c>
      <c r="DU20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09" s="5" t="s">
        <v>42</v>
      </c>
      <c r="DW209" s="2"/>
      <c r="DX209" s="2">
        <v>299.9957</v>
      </c>
      <c r="DY209" s="4" t="str">
        <f>IF(AND(Table1[[#This Row],[Gurobi DM''z  Cost]]=Table1[[#This Row],[ORTools FZN2 Cost]],Table1[[#This Row],[ORTools FZN2 State]]="Optimal",Table1[[#This Row],[Gurobi DM''z  State]]="Suboptimal"),1,"")</f>
        <v/>
      </c>
      <c r="DZ20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0" spans="1:130" ht="15.75" x14ac:dyDescent="0.25">
      <c r="A210" s="46" t="s">
        <v>236</v>
      </c>
      <c r="B210" s="5">
        <v>24</v>
      </c>
      <c r="C210" s="2">
        <v>12</v>
      </c>
      <c r="D210" s="5">
        <v>37</v>
      </c>
      <c r="E210" s="2">
        <v>17</v>
      </c>
      <c r="F210" s="5">
        <v>8</v>
      </c>
      <c r="G210" s="2">
        <v>0</v>
      </c>
      <c r="H210" s="4">
        <f t="shared" si="3"/>
        <v>0</v>
      </c>
      <c r="I210" s="4">
        <f>Table1[[#This Row],[B]]+Table1[[#This Row],[Atomic Constraints]]+Table1[[#This Row],[Soft Atomic Constraints]]+Table1[[#This Row],[Disjunctive Constraints]]+Table1[[#This Row],[Direct Successors]]</f>
        <v>74</v>
      </c>
      <c r="J210" s="5" t="s">
        <v>25</v>
      </c>
      <c r="K210" s="2">
        <v>0</v>
      </c>
      <c r="L210" s="2">
        <v>1.4255437</v>
      </c>
      <c r="M210" s="2" t="str">
        <f>IF(AND(Table1[[#This Row],[Chuffed MZ1 Cost]]=Table1[[#This Row],[ORTools FZN2 Cost]],Table1[[#This Row],[ORTools FZN2 State]]="Optimal",Table1[[#This Row],[Chuffed MZ1 State]]="Suboptimal"),1,"")</f>
        <v/>
      </c>
      <c r="N210" s="5" t="s">
        <v>25</v>
      </c>
      <c r="O210" s="2">
        <v>0</v>
      </c>
      <c r="P210" s="2">
        <v>1.8726734</v>
      </c>
      <c r="Q210" s="2" t="str">
        <f>IF(AND(Table1[[#This Row],[Chuffed MZ2 Cost]]=Table1[[#This Row],[ORTools FZN2 Cost]],Table1[[#This Row],[ORTools FZN2 State]]="Optimal",Table1[[#This Row],[Chuffed MZ2 State]]="Suboptimal"),1,"")</f>
        <v/>
      </c>
      <c r="R210" s="5" t="s">
        <v>25</v>
      </c>
      <c r="S210" s="2">
        <v>0</v>
      </c>
      <c r="T210" s="2">
        <v>0.17299999999886501</v>
      </c>
      <c r="U210" s="2"/>
      <c r="V210" s="5" t="s">
        <v>25</v>
      </c>
      <c r="W210" s="2">
        <v>0</v>
      </c>
      <c r="X210" s="2">
        <v>1.345715</v>
      </c>
      <c r="Y210" s="2" t="str">
        <f>IF(AND(Table1[[#This Row],[ORTools FZN1 Cost]]=Table1[[#This Row],[ORTools FZN2 Cost]],Table1[[#This Row],[ORTools FZN2 State]]="Optimal",Table1[[#This Row],[ORTools FZN1 State]]="Suboptimal"),1,"")</f>
        <v/>
      </c>
      <c r="Z210" s="5" t="s">
        <v>25</v>
      </c>
      <c r="AA210" s="2">
        <v>0</v>
      </c>
      <c r="AB210" s="2">
        <v>1.3283863</v>
      </c>
      <c r="AC210" s="39" t="s">
        <v>25</v>
      </c>
      <c r="AD210" s="39">
        <v>0</v>
      </c>
      <c r="AE210" s="2">
        <v>4.4504375999999999</v>
      </c>
      <c r="AF210" s="2" t="str">
        <f>IF(AND(Table1[[#This Row],[Cplex MB Cost]]=Table1[[#This Row],[ORTools FZN2 Cost]],Table1[[#This Row],[ORTools FZN2 State]]="Optimal",Table1[[#This Row],[Cplex MB State]]="Suboptimal"),1,"")</f>
        <v/>
      </c>
      <c r="AG210" s="4">
        <f>IF(AND(AC210="Optimal",AD210&lt;&gt;AA210,Table1[[#This Row],[Example]]&lt;&gt;"R001",Table1[[#This Row],[Example]]&lt;&gt;"R002"),AD210-AA210,)</f>
        <v>0</v>
      </c>
      <c r="AH210" s="5" t="s">
        <v>26</v>
      </c>
      <c r="AI210" s="2">
        <v>14449</v>
      </c>
      <c r="AJ210" s="2">
        <v>300.2854858</v>
      </c>
      <c r="AK210" s="2" t="str">
        <f>IF(AND(Table1[[#This Row],[Cplex MD Cost]]=Table1[[#This Row],[ORTools FZN2 Cost]],Table1[[#This Row],[ORTools FZN2 State]]="Optimal",Table1[[#This Row],[Cplex MD State]]="Suboptimal"),1,"")</f>
        <v/>
      </c>
      <c r="AL210" s="2">
        <f>IF(AND(AH210="Optimal",AI210&lt;&gt;AA210,Table1[[#This Row],[Example]]&lt;&gt;"R001",Table1[[#This Row],[Example]]&lt;&gt;"R002"),AI210-AA210,)</f>
        <v>0</v>
      </c>
      <c r="AM210" s="39" t="s">
        <v>25</v>
      </c>
      <c r="AN210" s="39">
        <v>0</v>
      </c>
      <c r="AO210" s="2">
        <v>1.0686624</v>
      </c>
      <c r="AP21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0" s="4" t="str">
        <f>IF(AND(Table1[[#This Row],[Cplex MI Cost]]=Table1[[#This Row],[ORTools FZN2 Cost]],Table1[[#This Row],[ORTools FZN2 State]]="Optimal",Table1[[#This Row],[Cplex MI State]]="Suboptimal"),1,"")</f>
        <v/>
      </c>
      <c r="AR210" s="12" t="s">
        <v>26</v>
      </c>
      <c r="AS210" s="12">
        <v>0</v>
      </c>
      <c r="AT210" s="12">
        <v>37.942302099999999</v>
      </c>
      <c r="AU210" s="12">
        <f>IF(AND(Table1[[#This Row],[Z3 SMT2-1 Maxres Cost]]=Table1[[#This Row],[ORTools FZN2 Cost]],Table1[[#This Row],[ORTools FZN2 State]]="Optimal"),1,"")</f>
        <v>1</v>
      </c>
      <c r="AV210" s="12" t="s">
        <v>26</v>
      </c>
      <c r="AW210" s="12">
        <v>0</v>
      </c>
      <c r="AX210" s="12">
        <v>39.453213300000002</v>
      </c>
      <c r="AY210" s="12">
        <f>IF(AND(Table1[[#This Row],[Z3 SMT2-1 PdMaxres Cost]]=Table1[[#This Row],[ORTools FZN2 Cost]],Table1[[#This Row],[ORTools FZN2 State]]="Optimal"),1,"")</f>
        <v>1</v>
      </c>
      <c r="AZ210" s="12" t="s">
        <v>26</v>
      </c>
      <c r="BA210" s="12">
        <v>0</v>
      </c>
      <c r="BB210" s="12">
        <v>38.2900785</v>
      </c>
      <c r="BC210" s="12">
        <f>IF(AND(Table1[[#This Row],[Z3 SMT2-1 WMax Cost]]=Table1[[#This Row],[ORTools FZN2 Cost]],Table1[[#This Row],[ORTools FZN2 State]]="Optimal"),1,"")</f>
        <v>1</v>
      </c>
      <c r="BD210" s="12" t="s">
        <v>26</v>
      </c>
      <c r="BE210" s="12">
        <v>0</v>
      </c>
      <c r="BF210" s="12">
        <v>41.536476299999997</v>
      </c>
      <c r="BG210" s="12">
        <f>IF(AND(Table1[[#This Row],[Z3 SMT2-2 Maxres Cost]]=Table1[[#This Row],[ORTools FZN2 Cost]],Table1[[#This Row],[ORTools FZN2 State]]="Optimal"),1,"")</f>
        <v>1</v>
      </c>
      <c r="BH210" s="12" t="s">
        <v>26</v>
      </c>
      <c r="BI210" s="12">
        <v>0</v>
      </c>
      <c r="BJ210" s="12">
        <v>42.149491900000001</v>
      </c>
      <c r="BK210" s="12">
        <f>IF(AND(Table1[[#This Row],[Z3 SMT2-2 PdMaxres Cost]]=Table1[[#This Row],[ORTools FZN2 Cost]],Table1[[#This Row],[ORTools FZN2 State]]="Optimal"),1,"")</f>
        <v>1</v>
      </c>
      <c r="BL210" s="12" t="s">
        <v>26</v>
      </c>
      <c r="BM210" s="12">
        <v>0</v>
      </c>
      <c r="BN210" s="12">
        <v>42.257224200000003</v>
      </c>
      <c r="BO210" s="11">
        <f>IF(AND(Table1[[#This Row],[Z3 SMT2-2 PdMaxres Cost]]=Table1[[#This Row],[ORTools FZN2 Cost]],Table1[[#This Row],[ORTools FZN2 State]]="Optimal"),1,"")</f>
        <v>1</v>
      </c>
      <c r="BP210" s="5" t="s">
        <v>25</v>
      </c>
      <c r="BQ210" s="2">
        <v>0</v>
      </c>
      <c r="BR210" s="2">
        <v>3.5364719</v>
      </c>
      <c r="BS210" s="2" t="str">
        <f>IF(AND(Table1[[#This Row],[Gurobi MB Cost]]=Table1[[#This Row],[ORTools FZN2 Cost]],Table1[[#This Row],[ORTools FZN2 State]]="Optimal",Table1[[#This Row],[Gurobi MB State]]="Suboptimal"),1,"")</f>
        <v/>
      </c>
      <c r="BT21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0" s="5" t="s">
        <v>25</v>
      </c>
      <c r="BV210" s="2">
        <v>0</v>
      </c>
      <c r="BW210" s="2">
        <v>20.187103499999999</v>
      </c>
      <c r="BX210" s="2" t="str">
        <f>IF(AND(Table1[[#This Row],[Gurobi MD Cost]]=Table1[[#This Row],[ORTools FZN2 Cost]],Table1[[#This Row],[ORTools FZN2 State]]="Optimal",Table1[[#This Row],[Gurobi MD State]]="Suboptimal"),1,"")</f>
        <v/>
      </c>
      <c r="BY21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0" s="5" t="s">
        <v>25</v>
      </c>
      <c r="CA210" s="2">
        <v>0</v>
      </c>
      <c r="CB210" s="2">
        <v>2.8384198999999999</v>
      </c>
      <c r="CC210" s="2" t="str">
        <f>IF(AND(Table1[[#This Row],[Gurobi MI Cost]]=Table1[[#This Row],[ORTools FZN2 Cost]],Table1[[#This Row],[ORTools FZN2 State]]="Optimal",Table1[[#This Row],[Gurobi MI State]]="Suboptimal"),1,"")</f>
        <v/>
      </c>
      <c r="CD21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0" s="39" t="s">
        <v>42</v>
      </c>
      <c r="CF210" s="2">
        <v>-14425</v>
      </c>
      <c r="CG210" s="39">
        <v>306.01760200000001</v>
      </c>
      <c r="CH210" s="39" t="s">
        <v>42</v>
      </c>
      <c r="CI210" s="39">
        <v>-14425</v>
      </c>
      <c r="CJ210" s="2">
        <v>306.03903600000001</v>
      </c>
      <c r="CK210" s="5" t="s">
        <v>25</v>
      </c>
      <c r="CL210" s="2">
        <v>0</v>
      </c>
      <c r="CM210" s="2">
        <v>0.16300000000046599</v>
      </c>
      <c r="CN210" s="5" t="s">
        <v>25</v>
      </c>
      <c r="CO210" s="2">
        <v>0</v>
      </c>
      <c r="CP210" s="2">
        <v>46.811737999999998</v>
      </c>
      <c r="CQ210" s="5" t="s">
        <v>25</v>
      </c>
      <c r="CR210" s="2">
        <v>0</v>
      </c>
      <c r="CS210" s="2">
        <v>2.3791623999999998</v>
      </c>
      <c r="CT210" s="6" t="s">
        <v>25</v>
      </c>
      <c r="CU210" s="4">
        <v>0</v>
      </c>
      <c r="CV210" s="4">
        <v>2.2750767999999999</v>
      </c>
      <c r="CW210" s="39" t="s">
        <v>25</v>
      </c>
      <c r="CX210" s="39">
        <v>0</v>
      </c>
      <c r="CY210" s="2">
        <v>14.1333</v>
      </c>
      <c r="CZ210" s="2" t="str">
        <f>IF(AND(Table1[[#This Row],[Cplex MZ1 Cost]]=Table1[[#This Row],[ORTools FZN2 Cost]],Table1[[#This Row],[ORTools FZN2 State]]="Optimal",Table1[[#This Row],[Cplex MZ1 State]]="Suboptimal"),1,"")</f>
        <v/>
      </c>
      <c r="DA210" s="5" t="s">
        <v>25</v>
      </c>
      <c r="DB210" s="2">
        <v>0</v>
      </c>
      <c r="DC210" s="2">
        <v>1.9276</v>
      </c>
      <c r="DD210" s="2" t="str">
        <f>IF(AND(Table1[[#This Row],[Cplex MZ2 Cost]]=Table1[[#This Row],[ORTools FZN2 Cost]],Table1[[#This Row],[ORTools FZN2 State]]="Optimal",Table1[[#This Row],[Cplex MZ2 State]]="Suboptimal"),1,"")</f>
        <v/>
      </c>
      <c r="DE210" s="39" t="s">
        <v>25</v>
      </c>
      <c r="DF210" s="39">
        <v>0</v>
      </c>
      <c r="DG210" s="2">
        <v>29.5703</v>
      </c>
      <c r="DH210" s="2" t="str">
        <f>IF(AND(Table1[[#This Row],[Gurobi MZ1 Cost]]=Table1[[#This Row],[ORTools FZN2 Cost]],Table1[[#This Row],[ORTools FZN2 State]]="Optimal",Table1[[#This Row],[Gurobi MZ1 State]]="Suboptimal"),1,"")</f>
        <v/>
      </c>
      <c r="DI210" s="5" t="s">
        <v>25</v>
      </c>
      <c r="DJ210" s="2">
        <v>0</v>
      </c>
      <c r="DK210" s="2">
        <v>28.9084</v>
      </c>
      <c r="DL210" s="4" t="str">
        <f>IF(AND(Table1[[#This Row],[Gurobi MZ2 Cost]]=Table1[[#This Row],[ORTools FZN2 Cost]],Table1[[#This Row],[ORTools FZN2 State]]="Optimal",Table1[[#This Row],[Gurobi MZ2 State]]="Suboptimal"),1,"")</f>
        <v/>
      </c>
      <c r="DM210" s="39" t="s">
        <v>25</v>
      </c>
      <c r="DN210" s="39">
        <v>0</v>
      </c>
      <c r="DO210" s="65">
        <v>0.270000000000436</v>
      </c>
      <c r="DP210" s="4" t="str">
        <f>IF(AND(Table1[[#This Row],[Cplex MC nonDual Cost]]=Table1[[#This Row],[ORTools FZN2 Cost]],Table1[[#This Row],[ORTools FZN2 State]]="Optimal",Table1[[#This Row],[Cplex MC nonDual State]]="Suboptimal"),1,"")</f>
        <v/>
      </c>
      <c r="DQ210" s="5" t="s">
        <v>25</v>
      </c>
      <c r="DR210" s="2">
        <v>0</v>
      </c>
      <c r="DS210" s="2">
        <v>9.35</v>
      </c>
      <c r="DT210" s="2" t="str">
        <f>IF(AND(Table1[[#This Row],[Cplex MIP DM''z Cost]]=Table1[[#This Row],[ORTools FZN2 Cost]],Table1[[#This Row],[ORTools FZN2 State]]="Optimal",Table1[[#This Row],[Cplex MIP DM''z  State]]="Suboptimal"),1,"")</f>
        <v/>
      </c>
      <c r="DU21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0" s="5" t="s">
        <v>25</v>
      </c>
      <c r="DW210" s="2">
        <v>0</v>
      </c>
      <c r="DX210" s="2">
        <v>16.5504</v>
      </c>
      <c r="DY210" s="4" t="str">
        <f>IF(AND(Table1[[#This Row],[Gurobi DM''z  Cost]]=Table1[[#This Row],[ORTools FZN2 Cost]],Table1[[#This Row],[ORTools FZN2 State]]="Optimal",Table1[[#This Row],[Gurobi DM''z  State]]="Suboptimal"),1,"")</f>
        <v/>
      </c>
      <c r="DZ21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1" spans="1:130" ht="15.75" x14ac:dyDescent="0.25">
      <c r="A211" s="47" t="s">
        <v>237</v>
      </c>
      <c r="B211" s="5">
        <v>16</v>
      </c>
      <c r="C211" s="2">
        <v>8</v>
      </c>
      <c r="D211" s="5">
        <v>34</v>
      </c>
      <c r="E211" s="2">
        <v>10</v>
      </c>
      <c r="F211" s="5">
        <v>3</v>
      </c>
      <c r="G211" s="2">
        <v>0</v>
      </c>
      <c r="H211" s="4">
        <f t="shared" si="3"/>
        <v>0</v>
      </c>
      <c r="I211" s="4">
        <f>Table1[[#This Row],[B]]+Table1[[#This Row],[Atomic Constraints]]+Table1[[#This Row],[Soft Atomic Constraints]]+Table1[[#This Row],[Disjunctive Constraints]]+Table1[[#This Row],[Direct Successors]]</f>
        <v>55</v>
      </c>
      <c r="J211" s="5" t="s">
        <v>25</v>
      </c>
      <c r="K211" s="2">
        <v>3</v>
      </c>
      <c r="L211" s="2">
        <v>0.78860759999999996</v>
      </c>
      <c r="M211" s="2" t="str">
        <f>IF(AND(Table1[[#This Row],[Chuffed MZ1 Cost]]=Table1[[#This Row],[ORTools FZN2 Cost]],Table1[[#This Row],[ORTools FZN2 State]]="Optimal",Table1[[#This Row],[Chuffed MZ1 State]]="Suboptimal"),1,"")</f>
        <v/>
      </c>
      <c r="N211" s="5" t="s">
        <v>25</v>
      </c>
      <c r="O211" s="2">
        <v>3</v>
      </c>
      <c r="P211" s="2">
        <v>0.74321769999999998</v>
      </c>
      <c r="Q211" s="2" t="str">
        <f>IF(AND(Table1[[#This Row],[Chuffed MZ2 Cost]]=Table1[[#This Row],[ORTools FZN2 Cost]],Table1[[#This Row],[ORTools FZN2 State]]="Optimal",Table1[[#This Row],[Chuffed MZ2 State]]="Suboptimal"),1,"")</f>
        <v/>
      </c>
      <c r="R211" s="5" t="s">
        <v>25</v>
      </c>
      <c r="S211" s="2">
        <v>3</v>
      </c>
      <c r="T211" s="2">
        <v>0.15400000000226999</v>
      </c>
      <c r="U211" s="2"/>
      <c r="V211" s="5" t="s">
        <v>25</v>
      </c>
      <c r="W211" s="2">
        <v>3</v>
      </c>
      <c r="X211" s="2">
        <v>0.2882459</v>
      </c>
      <c r="Y211" s="2" t="str">
        <f>IF(AND(Table1[[#This Row],[ORTools FZN1 Cost]]=Table1[[#This Row],[ORTools FZN2 Cost]],Table1[[#This Row],[ORTools FZN2 State]]="Optimal",Table1[[#This Row],[ORTools FZN1 State]]="Suboptimal"),1,"")</f>
        <v/>
      </c>
      <c r="Z211" s="5" t="s">
        <v>25</v>
      </c>
      <c r="AA211" s="2">
        <v>3</v>
      </c>
      <c r="AB211" s="2">
        <v>0.31049529999999997</v>
      </c>
      <c r="AC211" s="39" t="s">
        <v>25</v>
      </c>
      <c r="AD211" s="39">
        <v>3</v>
      </c>
      <c r="AE211" s="2">
        <v>0.7749085</v>
      </c>
      <c r="AF211" s="2" t="str">
        <f>IF(AND(Table1[[#This Row],[Cplex MB Cost]]=Table1[[#This Row],[ORTools FZN2 Cost]],Table1[[#This Row],[ORTools FZN2 State]]="Optimal",Table1[[#This Row],[Cplex MB State]]="Suboptimal"),1,"")</f>
        <v/>
      </c>
      <c r="AG211" s="4">
        <f>IF(AND(AC211="Optimal",AD211&lt;&gt;AA211,Table1[[#This Row],[Example]]&lt;&gt;"R001",Table1[[#This Row],[Example]]&lt;&gt;"R002"),AD211-AA211,)</f>
        <v>0</v>
      </c>
      <c r="AH211" s="5" t="s">
        <v>25</v>
      </c>
      <c r="AI211" s="2">
        <v>3</v>
      </c>
      <c r="AJ211" s="2">
        <v>1.8363702</v>
      </c>
      <c r="AK211" s="2" t="str">
        <f>IF(AND(Table1[[#This Row],[Cplex MD Cost]]=Table1[[#This Row],[ORTools FZN2 Cost]],Table1[[#This Row],[ORTools FZN2 State]]="Optimal",Table1[[#This Row],[Cplex MD State]]="Suboptimal"),1,"")</f>
        <v/>
      </c>
      <c r="AL211" s="4">
        <f>IF(AND(AH211="Optimal",AI211&lt;&gt;AA211,Table1[[#This Row],[Example]]&lt;&gt;"R001",Table1[[#This Row],[Example]]&lt;&gt;"R002"),AI211-AA211,)</f>
        <v>0</v>
      </c>
      <c r="AM211" s="39" t="s">
        <v>25</v>
      </c>
      <c r="AN211" s="39">
        <v>3</v>
      </c>
      <c r="AO211" s="2">
        <v>0.32631510000000002</v>
      </c>
      <c r="AP21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1" s="2" t="str">
        <f>IF(AND(Table1[[#This Row],[Cplex MI Cost]]=Table1[[#This Row],[ORTools FZN2 Cost]],Table1[[#This Row],[ORTools FZN2 State]]="Optimal",Table1[[#This Row],[Cplex MI State]]="Suboptimal"),1,"")</f>
        <v/>
      </c>
      <c r="AR211" s="12" t="s">
        <v>26</v>
      </c>
      <c r="AS211" s="12">
        <v>3</v>
      </c>
      <c r="AT211" s="12">
        <v>4.2685848000000002</v>
      </c>
      <c r="AU211" s="12">
        <f>IF(AND(Table1[[#This Row],[Z3 SMT2-1 Maxres Cost]]=Table1[[#This Row],[ORTools FZN2 Cost]],Table1[[#This Row],[ORTools FZN2 State]]="Optimal"),1,"")</f>
        <v>1</v>
      </c>
      <c r="AV211" s="12" t="s">
        <v>26</v>
      </c>
      <c r="AW211" s="12">
        <v>3</v>
      </c>
      <c r="AX211" s="12">
        <v>4.2706111</v>
      </c>
      <c r="AY211" s="12">
        <f>IF(AND(Table1[[#This Row],[Z3 SMT2-1 PdMaxres Cost]]=Table1[[#This Row],[ORTools FZN2 Cost]],Table1[[#This Row],[ORTools FZN2 State]]="Optimal"),1,"")</f>
        <v>1</v>
      </c>
      <c r="AZ211" s="12" t="s">
        <v>26</v>
      </c>
      <c r="BA211" s="12">
        <v>3</v>
      </c>
      <c r="BB211" s="12">
        <v>4.2711864000000004</v>
      </c>
      <c r="BC211" s="12">
        <f>IF(AND(Table1[[#This Row],[Z3 SMT2-1 WMax Cost]]=Table1[[#This Row],[ORTools FZN2 Cost]],Table1[[#This Row],[ORTools FZN2 State]]="Optimal"),1,"")</f>
        <v>1</v>
      </c>
      <c r="BD211" s="12" t="s">
        <v>26</v>
      </c>
      <c r="BE211" s="12">
        <v>3</v>
      </c>
      <c r="BF211" s="12">
        <v>2.7235236999999999</v>
      </c>
      <c r="BG211" s="12">
        <f>IF(AND(Table1[[#This Row],[Z3 SMT2-2 Maxres Cost]]=Table1[[#This Row],[ORTools FZN2 Cost]],Table1[[#This Row],[ORTools FZN2 State]]="Optimal"),1,"")</f>
        <v>1</v>
      </c>
      <c r="BH211" s="12" t="s">
        <v>26</v>
      </c>
      <c r="BI211" s="12">
        <v>3</v>
      </c>
      <c r="BJ211" s="12">
        <v>2.7504130999999998</v>
      </c>
      <c r="BK211" s="12">
        <f>IF(AND(Table1[[#This Row],[Z3 SMT2-2 PdMaxres Cost]]=Table1[[#This Row],[ORTools FZN2 Cost]],Table1[[#This Row],[ORTools FZN2 State]]="Optimal"),1,"")</f>
        <v>1</v>
      </c>
      <c r="BL211" s="12" t="s">
        <v>26</v>
      </c>
      <c r="BM211" s="12">
        <v>3</v>
      </c>
      <c r="BN211" s="12">
        <v>2.8621178999999999</v>
      </c>
      <c r="BO211" s="11">
        <f>IF(AND(Table1[[#This Row],[Z3 SMT2-2 PdMaxres Cost]]=Table1[[#This Row],[ORTools FZN2 Cost]],Table1[[#This Row],[ORTools FZN2 State]]="Optimal"),1,"")</f>
        <v>1</v>
      </c>
      <c r="BP211" s="5" t="s">
        <v>25</v>
      </c>
      <c r="BQ211" s="2">
        <v>3</v>
      </c>
      <c r="BR211" s="2">
        <v>0.59832589999999997</v>
      </c>
      <c r="BS211" s="2" t="str">
        <f>IF(AND(Table1[[#This Row],[Gurobi MB Cost]]=Table1[[#This Row],[ORTools FZN2 Cost]],Table1[[#This Row],[ORTools FZN2 State]]="Optimal",Table1[[#This Row],[Gurobi MB State]]="Suboptimal"),1,"")</f>
        <v/>
      </c>
      <c r="BT21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1" s="5" t="s">
        <v>25</v>
      </c>
      <c r="BV211" s="2">
        <v>3</v>
      </c>
      <c r="BW211" s="2">
        <v>5.7362557000000001</v>
      </c>
      <c r="BX211" s="2" t="str">
        <f>IF(AND(Table1[[#This Row],[Gurobi MD Cost]]=Table1[[#This Row],[ORTools FZN2 Cost]],Table1[[#This Row],[ORTools FZN2 State]]="Optimal",Table1[[#This Row],[Gurobi MD State]]="Suboptimal"),1,"")</f>
        <v/>
      </c>
      <c r="BY21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1" s="5" t="s">
        <v>25</v>
      </c>
      <c r="CA211" s="2">
        <v>3</v>
      </c>
      <c r="CB211" s="2">
        <v>0.44036419999999998</v>
      </c>
      <c r="CC211" s="2" t="str">
        <f>IF(AND(Table1[[#This Row],[Gurobi MI Cost]]=Table1[[#This Row],[ORTools FZN2 Cost]],Table1[[#This Row],[ORTools FZN2 State]]="Optimal",Table1[[#This Row],[Gurobi MI State]]="Suboptimal"),1,"")</f>
        <v/>
      </c>
      <c r="CD21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1" s="39" t="s">
        <v>42</v>
      </c>
      <c r="CF211" s="2">
        <v>-4369</v>
      </c>
      <c r="CG211" s="39">
        <v>306.03818469999999</v>
      </c>
      <c r="CH211" s="39" t="s">
        <v>42</v>
      </c>
      <c r="CI211" s="39">
        <v>-4369</v>
      </c>
      <c r="CJ211" s="2">
        <v>306.0399286</v>
      </c>
      <c r="CK211" s="5" t="s">
        <v>25</v>
      </c>
      <c r="CL211" s="2">
        <v>3</v>
      </c>
      <c r="CM211" s="2">
        <v>0.17699999999968</v>
      </c>
      <c r="CN211" s="5" t="s">
        <v>25</v>
      </c>
      <c r="CO211" s="2">
        <v>3</v>
      </c>
      <c r="CP211" s="2">
        <v>0.88143919999999998</v>
      </c>
      <c r="CQ211" s="5" t="s">
        <v>25</v>
      </c>
      <c r="CR211" s="2">
        <v>3</v>
      </c>
      <c r="CS211" s="2">
        <v>0.70780889999999996</v>
      </c>
      <c r="CT211" s="6" t="s">
        <v>25</v>
      </c>
      <c r="CU211" s="4">
        <v>3</v>
      </c>
      <c r="CV211" s="4">
        <v>0.74360610000000005</v>
      </c>
      <c r="CW211" s="39" t="s">
        <v>25</v>
      </c>
      <c r="CX211" s="39">
        <v>3</v>
      </c>
      <c r="CY211" s="2">
        <v>1.863</v>
      </c>
      <c r="CZ211" s="2" t="str">
        <f>IF(AND(Table1[[#This Row],[Cplex MZ1 Cost]]=Table1[[#This Row],[ORTools FZN2 Cost]],Table1[[#This Row],[ORTools FZN2 State]]="Optimal",Table1[[#This Row],[Cplex MZ1 State]]="Suboptimal"),1,"")</f>
        <v/>
      </c>
      <c r="DA211" s="5" t="s">
        <v>25</v>
      </c>
      <c r="DB211" s="2">
        <v>3</v>
      </c>
      <c r="DC211" s="2">
        <v>1.0342</v>
      </c>
      <c r="DD211" s="2" t="str">
        <f>IF(AND(Table1[[#This Row],[Cplex MZ2 Cost]]=Table1[[#This Row],[ORTools FZN2 Cost]],Table1[[#This Row],[ORTools FZN2 State]]="Optimal",Table1[[#This Row],[Cplex MZ2 State]]="Suboptimal"),1,"")</f>
        <v/>
      </c>
      <c r="DE211" s="39" t="s">
        <v>25</v>
      </c>
      <c r="DF211" s="39">
        <v>3</v>
      </c>
      <c r="DG211" s="2">
        <v>5.1262999999999996</v>
      </c>
      <c r="DH211" s="2" t="str">
        <f>IF(AND(Table1[[#This Row],[Gurobi MZ1 Cost]]=Table1[[#This Row],[ORTools FZN2 Cost]],Table1[[#This Row],[ORTools FZN2 State]]="Optimal",Table1[[#This Row],[Gurobi MZ1 State]]="Suboptimal"),1,"")</f>
        <v/>
      </c>
      <c r="DI211" s="5" t="s">
        <v>25</v>
      </c>
      <c r="DJ211" s="2">
        <v>3</v>
      </c>
      <c r="DK211" s="2">
        <v>1.9934000000000001</v>
      </c>
      <c r="DL211" s="4" t="str">
        <f>IF(AND(Table1[[#This Row],[Gurobi MZ2 Cost]]=Table1[[#This Row],[ORTools FZN2 Cost]],Table1[[#This Row],[ORTools FZN2 State]]="Optimal",Table1[[#This Row],[Gurobi MZ2 State]]="Suboptimal"),1,"")</f>
        <v/>
      </c>
      <c r="DM211" s="39" t="s">
        <v>25</v>
      </c>
      <c r="DN211" s="39">
        <v>3</v>
      </c>
      <c r="DO211" s="65">
        <v>0.43700000000171701</v>
      </c>
      <c r="DP211" s="4" t="str">
        <f>IF(AND(Table1[[#This Row],[Cplex MC nonDual Cost]]=Table1[[#This Row],[ORTools FZN2 Cost]],Table1[[#This Row],[ORTools FZN2 State]]="Optimal",Table1[[#This Row],[Cplex MC nonDual State]]="Suboptimal"),1,"")</f>
        <v/>
      </c>
      <c r="DQ211" s="5" t="s">
        <v>25</v>
      </c>
      <c r="DR211" s="2">
        <v>3</v>
      </c>
      <c r="DS211" s="2">
        <v>0.85370000000000001</v>
      </c>
      <c r="DT211" s="2" t="str">
        <f>IF(AND(Table1[[#This Row],[Cplex MIP DM''z Cost]]=Table1[[#This Row],[ORTools FZN2 Cost]],Table1[[#This Row],[ORTools FZN2 State]]="Optimal",Table1[[#This Row],[Cplex MIP DM''z  State]]="Suboptimal"),1,"")</f>
        <v/>
      </c>
      <c r="DU21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1" s="5" t="s">
        <v>25</v>
      </c>
      <c r="DW211" s="2">
        <v>3</v>
      </c>
      <c r="DX211" s="2">
        <v>4.5000999999999998</v>
      </c>
      <c r="DY211" s="4" t="str">
        <f>IF(AND(Table1[[#This Row],[Gurobi DM''z  Cost]]=Table1[[#This Row],[ORTools FZN2 Cost]],Table1[[#This Row],[ORTools FZN2 State]]="Optimal",Table1[[#This Row],[Gurobi DM''z  State]]="Suboptimal"),1,"")</f>
        <v/>
      </c>
      <c r="DZ21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2" spans="1:130" ht="15.75" x14ac:dyDescent="0.25">
      <c r="A212" s="46" t="s">
        <v>238</v>
      </c>
      <c r="B212" s="5">
        <v>56</v>
      </c>
      <c r="C212" s="2">
        <v>28</v>
      </c>
      <c r="D212" s="5">
        <v>255</v>
      </c>
      <c r="E212" s="2">
        <v>42</v>
      </c>
      <c r="F212" s="5">
        <v>28</v>
      </c>
      <c r="G212" s="2">
        <v>0</v>
      </c>
      <c r="H212" s="4">
        <f t="shared" si="3"/>
        <v>0</v>
      </c>
      <c r="I212" s="4">
        <f>Table1[[#This Row],[B]]+Table1[[#This Row],[Atomic Constraints]]+Table1[[#This Row],[Soft Atomic Constraints]]+Table1[[#This Row],[Disjunctive Constraints]]+Table1[[#This Row],[Direct Successors]]</f>
        <v>353</v>
      </c>
      <c r="J212" s="5" t="s">
        <v>26</v>
      </c>
      <c r="K212" s="2">
        <v>4094795</v>
      </c>
      <c r="L212" s="2">
        <v>302.3193579</v>
      </c>
      <c r="M212" s="2" t="str">
        <f>IF(AND(Table1[[#This Row],[Chuffed MZ1 Cost]]=Table1[[#This Row],[ORTools FZN2 Cost]],Table1[[#This Row],[ORTools FZN2 State]]="Optimal",Table1[[#This Row],[Chuffed MZ1 State]]="Suboptimal"),1,"")</f>
        <v/>
      </c>
      <c r="N212" s="5" t="s">
        <v>26</v>
      </c>
      <c r="O212" s="2">
        <v>3906352</v>
      </c>
      <c r="P212" s="2">
        <v>302.32147309999999</v>
      </c>
      <c r="Q212" s="2" t="str">
        <f>IF(AND(Table1[[#This Row],[Chuffed MZ2 Cost]]=Table1[[#This Row],[ORTools FZN2 Cost]],Table1[[#This Row],[ORTools FZN2 State]]="Optimal",Table1[[#This Row],[Chuffed MZ2 State]]="Suboptimal"),1,"")</f>
        <v/>
      </c>
      <c r="R212" s="12" t="s">
        <v>26</v>
      </c>
      <c r="S212" s="12">
        <v>715799</v>
      </c>
      <c r="T212" s="12">
        <v>300.02199999999698</v>
      </c>
      <c r="U212" s="12">
        <v>1</v>
      </c>
      <c r="V212" s="5" t="s">
        <v>25</v>
      </c>
      <c r="W212" s="2">
        <v>715799</v>
      </c>
      <c r="X212" s="2">
        <v>36.880246900000003</v>
      </c>
      <c r="Y212" s="2" t="str">
        <f>IF(AND(Table1[[#This Row],[ORTools FZN1 Cost]]=Table1[[#This Row],[ORTools FZN2 Cost]],Table1[[#This Row],[ORTools FZN2 State]]="Optimal",Table1[[#This Row],[ORTools FZN1 State]]="Suboptimal"),1,"")</f>
        <v/>
      </c>
      <c r="Z212" s="5" t="s">
        <v>25</v>
      </c>
      <c r="AA212" s="2">
        <v>715799</v>
      </c>
      <c r="AB212" s="2">
        <v>40.801466900000001</v>
      </c>
      <c r="AC212" s="39" t="s">
        <v>42</v>
      </c>
      <c r="AD212" s="39">
        <v>-178809</v>
      </c>
      <c r="AE212" s="2">
        <v>300.15867400000002</v>
      </c>
      <c r="AF212" s="2" t="str">
        <f>IF(AND(Table1[[#This Row],[Cplex MB Cost]]=Table1[[#This Row],[ORTools FZN2 Cost]],Table1[[#This Row],[ORTools FZN2 State]]="Optimal",Table1[[#This Row],[Cplex MB State]]="Suboptimal"),1,"")</f>
        <v/>
      </c>
      <c r="AG212" s="4">
        <f>IF(AND(AC212="Optimal",AD212&lt;&gt;AA212,Table1[[#This Row],[Example]]&lt;&gt;"R001",Table1[[#This Row],[Example]]&lt;&gt;"R002"),AD212-AA212,)</f>
        <v>0</v>
      </c>
      <c r="AH212" s="5" t="s">
        <v>42</v>
      </c>
      <c r="AI212" s="2">
        <v>-178809</v>
      </c>
      <c r="AJ212" s="2">
        <v>300.21862160000001</v>
      </c>
      <c r="AK212" s="2" t="str">
        <f>IF(AND(Table1[[#This Row],[Cplex MD Cost]]=Table1[[#This Row],[ORTools FZN2 Cost]],Table1[[#This Row],[ORTools FZN2 State]]="Optimal",Table1[[#This Row],[Cplex MD State]]="Suboptimal"),1,"")</f>
        <v/>
      </c>
      <c r="AL212" s="2">
        <f>IF(AND(AH212="Optimal",AI212&lt;&gt;AA212,Table1[[#This Row],[Example]]&lt;&gt;"R001",Table1[[#This Row],[Example]]&lt;&gt;"R002"),AI212-AA212,)</f>
        <v>0</v>
      </c>
      <c r="AM212" s="39" t="s">
        <v>26</v>
      </c>
      <c r="AN212" s="39">
        <v>2309797</v>
      </c>
      <c r="AO212" s="2">
        <v>300.15420360000002</v>
      </c>
      <c r="AP21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2" s="4" t="str">
        <f>IF(AND(Table1[[#This Row],[Cplex MI Cost]]=Table1[[#This Row],[ORTools FZN2 Cost]],Table1[[#This Row],[ORTools FZN2 State]]="Optimal",Table1[[#This Row],[Cplex MI State]]="Suboptimal"),1,"")</f>
        <v/>
      </c>
      <c r="AR212" s="5" t="s">
        <v>42</v>
      </c>
      <c r="AS212" s="2">
        <v>-178809</v>
      </c>
      <c r="AT212" s="2">
        <v>300.06215850000001</v>
      </c>
      <c r="AU212" s="2" t="str">
        <f>IF(AND(Table1[[#This Row],[Z3 SMT2-1 Maxres Cost]]=Table1[[#This Row],[ORTools FZN2 Cost]],Table1[[#This Row],[ORTools FZN2 State]]="Optimal"),1,"")</f>
        <v/>
      </c>
      <c r="AV212" s="39" t="s">
        <v>42</v>
      </c>
      <c r="AW212" s="39">
        <v>-178809</v>
      </c>
      <c r="AX212" s="2">
        <v>300.05802199999999</v>
      </c>
      <c r="AY212" s="2" t="str">
        <f>IF(AND(Table1[[#This Row],[Z3 SMT2-1 PdMaxres Cost]]=Table1[[#This Row],[ORTools FZN2 Cost]],Table1[[#This Row],[ORTools FZN2 State]]="Optimal"),1,"")</f>
        <v/>
      </c>
      <c r="AZ212" s="5" t="s">
        <v>42</v>
      </c>
      <c r="BA212" s="2">
        <v>-178809</v>
      </c>
      <c r="BB212" s="39">
        <v>300.05973719999997</v>
      </c>
      <c r="BC212" s="39" t="str">
        <f>IF(AND(Table1[[#This Row],[Z3 SMT2-1 WMax Cost]]=Table1[[#This Row],[ORTools FZN2 Cost]],Table1[[#This Row],[ORTools FZN2 State]]="Optimal"),1,"")</f>
        <v/>
      </c>
      <c r="BD212" s="39" t="s">
        <v>42</v>
      </c>
      <c r="BE212" s="39">
        <v>-178809</v>
      </c>
      <c r="BF212" s="2">
        <v>300.05159149999997</v>
      </c>
      <c r="BG212" s="2" t="str">
        <f>IF(AND(Table1[[#This Row],[Z3 SMT2-2 Maxres Cost]]=Table1[[#This Row],[ORTools FZN2 Cost]],Table1[[#This Row],[ORTools FZN2 State]]="Optimal"),1,"")</f>
        <v/>
      </c>
      <c r="BH212" s="5" t="s">
        <v>42</v>
      </c>
      <c r="BI212" s="2">
        <v>-178809</v>
      </c>
      <c r="BJ212" s="39">
        <v>300.06309199999998</v>
      </c>
      <c r="BK212" s="39" t="str">
        <f>IF(AND(Table1[[#This Row],[Z3 SMT2-2 PdMaxres Cost]]=Table1[[#This Row],[ORTools FZN2 Cost]],Table1[[#This Row],[ORTools FZN2 State]]="Optimal"),1,"")</f>
        <v/>
      </c>
      <c r="BL212" s="39" t="s">
        <v>42</v>
      </c>
      <c r="BM212" s="39">
        <v>-178809</v>
      </c>
      <c r="BN212" s="2">
        <v>300.05755629999999</v>
      </c>
      <c r="BO212" s="4" t="str">
        <f>IF(AND(Table1[[#This Row],[Z3 SMT2-2 PdMaxres Cost]]=Table1[[#This Row],[ORTools FZN2 Cost]],Table1[[#This Row],[ORTools FZN2 State]]="Optimal"),1,"")</f>
        <v/>
      </c>
      <c r="BP212" s="5" t="s">
        <v>42</v>
      </c>
      <c r="BQ212" s="2">
        <v>-178809</v>
      </c>
      <c r="BR212" s="2">
        <v>300.14745019999998</v>
      </c>
      <c r="BS212" s="2" t="str">
        <f>IF(AND(Table1[[#This Row],[Gurobi MB Cost]]=Table1[[#This Row],[ORTools FZN2 Cost]],Table1[[#This Row],[ORTools FZN2 State]]="Optimal",Table1[[#This Row],[Gurobi MB State]]="Suboptimal"),1,"")</f>
        <v/>
      </c>
      <c r="BT21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2" s="5" t="s">
        <v>42</v>
      </c>
      <c r="BV212" s="2">
        <v>-178809</v>
      </c>
      <c r="BW212" s="2">
        <v>300.2083963</v>
      </c>
      <c r="BX212" s="2" t="str">
        <f>IF(AND(Table1[[#This Row],[Gurobi MD Cost]]=Table1[[#This Row],[ORTools FZN2 Cost]],Table1[[#This Row],[ORTools FZN2 State]]="Optimal",Table1[[#This Row],[Gurobi MD State]]="Suboptimal"),1,"")</f>
        <v/>
      </c>
      <c r="BY21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2" s="5" t="s">
        <v>42</v>
      </c>
      <c r="CA212" s="2">
        <v>-178809</v>
      </c>
      <c r="CB212" s="2">
        <v>300.15918420000003</v>
      </c>
      <c r="CC212" s="2" t="str">
        <f>IF(AND(Table1[[#This Row],[Gurobi MI Cost]]=Table1[[#This Row],[ORTools FZN2 Cost]],Table1[[#This Row],[ORTools FZN2 State]]="Optimal",Table1[[#This Row],[Gurobi MI State]]="Suboptimal"),1,"")</f>
        <v/>
      </c>
      <c r="CD21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2" s="39" t="s">
        <v>42</v>
      </c>
      <c r="CF212" s="2">
        <v>-178809</v>
      </c>
      <c r="CG212" s="39">
        <v>306.14476960000002</v>
      </c>
      <c r="CH212" s="39" t="s">
        <v>42</v>
      </c>
      <c r="CI212" s="39">
        <v>-178809</v>
      </c>
      <c r="CJ212" s="2">
        <v>306.1180177</v>
      </c>
      <c r="CK212" s="5" t="s">
        <v>26</v>
      </c>
      <c r="CL212" s="2">
        <v>715799</v>
      </c>
      <c r="CM212" s="2">
        <v>300.10599999999999</v>
      </c>
      <c r="CN212" s="5" t="s">
        <v>26</v>
      </c>
      <c r="CO212" s="2">
        <v>3543149</v>
      </c>
      <c r="CP212" s="2">
        <v>302.27449159999998</v>
      </c>
      <c r="CQ212" s="5" t="s">
        <v>25</v>
      </c>
      <c r="CR212" s="2">
        <v>715799</v>
      </c>
      <c r="CS212" s="2">
        <v>49.524466799999999</v>
      </c>
      <c r="CT212" s="6" t="s">
        <v>25</v>
      </c>
      <c r="CU212" s="4">
        <v>715799</v>
      </c>
      <c r="CV212" s="4">
        <v>30.4377554</v>
      </c>
      <c r="CW212" s="39" t="s">
        <v>26</v>
      </c>
      <c r="CX212" s="39">
        <v>3538541</v>
      </c>
      <c r="CY212" s="2">
        <v>300.02170000000001</v>
      </c>
      <c r="CZ212" s="2" t="str">
        <f>IF(AND(Table1[[#This Row],[Cplex MZ1 Cost]]=Table1[[#This Row],[ORTools FZN2 Cost]],Table1[[#This Row],[ORTools FZN2 State]]="Optimal",Table1[[#This Row],[Cplex MZ1 State]]="Suboptimal"),1,"")</f>
        <v/>
      </c>
      <c r="DA212" s="5" t="s">
        <v>26</v>
      </c>
      <c r="DB212" s="2">
        <v>1600658</v>
      </c>
      <c r="DC212" s="2">
        <v>300.0231</v>
      </c>
      <c r="DD212" s="2" t="str">
        <f>IF(AND(Table1[[#This Row],[Cplex MZ2 Cost]]=Table1[[#This Row],[ORTools FZN2 Cost]],Table1[[#This Row],[ORTools FZN2 State]]="Optimal",Table1[[#This Row],[Cplex MZ2 State]]="Suboptimal"),1,"")</f>
        <v/>
      </c>
      <c r="DE212" s="39" t="s">
        <v>42</v>
      </c>
      <c r="DF212" s="39"/>
      <c r="DG212" s="2">
        <v>300.20170000000002</v>
      </c>
      <c r="DH212" s="2" t="str">
        <f>IF(AND(Table1[[#This Row],[Gurobi MZ1 Cost]]=Table1[[#This Row],[ORTools FZN2 Cost]],Table1[[#This Row],[ORTools FZN2 State]]="Optimal",Table1[[#This Row],[Gurobi MZ1 State]]="Suboptimal"),1,"")</f>
        <v/>
      </c>
      <c r="DI212" s="5" t="s">
        <v>42</v>
      </c>
      <c r="DJ212" s="2"/>
      <c r="DK212" s="2">
        <v>300.06209999999999</v>
      </c>
      <c r="DL212" s="4" t="str">
        <f>IF(AND(Table1[[#This Row],[Gurobi MZ2 Cost]]=Table1[[#This Row],[ORTools FZN2 Cost]],Table1[[#This Row],[ORTools FZN2 State]]="Optimal",Table1[[#This Row],[Gurobi MZ2 State]]="Suboptimal"),1,"")</f>
        <v/>
      </c>
      <c r="DM212" s="12" t="s">
        <v>26</v>
      </c>
      <c r="DN212" s="12">
        <v>715799</v>
      </c>
      <c r="DO212" s="69">
        <v>300.14199999999897</v>
      </c>
      <c r="DP212" s="11">
        <f>IF(AND(Table1[[#This Row],[Cplex MC nonDual Cost]]=Table1[[#This Row],[ORTools FZN2 Cost]],Table1[[#This Row],[ORTools FZN2 State]]="Optimal",Table1[[#This Row],[Cplex MC nonDual State]]="Suboptimal"),1,"")</f>
        <v>1</v>
      </c>
      <c r="DQ212" s="5" t="s">
        <v>26</v>
      </c>
      <c r="DR212" s="2">
        <v>3014878</v>
      </c>
      <c r="DS212" s="2">
        <v>300.02539999999999</v>
      </c>
      <c r="DT212" s="2" t="str">
        <f>IF(AND(Table1[[#This Row],[Cplex MIP DM''z Cost]]=Table1[[#This Row],[ORTools FZN2 Cost]],Table1[[#This Row],[ORTools FZN2 State]]="Optimal",Table1[[#This Row],[Cplex MIP DM''z  State]]="Suboptimal"),1,"")</f>
        <v/>
      </c>
      <c r="DU21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2" s="5" t="s">
        <v>42</v>
      </c>
      <c r="DW212" s="2"/>
      <c r="DX212" s="2">
        <v>300.00330000000002</v>
      </c>
      <c r="DY212" s="4" t="str">
        <f>IF(AND(Table1[[#This Row],[Gurobi DM''z  Cost]]=Table1[[#This Row],[ORTools FZN2 Cost]],Table1[[#This Row],[ORTools FZN2 State]]="Optimal",Table1[[#This Row],[Gurobi DM''z  State]]="Suboptimal"),1,"")</f>
        <v/>
      </c>
      <c r="DZ21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3" spans="1:130" ht="15.75" x14ac:dyDescent="0.25">
      <c r="A213" s="47" t="s">
        <v>239</v>
      </c>
      <c r="B213" s="5">
        <v>20</v>
      </c>
      <c r="C213" s="2">
        <v>10</v>
      </c>
      <c r="D213" s="5">
        <v>40</v>
      </c>
      <c r="E213" s="2">
        <v>11</v>
      </c>
      <c r="F213" s="5">
        <v>9</v>
      </c>
      <c r="G213" s="2">
        <v>0</v>
      </c>
      <c r="H213" s="4">
        <f t="shared" si="3"/>
        <v>0</v>
      </c>
      <c r="I213" s="4">
        <f>Table1[[#This Row],[B]]+Table1[[#This Row],[Atomic Constraints]]+Table1[[#This Row],[Soft Atomic Constraints]]+Table1[[#This Row],[Disjunctive Constraints]]+Table1[[#This Row],[Direct Successors]]</f>
        <v>70</v>
      </c>
      <c r="J213" s="5" t="s">
        <v>25</v>
      </c>
      <c r="K213" s="2">
        <v>0</v>
      </c>
      <c r="L213" s="2">
        <v>0.93148450000000005</v>
      </c>
      <c r="M213" s="2" t="str">
        <f>IF(AND(Table1[[#This Row],[Chuffed MZ1 Cost]]=Table1[[#This Row],[ORTools FZN2 Cost]],Table1[[#This Row],[ORTools FZN2 State]]="Optimal",Table1[[#This Row],[Chuffed MZ1 State]]="Suboptimal"),1,"")</f>
        <v/>
      </c>
      <c r="N213" s="5" t="s">
        <v>25</v>
      </c>
      <c r="O213" s="2">
        <v>0</v>
      </c>
      <c r="P213" s="2">
        <v>0.86225960000000001</v>
      </c>
      <c r="Q213" s="2" t="str">
        <f>IF(AND(Table1[[#This Row],[Chuffed MZ2 Cost]]=Table1[[#This Row],[ORTools FZN2 Cost]],Table1[[#This Row],[ORTools FZN2 State]]="Optimal",Table1[[#This Row],[Chuffed MZ2 State]]="Suboptimal"),1,"")</f>
        <v/>
      </c>
      <c r="R213" s="5" t="s">
        <v>25</v>
      </c>
      <c r="S213" s="2">
        <v>0</v>
      </c>
      <c r="T213" s="2">
        <v>0.107999999996537</v>
      </c>
      <c r="U213" s="2"/>
      <c r="V213" s="5" t="s">
        <v>25</v>
      </c>
      <c r="W213" s="2">
        <v>0</v>
      </c>
      <c r="X213" s="2">
        <v>0.60000790000000004</v>
      </c>
      <c r="Y213" s="2" t="str">
        <f>IF(AND(Table1[[#This Row],[ORTools FZN1 Cost]]=Table1[[#This Row],[ORTools FZN2 Cost]],Table1[[#This Row],[ORTools FZN2 State]]="Optimal",Table1[[#This Row],[ORTools FZN1 State]]="Suboptimal"),1,"")</f>
        <v/>
      </c>
      <c r="Z213" s="5" t="s">
        <v>25</v>
      </c>
      <c r="AA213" s="2">
        <v>0</v>
      </c>
      <c r="AB213" s="2">
        <v>0.5934353</v>
      </c>
      <c r="AC213" s="39" t="s">
        <v>25</v>
      </c>
      <c r="AD213" s="39">
        <v>0</v>
      </c>
      <c r="AE213" s="2">
        <v>0.29292370000000001</v>
      </c>
      <c r="AF213" s="2" t="str">
        <f>IF(AND(Table1[[#This Row],[Cplex MB Cost]]=Table1[[#This Row],[ORTools FZN2 Cost]],Table1[[#This Row],[ORTools FZN2 State]]="Optimal",Table1[[#This Row],[Cplex MB State]]="Suboptimal"),1,"")</f>
        <v/>
      </c>
      <c r="AG213" s="4">
        <f>IF(AND(AC213="Optimal",AD213&lt;&gt;AA213,Table1[[#This Row],[Example]]&lt;&gt;"R001",Table1[[#This Row],[Example]]&lt;&gt;"R002"),AD213-AA213,)</f>
        <v>0</v>
      </c>
      <c r="AH213" s="5" t="s">
        <v>25</v>
      </c>
      <c r="AI213" s="2">
        <v>0</v>
      </c>
      <c r="AJ213" s="2">
        <v>51.405139800000001</v>
      </c>
      <c r="AK213" s="2" t="str">
        <f>IF(AND(Table1[[#This Row],[Cplex MD Cost]]=Table1[[#This Row],[ORTools FZN2 Cost]],Table1[[#This Row],[ORTools FZN2 State]]="Optimal",Table1[[#This Row],[Cplex MD State]]="Suboptimal"),1,"")</f>
        <v/>
      </c>
      <c r="AL213" s="4">
        <f>IF(AND(AH213="Optimal",AI213&lt;&gt;AA213,Table1[[#This Row],[Example]]&lt;&gt;"R001",Table1[[#This Row],[Example]]&lt;&gt;"R002"),AI213-AA213,)</f>
        <v>0</v>
      </c>
      <c r="AM213" s="39" t="s">
        <v>25</v>
      </c>
      <c r="AN213" s="39">
        <v>0</v>
      </c>
      <c r="AO213" s="2">
        <v>0.72192190000000001</v>
      </c>
      <c r="AP21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3" s="2" t="str">
        <f>IF(AND(Table1[[#This Row],[Cplex MI Cost]]=Table1[[#This Row],[ORTools FZN2 Cost]],Table1[[#This Row],[ORTools FZN2 State]]="Optimal",Table1[[#This Row],[Cplex MI State]]="Suboptimal"),1,"")</f>
        <v/>
      </c>
      <c r="AR213" s="12" t="s">
        <v>26</v>
      </c>
      <c r="AS213" s="12">
        <v>0</v>
      </c>
      <c r="AT213" s="12">
        <v>12.187274499999999</v>
      </c>
      <c r="AU213" s="12">
        <f>IF(AND(Table1[[#This Row],[Z3 SMT2-1 Maxres Cost]]=Table1[[#This Row],[ORTools FZN2 Cost]],Table1[[#This Row],[ORTools FZN2 State]]="Optimal"),1,"")</f>
        <v>1</v>
      </c>
      <c r="AV213" s="12" t="s">
        <v>26</v>
      </c>
      <c r="AW213" s="12">
        <v>0</v>
      </c>
      <c r="AX213" s="12">
        <v>12.3543463</v>
      </c>
      <c r="AY213" s="12">
        <f>IF(AND(Table1[[#This Row],[Z3 SMT2-1 PdMaxres Cost]]=Table1[[#This Row],[ORTools FZN2 Cost]],Table1[[#This Row],[ORTools FZN2 State]]="Optimal"),1,"")</f>
        <v>1</v>
      </c>
      <c r="AZ213" s="12" t="s">
        <v>26</v>
      </c>
      <c r="BA213" s="12">
        <v>0</v>
      </c>
      <c r="BB213" s="12">
        <v>12.2300831</v>
      </c>
      <c r="BC213" s="12">
        <f>IF(AND(Table1[[#This Row],[Z3 SMT2-1 WMax Cost]]=Table1[[#This Row],[ORTools FZN2 Cost]],Table1[[#This Row],[ORTools FZN2 State]]="Optimal"),1,"")</f>
        <v>1</v>
      </c>
      <c r="BD213" s="12" t="s">
        <v>26</v>
      </c>
      <c r="BE213" s="12">
        <v>0</v>
      </c>
      <c r="BF213" s="12">
        <v>11.419150800000001</v>
      </c>
      <c r="BG213" s="12">
        <f>IF(AND(Table1[[#This Row],[Z3 SMT2-2 Maxres Cost]]=Table1[[#This Row],[ORTools FZN2 Cost]],Table1[[#This Row],[ORTools FZN2 State]]="Optimal"),1,"")</f>
        <v>1</v>
      </c>
      <c r="BH213" s="12" t="s">
        <v>26</v>
      </c>
      <c r="BI213" s="12">
        <v>0</v>
      </c>
      <c r="BJ213" s="12">
        <v>11.1855391</v>
      </c>
      <c r="BK213" s="12">
        <f>IF(AND(Table1[[#This Row],[Z3 SMT2-2 PdMaxres Cost]]=Table1[[#This Row],[ORTools FZN2 Cost]],Table1[[#This Row],[ORTools FZN2 State]]="Optimal"),1,"")</f>
        <v>1</v>
      </c>
      <c r="BL213" s="12" t="s">
        <v>26</v>
      </c>
      <c r="BM213" s="12">
        <v>0</v>
      </c>
      <c r="BN213" s="12">
        <v>11.623466799999999</v>
      </c>
      <c r="BO213" s="11">
        <f>IF(AND(Table1[[#This Row],[Z3 SMT2-2 PdMaxres Cost]]=Table1[[#This Row],[ORTools FZN2 Cost]],Table1[[#This Row],[ORTools FZN2 State]]="Optimal"),1,"")</f>
        <v>1</v>
      </c>
      <c r="BP213" s="5" t="s">
        <v>25</v>
      </c>
      <c r="BQ213" s="2">
        <v>0</v>
      </c>
      <c r="BR213" s="2">
        <v>0.50367360000000005</v>
      </c>
      <c r="BS213" s="2" t="str">
        <f>IF(AND(Table1[[#This Row],[Gurobi MB Cost]]=Table1[[#This Row],[ORTools FZN2 Cost]],Table1[[#This Row],[ORTools FZN2 State]]="Optimal",Table1[[#This Row],[Gurobi MB State]]="Suboptimal"),1,"")</f>
        <v/>
      </c>
      <c r="BT21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3" s="5" t="s">
        <v>25</v>
      </c>
      <c r="BV213" s="2">
        <v>0</v>
      </c>
      <c r="BW213" s="2">
        <v>5.554297</v>
      </c>
      <c r="BX213" s="2" t="str">
        <f>IF(AND(Table1[[#This Row],[Gurobi MD Cost]]=Table1[[#This Row],[ORTools FZN2 Cost]],Table1[[#This Row],[ORTools FZN2 State]]="Optimal",Table1[[#This Row],[Gurobi MD State]]="Suboptimal"),1,"")</f>
        <v/>
      </c>
      <c r="BY21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3" s="5" t="s">
        <v>25</v>
      </c>
      <c r="CA213" s="2">
        <v>0</v>
      </c>
      <c r="CB213" s="2">
        <v>0.64698520000000004</v>
      </c>
      <c r="CC213" s="2" t="str">
        <f>IF(AND(Table1[[#This Row],[Gurobi MI Cost]]=Table1[[#This Row],[ORTools FZN2 Cost]],Table1[[#This Row],[ORTools FZN2 State]]="Optimal",Table1[[#This Row],[Gurobi MI State]]="Suboptimal"),1,"")</f>
        <v/>
      </c>
      <c r="CD21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3" s="39" t="s">
        <v>42</v>
      </c>
      <c r="CF213" s="2">
        <v>-8421</v>
      </c>
      <c r="CG213" s="39">
        <v>306.12280850000002</v>
      </c>
      <c r="CH213" s="39" t="s">
        <v>42</v>
      </c>
      <c r="CI213" s="39">
        <v>-8421</v>
      </c>
      <c r="CJ213" s="2">
        <v>305.98712469999998</v>
      </c>
      <c r="CK213" s="5" t="s">
        <v>25</v>
      </c>
      <c r="CL213" s="2">
        <v>0</v>
      </c>
      <c r="CM213" s="2">
        <v>0.138999999999214</v>
      </c>
      <c r="CN213" s="5" t="s">
        <v>25</v>
      </c>
      <c r="CO213" s="2">
        <v>0</v>
      </c>
      <c r="CP213" s="2">
        <v>1.2322082999999999</v>
      </c>
      <c r="CQ213" s="5" t="s">
        <v>25</v>
      </c>
      <c r="CR213" s="2">
        <v>0</v>
      </c>
      <c r="CS213" s="2">
        <v>1.6582425999999999</v>
      </c>
      <c r="CT213" s="6" t="s">
        <v>25</v>
      </c>
      <c r="CU213" s="4">
        <v>0</v>
      </c>
      <c r="CV213" s="4">
        <v>1.3366651000000001</v>
      </c>
      <c r="CW213" s="39" t="s">
        <v>25</v>
      </c>
      <c r="CX213" s="39">
        <v>0</v>
      </c>
      <c r="CY213" s="2">
        <v>1.8413999999999999</v>
      </c>
      <c r="CZ213" s="2" t="str">
        <f>IF(AND(Table1[[#This Row],[Cplex MZ1 Cost]]=Table1[[#This Row],[ORTools FZN2 Cost]],Table1[[#This Row],[ORTools FZN2 State]]="Optimal",Table1[[#This Row],[Cplex MZ1 State]]="Suboptimal"),1,"")</f>
        <v/>
      </c>
      <c r="DA213" s="5" t="s">
        <v>25</v>
      </c>
      <c r="DB213" s="2">
        <v>0</v>
      </c>
      <c r="DC213" s="2">
        <v>0.7278</v>
      </c>
      <c r="DD213" s="2" t="str">
        <f>IF(AND(Table1[[#This Row],[Cplex MZ2 Cost]]=Table1[[#This Row],[ORTools FZN2 Cost]],Table1[[#This Row],[ORTools FZN2 State]]="Optimal",Table1[[#This Row],[Cplex MZ2 State]]="Suboptimal"),1,"")</f>
        <v/>
      </c>
      <c r="DE213" s="39" t="s">
        <v>25</v>
      </c>
      <c r="DF213" s="39">
        <v>0</v>
      </c>
      <c r="DG213" s="2">
        <v>3.47</v>
      </c>
      <c r="DH213" s="2" t="str">
        <f>IF(AND(Table1[[#This Row],[Gurobi MZ1 Cost]]=Table1[[#This Row],[ORTools FZN2 Cost]],Table1[[#This Row],[ORTools FZN2 State]]="Optimal",Table1[[#This Row],[Gurobi MZ1 State]]="Suboptimal"),1,"")</f>
        <v/>
      </c>
      <c r="DI213" s="5" t="s">
        <v>25</v>
      </c>
      <c r="DJ213" s="2">
        <v>0</v>
      </c>
      <c r="DK213" s="2">
        <v>4.3597999999999999</v>
      </c>
      <c r="DL213" s="4" t="str">
        <f>IF(AND(Table1[[#This Row],[Gurobi MZ2 Cost]]=Table1[[#This Row],[ORTools FZN2 Cost]],Table1[[#This Row],[ORTools FZN2 State]]="Optimal",Table1[[#This Row],[Gurobi MZ2 State]]="Suboptimal"),1,"")</f>
        <v/>
      </c>
      <c r="DM213" s="39" t="s">
        <v>25</v>
      </c>
      <c r="DN213" s="39">
        <v>0</v>
      </c>
      <c r="DO213" s="65">
        <v>0.13500000000203699</v>
      </c>
      <c r="DP213" s="4" t="str">
        <f>IF(AND(Table1[[#This Row],[Cplex MC nonDual Cost]]=Table1[[#This Row],[ORTools FZN2 Cost]],Table1[[#This Row],[ORTools FZN2 State]]="Optimal",Table1[[#This Row],[Cplex MC nonDual State]]="Suboptimal"),1,"")</f>
        <v/>
      </c>
      <c r="DQ213" s="5" t="s">
        <v>25</v>
      </c>
      <c r="DR213" s="2">
        <v>0</v>
      </c>
      <c r="DS213" s="2">
        <v>0.95040000000000002</v>
      </c>
      <c r="DT213" s="2" t="str">
        <f>IF(AND(Table1[[#This Row],[Cplex MIP DM''z Cost]]=Table1[[#This Row],[ORTools FZN2 Cost]],Table1[[#This Row],[ORTools FZN2 State]]="Optimal",Table1[[#This Row],[Cplex MIP DM''z  State]]="Suboptimal"),1,"")</f>
        <v/>
      </c>
      <c r="DU21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3" s="5" t="s">
        <v>25</v>
      </c>
      <c r="DW213" s="2">
        <v>0</v>
      </c>
      <c r="DX213" s="2">
        <v>8.0050000000000008</v>
      </c>
      <c r="DY213" s="4" t="str">
        <f>IF(AND(Table1[[#This Row],[Gurobi DM''z  Cost]]=Table1[[#This Row],[ORTools FZN2 Cost]],Table1[[#This Row],[ORTools FZN2 State]]="Optimal",Table1[[#This Row],[Gurobi DM''z  State]]="Suboptimal"),1,"")</f>
        <v/>
      </c>
      <c r="DZ21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4" spans="1:130" ht="15.75" x14ac:dyDescent="0.25">
      <c r="A214" s="46" t="s">
        <v>240</v>
      </c>
      <c r="B214" s="5">
        <v>18</v>
      </c>
      <c r="C214" s="2">
        <v>9</v>
      </c>
      <c r="D214" s="5">
        <v>53</v>
      </c>
      <c r="E214" s="2">
        <v>8</v>
      </c>
      <c r="F214" s="5">
        <v>7</v>
      </c>
      <c r="G214" s="2">
        <v>0</v>
      </c>
      <c r="H214" s="4">
        <f t="shared" si="3"/>
        <v>0</v>
      </c>
      <c r="I214" s="4">
        <f>Table1[[#This Row],[B]]+Table1[[#This Row],[Atomic Constraints]]+Table1[[#This Row],[Soft Atomic Constraints]]+Table1[[#This Row],[Disjunctive Constraints]]+Table1[[#This Row],[Direct Successors]]</f>
        <v>77</v>
      </c>
      <c r="J214" s="5" t="s">
        <v>25</v>
      </c>
      <c r="K214" s="2">
        <v>3</v>
      </c>
      <c r="L214" s="2">
        <v>0.8332465</v>
      </c>
      <c r="M214" s="2" t="str">
        <f>IF(AND(Table1[[#This Row],[Chuffed MZ1 Cost]]=Table1[[#This Row],[ORTools FZN2 Cost]],Table1[[#This Row],[ORTools FZN2 State]]="Optimal",Table1[[#This Row],[Chuffed MZ1 State]]="Suboptimal"),1,"")</f>
        <v/>
      </c>
      <c r="N214" s="5" t="s">
        <v>25</v>
      </c>
      <c r="O214" s="2">
        <v>3</v>
      </c>
      <c r="P214" s="2">
        <v>0.85705019999999998</v>
      </c>
      <c r="Q214" s="2" t="str">
        <f>IF(AND(Table1[[#This Row],[Chuffed MZ2 Cost]]=Table1[[#This Row],[ORTools FZN2 Cost]],Table1[[#This Row],[ORTools FZN2 State]]="Optimal",Table1[[#This Row],[Chuffed MZ2 State]]="Suboptimal"),1,"")</f>
        <v/>
      </c>
      <c r="R214" s="6" t="s">
        <v>25</v>
      </c>
      <c r="S214" s="4">
        <v>3</v>
      </c>
      <c r="T214" s="4">
        <v>0.27100000000064001</v>
      </c>
      <c r="U214" s="4"/>
      <c r="V214" s="5" t="s">
        <v>25</v>
      </c>
      <c r="W214" s="2">
        <v>3</v>
      </c>
      <c r="X214" s="2">
        <v>0.35830849999999997</v>
      </c>
      <c r="Y214" s="2" t="str">
        <f>IF(AND(Table1[[#This Row],[ORTools FZN1 Cost]]=Table1[[#This Row],[ORTools FZN2 Cost]],Table1[[#This Row],[ORTools FZN2 State]]="Optimal",Table1[[#This Row],[ORTools FZN1 State]]="Suboptimal"),1,"")</f>
        <v/>
      </c>
      <c r="Z214" s="5" t="s">
        <v>25</v>
      </c>
      <c r="AA214" s="2">
        <v>3</v>
      </c>
      <c r="AB214" s="2">
        <v>0.38189070000000003</v>
      </c>
      <c r="AC214" s="39" t="s">
        <v>25</v>
      </c>
      <c r="AD214" s="39">
        <v>3</v>
      </c>
      <c r="AE214" s="2">
        <v>1.1758801999999999</v>
      </c>
      <c r="AF214" s="2" t="str">
        <f>IF(AND(Table1[[#This Row],[Cplex MB Cost]]=Table1[[#This Row],[ORTools FZN2 Cost]],Table1[[#This Row],[ORTools FZN2 State]]="Optimal",Table1[[#This Row],[Cplex MB State]]="Suboptimal"),1,"")</f>
        <v/>
      </c>
      <c r="AG214" s="4">
        <f>IF(AND(AC214="Optimal",AD214&lt;&gt;AA214,Table1[[#This Row],[Example]]&lt;&gt;"R001",Table1[[#This Row],[Example]]&lt;&gt;"R002"),AD214-AA214,)</f>
        <v>0</v>
      </c>
      <c r="AH214" s="5" t="s">
        <v>25</v>
      </c>
      <c r="AI214" s="2">
        <v>3</v>
      </c>
      <c r="AJ214" s="2">
        <v>3.708901</v>
      </c>
      <c r="AK214" s="2" t="str">
        <f>IF(AND(Table1[[#This Row],[Cplex MD Cost]]=Table1[[#This Row],[ORTools FZN2 Cost]],Table1[[#This Row],[ORTools FZN2 State]]="Optimal",Table1[[#This Row],[Cplex MD State]]="Suboptimal"),1,"")</f>
        <v/>
      </c>
      <c r="AL214" s="4">
        <f>IF(AND(AH214="Optimal",AI214&lt;&gt;AA214,Table1[[#This Row],[Example]]&lt;&gt;"R001",Table1[[#This Row],[Example]]&lt;&gt;"R002"),AI214-AA214,)</f>
        <v>0</v>
      </c>
      <c r="AM214" s="39" t="s">
        <v>25</v>
      </c>
      <c r="AN214" s="39">
        <v>3</v>
      </c>
      <c r="AO214" s="2">
        <v>0.40538269999999998</v>
      </c>
      <c r="AP21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4" s="4" t="str">
        <f>IF(AND(Table1[[#This Row],[Cplex MI Cost]]=Table1[[#This Row],[ORTools FZN2 Cost]],Table1[[#This Row],[ORTools FZN2 State]]="Optimal",Table1[[#This Row],[Cplex MI State]]="Suboptimal"),1,"")</f>
        <v/>
      </c>
      <c r="AR214" s="12" t="s">
        <v>26</v>
      </c>
      <c r="AS214" s="12">
        <v>3</v>
      </c>
      <c r="AT214" s="12">
        <v>7.6144096000000001</v>
      </c>
      <c r="AU214" s="12">
        <f>IF(AND(Table1[[#This Row],[Z3 SMT2-1 Maxres Cost]]=Table1[[#This Row],[ORTools FZN2 Cost]],Table1[[#This Row],[ORTools FZN2 State]]="Optimal"),1,"")</f>
        <v>1</v>
      </c>
      <c r="AV214" s="12" t="s">
        <v>26</v>
      </c>
      <c r="AW214" s="12">
        <v>3</v>
      </c>
      <c r="AX214" s="12">
        <v>7.7158845999999999</v>
      </c>
      <c r="AY214" s="12">
        <f>IF(AND(Table1[[#This Row],[Z3 SMT2-1 PdMaxres Cost]]=Table1[[#This Row],[ORTools FZN2 Cost]],Table1[[#This Row],[ORTools FZN2 State]]="Optimal"),1,"")</f>
        <v>1</v>
      </c>
      <c r="AZ214" s="12" t="s">
        <v>26</v>
      </c>
      <c r="BA214" s="12">
        <v>3</v>
      </c>
      <c r="BB214" s="12">
        <v>7.6704324000000002</v>
      </c>
      <c r="BC214" s="12">
        <f>IF(AND(Table1[[#This Row],[Z3 SMT2-1 WMax Cost]]=Table1[[#This Row],[ORTools FZN2 Cost]],Table1[[#This Row],[ORTools FZN2 State]]="Optimal"),1,"")</f>
        <v>1</v>
      </c>
      <c r="BD214" s="12" t="s">
        <v>26</v>
      </c>
      <c r="BE214" s="12">
        <v>3</v>
      </c>
      <c r="BF214" s="12">
        <v>5.2718067</v>
      </c>
      <c r="BG214" s="12">
        <f>IF(AND(Table1[[#This Row],[Z3 SMT2-2 Maxres Cost]]=Table1[[#This Row],[ORTools FZN2 Cost]],Table1[[#This Row],[ORTools FZN2 State]]="Optimal"),1,"")</f>
        <v>1</v>
      </c>
      <c r="BH214" s="12" t="s">
        <v>26</v>
      </c>
      <c r="BI214" s="12">
        <v>3</v>
      </c>
      <c r="BJ214" s="12">
        <v>5.2476833999999997</v>
      </c>
      <c r="BK214" s="12">
        <f>IF(AND(Table1[[#This Row],[Z3 SMT2-2 PdMaxres Cost]]=Table1[[#This Row],[ORTools FZN2 Cost]],Table1[[#This Row],[ORTools FZN2 State]]="Optimal"),1,"")</f>
        <v>1</v>
      </c>
      <c r="BL214" s="12" t="s">
        <v>26</v>
      </c>
      <c r="BM214" s="12">
        <v>3</v>
      </c>
      <c r="BN214" s="12">
        <v>5.3621017999999996</v>
      </c>
      <c r="BO214" s="11">
        <f>IF(AND(Table1[[#This Row],[Z3 SMT2-2 PdMaxres Cost]]=Table1[[#This Row],[ORTools FZN2 Cost]],Table1[[#This Row],[ORTools FZN2 State]]="Optimal"),1,"")</f>
        <v>1</v>
      </c>
      <c r="BP214" s="5" t="s">
        <v>25</v>
      </c>
      <c r="BQ214" s="2">
        <v>3</v>
      </c>
      <c r="BR214" s="2">
        <v>0.65717499999999995</v>
      </c>
      <c r="BS214" s="2" t="str">
        <f>IF(AND(Table1[[#This Row],[Gurobi MB Cost]]=Table1[[#This Row],[ORTools FZN2 Cost]],Table1[[#This Row],[ORTools FZN2 State]]="Optimal",Table1[[#This Row],[Gurobi MB State]]="Suboptimal"),1,"")</f>
        <v/>
      </c>
      <c r="BT21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4" s="5" t="s">
        <v>25</v>
      </c>
      <c r="BV214" s="2">
        <v>3</v>
      </c>
      <c r="BW214" s="2">
        <v>6.8087882000000004</v>
      </c>
      <c r="BX214" s="2" t="str">
        <f>IF(AND(Table1[[#This Row],[Gurobi MD Cost]]=Table1[[#This Row],[ORTools FZN2 Cost]],Table1[[#This Row],[ORTools FZN2 State]]="Optimal",Table1[[#This Row],[Gurobi MD State]]="Suboptimal"),1,"")</f>
        <v/>
      </c>
      <c r="BY21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4" s="5" t="s">
        <v>25</v>
      </c>
      <c r="CA214" s="2">
        <v>3</v>
      </c>
      <c r="CB214" s="2">
        <v>0.60150250000000005</v>
      </c>
      <c r="CC214" s="2" t="str">
        <f>IF(AND(Table1[[#This Row],[Gurobi MI Cost]]=Table1[[#This Row],[ORTools FZN2 Cost]],Table1[[#This Row],[ORTools FZN2 State]]="Optimal",Table1[[#This Row],[Gurobi MI State]]="Suboptimal"),1,"")</f>
        <v/>
      </c>
      <c r="CD21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4" s="39" t="s">
        <v>42</v>
      </c>
      <c r="CF214" s="2">
        <v>-6175</v>
      </c>
      <c r="CG214" s="39">
        <v>306.06500190000003</v>
      </c>
      <c r="CH214" s="39" t="s">
        <v>42</v>
      </c>
      <c r="CI214" s="39">
        <v>-6175</v>
      </c>
      <c r="CJ214" s="2">
        <v>306.03605690000001</v>
      </c>
      <c r="CK214" s="5" t="s">
        <v>25</v>
      </c>
      <c r="CL214" s="2">
        <v>3</v>
      </c>
      <c r="CM214" s="2">
        <v>0.29499999999825399</v>
      </c>
      <c r="CN214" s="5" t="s">
        <v>25</v>
      </c>
      <c r="CO214" s="2">
        <v>3</v>
      </c>
      <c r="CP214" s="2">
        <v>0.97639450000000005</v>
      </c>
      <c r="CQ214" s="5" t="s">
        <v>25</v>
      </c>
      <c r="CR214" s="2">
        <v>3</v>
      </c>
      <c r="CS214" s="2">
        <v>0.92998479999999994</v>
      </c>
      <c r="CT214" s="6" t="s">
        <v>25</v>
      </c>
      <c r="CU214" s="4">
        <v>3</v>
      </c>
      <c r="CV214" s="4">
        <v>1.0395460999999999</v>
      </c>
      <c r="CW214" s="39" t="s">
        <v>25</v>
      </c>
      <c r="CX214" s="39">
        <v>3</v>
      </c>
      <c r="CY214" s="2">
        <v>1.1928000000000001</v>
      </c>
      <c r="CZ214" s="2" t="str">
        <f>IF(AND(Table1[[#This Row],[Cplex MZ1 Cost]]=Table1[[#This Row],[ORTools FZN2 Cost]],Table1[[#This Row],[ORTools FZN2 State]]="Optimal",Table1[[#This Row],[Cplex MZ1 State]]="Suboptimal"),1,"")</f>
        <v/>
      </c>
      <c r="DA214" s="5" t="s">
        <v>25</v>
      </c>
      <c r="DB214" s="2">
        <v>3</v>
      </c>
      <c r="DC214" s="2">
        <v>1.6363000000000001</v>
      </c>
      <c r="DD214" s="2" t="str">
        <f>IF(AND(Table1[[#This Row],[Cplex MZ2 Cost]]=Table1[[#This Row],[ORTools FZN2 Cost]],Table1[[#This Row],[ORTools FZN2 State]]="Optimal",Table1[[#This Row],[Cplex MZ2 State]]="Suboptimal"),1,"")</f>
        <v/>
      </c>
      <c r="DE214" s="39" t="s">
        <v>25</v>
      </c>
      <c r="DF214" s="39">
        <v>3</v>
      </c>
      <c r="DG214" s="2">
        <v>3.1732</v>
      </c>
      <c r="DH214" s="2" t="str">
        <f>IF(AND(Table1[[#This Row],[Gurobi MZ1 Cost]]=Table1[[#This Row],[ORTools FZN2 Cost]],Table1[[#This Row],[ORTools FZN2 State]]="Optimal",Table1[[#This Row],[Gurobi MZ1 State]]="Suboptimal"),1,"")</f>
        <v/>
      </c>
      <c r="DI214" s="5" t="s">
        <v>25</v>
      </c>
      <c r="DJ214" s="2">
        <v>3</v>
      </c>
      <c r="DK214" s="2">
        <v>4.0537000000000001</v>
      </c>
      <c r="DL214" s="4" t="str">
        <f>IF(AND(Table1[[#This Row],[Gurobi MZ2 Cost]]=Table1[[#This Row],[ORTools FZN2 Cost]],Table1[[#This Row],[ORTools FZN2 State]]="Optimal",Table1[[#This Row],[Gurobi MZ2 State]]="Suboptimal"),1,"")</f>
        <v/>
      </c>
      <c r="DM214" s="39" t="s">
        <v>25</v>
      </c>
      <c r="DN214" s="39">
        <v>3</v>
      </c>
      <c r="DO214" s="65">
        <v>0.57400000000052298</v>
      </c>
      <c r="DP214" s="4" t="str">
        <f>IF(AND(Table1[[#This Row],[Cplex MC nonDual Cost]]=Table1[[#This Row],[ORTools FZN2 Cost]],Table1[[#This Row],[ORTools FZN2 State]]="Optimal",Table1[[#This Row],[Cplex MC nonDual State]]="Suboptimal"),1,"")</f>
        <v/>
      </c>
      <c r="DQ214" s="5" t="s">
        <v>25</v>
      </c>
      <c r="DR214" s="2">
        <v>3</v>
      </c>
      <c r="DS214" s="2">
        <v>0.85929999999999995</v>
      </c>
      <c r="DT214" s="2" t="str">
        <f>IF(AND(Table1[[#This Row],[Cplex MIP DM''z Cost]]=Table1[[#This Row],[ORTools FZN2 Cost]],Table1[[#This Row],[ORTools FZN2 State]]="Optimal",Table1[[#This Row],[Cplex MIP DM''z  State]]="Suboptimal"),1,"")</f>
        <v/>
      </c>
      <c r="DU21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4" s="5" t="s">
        <v>25</v>
      </c>
      <c r="DW214" s="2">
        <v>3</v>
      </c>
      <c r="DX214" s="2">
        <v>3.8081999999999998</v>
      </c>
      <c r="DY214" s="4" t="str">
        <f>IF(AND(Table1[[#This Row],[Gurobi DM''z  Cost]]=Table1[[#This Row],[ORTools FZN2 Cost]],Table1[[#This Row],[ORTools FZN2 State]]="Optimal",Table1[[#This Row],[Gurobi DM''z  State]]="Suboptimal"),1,"")</f>
        <v/>
      </c>
      <c r="DZ21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5" spans="1:130" ht="15.75" x14ac:dyDescent="0.25">
      <c r="A215" s="47" t="s">
        <v>241</v>
      </c>
      <c r="B215" s="5">
        <v>70</v>
      </c>
      <c r="C215" s="2">
        <v>35</v>
      </c>
      <c r="D215" s="5">
        <v>540</v>
      </c>
      <c r="E215" s="2">
        <v>46</v>
      </c>
      <c r="F215" s="5">
        <v>80</v>
      </c>
      <c r="G215" s="2">
        <v>2</v>
      </c>
      <c r="H215" s="4">
        <f t="shared" si="3"/>
        <v>0</v>
      </c>
      <c r="I215" s="4">
        <f>Table1[[#This Row],[B]]+Table1[[#This Row],[Atomic Constraints]]+Table1[[#This Row],[Soft Atomic Constraints]]+Table1[[#This Row],[Disjunctive Constraints]]+Table1[[#This Row],[Direct Successors]]</f>
        <v>703</v>
      </c>
      <c r="J215" s="5" t="s">
        <v>26</v>
      </c>
      <c r="K215" s="2">
        <v>9346772</v>
      </c>
      <c r="L215" s="2">
        <v>303.42724520000002</v>
      </c>
      <c r="M215" s="2" t="str">
        <f>IF(AND(Table1[[#This Row],[Chuffed MZ1 Cost]]=Table1[[#This Row],[ORTools FZN2 Cost]],Table1[[#This Row],[ORTools FZN2 State]]="Optimal",Table1[[#This Row],[Chuffed MZ1 State]]="Suboptimal"),1,"")</f>
        <v/>
      </c>
      <c r="N215" s="5" t="s">
        <v>26</v>
      </c>
      <c r="O215" s="2">
        <v>8313512</v>
      </c>
      <c r="P215" s="2">
        <v>303.39061129999999</v>
      </c>
      <c r="Q215" s="2" t="str">
        <f>IF(AND(Table1[[#This Row],[Chuffed MZ2 Cost]]=Table1[[#This Row],[ORTools FZN2 Cost]],Table1[[#This Row],[ORTools FZN2 State]]="Optimal",Table1[[#This Row],[Chuffed MZ2 State]]="Suboptimal"),1,"")</f>
        <v/>
      </c>
      <c r="R215" s="6" t="s">
        <v>25</v>
      </c>
      <c r="S215" s="4">
        <v>0</v>
      </c>
      <c r="T215" s="4">
        <v>1.8590000000003799</v>
      </c>
      <c r="U215" s="4"/>
      <c r="V215" s="5" t="s">
        <v>25</v>
      </c>
      <c r="W215" s="2">
        <v>0</v>
      </c>
      <c r="X215" s="2">
        <v>124.3611911</v>
      </c>
      <c r="Y215" s="2" t="str">
        <f>IF(AND(Table1[[#This Row],[ORTools FZN1 Cost]]=Table1[[#This Row],[ORTools FZN2 Cost]],Table1[[#This Row],[ORTools FZN2 State]]="Optimal",Table1[[#This Row],[ORTools FZN1 State]]="Suboptimal"),1,"")</f>
        <v/>
      </c>
      <c r="Z215" s="5" t="s">
        <v>25</v>
      </c>
      <c r="AA215" s="2">
        <v>0</v>
      </c>
      <c r="AB215" s="2">
        <v>95.211131399999999</v>
      </c>
      <c r="AC215" s="39" t="s">
        <v>42</v>
      </c>
      <c r="AD215" s="39">
        <v>-347971</v>
      </c>
      <c r="AE215" s="2">
        <v>300.16193029999999</v>
      </c>
      <c r="AF215" s="2" t="str">
        <f>IF(AND(Table1[[#This Row],[Cplex MB Cost]]=Table1[[#This Row],[ORTools FZN2 Cost]],Table1[[#This Row],[ORTools FZN2 State]]="Optimal",Table1[[#This Row],[Cplex MB State]]="Suboptimal"),1,"")</f>
        <v/>
      </c>
      <c r="AG215" s="4">
        <f>IF(AND(AC215="Optimal",AD215&lt;&gt;AA215,Table1[[#This Row],[Example]]&lt;&gt;"R001",Table1[[#This Row],[Example]]&lt;&gt;"R002"),AD215-AA215,)</f>
        <v>0</v>
      </c>
      <c r="AH215" s="5" t="s">
        <v>42</v>
      </c>
      <c r="AI215" s="2">
        <v>-347971</v>
      </c>
      <c r="AJ215" s="2">
        <v>300.55347769999997</v>
      </c>
      <c r="AK215" s="2" t="str">
        <f>IF(AND(Table1[[#This Row],[Cplex MD Cost]]=Table1[[#This Row],[ORTools FZN2 Cost]],Table1[[#This Row],[ORTools FZN2 State]]="Optimal",Table1[[#This Row],[Cplex MD State]]="Suboptimal"),1,"")</f>
        <v/>
      </c>
      <c r="AL215" s="4">
        <f>IF(AND(AH215="Optimal",AI215&lt;&gt;AA215,Table1[[#This Row],[Example]]&lt;&gt;"R001",Table1[[#This Row],[Example]]&lt;&gt;"R002"),AI215-AA215,)</f>
        <v>0</v>
      </c>
      <c r="AM215" s="39" t="s">
        <v>25</v>
      </c>
      <c r="AN215" s="39">
        <v>0</v>
      </c>
      <c r="AO215" s="2">
        <v>29.084672699999999</v>
      </c>
      <c r="AP21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5" s="4" t="str">
        <f>IF(AND(Table1[[#This Row],[Cplex MI Cost]]=Table1[[#This Row],[ORTools FZN2 Cost]],Table1[[#This Row],[ORTools FZN2 State]]="Optimal",Table1[[#This Row],[Cplex MI State]]="Suboptimal"),1,"")</f>
        <v/>
      </c>
      <c r="AR215" s="5" t="s">
        <v>42</v>
      </c>
      <c r="AS215" s="2">
        <v>-347971</v>
      </c>
      <c r="AT215" s="2">
        <v>300.06912820000002</v>
      </c>
      <c r="AU215" s="2" t="str">
        <f>IF(AND(Table1[[#This Row],[Z3 SMT2-1 Maxres Cost]]=Table1[[#This Row],[ORTools FZN2 Cost]],Table1[[#This Row],[ORTools FZN2 State]]="Optimal"),1,"")</f>
        <v/>
      </c>
      <c r="AV215" s="39" t="s">
        <v>42</v>
      </c>
      <c r="AW215" s="39">
        <v>-347971</v>
      </c>
      <c r="AX215" s="2">
        <v>300.0696848</v>
      </c>
      <c r="AY215" s="2" t="str">
        <f>IF(AND(Table1[[#This Row],[Z3 SMT2-1 PdMaxres Cost]]=Table1[[#This Row],[ORTools FZN2 Cost]],Table1[[#This Row],[ORTools FZN2 State]]="Optimal"),1,"")</f>
        <v/>
      </c>
      <c r="AZ215" s="5" t="s">
        <v>42</v>
      </c>
      <c r="BA215" s="2">
        <v>-347971</v>
      </c>
      <c r="BB215" s="39">
        <v>300.07954549999999</v>
      </c>
      <c r="BC215" s="39" t="str">
        <f>IF(AND(Table1[[#This Row],[Z3 SMT2-1 WMax Cost]]=Table1[[#This Row],[ORTools FZN2 Cost]],Table1[[#This Row],[ORTools FZN2 State]]="Optimal"),1,"")</f>
        <v/>
      </c>
      <c r="BD215" s="39" t="s">
        <v>42</v>
      </c>
      <c r="BE215" s="39">
        <v>-347971</v>
      </c>
      <c r="BF215" s="2">
        <v>300.06520590000002</v>
      </c>
      <c r="BG215" s="2" t="str">
        <f>IF(AND(Table1[[#This Row],[Z3 SMT2-2 Maxres Cost]]=Table1[[#This Row],[ORTools FZN2 Cost]],Table1[[#This Row],[ORTools FZN2 State]]="Optimal"),1,"")</f>
        <v/>
      </c>
      <c r="BH215" s="5" t="s">
        <v>42</v>
      </c>
      <c r="BI215" s="2">
        <v>-347971</v>
      </c>
      <c r="BJ215" s="39">
        <v>300.0696744</v>
      </c>
      <c r="BK215" s="39" t="str">
        <f>IF(AND(Table1[[#This Row],[Z3 SMT2-2 PdMaxres Cost]]=Table1[[#This Row],[ORTools FZN2 Cost]],Table1[[#This Row],[ORTools FZN2 State]]="Optimal"),1,"")</f>
        <v/>
      </c>
      <c r="BL215" s="39" t="s">
        <v>42</v>
      </c>
      <c r="BM215" s="39">
        <v>-347971</v>
      </c>
      <c r="BN215" s="2">
        <v>300.06866580000002</v>
      </c>
      <c r="BO215" s="4" t="str">
        <f>IF(AND(Table1[[#This Row],[Z3 SMT2-2 PdMaxres Cost]]=Table1[[#This Row],[ORTools FZN2 Cost]],Table1[[#This Row],[ORTools FZN2 State]]="Optimal"),1,"")</f>
        <v/>
      </c>
      <c r="BP215" s="5" t="s">
        <v>42</v>
      </c>
      <c r="BQ215" s="2">
        <v>-347971</v>
      </c>
      <c r="BR215" s="2">
        <v>300.1598717</v>
      </c>
      <c r="BS215" s="2" t="str">
        <f>IF(AND(Table1[[#This Row],[Gurobi MB Cost]]=Table1[[#This Row],[ORTools FZN2 Cost]],Table1[[#This Row],[ORTools FZN2 State]]="Optimal",Table1[[#This Row],[Gurobi MB State]]="Suboptimal"),1,"")</f>
        <v/>
      </c>
      <c r="BT21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5" s="5" t="s">
        <v>42</v>
      </c>
      <c r="BV215" s="2">
        <v>-347971</v>
      </c>
      <c r="BW215" s="2">
        <v>300.01532350000002</v>
      </c>
      <c r="BX215" s="2" t="str">
        <f>IF(AND(Table1[[#This Row],[Gurobi MD Cost]]=Table1[[#This Row],[ORTools FZN2 Cost]],Table1[[#This Row],[ORTools FZN2 State]]="Optimal",Table1[[#This Row],[Gurobi MD State]]="Suboptimal"),1,"")</f>
        <v/>
      </c>
      <c r="BY21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5" s="5" t="s">
        <v>42</v>
      </c>
      <c r="CA215" s="2">
        <v>-347971</v>
      </c>
      <c r="CB215" s="2">
        <v>300.13872140000001</v>
      </c>
      <c r="CC215" s="2" t="str">
        <f>IF(AND(Table1[[#This Row],[Gurobi MI Cost]]=Table1[[#This Row],[ORTools FZN2 Cost]],Table1[[#This Row],[ORTools FZN2 State]]="Optimal",Table1[[#This Row],[Gurobi MI State]]="Suboptimal"),1,"")</f>
        <v/>
      </c>
      <c r="CD21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5" s="39" t="s">
        <v>42</v>
      </c>
      <c r="CF215" s="2">
        <v>-347971</v>
      </c>
      <c r="CG215" s="39">
        <v>306.2139406</v>
      </c>
      <c r="CH215" s="39" t="s">
        <v>42</v>
      </c>
      <c r="CI215" s="39">
        <v>-347971</v>
      </c>
      <c r="CJ215" s="2">
        <v>306.16159119999998</v>
      </c>
      <c r="CK215" s="5" t="s">
        <v>25</v>
      </c>
      <c r="CL215" s="2">
        <v>0</v>
      </c>
      <c r="CM215" s="2">
        <v>1.15100000000166</v>
      </c>
      <c r="CN215" s="5" t="s">
        <v>26</v>
      </c>
      <c r="CO215" s="2">
        <v>11748618</v>
      </c>
      <c r="CP215" s="2">
        <v>303.2048982</v>
      </c>
      <c r="CQ215" s="5" t="s">
        <v>25</v>
      </c>
      <c r="CR215" s="2">
        <v>0</v>
      </c>
      <c r="CS215" s="2">
        <v>83.586346700000007</v>
      </c>
      <c r="CT215" s="6" t="s">
        <v>25</v>
      </c>
      <c r="CU215" s="4">
        <v>0</v>
      </c>
      <c r="CV215" s="4">
        <v>41.294874299999996</v>
      </c>
      <c r="CW215" s="39" t="s">
        <v>42</v>
      </c>
      <c r="CX215" s="39"/>
      <c r="CY215" s="2">
        <v>300.01929999999999</v>
      </c>
      <c r="CZ215" s="2" t="str">
        <f>IF(AND(Table1[[#This Row],[Cplex MZ1 Cost]]=Table1[[#This Row],[ORTools FZN2 Cost]],Table1[[#This Row],[ORTools FZN2 State]]="Optimal",Table1[[#This Row],[Cplex MZ1 State]]="Suboptimal"),1,"")</f>
        <v/>
      </c>
      <c r="DA215" s="5" t="s">
        <v>42</v>
      </c>
      <c r="DB215" s="2"/>
      <c r="DC215" s="2">
        <v>300.0274</v>
      </c>
      <c r="DD215" s="2" t="str">
        <f>IF(AND(Table1[[#This Row],[Cplex MZ2 Cost]]=Table1[[#This Row],[ORTools FZN2 Cost]],Table1[[#This Row],[ORTools FZN2 State]]="Optimal",Table1[[#This Row],[Cplex MZ2 State]]="Suboptimal"),1,"")</f>
        <v/>
      </c>
      <c r="DE215" s="39" t="s">
        <v>42</v>
      </c>
      <c r="DF215" s="39"/>
      <c r="DG215" s="2">
        <v>300.01220000000001</v>
      </c>
      <c r="DH215" s="2" t="str">
        <f>IF(AND(Table1[[#This Row],[Gurobi MZ1 Cost]]=Table1[[#This Row],[ORTools FZN2 Cost]],Table1[[#This Row],[ORTools FZN2 State]]="Optimal",Table1[[#This Row],[Gurobi MZ1 State]]="Suboptimal"),1,"")</f>
        <v/>
      </c>
      <c r="DI215" s="5" t="s">
        <v>42</v>
      </c>
      <c r="DJ215" s="2"/>
      <c r="DK215" s="2">
        <v>300.00900000000001</v>
      </c>
      <c r="DL215" s="4" t="str">
        <f>IF(AND(Table1[[#This Row],[Gurobi MZ2 Cost]]=Table1[[#This Row],[ORTools FZN2 Cost]],Table1[[#This Row],[ORTools FZN2 State]]="Optimal",Table1[[#This Row],[Gurobi MZ2 State]]="Suboptimal"),1,"")</f>
        <v/>
      </c>
      <c r="DM215" s="39" t="s">
        <v>25</v>
      </c>
      <c r="DN215" s="39">
        <v>0</v>
      </c>
      <c r="DO215" s="65">
        <v>10.380999999997499</v>
      </c>
      <c r="DP215" s="4" t="str">
        <f>IF(AND(Table1[[#This Row],[Cplex MC nonDual Cost]]=Table1[[#This Row],[ORTools FZN2 Cost]],Table1[[#This Row],[ORTools FZN2 State]]="Optimal",Table1[[#This Row],[Cplex MC nonDual State]]="Suboptimal"),1,"")</f>
        <v/>
      </c>
      <c r="DQ215" s="5" t="s">
        <v>42</v>
      </c>
      <c r="DR215" s="2"/>
      <c r="DS215" s="2">
        <v>300.02769999999998</v>
      </c>
      <c r="DT215" s="2" t="str">
        <f>IF(AND(Table1[[#This Row],[Cplex MIP DM''z Cost]]=Table1[[#This Row],[ORTools FZN2 Cost]],Table1[[#This Row],[ORTools FZN2 State]]="Optimal",Table1[[#This Row],[Cplex MIP DM''z  State]]="Suboptimal"),1,"")</f>
        <v/>
      </c>
      <c r="DU21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5" s="5" t="s">
        <v>42</v>
      </c>
      <c r="DW215" s="2"/>
      <c r="DX215" s="2">
        <v>300.32</v>
      </c>
      <c r="DY215" s="4" t="str">
        <f>IF(AND(Table1[[#This Row],[Gurobi DM''z  Cost]]=Table1[[#This Row],[ORTools FZN2 Cost]],Table1[[#This Row],[ORTools FZN2 State]]="Optimal",Table1[[#This Row],[Gurobi DM''z  State]]="Suboptimal"),1,"")</f>
        <v/>
      </c>
      <c r="DZ21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6" spans="1:130" ht="15.75" x14ac:dyDescent="0.25">
      <c r="A216" s="46" t="s">
        <v>242</v>
      </c>
      <c r="B216" s="5">
        <v>34</v>
      </c>
      <c r="C216" s="2">
        <v>17</v>
      </c>
      <c r="D216" s="5">
        <v>93</v>
      </c>
      <c r="E216" s="2">
        <v>23</v>
      </c>
      <c r="F216" s="5">
        <v>25</v>
      </c>
      <c r="G216" s="2">
        <v>0</v>
      </c>
      <c r="H216" s="4">
        <f t="shared" si="3"/>
        <v>0</v>
      </c>
      <c r="I216" s="4">
        <f>Table1[[#This Row],[B]]+Table1[[#This Row],[Atomic Constraints]]+Table1[[#This Row],[Soft Atomic Constraints]]+Table1[[#This Row],[Disjunctive Constraints]]+Table1[[#This Row],[Direct Successors]]</f>
        <v>158</v>
      </c>
      <c r="J216" s="5" t="s">
        <v>25</v>
      </c>
      <c r="K216" s="2">
        <v>0</v>
      </c>
      <c r="L216" s="2">
        <v>1.6958945999999999</v>
      </c>
      <c r="M216" s="2" t="str">
        <f>IF(AND(Table1[[#This Row],[Chuffed MZ1 Cost]]=Table1[[#This Row],[ORTools FZN2 Cost]],Table1[[#This Row],[ORTools FZN2 State]]="Optimal",Table1[[#This Row],[Chuffed MZ1 State]]="Suboptimal"),1,"")</f>
        <v/>
      </c>
      <c r="N216" s="5" t="s">
        <v>25</v>
      </c>
      <c r="O216" s="2">
        <v>0</v>
      </c>
      <c r="P216" s="2">
        <v>19.973328500000001</v>
      </c>
      <c r="Q216" s="2" t="str">
        <f>IF(AND(Table1[[#This Row],[Chuffed MZ2 Cost]]=Table1[[#This Row],[ORTools FZN2 Cost]],Table1[[#This Row],[ORTools FZN2 State]]="Optimal",Table1[[#This Row],[Chuffed MZ2 State]]="Suboptimal"),1,"")</f>
        <v/>
      </c>
      <c r="R216" s="5" t="s">
        <v>25</v>
      </c>
      <c r="S216" s="2">
        <v>0</v>
      </c>
      <c r="T216" s="2">
        <v>0.38600000000224099</v>
      </c>
      <c r="U216" s="2"/>
      <c r="V216" s="5" t="s">
        <v>25</v>
      </c>
      <c r="W216" s="2">
        <v>0</v>
      </c>
      <c r="X216" s="2">
        <v>4.5425715000000002</v>
      </c>
      <c r="Y216" s="2" t="str">
        <f>IF(AND(Table1[[#This Row],[ORTools FZN1 Cost]]=Table1[[#This Row],[ORTools FZN2 Cost]],Table1[[#This Row],[ORTools FZN2 State]]="Optimal",Table1[[#This Row],[ORTools FZN1 State]]="Suboptimal"),1,"")</f>
        <v/>
      </c>
      <c r="Z216" s="5" t="s">
        <v>25</v>
      </c>
      <c r="AA216" s="2">
        <v>0</v>
      </c>
      <c r="AB216" s="2">
        <v>3.8645820999999998</v>
      </c>
      <c r="AC216" s="39" t="s">
        <v>25</v>
      </c>
      <c r="AD216" s="39">
        <v>0</v>
      </c>
      <c r="AE216" s="2">
        <v>14.9198165</v>
      </c>
      <c r="AF216" s="2" t="str">
        <f>IF(AND(Table1[[#This Row],[Cplex MB Cost]]=Table1[[#This Row],[ORTools FZN2 Cost]],Table1[[#This Row],[ORTools FZN2 State]]="Optimal",Table1[[#This Row],[Cplex MB State]]="Suboptimal"),1,"")</f>
        <v/>
      </c>
      <c r="AG216" s="4">
        <f>IF(AND(AC216="Optimal",AD216&lt;&gt;AA216,Table1[[#This Row],[Example]]&lt;&gt;"R001",Table1[[#This Row],[Example]]&lt;&gt;"R002"),AD216-AA216,)</f>
        <v>0</v>
      </c>
      <c r="AH216" s="5" t="s">
        <v>26</v>
      </c>
      <c r="AI216" s="2">
        <v>160008</v>
      </c>
      <c r="AJ216" s="2">
        <v>300.16719499999999</v>
      </c>
      <c r="AK216" s="2" t="str">
        <f>IF(AND(Table1[[#This Row],[Cplex MD Cost]]=Table1[[#This Row],[ORTools FZN2 Cost]],Table1[[#This Row],[ORTools FZN2 State]]="Optimal",Table1[[#This Row],[Cplex MD State]]="Suboptimal"),1,"")</f>
        <v/>
      </c>
      <c r="AL216" s="2">
        <f>IF(AND(AH216="Optimal",AI216&lt;&gt;AA216,Table1[[#This Row],[Example]]&lt;&gt;"R001",Table1[[#This Row],[Example]]&lt;&gt;"R002"),AI216-AA216,)</f>
        <v>0</v>
      </c>
      <c r="AM216" s="39" t="s">
        <v>25</v>
      </c>
      <c r="AN216" s="39">
        <v>0</v>
      </c>
      <c r="AO216" s="2">
        <v>2.7198882000000002</v>
      </c>
      <c r="AP21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6" s="4" t="str">
        <f>IF(AND(Table1[[#This Row],[Cplex MI Cost]]=Table1[[#This Row],[ORTools FZN2 Cost]],Table1[[#This Row],[ORTools FZN2 State]]="Optimal",Table1[[#This Row],[Cplex MI State]]="Suboptimal"),1,"")</f>
        <v/>
      </c>
      <c r="AR216" s="5" t="s">
        <v>42</v>
      </c>
      <c r="AS216" s="2">
        <v>-40495</v>
      </c>
      <c r="AT216" s="2">
        <v>300.04308300000002</v>
      </c>
      <c r="AU216" s="2" t="str">
        <f>IF(AND(Table1[[#This Row],[Z3 SMT2-1 Maxres Cost]]=Table1[[#This Row],[ORTools FZN2 Cost]],Table1[[#This Row],[ORTools FZN2 State]]="Optimal"),1,"")</f>
        <v/>
      </c>
      <c r="AV216" s="39" t="s">
        <v>42</v>
      </c>
      <c r="AW216" s="39">
        <v>-40495</v>
      </c>
      <c r="AX216" s="2">
        <v>300.0430599</v>
      </c>
      <c r="AY216" s="2" t="str">
        <f>IF(AND(Table1[[#This Row],[Z3 SMT2-1 PdMaxres Cost]]=Table1[[#This Row],[ORTools FZN2 Cost]],Table1[[#This Row],[ORTools FZN2 State]]="Optimal"),1,"")</f>
        <v/>
      </c>
      <c r="AZ216" s="5" t="s">
        <v>42</v>
      </c>
      <c r="BA216" s="2">
        <v>-40495</v>
      </c>
      <c r="BB216" s="39">
        <v>300.04574280000003</v>
      </c>
      <c r="BC216" s="39" t="str">
        <f>IF(AND(Table1[[#This Row],[Z3 SMT2-1 WMax Cost]]=Table1[[#This Row],[ORTools FZN2 Cost]],Table1[[#This Row],[ORTools FZN2 State]]="Optimal"),1,"")</f>
        <v/>
      </c>
      <c r="BD216" s="39" t="s">
        <v>42</v>
      </c>
      <c r="BE216" s="39">
        <v>-40495</v>
      </c>
      <c r="BF216" s="2">
        <v>300.0452052</v>
      </c>
      <c r="BG216" s="2" t="str">
        <f>IF(AND(Table1[[#This Row],[Z3 SMT2-2 Maxres Cost]]=Table1[[#This Row],[ORTools FZN2 Cost]],Table1[[#This Row],[ORTools FZN2 State]]="Optimal"),1,"")</f>
        <v/>
      </c>
      <c r="BH216" s="5" t="s">
        <v>42</v>
      </c>
      <c r="BI216" s="2">
        <v>-40495</v>
      </c>
      <c r="BJ216" s="39">
        <v>300.04328190000001</v>
      </c>
      <c r="BK216" s="39" t="str">
        <f>IF(AND(Table1[[#This Row],[Z3 SMT2-2 PdMaxres Cost]]=Table1[[#This Row],[ORTools FZN2 Cost]],Table1[[#This Row],[ORTools FZN2 State]]="Optimal"),1,"")</f>
        <v/>
      </c>
      <c r="BL216" s="39" t="s">
        <v>42</v>
      </c>
      <c r="BM216" s="39">
        <v>-40495</v>
      </c>
      <c r="BN216" s="2">
        <v>300.04769700000003</v>
      </c>
      <c r="BO216" s="4" t="str">
        <f>IF(AND(Table1[[#This Row],[Z3 SMT2-2 PdMaxres Cost]]=Table1[[#This Row],[ORTools FZN2 Cost]],Table1[[#This Row],[ORTools FZN2 State]]="Optimal"),1,"")</f>
        <v/>
      </c>
      <c r="BP216" s="5" t="s">
        <v>25</v>
      </c>
      <c r="BQ216" s="2">
        <v>0</v>
      </c>
      <c r="BR216" s="2">
        <v>4.5486212000000004</v>
      </c>
      <c r="BS216" s="2" t="str">
        <f>IF(AND(Table1[[#This Row],[Gurobi MB Cost]]=Table1[[#This Row],[ORTools FZN2 Cost]],Table1[[#This Row],[ORTools FZN2 State]]="Optimal",Table1[[#This Row],[Gurobi MB State]]="Suboptimal"),1,"")</f>
        <v/>
      </c>
      <c r="BT21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6" s="5" t="s">
        <v>25</v>
      </c>
      <c r="BV216" s="2">
        <v>0</v>
      </c>
      <c r="BW216" s="2">
        <v>112.8734609</v>
      </c>
      <c r="BX216" s="2" t="str">
        <f>IF(AND(Table1[[#This Row],[Gurobi MD Cost]]=Table1[[#This Row],[ORTools FZN2 Cost]],Table1[[#This Row],[ORTools FZN2 State]]="Optimal",Table1[[#This Row],[Gurobi MD State]]="Suboptimal"),1,"")</f>
        <v/>
      </c>
      <c r="BY21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6" s="5" t="s">
        <v>25</v>
      </c>
      <c r="CA216" s="2">
        <v>0</v>
      </c>
      <c r="CB216" s="2">
        <v>34.002964599999999</v>
      </c>
      <c r="CC216" s="2" t="str">
        <f>IF(AND(Table1[[#This Row],[Gurobi MI Cost]]=Table1[[#This Row],[ORTools FZN2 Cost]],Table1[[#This Row],[ORTools FZN2 State]]="Optimal",Table1[[#This Row],[Gurobi MI State]]="Suboptimal"),1,"")</f>
        <v/>
      </c>
      <c r="CD21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6" s="39" t="s">
        <v>42</v>
      </c>
      <c r="CF216" s="2">
        <v>-40495</v>
      </c>
      <c r="CG216" s="39">
        <v>305.99449199999998</v>
      </c>
      <c r="CH216" s="39" t="s">
        <v>42</v>
      </c>
      <c r="CI216" s="39">
        <v>-40495</v>
      </c>
      <c r="CJ216" s="2">
        <v>306.0977153</v>
      </c>
      <c r="CK216" s="5" t="s">
        <v>25</v>
      </c>
      <c r="CL216" s="2">
        <v>0</v>
      </c>
      <c r="CM216" s="2">
        <v>0.269000000000233</v>
      </c>
      <c r="CN216" s="5" t="s">
        <v>26</v>
      </c>
      <c r="CO216" s="2">
        <v>606680</v>
      </c>
      <c r="CP216" s="2">
        <v>301.25948640000001</v>
      </c>
      <c r="CQ216" s="5" t="s">
        <v>25</v>
      </c>
      <c r="CR216" s="2">
        <v>0</v>
      </c>
      <c r="CS216" s="2">
        <v>9.5721609000000001</v>
      </c>
      <c r="CT216" s="6" t="s">
        <v>25</v>
      </c>
      <c r="CU216" s="4">
        <v>0</v>
      </c>
      <c r="CV216" s="4">
        <v>6.6535267999999999</v>
      </c>
      <c r="CW216" s="39" t="s">
        <v>25</v>
      </c>
      <c r="CX216" s="39">
        <v>0</v>
      </c>
      <c r="CY216" s="2">
        <v>123.88630000000001</v>
      </c>
      <c r="CZ216" s="2" t="str">
        <f>IF(AND(Table1[[#This Row],[Cplex MZ1 Cost]]=Table1[[#This Row],[ORTools FZN2 Cost]],Table1[[#This Row],[ORTools FZN2 State]]="Optimal",Table1[[#This Row],[Cplex MZ1 State]]="Suboptimal"),1,"")</f>
        <v/>
      </c>
      <c r="DA216" s="5" t="s">
        <v>25</v>
      </c>
      <c r="DB216" s="2">
        <v>0</v>
      </c>
      <c r="DC216" s="2">
        <v>137.6397</v>
      </c>
      <c r="DD216" s="2" t="str">
        <f>IF(AND(Table1[[#This Row],[Cplex MZ2 Cost]]=Table1[[#This Row],[ORTools FZN2 Cost]],Table1[[#This Row],[ORTools FZN2 State]]="Optimal",Table1[[#This Row],[Cplex MZ2 State]]="Suboptimal"),1,"")</f>
        <v/>
      </c>
      <c r="DE216" s="39" t="s">
        <v>25</v>
      </c>
      <c r="DF216" s="39">
        <v>0</v>
      </c>
      <c r="DG216" s="2">
        <v>131.54740000000001</v>
      </c>
      <c r="DH216" s="2" t="str">
        <f>IF(AND(Table1[[#This Row],[Gurobi MZ1 Cost]]=Table1[[#This Row],[ORTools FZN2 Cost]],Table1[[#This Row],[ORTools FZN2 State]]="Optimal",Table1[[#This Row],[Gurobi MZ1 State]]="Suboptimal"),1,"")</f>
        <v/>
      </c>
      <c r="DI216" s="5" t="s">
        <v>25</v>
      </c>
      <c r="DJ216" s="2">
        <v>0</v>
      </c>
      <c r="DK216" s="2">
        <v>91.843400000000003</v>
      </c>
      <c r="DL216" s="4" t="str">
        <f>IF(AND(Table1[[#This Row],[Gurobi MZ2 Cost]]=Table1[[#This Row],[ORTools FZN2 Cost]],Table1[[#This Row],[ORTools FZN2 State]]="Optimal",Table1[[#This Row],[Gurobi MZ2 State]]="Suboptimal"),1,"")</f>
        <v/>
      </c>
      <c r="DM216" s="39" t="s">
        <v>25</v>
      </c>
      <c r="DN216" s="39">
        <v>0</v>
      </c>
      <c r="DO216" s="65">
        <v>1.35200000000259</v>
      </c>
      <c r="DP216" s="4" t="str">
        <f>IF(AND(Table1[[#This Row],[Cplex MC nonDual Cost]]=Table1[[#This Row],[ORTools FZN2 Cost]],Table1[[#This Row],[ORTools FZN2 State]]="Optimal",Table1[[#This Row],[Cplex MC nonDual State]]="Suboptimal"),1,"")</f>
        <v/>
      </c>
      <c r="DQ216" s="5" t="s">
        <v>25</v>
      </c>
      <c r="DR216" s="2">
        <v>0</v>
      </c>
      <c r="DS216" s="2">
        <v>44.936100000000003</v>
      </c>
      <c r="DT216" s="2" t="str">
        <f>IF(AND(Table1[[#This Row],[Cplex MIP DM''z Cost]]=Table1[[#This Row],[ORTools FZN2 Cost]],Table1[[#This Row],[ORTools FZN2 State]]="Optimal",Table1[[#This Row],[Cplex MIP DM''z  State]]="Suboptimal"),1,"")</f>
        <v/>
      </c>
      <c r="DU21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6" s="5" t="s">
        <v>25</v>
      </c>
      <c r="DW216" s="2">
        <v>0</v>
      </c>
      <c r="DX216" s="2">
        <v>154.08500000000001</v>
      </c>
      <c r="DY216" s="4" t="str">
        <f>IF(AND(Table1[[#This Row],[Gurobi DM''z  Cost]]=Table1[[#This Row],[ORTools FZN2 Cost]],Table1[[#This Row],[ORTools FZN2 State]]="Optimal",Table1[[#This Row],[Gurobi DM''z  State]]="Suboptimal"),1,"")</f>
        <v/>
      </c>
      <c r="DZ21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7" spans="1:130" ht="15.75" x14ac:dyDescent="0.25">
      <c r="A217" s="47" t="s">
        <v>243</v>
      </c>
      <c r="B217" s="5">
        <v>20</v>
      </c>
      <c r="C217" s="2">
        <v>10</v>
      </c>
      <c r="D217" s="5">
        <v>48</v>
      </c>
      <c r="E217" s="2">
        <v>3</v>
      </c>
      <c r="F217" s="5">
        <v>9</v>
      </c>
      <c r="G217" s="2">
        <v>0</v>
      </c>
      <c r="H217" s="4">
        <f t="shared" si="3"/>
        <v>0</v>
      </c>
      <c r="I217" s="4">
        <f>Table1[[#This Row],[B]]+Table1[[#This Row],[Atomic Constraints]]+Table1[[#This Row],[Soft Atomic Constraints]]+Table1[[#This Row],[Disjunctive Constraints]]+Table1[[#This Row],[Direct Successors]]</f>
        <v>70</v>
      </c>
      <c r="J217" s="5" t="s">
        <v>25</v>
      </c>
      <c r="K217" s="2">
        <v>0</v>
      </c>
      <c r="L217" s="2">
        <v>0.91023529999999997</v>
      </c>
      <c r="M217" s="2" t="str">
        <f>IF(AND(Table1[[#This Row],[Chuffed MZ1 Cost]]=Table1[[#This Row],[ORTools FZN2 Cost]],Table1[[#This Row],[ORTools FZN2 State]]="Optimal",Table1[[#This Row],[Chuffed MZ1 State]]="Suboptimal"),1,"")</f>
        <v/>
      </c>
      <c r="N217" s="5" t="s">
        <v>25</v>
      </c>
      <c r="O217" s="2">
        <v>0</v>
      </c>
      <c r="P217" s="2">
        <v>3.8180352000000002</v>
      </c>
      <c r="Q217" s="2" t="str">
        <f>IF(AND(Table1[[#This Row],[Chuffed MZ2 Cost]]=Table1[[#This Row],[ORTools FZN2 Cost]],Table1[[#This Row],[ORTools FZN2 State]]="Optimal",Table1[[#This Row],[Chuffed MZ2 State]]="Suboptimal"),1,"")</f>
        <v/>
      </c>
      <c r="R217" s="5" t="s">
        <v>25</v>
      </c>
      <c r="S217" s="2">
        <v>0</v>
      </c>
      <c r="T217" s="2">
        <v>0.108000000000175</v>
      </c>
      <c r="U217" s="2"/>
      <c r="V217" s="5" t="s">
        <v>25</v>
      </c>
      <c r="W217" s="2">
        <v>0</v>
      </c>
      <c r="X217" s="2">
        <v>0.49374170000000001</v>
      </c>
      <c r="Y217" s="2" t="str">
        <f>IF(AND(Table1[[#This Row],[ORTools FZN1 Cost]]=Table1[[#This Row],[ORTools FZN2 Cost]],Table1[[#This Row],[ORTools FZN2 State]]="Optimal",Table1[[#This Row],[ORTools FZN1 State]]="Suboptimal"),1,"")</f>
        <v/>
      </c>
      <c r="Z217" s="5" t="s">
        <v>25</v>
      </c>
      <c r="AA217" s="2">
        <v>0</v>
      </c>
      <c r="AB217" s="2">
        <v>0.47272330000000001</v>
      </c>
      <c r="AC217" s="39" t="s">
        <v>25</v>
      </c>
      <c r="AD217" s="39">
        <v>0</v>
      </c>
      <c r="AE217" s="2">
        <v>0.30103200000000002</v>
      </c>
      <c r="AF217" s="2" t="str">
        <f>IF(AND(Table1[[#This Row],[Cplex MB Cost]]=Table1[[#This Row],[ORTools FZN2 Cost]],Table1[[#This Row],[ORTools FZN2 State]]="Optimal",Table1[[#This Row],[Cplex MB State]]="Suboptimal"),1,"")</f>
        <v/>
      </c>
      <c r="AG217" s="4">
        <f>IF(AND(AC217="Optimal",AD217&lt;&gt;AA217,Table1[[#This Row],[Example]]&lt;&gt;"R001",Table1[[#This Row],[Example]]&lt;&gt;"R002"),AD217-AA217,)</f>
        <v>0</v>
      </c>
      <c r="AH217" s="5" t="s">
        <v>25</v>
      </c>
      <c r="AI217" s="2">
        <v>0</v>
      </c>
      <c r="AJ217" s="2">
        <v>5.431584</v>
      </c>
      <c r="AK217" s="2" t="str">
        <f>IF(AND(Table1[[#This Row],[Cplex MD Cost]]=Table1[[#This Row],[ORTools FZN2 Cost]],Table1[[#This Row],[ORTools FZN2 State]]="Optimal",Table1[[#This Row],[Cplex MD State]]="Suboptimal"),1,"")</f>
        <v/>
      </c>
      <c r="AL217" s="4">
        <f>IF(AND(AH217="Optimal",AI217&lt;&gt;AA217,Table1[[#This Row],[Example]]&lt;&gt;"R001",Table1[[#This Row],[Example]]&lt;&gt;"R002"),AI217-AA217,)</f>
        <v>0</v>
      </c>
      <c r="AM217" s="39" t="s">
        <v>25</v>
      </c>
      <c r="AN217" s="39">
        <v>0</v>
      </c>
      <c r="AO217" s="2">
        <v>0.62404269999999995</v>
      </c>
      <c r="AP21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7" s="2" t="str">
        <f>IF(AND(Table1[[#This Row],[Cplex MI Cost]]=Table1[[#This Row],[ORTools FZN2 Cost]],Table1[[#This Row],[ORTools FZN2 State]]="Optimal",Table1[[#This Row],[Cplex MI State]]="Suboptimal"),1,"")</f>
        <v/>
      </c>
      <c r="AR217" s="12" t="s">
        <v>26</v>
      </c>
      <c r="AS217" s="12">
        <v>0</v>
      </c>
      <c r="AT217" s="12">
        <v>9.9430557000000004</v>
      </c>
      <c r="AU217" s="12">
        <f>IF(AND(Table1[[#This Row],[Z3 SMT2-1 Maxres Cost]]=Table1[[#This Row],[ORTools FZN2 Cost]],Table1[[#This Row],[ORTools FZN2 State]]="Optimal"),1,"")</f>
        <v>1</v>
      </c>
      <c r="AV217" s="12" t="s">
        <v>26</v>
      </c>
      <c r="AW217" s="12">
        <v>0</v>
      </c>
      <c r="AX217" s="12">
        <v>10.099646</v>
      </c>
      <c r="AY217" s="12">
        <f>IF(AND(Table1[[#This Row],[Z3 SMT2-1 PdMaxres Cost]]=Table1[[#This Row],[ORTools FZN2 Cost]],Table1[[#This Row],[ORTools FZN2 State]]="Optimal"),1,"")</f>
        <v>1</v>
      </c>
      <c r="AZ217" s="12" t="s">
        <v>26</v>
      </c>
      <c r="BA217" s="12">
        <v>0</v>
      </c>
      <c r="BB217" s="12">
        <v>9.4339426</v>
      </c>
      <c r="BC217" s="12">
        <f>IF(AND(Table1[[#This Row],[Z3 SMT2-1 WMax Cost]]=Table1[[#This Row],[ORTools FZN2 Cost]],Table1[[#This Row],[ORTools FZN2 State]]="Optimal"),1,"")</f>
        <v>1</v>
      </c>
      <c r="BD217" s="12" t="s">
        <v>26</v>
      </c>
      <c r="BE217" s="12">
        <v>0</v>
      </c>
      <c r="BF217" s="12">
        <v>5.1089941000000003</v>
      </c>
      <c r="BG217" s="12">
        <f>IF(AND(Table1[[#This Row],[Z3 SMT2-2 Maxres Cost]]=Table1[[#This Row],[ORTools FZN2 Cost]],Table1[[#This Row],[ORTools FZN2 State]]="Optimal"),1,"")</f>
        <v>1</v>
      </c>
      <c r="BH217" s="12" t="s">
        <v>26</v>
      </c>
      <c r="BI217" s="12">
        <v>0</v>
      </c>
      <c r="BJ217" s="12">
        <v>5.2167522000000002</v>
      </c>
      <c r="BK217" s="12">
        <f>IF(AND(Table1[[#This Row],[Z3 SMT2-2 PdMaxres Cost]]=Table1[[#This Row],[ORTools FZN2 Cost]],Table1[[#This Row],[ORTools FZN2 State]]="Optimal"),1,"")</f>
        <v>1</v>
      </c>
      <c r="BL217" s="12" t="s">
        <v>26</v>
      </c>
      <c r="BM217" s="12">
        <v>0</v>
      </c>
      <c r="BN217" s="12">
        <v>5.2442289000000004</v>
      </c>
      <c r="BO217" s="11">
        <f>IF(AND(Table1[[#This Row],[Z3 SMT2-2 PdMaxres Cost]]=Table1[[#This Row],[ORTools FZN2 Cost]],Table1[[#This Row],[ORTools FZN2 State]]="Optimal"),1,"")</f>
        <v>1</v>
      </c>
      <c r="BP217" s="5" t="s">
        <v>25</v>
      </c>
      <c r="BQ217" s="2">
        <v>0</v>
      </c>
      <c r="BR217" s="2">
        <v>0.47286869999999998</v>
      </c>
      <c r="BS217" s="2" t="str">
        <f>IF(AND(Table1[[#This Row],[Gurobi MB Cost]]=Table1[[#This Row],[ORTools FZN2 Cost]],Table1[[#This Row],[ORTools FZN2 State]]="Optimal",Table1[[#This Row],[Gurobi MB State]]="Suboptimal"),1,"")</f>
        <v/>
      </c>
      <c r="BT21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7" s="5" t="s">
        <v>25</v>
      </c>
      <c r="BV217" s="2">
        <v>0</v>
      </c>
      <c r="BW217" s="2">
        <v>2.3084780999999999</v>
      </c>
      <c r="BX217" s="2" t="str">
        <f>IF(AND(Table1[[#This Row],[Gurobi MD Cost]]=Table1[[#This Row],[ORTools FZN2 Cost]],Table1[[#This Row],[ORTools FZN2 State]]="Optimal",Table1[[#This Row],[Gurobi MD State]]="Suboptimal"),1,"")</f>
        <v/>
      </c>
      <c r="BY21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7" s="5" t="s">
        <v>25</v>
      </c>
      <c r="CA217" s="2">
        <v>0</v>
      </c>
      <c r="CB217" s="2">
        <v>0.62656999999999996</v>
      </c>
      <c r="CC217" s="2" t="str">
        <f>IF(AND(Table1[[#This Row],[Gurobi MI Cost]]=Table1[[#This Row],[ORTools FZN2 Cost]],Table1[[#This Row],[ORTools FZN2 State]]="Optimal",Table1[[#This Row],[Gurobi MI State]]="Suboptimal"),1,"")</f>
        <v/>
      </c>
      <c r="CD21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7" s="39" t="s">
        <v>42</v>
      </c>
      <c r="CF217" s="2">
        <v>-8421</v>
      </c>
      <c r="CG217" s="39">
        <v>306.06037500000002</v>
      </c>
      <c r="CH217" s="39" t="s">
        <v>42</v>
      </c>
      <c r="CI217" s="39">
        <v>-8421</v>
      </c>
      <c r="CJ217" s="2">
        <v>306.03184349999998</v>
      </c>
      <c r="CK217" s="5" t="s">
        <v>25</v>
      </c>
      <c r="CL217" s="2">
        <v>0</v>
      </c>
      <c r="CM217" s="2">
        <v>0.12900000000081499</v>
      </c>
      <c r="CN217" s="5" t="s">
        <v>25</v>
      </c>
      <c r="CO217" s="2">
        <v>0</v>
      </c>
      <c r="CP217" s="2">
        <v>1.3644311</v>
      </c>
      <c r="CQ217" s="5" t="s">
        <v>25</v>
      </c>
      <c r="CR217" s="2">
        <v>0</v>
      </c>
      <c r="CS217" s="2">
        <v>1.3028949999999999</v>
      </c>
      <c r="CT217" s="6" t="s">
        <v>25</v>
      </c>
      <c r="CU217" s="4">
        <v>0</v>
      </c>
      <c r="CV217" s="4">
        <v>1.3537520999999999</v>
      </c>
      <c r="CW217" s="39" t="s">
        <v>25</v>
      </c>
      <c r="CX217" s="39">
        <v>0</v>
      </c>
      <c r="CY217" s="2">
        <v>1.3258000000000001</v>
      </c>
      <c r="CZ217" s="2" t="str">
        <f>IF(AND(Table1[[#This Row],[Cplex MZ1 Cost]]=Table1[[#This Row],[ORTools FZN2 Cost]],Table1[[#This Row],[ORTools FZN2 State]]="Optimal",Table1[[#This Row],[Cplex MZ1 State]]="Suboptimal"),1,"")</f>
        <v/>
      </c>
      <c r="DA217" s="5" t="s">
        <v>25</v>
      </c>
      <c r="DB217" s="2">
        <v>0</v>
      </c>
      <c r="DC217" s="2">
        <v>2.3622999999999998</v>
      </c>
      <c r="DD217" s="2" t="str">
        <f>IF(AND(Table1[[#This Row],[Cplex MZ2 Cost]]=Table1[[#This Row],[ORTools FZN2 Cost]],Table1[[#This Row],[ORTools FZN2 State]]="Optimal",Table1[[#This Row],[Cplex MZ2 State]]="Suboptimal"),1,"")</f>
        <v/>
      </c>
      <c r="DE217" s="39" t="s">
        <v>25</v>
      </c>
      <c r="DF217" s="39">
        <v>0</v>
      </c>
      <c r="DG217" s="2">
        <v>4.0636000000000001</v>
      </c>
      <c r="DH217" s="2" t="str">
        <f>IF(AND(Table1[[#This Row],[Gurobi MZ1 Cost]]=Table1[[#This Row],[ORTools FZN2 Cost]],Table1[[#This Row],[ORTools FZN2 State]]="Optimal",Table1[[#This Row],[Gurobi MZ1 State]]="Suboptimal"),1,"")</f>
        <v/>
      </c>
      <c r="DI217" s="5" t="s">
        <v>25</v>
      </c>
      <c r="DJ217" s="2">
        <v>0</v>
      </c>
      <c r="DK217" s="2">
        <v>2.3431999999999999</v>
      </c>
      <c r="DL217" s="4" t="str">
        <f>IF(AND(Table1[[#This Row],[Gurobi MZ2 Cost]]=Table1[[#This Row],[ORTools FZN2 Cost]],Table1[[#This Row],[ORTools FZN2 State]]="Optimal",Table1[[#This Row],[Gurobi MZ2 State]]="Suboptimal"),1,"")</f>
        <v/>
      </c>
      <c r="DM217" s="39" t="s">
        <v>25</v>
      </c>
      <c r="DN217" s="39">
        <v>0</v>
      </c>
      <c r="DO217" s="65">
        <v>9.5000000001164098E-2</v>
      </c>
      <c r="DP217" s="4" t="str">
        <f>IF(AND(Table1[[#This Row],[Cplex MC nonDual Cost]]=Table1[[#This Row],[ORTools FZN2 Cost]],Table1[[#This Row],[ORTools FZN2 State]]="Optimal",Table1[[#This Row],[Cplex MC nonDual State]]="Suboptimal"),1,"")</f>
        <v/>
      </c>
      <c r="DQ217" s="5" t="s">
        <v>25</v>
      </c>
      <c r="DR217" s="2">
        <v>0</v>
      </c>
      <c r="DS217" s="2">
        <v>0.57979999999999998</v>
      </c>
      <c r="DT217" s="2" t="str">
        <f>IF(AND(Table1[[#This Row],[Cplex MIP DM''z Cost]]=Table1[[#This Row],[ORTools FZN2 Cost]],Table1[[#This Row],[ORTools FZN2 State]]="Optimal",Table1[[#This Row],[Cplex MIP DM''z  State]]="Suboptimal"),1,"")</f>
        <v/>
      </c>
      <c r="DU21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7" s="5" t="s">
        <v>25</v>
      </c>
      <c r="DW217" s="2">
        <v>0</v>
      </c>
      <c r="DX217" s="2">
        <v>0.63790000000000002</v>
      </c>
      <c r="DY217" s="4" t="str">
        <f>IF(AND(Table1[[#This Row],[Gurobi DM''z  Cost]]=Table1[[#This Row],[ORTools FZN2 Cost]],Table1[[#This Row],[ORTools FZN2 State]]="Optimal",Table1[[#This Row],[Gurobi DM''z  State]]="Suboptimal"),1,"")</f>
        <v/>
      </c>
      <c r="DZ21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8" spans="1:130" ht="15.75" x14ac:dyDescent="0.25">
      <c r="A218" s="46" t="s">
        <v>244</v>
      </c>
      <c r="B218" s="5">
        <v>20</v>
      </c>
      <c r="C218" s="2">
        <v>10</v>
      </c>
      <c r="D218" s="5">
        <v>48</v>
      </c>
      <c r="E218" s="2">
        <v>3</v>
      </c>
      <c r="F218" s="5">
        <v>0</v>
      </c>
      <c r="G218" s="2">
        <v>0</v>
      </c>
      <c r="H218" s="4">
        <f t="shared" si="3"/>
        <v>0</v>
      </c>
      <c r="I218" s="4">
        <f>Table1[[#This Row],[B]]+Table1[[#This Row],[Atomic Constraints]]+Table1[[#This Row],[Soft Atomic Constraints]]+Table1[[#This Row],[Disjunctive Constraints]]+Table1[[#This Row],[Direct Successors]]</f>
        <v>61</v>
      </c>
      <c r="J218" s="5" t="s">
        <v>25</v>
      </c>
      <c r="K218" s="2">
        <v>0</v>
      </c>
      <c r="L218" s="2">
        <v>1.7253201</v>
      </c>
      <c r="M218" s="2" t="str">
        <f>IF(AND(Table1[[#This Row],[Chuffed MZ1 Cost]]=Table1[[#This Row],[ORTools FZN2 Cost]],Table1[[#This Row],[ORTools FZN2 State]]="Optimal",Table1[[#This Row],[Chuffed MZ1 State]]="Suboptimal"),1,"")</f>
        <v/>
      </c>
      <c r="N218" s="5" t="s">
        <v>25</v>
      </c>
      <c r="O218" s="2">
        <v>0</v>
      </c>
      <c r="P218" s="2">
        <v>1.5436647999999999</v>
      </c>
      <c r="Q218" s="2" t="str">
        <f>IF(AND(Table1[[#This Row],[Chuffed MZ2 Cost]]=Table1[[#This Row],[ORTools FZN2 Cost]],Table1[[#This Row],[ORTools FZN2 State]]="Optimal",Table1[[#This Row],[Chuffed MZ2 State]]="Suboptimal"),1,"")</f>
        <v/>
      </c>
      <c r="R218" s="6" t="s">
        <v>25</v>
      </c>
      <c r="S218" s="4">
        <v>0</v>
      </c>
      <c r="T218" s="4">
        <v>0.108000000000175</v>
      </c>
      <c r="U218" s="4"/>
      <c r="V218" s="5" t="s">
        <v>25</v>
      </c>
      <c r="W218" s="2">
        <v>0</v>
      </c>
      <c r="X218" s="2">
        <v>0.4761919</v>
      </c>
      <c r="Y218" s="2" t="str">
        <f>IF(AND(Table1[[#This Row],[ORTools FZN1 Cost]]=Table1[[#This Row],[ORTools FZN2 Cost]],Table1[[#This Row],[ORTools FZN2 State]]="Optimal",Table1[[#This Row],[ORTools FZN1 State]]="Suboptimal"),1,"")</f>
        <v/>
      </c>
      <c r="Z218" s="5" t="s">
        <v>25</v>
      </c>
      <c r="AA218" s="2">
        <v>0</v>
      </c>
      <c r="AB218" s="2">
        <v>0.49663249999999998</v>
      </c>
      <c r="AC218" s="39" t="s">
        <v>25</v>
      </c>
      <c r="AD218" s="39">
        <v>0</v>
      </c>
      <c r="AE218" s="2">
        <v>0.27322419999999997</v>
      </c>
      <c r="AF218" s="2" t="str">
        <f>IF(AND(Table1[[#This Row],[Cplex MB Cost]]=Table1[[#This Row],[ORTools FZN2 Cost]],Table1[[#This Row],[ORTools FZN2 State]]="Optimal",Table1[[#This Row],[Cplex MB State]]="Suboptimal"),1,"")</f>
        <v/>
      </c>
      <c r="AG218" s="4">
        <f>IF(AND(AC218="Optimal",AD218&lt;&gt;AA218,Table1[[#This Row],[Example]]&lt;&gt;"R001",Table1[[#This Row],[Example]]&lt;&gt;"R002"),AD218-AA218,)</f>
        <v>0</v>
      </c>
      <c r="AH218" s="5" t="s">
        <v>25</v>
      </c>
      <c r="AI218" s="2">
        <v>0</v>
      </c>
      <c r="AJ218" s="2">
        <v>6.9552819000000001</v>
      </c>
      <c r="AK218" s="2" t="str">
        <f>IF(AND(Table1[[#This Row],[Cplex MD Cost]]=Table1[[#This Row],[ORTools FZN2 Cost]],Table1[[#This Row],[ORTools FZN2 State]]="Optimal",Table1[[#This Row],[Cplex MD State]]="Suboptimal"),1,"")</f>
        <v/>
      </c>
      <c r="AL218" s="4">
        <f>IF(AND(AH218="Optimal",AI218&lt;&gt;AA218,Table1[[#This Row],[Example]]&lt;&gt;"R001",Table1[[#This Row],[Example]]&lt;&gt;"R002"),AI218-AA218,)</f>
        <v>0</v>
      </c>
      <c r="AM218" s="39" t="s">
        <v>25</v>
      </c>
      <c r="AN218" s="39">
        <v>0</v>
      </c>
      <c r="AO218" s="2">
        <v>0.56080890000000005</v>
      </c>
      <c r="AP21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8" s="4" t="str">
        <f>IF(AND(Table1[[#This Row],[Cplex MI Cost]]=Table1[[#This Row],[ORTools FZN2 Cost]],Table1[[#This Row],[ORTools FZN2 State]]="Optimal",Table1[[#This Row],[Cplex MI State]]="Suboptimal"),1,"")</f>
        <v/>
      </c>
      <c r="AR218" s="12" t="s">
        <v>26</v>
      </c>
      <c r="AS218" s="12">
        <v>0</v>
      </c>
      <c r="AT218" s="12">
        <v>8.2333885999999996</v>
      </c>
      <c r="AU218" s="12">
        <f>IF(AND(Table1[[#This Row],[Z3 SMT2-1 Maxres Cost]]=Table1[[#This Row],[ORTools FZN2 Cost]],Table1[[#This Row],[ORTools FZN2 State]]="Optimal"),1,"")</f>
        <v>1</v>
      </c>
      <c r="AV218" s="12" t="s">
        <v>26</v>
      </c>
      <c r="AW218" s="12">
        <v>0</v>
      </c>
      <c r="AX218" s="12">
        <v>8.3933230999999999</v>
      </c>
      <c r="AY218" s="12">
        <f>IF(AND(Table1[[#This Row],[Z3 SMT2-1 PdMaxres Cost]]=Table1[[#This Row],[ORTools FZN2 Cost]],Table1[[#This Row],[ORTools FZN2 State]]="Optimal"),1,"")</f>
        <v>1</v>
      </c>
      <c r="AZ218" s="12" t="s">
        <v>26</v>
      </c>
      <c r="BA218" s="12">
        <v>0</v>
      </c>
      <c r="BB218" s="12">
        <v>8.2370760000000001</v>
      </c>
      <c r="BC218" s="12">
        <f>IF(AND(Table1[[#This Row],[Z3 SMT2-1 WMax Cost]]=Table1[[#This Row],[ORTools FZN2 Cost]],Table1[[#This Row],[ORTools FZN2 State]]="Optimal"),1,"")</f>
        <v>1</v>
      </c>
      <c r="BD218" s="12" t="s">
        <v>26</v>
      </c>
      <c r="BE218" s="12">
        <v>0</v>
      </c>
      <c r="BF218" s="12">
        <v>7.2715278000000003</v>
      </c>
      <c r="BG218" s="12">
        <f>IF(AND(Table1[[#This Row],[Z3 SMT2-2 Maxres Cost]]=Table1[[#This Row],[ORTools FZN2 Cost]],Table1[[#This Row],[ORTools FZN2 State]]="Optimal"),1,"")</f>
        <v>1</v>
      </c>
      <c r="BH218" s="12" t="s">
        <v>26</v>
      </c>
      <c r="BI218" s="12">
        <v>0</v>
      </c>
      <c r="BJ218" s="12">
        <v>7.5799829000000001</v>
      </c>
      <c r="BK218" s="12">
        <f>IF(AND(Table1[[#This Row],[Z3 SMT2-2 PdMaxres Cost]]=Table1[[#This Row],[ORTools FZN2 Cost]],Table1[[#This Row],[ORTools FZN2 State]]="Optimal"),1,"")</f>
        <v>1</v>
      </c>
      <c r="BL218" s="12" t="s">
        <v>26</v>
      </c>
      <c r="BM218" s="12">
        <v>0</v>
      </c>
      <c r="BN218" s="12">
        <v>7.6628350999999997</v>
      </c>
      <c r="BO218" s="11">
        <f>IF(AND(Table1[[#This Row],[Z3 SMT2-2 PdMaxres Cost]]=Table1[[#This Row],[ORTools FZN2 Cost]],Table1[[#This Row],[ORTools FZN2 State]]="Optimal"),1,"")</f>
        <v>1</v>
      </c>
      <c r="BP218" s="5" t="s">
        <v>25</v>
      </c>
      <c r="BQ218" s="2">
        <v>0</v>
      </c>
      <c r="BR218" s="2">
        <v>0.46136660000000002</v>
      </c>
      <c r="BS218" s="2" t="str">
        <f>IF(AND(Table1[[#This Row],[Gurobi MB Cost]]=Table1[[#This Row],[ORTools FZN2 Cost]],Table1[[#This Row],[ORTools FZN2 State]]="Optimal",Table1[[#This Row],[Gurobi MB State]]="Suboptimal"),1,"")</f>
        <v/>
      </c>
      <c r="BT21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8" s="5" t="s">
        <v>25</v>
      </c>
      <c r="BV218" s="2">
        <v>0</v>
      </c>
      <c r="BW218" s="2">
        <v>2.2997668999999998</v>
      </c>
      <c r="BX218" s="2" t="str">
        <f>IF(AND(Table1[[#This Row],[Gurobi MD Cost]]=Table1[[#This Row],[ORTools FZN2 Cost]],Table1[[#This Row],[ORTools FZN2 State]]="Optimal",Table1[[#This Row],[Gurobi MD State]]="Suboptimal"),1,"")</f>
        <v/>
      </c>
      <c r="BY21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8" s="5" t="s">
        <v>25</v>
      </c>
      <c r="CA218" s="2">
        <v>0</v>
      </c>
      <c r="CB218" s="2">
        <v>0.46088649999999998</v>
      </c>
      <c r="CC218" s="2" t="str">
        <f>IF(AND(Table1[[#This Row],[Gurobi MI Cost]]=Table1[[#This Row],[ORTools FZN2 Cost]],Table1[[#This Row],[ORTools FZN2 State]]="Optimal",Table1[[#This Row],[Gurobi MI State]]="Suboptimal"),1,"")</f>
        <v/>
      </c>
      <c r="CD21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8" s="39" t="s">
        <v>42</v>
      </c>
      <c r="CF218" s="2">
        <v>-8421</v>
      </c>
      <c r="CG218" s="39">
        <v>306.03121650000003</v>
      </c>
      <c r="CH218" s="39" t="s">
        <v>42</v>
      </c>
      <c r="CI218" s="39">
        <v>-8421</v>
      </c>
      <c r="CJ218" s="2">
        <v>305.99570840000001</v>
      </c>
      <c r="CK218" s="5" t="s">
        <v>25</v>
      </c>
      <c r="CL218" s="2">
        <v>0</v>
      </c>
      <c r="CM218" s="2">
        <v>0.125</v>
      </c>
      <c r="CN218" s="5" t="s">
        <v>25</v>
      </c>
      <c r="CO218" s="2">
        <v>0</v>
      </c>
      <c r="CP218" s="2">
        <v>0.89433359999999995</v>
      </c>
      <c r="CQ218" s="5" t="s">
        <v>25</v>
      </c>
      <c r="CR218" s="2">
        <v>0</v>
      </c>
      <c r="CS218" s="2">
        <v>1.1997545000000001</v>
      </c>
      <c r="CT218" s="6" t="s">
        <v>25</v>
      </c>
      <c r="CU218" s="4">
        <v>0</v>
      </c>
      <c r="CV218" s="4">
        <v>1.3172699000000001</v>
      </c>
      <c r="CW218" s="39" t="s">
        <v>25</v>
      </c>
      <c r="CX218" s="39">
        <v>0</v>
      </c>
      <c r="CY218" s="2">
        <v>2.5688</v>
      </c>
      <c r="CZ218" s="2" t="str">
        <f>IF(AND(Table1[[#This Row],[Cplex MZ1 Cost]]=Table1[[#This Row],[ORTools FZN2 Cost]],Table1[[#This Row],[ORTools FZN2 State]]="Optimal",Table1[[#This Row],[Cplex MZ1 State]]="Suboptimal"),1,"")</f>
        <v/>
      </c>
      <c r="DA218" s="5" t="s">
        <v>25</v>
      </c>
      <c r="DB218" s="2">
        <v>0</v>
      </c>
      <c r="DC218" s="2">
        <v>1.9172</v>
      </c>
      <c r="DD218" s="2" t="str">
        <f>IF(AND(Table1[[#This Row],[Cplex MZ2 Cost]]=Table1[[#This Row],[ORTools FZN2 Cost]],Table1[[#This Row],[ORTools FZN2 State]]="Optimal",Table1[[#This Row],[Cplex MZ2 State]]="Suboptimal"),1,"")</f>
        <v/>
      </c>
      <c r="DE218" s="39" t="s">
        <v>25</v>
      </c>
      <c r="DF218" s="39">
        <v>0</v>
      </c>
      <c r="DG218" s="2">
        <v>2.1303999999999998</v>
      </c>
      <c r="DH218" s="2" t="str">
        <f>IF(AND(Table1[[#This Row],[Gurobi MZ1 Cost]]=Table1[[#This Row],[ORTools FZN2 Cost]],Table1[[#This Row],[ORTools FZN2 State]]="Optimal",Table1[[#This Row],[Gurobi MZ1 State]]="Suboptimal"),1,"")</f>
        <v/>
      </c>
      <c r="DI218" s="5" t="s">
        <v>25</v>
      </c>
      <c r="DJ218" s="2">
        <v>0</v>
      </c>
      <c r="DK218" s="2">
        <v>2.3174000000000001</v>
      </c>
      <c r="DL218" s="4" t="str">
        <f>IF(AND(Table1[[#This Row],[Gurobi MZ2 Cost]]=Table1[[#This Row],[ORTools FZN2 Cost]],Table1[[#This Row],[ORTools FZN2 State]]="Optimal",Table1[[#This Row],[Gurobi MZ2 State]]="Suboptimal"),1,"")</f>
        <v/>
      </c>
      <c r="DM218" s="39" t="s">
        <v>25</v>
      </c>
      <c r="DN218" s="39">
        <v>0</v>
      </c>
      <c r="DO218" s="65">
        <v>9.5999999997729901E-2</v>
      </c>
      <c r="DP218" s="4" t="str">
        <f>IF(AND(Table1[[#This Row],[Cplex MC nonDual Cost]]=Table1[[#This Row],[ORTools FZN2 Cost]],Table1[[#This Row],[ORTools FZN2 State]]="Optimal",Table1[[#This Row],[Cplex MC nonDual State]]="Suboptimal"),1,"")</f>
        <v/>
      </c>
      <c r="DQ218" s="5" t="s">
        <v>25</v>
      </c>
      <c r="DR218" s="2">
        <v>0</v>
      </c>
      <c r="DS218" s="2">
        <v>1.4307000000000001</v>
      </c>
      <c r="DT218" s="2" t="str">
        <f>IF(AND(Table1[[#This Row],[Cplex MIP DM''z Cost]]=Table1[[#This Row],[ORTools FZN2 Cost]],Table1[[#This Row],[ORTools FZN2 State]]="Optimal",Table1[[#This Row],[Cplex MIP DM''z  State]]="Suboptimal"),1,"")</f>
        <v/>
      </c>
      <c r="DU21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8" s="5" t="s">
        <v>25</v>
      </c>
      <c r="DW218" s="2">
        <v>0</v>
      </c>
      <c r="DX218" s="2">
        <v>2.0926999999999998</v>
      </c>
      <c r="DY218" s="4" t="str">
        <f>IF(AND(Table1[[#This Row],[Gurobi DM''z  Cost]]=Table1[[#This Row],[ORTools FZN2 Cost]],Table1[[#This Row],[ORTools FZN2 State]]="Optimal",Table1[[#This Row],[Gurobi DM''z  State]]="Suboptimal"),1,"")</f>
        <v/>
      </c>
      <c r="DZ21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19" spans="1:130" ht="15.75" x14ac:dyDescent="0.25">
      <c r="A219" s="47" t="s">
        <v>245</v>
      </c>
      <c r="B219" s="5">
        <v>56</v>
      </c>
      <c r="C219" s="2">
        <v>28</v>
      </c>
      <c r="D219" s="5">
        <v>249</v>
      </c>
      <c r="E219" s="2">
        <v>39</v>
      </c>
      <c r="F219" s="5">
        <v>33</v>
      </c>
      <c r="G219" s="2">
        <v>0</v>
      </c>
      <c r="H219" s="4">
        <f t="shared" si="3"/>
        <v>0</v>
      </c>
      <c r="I219" s="4">
        <f>Table1[[#This Row],[B]]+Table1[[#This Row],[Atomic Constraints]]+Table1[[#This Row],[Soft Atomic Constraints]]+Table1[[#This Row],[Disjunctive Constraints]]+Table1[[#This Row],[Direct Successors]]</f>
        <v>349</v>
      </c>
      <c r="J219" s="5" t="s">
        <v>26</v>
      </c>
      <c r="K219" s="2">
        <v>2303406</v>
      </c>
      <c r="L219" s="2">
        <v>302.42506459999998</v>
      </c>
      <c r="M219" s="2" t="str">
        <f>IF(AND(Table1[[#This Row],[Chuffed MZ1 Cost]]=Table1[[#This Row],[ORTools FZN2 Cost]],Table1[[#This Row],[ORTools FZN2 State]]="Optimal",Table1[[#This Row],[Chuffed MZ1 State]]="Suboptimal"),1,"")</f>
        <v/>
      </c>
      <c r="N219" s="5" t="s">
        <v>26</v>
      </c>
      <c r="O219" s="2">
        <v>3024634</v>
      </c>
      <c r="P219" s="2">
        <v>302.3559277</v>
      </c>
      <c r="Q219" s="2" t="str">
        <f>IF(AND(Table1[[#This Row],[Chuffed MZ2 Cost]]=Table1[[#This Row],[ORTools FZN2 Cost]],Table1[[#This Row],[ORTools FZN2 State]]="Optimal",Table1[[#This Row],[Chuffed MZ2 State]]="Suboptimal"),1,"")</f>
        <v/>
      </c>
      <c r="R219" s="11" t="s">
        <v>26</v>
      </c>
      <c r="S219" s="11">
        <v>13</v>
      </c>
      <c r="T219" s="11">
        <v>300.08800000000002</v>
      </c>
      <c r="U219" s="11">
        <v>1</v>
      </c>
      <c r="V219" s="5" t="s">
        <v>25</v>
      </c>
      <c r="W219" s="2">
        <v>13</v>
      </c>
      <c r="X219" s="2">
        <v>40.4471408</v>
      </c>
      <c r="Y219" s="2" t="str">
        <f>IF(AND(Table1[[#This Row],[ORTools FZN1 Cost]]=Table1[[#This Row],[ORTools FZN2 Cost]],Table1[[#This Row],[ORTools FZN2 State]]="Optimal",Table1[[#This Row],[ORTools FZN1 State]]="Suboptimal"),1,"")</f>
        <v/>
      </c>
      <c r="Z219" s="5" t="s">
        <v>25</v>
      </c>
      <c r="AA219" s="2">
        <v>13</v>
      </c>
      <c r="AB219" s="2">
        <v>38.565935099999997</v>
      </c>
      <c r="AC219" s="39" t="s">
        <v>42</v>
      </c>
      <c r="AD219" s="39">
        <v>-178809</v>
      </c>
      <c r="AE219" s="2">
        <v>300.13757720000001</v>
      </c>
      <c r="AF219" s="2" t="str">
        <f>IF(AND(Table1[[#This Row],[Cplex MB Cost]]=Table1[[#This Row],[ORTools FZN2 Cost]],Table1[[#This Row],[ORTools FZN2 State]]="Optimal",Table1[[#This Row],[Cplex MB State]]="Suboptimal"),1,"")</f>
        <v/>
      </c>
      <c r="AG219" s="4">
        <f>IF(AND(AC219="Optimal",AD219&lt;&gt;AA219,Table1[[#This Row],[Example]]&lt;&gt;"R001",Table1[[#This Row],[Example]]&lt;&gt;"R002"),AD219-AA219,)</f>
        <v>0</v>
      </c>
      <c r="AH219" s="5" t="s">
        <v>42</v>
      </c>
      <c r="AI219" s="2">
        <v>-178809</v>
      </c>
      <c r="AJ219" s="2">
        <v>300.3544943</v>
      </c>
      <c r="AK219" s="2" t="str">
        <f>IF(AND(Table1[[#This Row],[Cplex MD Cost]]=Table1[[#This Row],[ORTools FZN2 Cost]],Table1[[#This Row],[ORTools FZN2 State]]="Optimal",Table1[[#This Row],[Cplex MD State]]="Suboptimal"),1,"")</f>
        <v/>
      </c>
      <c r="AL219" s="2">
        <f>IF(AND(AH219="Optimal",AI219&lt;&gt;AA219,Table1[[#This Row],[Example]]&lt;&gt;"R001",Table1[[#This Row],[Example]]&lt;&gt;"R002"),AI219-AA219,)</f>
        <v>0</v>
      </c>
      <c r="AM219" s="39" t="s">
        <v>26</v>
      </c>
      <c r="AN219" s="39">
        <v>2472530</v>
      </c>
      <c r="AO219" s="2">
        <v>300.11392009999997</v>
      </c>
      <c r="AP21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19" s="4" t="str">
        <f>IF(AND(Table1[[#This Row],[Cplex MI Cost]]=Table1[[#This Row],[ORTools FZN2 Cost]],Table1[[#This Row],[ORTools FZN2 State]]="Optimal",Table1[[#This Row],[Cplex MI State]]="Suboptimal"),1,"")</f>
        <v/>
      </c>
      <c r="AR219" s="5" t="s">
        <v>42</v>
      </c>
      <c r="AS219" s="2">
        <v>-178809</v>
      </c>
      <c r="AT219" s="2">
        <v>300.06220259999998</v>
      </c>
      <c r="AU219" s="2" t="str">
        <f>IF(AND(Table1[[#This Row],[Z3 SMT2-1 Maxres Cost]]=Table1[[#This Row],[ORTools FZN2 Cost]],Table1[[#This Row],[ORTools FZN2 State]]="Optimal"),1,"")</f>
        <v/>
      </c>
      <c r="AV219" s="39" t="s">
        <v>42</v>
      </c>
      <c r="AW219" s="39">
        <v>-178809</v>
      </c>
      <c r="AX219" s="2">
        <v>300.05913450000003</v>
      </c>
      <c r="AY219" s="2" t="str">
        <f>IF(AND(Table1[[#This Row],[Z3 SMT2-1 PdMaxres Cost]]=Table1[[#This Row],[ORTools FZN2 Cost]],Table1[[#This Row],[ORTools FZN2 State]]="Optimal"),1,"")</f>
        <v/>
      </c>
      <c r="AZ219" s="5" t="s">
        <v>42</v>
      </c>
      <c r="BA219" s="2">
        <v>-178809</v>
      </c>
      <c r="BB219" s="39">
        <v>300.0550025</v>
      </c>
      <c r="BC219" s="39" t="str">
        <f>IF(AND(Table1[[#This Row],[Z3 SMT2-1 WMax Cost]]=Table1[[#This Row],[ORTools FZN2 Cost]],Table1[[#This Row],[ORTools FZN2 State]]="Optimal"),1,"")</f>
        <v/>
      </c>
      <c r="BD219" s="39" t="s">
        <v>42</v>
      </c>
      <c r="BE219" s="39">
        <v>-178809</v>
      </c>
      <c r="BF219" s="2">
        <v>300.05084019999998</v>
      </c>
      <c r="BG219" s="2" t="str">
        <f>IF(AND(Table1[[#This Row],[Z3 SMT2-2 Maxres Cost]]=Table1[[#This Row],[ORTools FZN2 Cost]],Table1[[#This Row],[ORTools FZN2 State]]="Optimal"),1,"")</f>
        <v/>
      </c>
      <c r="BH219" s="5" t="s">
        <v>42</v>
      </c>
      <c r="BI219" s="2">
        <v>-178809</v>
      </c>
      <c r="BJ219" s="39">
        <v>300.05175430000003</v>
      </c>
      <c r="BK219" s="39" t="str">
        <f>IF(AND(Table1[[#This Row],[Z3 SMT2-2 PdMaxres Cost]]=Table1[[#This Row],[ORTools FZN2 Cost]],Table1[[#This Row],[ORTools FZN2 State]]="Optimal"),1,"")</f>
        <v/>
      </c>
      <c r="BL219" s="39" t="s">
        <v>42</v>
      </c>
      <c r="BM219" s="39">
        <v>-178809</v>
      </c>
      <c r="BN219" s="2">
        <v>300.05287249999998</v>
      </c>
      <c r="BO219" s="4" t="str">
        <f>IF(AND(Table1[[#This Row],[Z3 SMT2-2 PdMaxres Cost]]=Table1[[#This Row],[ORTools FZN2 Cost]],Table1[[#This Row],[ORTools FZN2 State]]="Optimal"),1,"")</f>
        <v/>
      </c>
      <c r="BP219" s="5" t="s">
        <v>42</v>
      </c>
      <c r="BQ219" s="2">
        <v>-178809</v>
      </c>
      <c r="BR219" s="2">
        <v>300.34751979999999</v>
      </c>
      <c r="BS219" s="2" t="str">
        <f>IF(AND(Table1[[#This Row],[Gurobi MB Cost]]=Table1[[#This Row],[ORTools FZN2 Cost]],Table1[[#This Row],[ORTools FZN2 State]]="Optimal",Table1[[#This Row],[Gurobi MB State]]="Suboptimal"),1,"")</f>
        <v/>
      </c>
      <c r="BT21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19" s="5" t="s">
        <v>42</v>
      </c>
      <c r="BV219" s="2">
        <v>-178809</v>
      </c>
      <c r="BW219" s="2">
        <v>300.24642599999999</v>
      </c>
      <c r="BX219" s="2" t="str">
        <f>IF(AND(Table1[[#This Row],[Gurobi MD Cost]]=Table1[[#This Row],[ORTools FZN2 Cost]],Table1[[#This Row],[ORTools FZN2 State]]="Optimal",Table1[[#This Row],[Gurobi MD State]]="Suboptimal"),1,"")</f>
        <v/>
      </c>
      <c r="BY21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19" s="5" t="s">
        <v>42</v>
      </c>
      <c r="CA219" s="2">
        <v>-178809</v>
      </c>
      <c r="CB219" s="2">
        <v>300.0759003</v>
      </c>
      <c r="CC219" s="2" t="str">
        <f>IF(AND(Table1[[#This Row],[Gurobi MI Cost]]=Table1[[#This Row],[ORTools FZN2 Cost]],Table1[[#This Row],[ORTools FZN2 State]]="Optimal",Table1[[#This Row],[Gurobi MI State]]="Suboptimal"),1,"")</f>
        <v/>
      </c>
      <c r="CD21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19" s="39" t="s">
        <v>42</v>
      </c>
      <c r="CF219" s="2">
        <v>-178809</v>
      </c>
      <c r="CG219" s="39">
        <v>306.15024779999999</v>
      </c>
      <c r="CH219" s="39" t="s">
        <v>42</v>
      </c>
      <c r="CI219" s="39">
        <v>-178809</v>
      </c>
      <c r="CJ219" s="2">
        <v>306.10920240000002</v>
      </c>
      <c r="CK219" s="5" t="s">
        <v>26</v>
      </c>
      <c r="CL219" s="2">
        <v>13</v>
      </c>
      <c r="CM219" s="2">
        <v>300.03699999999998</v>
      </c>
      <c r="CN219" s="5" t="s">
        <v>26</v>
      </c>
      <c r="CO219" s="2">
        <v>4603219</v>
      </c>
      <c r="CP219" s="2">
        <v>302.27294979999999</v>
      </c>
      <c r="CQ219" s="5" t="s">
        <v>25</v>
      </c>
      <c r="CR219" s="2">
        <v>13</v>
      </c>
      <c r="CS219" s="2">
        <v>58.951954200000003</v>
      </c>
      <c r="CT219" s="6" t="s">
        <v>25</v>
      </c>
      <c r="CU219" s="4">
        <v>13</v>
      </c>
      <c r="CV219" s="4">
        <v>27.060918699999998</v>
      </c>
      <c r="CW219" s="39" t="s">
        <v>26</v>
      </c>
      <c r="CX219" s="39">
        <v>1769775</v>
      </c>
      <c r="CY219" s="2">
        <v>300.01949999999999</v>
      </c>
      <c r="CZ219" s="2" t="str">
        <f>IF(AND(Table1[[#This Row],[Cplex MZ1 Cost]]=Table1[[#This Row],[ORTools FZN2 Cost]],Table1[[#This Row],[ORTools FZN2 State]]="Optimal",Table1[[#This Row],[Cplex MZ1 State]]="Suboptimal"),1,"")</f>
        <v/>
      </c>
      <c r="DA219" s="5" t="s">
        <v>26</v>
      </c>
      <c r="DB219" s="2">
        <v>1593997</v>
      </c>
      <c r="DC219" s="2">
        <v>300.01620000000003</v>
      </c>
      <c r="DD219" s="2" t="str">
        <f>IF(AND(Table1[[#This Row],[Cplex MZ2 Cost]]=Table1[[#This Row],[ORTools FZN2 Cost]],Table1[[#This Row],[ORTools FZN2 State]]="Optimal",Table1[[#This Row],[Cplex MZ2 State]]="Suboptimal"),1,"")</f>
        <v/>
      </c>
      <c r="DE219" s="39" t="s">
        <v>26</v>
      </c>
      <c r="DF219" s="39">
        <v>1952062</v>
      </c>
      <c r="DG219" s="2">
        <v>300.01330000000002</v>
      </c>
      <c r="DH219" s="2" t="str">
        <f>IF(AND(Table1[[#This Row],[Gurobi MZ1 Cost]]=Table1[[#This Row],[ORTools FZN2 Cost]],Table1[[#This Row],[ORTools FZN2 State]]="Optimal",Table1[[#This Row],[Gurobi MZ1 State]]="Suboptimal"),1,"")</f>
        <v/>
      </c>
      <c r="DI219" s="5" t="s">
        <v>26</v>
      </c>
      <c r="DJ219" s="2">
        <v>1942820</v>
      </c>
      <c r="DK219" s="2">
        <v>300.21559999999999</v>
      </c>
      <c r="DL219" s="4" t="str">
        <f>IF(AND(Table1[[#This Row],[Gurobi MZ2 Cost]]=Table1[[#This Row],[ORTools FZN2 Cost]],Table1[[#This Row],[ORTools FZN2 State]]="Optimal",Table1[[#This Row],[Gurobi MZ2 State]]="Suboptimal"),1,"")</f>
        <v/>
      </c>
      <c r="DM219" s="12" t="s">
        <v>26</v>
      </c>
      <c r="DN219" s="12">
        <v>13</v>
      </c>
      <c r="DO219" s="69">
        <v>300.06300000000101</v>
      </c>
      <c r="DP219" s="11">
        <f>IF(AND(Table1[[#This Row],[Cplex MC nonDual Cost]]=Table1[[#This Row],[ORTools FZN2 Cost]],Table1[[#This Row],[ORTools FZN2 State]]="Optimal",Table1[[#This Row],[Cplex MC nonDual State]]="Suboptimal"),1,"")</f>
        <v>1</v>
      </c>
      <c r="DQ219" s="5" t="s">
        <v>26</v>
      </c>
      <c r="DR219" s="2">
        <v>2653855</v>
      </c>
      <c r="DS219" s="2">
        <v>300.02609999999999</v>
      </c>
      <c r="DT219" s="2" t="str">
        <f>IF(AND(Table1[[#This Row],[Cplex MIP DM''z Cost]]=Table1[[#This Row],[ORTools FZN2 Cost]],Table1[[#This Row],[ORTools FZN2 State]]="Optimal",Table1[[#This Row],[Cplex MIP DM''z  State]]="Suboptimal"),1,"")</f>
        <v/>
      </c>
      <c r="DU21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19" s="5" t="s">
        <v>42</v>
      </c>
      <c r="DW219" s="2"/>
      <c r="DX219" s="2">
        <v>300.17009999999999</v>
      </c>
      <c r="DY219" s="4" t="str">
        <f>IF(AND(Table1[[#This Row],[Gurobi DM''z  Cost]]=Table1[[#This Row],[ORTools FZN2 Cost]],Table1[[#This Row],[ORTools FZN2 State]]="Optimal",Table1[[#This Row],[Gurobi DM''z  State]]="Suboptimal"),1,"")</f>
        <v/>
      </c>
      <c r="DZ21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0" spans="1:130" ht="15.75" x14ac:dyDescent="0.25">
      <c r="A220" s="46" t="s">
        <v>246</v>
      </c>
      <c r="B220" s="5">
        <v>24</v>
      </c>
      <c r="C220" s="2">
        <v>12</v>
      </c>
      <c r="D220" s="5">
        <v>62</v>
      </c>
      <c r="E220" s="2">
        <v>18</v>
      </c>
      <c r="F220" s="5">
        <v>9</v>
      </c>
      <c r="G220" s="2">
        <v>0</v>
      </c>
      <c r="H220" s="4">
        <f t="shared" si="3"/>
        <v>0</v>
      </c>
      <c r="I220" s="4">
        <f>Table1[[#This Row],[B]]+Table1[[#This Row],[Atomic Constraints]]+Table1[[#This Row],[Soft Atomic Constraints]]+Table1[[#This Row],[Disjunctive Constraints]]+Table1[[#This Row],[Direct Successors]]</f>
        <v>101</v>
      </c>
      <c r="J220" s="5" t="s">
        <v>25</v>
      </c>
      <c r="K220" s="2">
        <v>2</v>
      </c>
      <c r="L220" s="2">
        <v>1.0740364</v>
      </c>
      <c r="M220" s="2" t="str">
        <f>IF(AND(Table1[[#This Row],[Chuffed MZ1 Cost]]=Table1[[#This Row],[ORTools FZN2 Cost]],Table1[[#This Row],[ORTools FZN2 State]]="Optimal",Table1[[#This Row],[Chuffed MZ1 State]]="Suboptimal"),1,"")</f>
        <v/>
      </c>
      <c r="N220" s="5" t="s">
        <v>25</v>
      </c>
      <c r="O220" s="2">
        <v>2</v>
      </c>
      <c r="P220" s="2">
        <v>1.1223284</v>
      </c>
      <c r="Q220" s="2" t="str">
        <f>IF(AND(Table1[[#This Row],[Chuffed MZ2 Cost]]=Table1[[#This Row],[ORTools FZN2 Cost]],Table1[[#This Row],[ORTools FZN2 State]]="Optimal",Table1[[#This Row],[Chuffed MZ2 State]]="Suboptimal"),1,"")</f>
        <v/>
      </c>
      <c r="R220" s="6" t="s">
        <v>25</v>
      </c>
      <c r="S220" s="4">
        <v>2</v>
      </c>
      <c r="T220" s="4">
        <v>0.17399999999906901</v>
      </c>
      <c r="U220" s="4"/>
      <c r="V220" s="5" t="s">
        <v>25</v>
      </c>
      <c r="W220" s="2">
        <v>2</v>
      </c>
      <c r="X220" s="2">
        <v>0.80518520000000005</v>
      </c>
      <c r="Y220" s="2" t="str">
        <f>IF(AND(Table1[[#This Row],[ORTools FZN1 Cost]]=Table1[[#This Row],[ORTools FZN2 Cost]],Table1[[#This Row],[ORTools FZN2 State]]="Optimal",Table1[[#This Row],[ORTools FZN1 State]]="Suboptimal"),1,"")</f>
        <v/>
      </c>
      <c r="Z220" s="5" t="s">
        <v>25</v>
      </c>
      <c r="AA220" s="2">
        <v>2</v>
      </c>
      <c r="AB220" s="2">
        <v>1.0613037999999999</v>
      </c>
      <c r="AC220" s="39" t="s">
        <v>25</v>
      </c>
      <c r="AD220" s="39">
        <v>2</v>
      </c>
      <c r="AE220" s="2">
        <v>4.7858219000000002</v>
      </c>
      <c r="AF220" s="2" t="str">
        <f>IF(AND(Table1[[#This Row],[Cplex MB Cost]]=Table1[[#This Row],[ORTools FZN2 Cost]],Table1[[#This Row],[ORTools FZN2 State]]="Optimal",Table1[[#This Row],[Cplex MB State]]="Suboptimal"),1,"")</f>
        <v/>
      </c>
      <c r="AG220" s="4">
        <f>IF(AND(AC220="Optimal",AD220&lt;&gt;AA220,Table1[[#This Row],[Example]]&lt;&gt;"R001",Table1[[#This Row],[Example]]&lt;&gt;"R002"),AD220-AA220,)</f>
        <v>0</v>
      </c>
      <c r="AH220" s="5" t="s">
        <v>25</v>
      </c>
      <c r="AI220" s="2">
        <v>2</v>
      </c>
      <c r="AJ220" s="2">
        <v>138.75830300000001</v>
      </c>
      <c r="AK220" s="2" t="str">
        <f>IF(AND(Table1[[#This Row],[Cplex MD Cost]]=Table1[[#This Row],[ORTools FZN2 Cost]],Table1[[#This Row],[ORTools FZN2 State]]="Optimal",Table1[[#This Row],[Cplex MD State]]="Suboptimal"),1,"")</f>
        <v/>
      </c>
      <c r="AL220" s="4">
        <f>IF(AND(AH220="Optimal",AI220&lt;&gt;AA220,Table1[[#This Row],[Example]]&lt;&gt;"R001",Table1[[#This Row],[Example]]&lt;&gt;"R002"),AI220-AA220,)</f>
        <v>0</v>
      </c>
      <c r="AM220" s="39" t="s">
        <v>25</v>
      </c>
      <c r="AN220" s="39">
        <v>2</v>
      </c>
      <c r="AO220" s="2">
        <v>1.1899584999999999</v>
      </c>
      <c r="AP22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0" s="4" t="str">
        <f>IF(AND(Table1[[#This Row],[Cplex MI Cost]]=Table1[[#This Row],[ORTools FZN2 Cost]],Table1[[#This Row],[ORTools FZN2 State]]="Optimal",Table1[[#This Row],[Cplex MI State]]="Suboptimal"),1,"")</f>
        <v/>
      </c>
      <c r="AR220" s="12" t="s">
        <v>26</v>
      </c>
      <c r="AS220" s="12">
        <v>2</v>
      </c>
      <c r="AT220" s="12">
        <v>57.447217000000002</v>
      </c>
      <c r="AU220" s="12">
        <f>IF(AND(Table1[[#This Row],[Z3 SMT2-1 Maxres Cost]]=Table1[[#This Row],[ORTools FZN2 Cost]],Table1[[#This Row],[ORTools FZN2 State]]="Optimal"),1,"")</f>
        <v>1</v>
      </c>
      <c r="AV220" s="12" t="s">
        <v>26</v>
      </c>
      <c r="AW220" s="12">
        <v>2</v>
      </c>
      <c r="AX220" s="12">
        <v>60.122030600000002</v>
      </c>
      <c r="AY220" s="12">
        <f>IF(AND(Table1[[#This Row],[Z3 SMT2-1 PdMaxres Cost]]=Table1[[#This Row],[ORTools FZN2 Cost]],Table1[[#This Row],[ORTools FZN2 State]]="Optimal"),1,"")</f>
        <v>1</v>
      </c>
      <c r="AZ220" s="12" t="s">
        <v>26</v>
      </c>
      <c r="BA220" s="12">
        <v>2</v>
      </c>
      <c r="BB220" s="12">
        <v>58.159610899999997</v>
      </c>
      <c r="BC220" s="12">
        <f>IF(AND(Table1[[#This Row],[Z3 SMT2-1 WMax Cost]]=Table1[[#This Row],[ORTools FZN2 Cost]],Table1[[#This Row],[ORTools FZN2 State]]="Optimal"),1,"")</f>
        <v>1</v>
      </c>
      <c r="BD220" s="12" t="s">
        <v>26</v>
      </c>
      <c r="BE220" s="12">
        <v>2</v>
      </c>
      <c r="BF220" s="12">
        <v>50.362139499999998</v>
      </c>
      <c r="BG220" s="12">
        <f>IF(AND(Table1[[#This Row],[Z3 SMT2-2 Maxres Cost]]=Table1[[#This Row],[ORTools FZN2 Cost]],Table1[[#This Row],[ORTools FZN2 State]]="Optimal"),1,"")</f>
        <v>1</v>
      </c>
      <c r="BH220" s="12" t="s">
        <v>26</v>
      </c>
      <c r="BI220" s="12">
        <v>2</v>
      </c>
      <c r="BJ220" s="12">
        <v>50.243677499999997</v>
      </c>
      <c r="BK220" s="12">
        <f>IF(AND(Table1[[#This Row],[Z3 SMT2-2 PdMaxres Cost]]=Table1[[#This Row],[ORTools FZN2 Cost]],Table1[[#This Row],[ORTools FZN2 State]]="Optimal"),1,"")</f>
        <v>1</v>
      </c>
      <c r="BL220" s="12" t="s">
        <v>26</v>
      </c>
      <c r="BM220" s="12">
        <v>2</v>
      </c>
      <c r="BN220" s="12">
        <v>50.136119000000001</v>
      </c>
      <c r="BO220" s="11">
        <f>IF(AND(Table1[[#This Row],[Z3 SMT2-2 PdMaxres Cost]]=Table1[[#This Row],[ORTools FZN2 Cost]],Table1[[#This Row],[ORTools FZN2 State]]="Optimal"),1,"")</f>
        <v>1</v>
      </c>
      <c r="BP220" s="5" t="s">
        <v>25</v>
      </c>
      <c r="BQ220" s="2">
        <v>2</v>
      </c>
      <c r="BR220" s="2">
        <v>1.8800515</v>
      </c>
      <c r="BS220" s="2" t="str">
        <f>IF(AND(Table1[[#This Row],[Gurobi MB Cost]]=Table1[[#This Row],[ORTools FZN2 Cost]],Table1[[#This Row],[ORTools FZN2 State]]="Optimal",Table1[[#This Row],[Gurobi MB State]]="Suboptimal"),1,"")</f>
        <v/>
      </c>
      <c r="BT22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0" s="5" t="s">
        <v>25</v>
      </c>
      <c r="BV220" s="2">
        <v>2</v>
      </c>
      <c r="BW220" s="2">
        <v>25.803526600000001</v>
      </c>
      <c r="BX220" s="2" t="str">
        <f>IF(AND(Table1[[#This Row],[Gurobi MD Cost]]=Table1[[#This Row],[ORTools FZN2 Cost]],Table1[[#This Row],[ORTools FZN2 State]]="Optimal",Table1[[#This Row],[Gurobi MD State]]="Suboptimal"),1,"")</f>
        <v/>
      </c>
      <c r="BY22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0" s="5" t="s">
        <v>25</v>
      </c>
      <c r="CA220" s="2">
        <v>2</v>
      </c>
      <c r="CB220" s="2">
        <v>1.9563687999999999</v>
      </c>
      <c r="CC220" s="2" t="str">
        <f>IF(AND(Table1[[#This Row],[Gurobi MI Cost]]=Table1[[#This Row],[ORTools FZN2 Cost]],Table1[[#This Row],[ORTools FZN2 State]]="Optimal",Table1[[#This Row],[Gurobi MI State]]="Suboptimal"),1,"")</f>
        <v/>
      </c>
      <c r="CD22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0" s="39" t="s">
        <v>42</v>
      </c>
      <c r="CF220" s="2">
        <v>-14425</v>
      </c>
      <c r="CG220" s="39">
        <v>306.01811079999999</v>
      </c>
      <c r="CH220" s="39" t="s">
        <v>42</v>
      </c>
      <c r="CI220" s="39">
        <v>-14425</v>
      </c>
      <c r="CJ220" s="2">
        <v>305.9683728</v>
      </c>
      <c r="CK220" s="5" t="s">
        <v>25</v>
      </c>
      <c r="CL220" s="2">
        <v>2</v>
      </c>
      <c r="CM220" s="2">
        <v>0.19299999999930201</v>
      </c>
      <c r="CN220" s="5" t="s">
        <v>25</v>
      </c>
      <c r="CO220" s="2">
        <v>2</v>
      </c>
      <c r="CP220" s="2">
        <v>7.2251637000000004</v>
      </c>
      <c r="CQ220" s="5" t="s">
        <v>25</v>
      </c>
      <c r="CR220" s="2">
        <v>2</v>
      </c>
      <c r="CS220" s="2">
        <v>2.4842114</v>
      </c>
      <c r="CT220" s="6" t="s">
        <v>25</v>
      </c>
      <c r="CU220" s="4">
        <v>2</v>
      </c>
      <c r="CV220" s="4">
        <v>2.1346511000000001</v>
      </c>
      <c r="CW220" s="39" t="s">
        <v>25</v>
      </c>
      <c r="CX220" s="39">
        <v>2</v>
      </c>
      <c r="CY220" s="2">
        <v>35.125399999999999</v>
      </c>
      <c r="CZ220" s="2" t="str">
        <f>IF(AND(Table1[[#This Row],[Cplex MZ1 Cost]]=Table1[[#This Row],[ORTools FZN2 Cost]],Table1[[#This Row],[ORTools FZN2 State]]="Optimal",Table1[[#This Row],[Cplex MZ1 State]]="Suboptimal"),1,"")</f>
        <v/>
      </c>
      <c r="DA220" s="5" t="s">
        <v>25</v>
      </c>
      <c r="DB220" s="2">
        <v>2</v>
      </c>
      <c r="DC220" s="2">
        <v>7.1201999999999996</v>
      </c>
      <c r="DD220" s="2" t="str">
        <f>IF(AND(Table1[[#This Row],[Cplex MZ2 Cost]]=Table1[[#This Row],[ORTools FZN2 Cost]],Table1[[#This Row],[ORTools FZN2 State]]="Optimal",Table1[[#This Row],[Cplex MZ2 State]]="Suboptimal"),1,"")</f>
        <v/>
      </c>
      <c r="DE220" s="39" t="s">
        <v>25</v>
      </c>
      <c r="DF220" s="39">
        <v>2</v>
      </c>
      <c r="DG220" s="2">
        <v>10.5092</v>
      </c>
      <c r="DH220" s="2" t="str">
        <f>IF(AND(Table1[[#This Row],[Gurobi MZ1 Cost]]=Table1[[#This Row],[ORTools FZN2 Cost]],Table1[[#This Row],[ORTools FZN2 State]]="Optimal",Table1[[#This Row],[Gurobi MZ1 State]]="Suboptimal"),1,"")</f>
        <v/>
      </c>
      <c r="DI220" s="5" t="s">
        <v>25</v>
      </c>
      <c r="DJ220" s="2">
        <v>2</v>
      </c>
      <c r="DK220" s="2">
        <v>7.3582999999999998</v>
      </c>
      <c r="DL220" s="4" t="str">
        <f>IF(AND(Table1[[#This Row],[Gurobi MZ2 Cost]]=Table1[[#This Row],[ORTools FZN2 Cost]],Table1[[#This Row],[ORTools FZN2 State]]="Optimal",Table1[[#This Row],[Gurobi MZ2 State]]="Suboptimal"),1,"")</f>
        <v/>
      </c>
      <c r="DM220" s="39" t="s">
        <v>25</v>
      </c>
      <c r="DN220" s="39">
        <v>2</v>
      </c>
      <c r="DO220" s="65">
        <v>0.472000000001571</v>
      </c>
      <c r="DP220" s="4" t="str">
        <f>IF(AND(Table1[[#This Row],[Cplex MC nonDual Cost]]=Table1[[#This Row],[ORTools FZN2 Cost]],Table1[[#This Row],[ORTools FZN2 State]]="Optimal",Table1[[#This Row],[Cplex MC nonDual State]]="Suboptimal"),1,"")</f>
        <v/>
      </c>
      <c r="DQ220" s="5" t="s">
        <v>25</v>
      </c>
      <c r="DR220" s="2">
        <v>2</v>
      </c>
      <c r="DS220" s="2">
        <v>4.9206000000000003</v>
      </c>
      <c r="DT220" s="2" t="str">
        <f>IF(AND(Table1[[#This Row],[Cplex MIP DM''z Cost]]=Table1[[#This Row],[ORTools FZN2 Cost]],Table1[[#This Row],[ORTools FZN2 State]]="Optimal",Table1[[#This Row],[Cplex MIP DM''z  State]]="Suboptimal"),1,"")</f>
        <v/>
      </c>
      <c r="DU22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0" s="5" t="s">
        <v>25</v>
      </c>
      <c r="DW220" s="2">
        <v>2</v>
      </c>
      <c r="DX220" s="2">
        <v>58.654400000000003</v>
      </c>
      <c r="DY220" s="4" t="str">
        <f>IF(AND(Table1[[#This Row],[Gurobi DM''z  Cost]]=Table1[[#This Row],[ORTools FZN2 Cost]],Table1[[#This Row],[ORTools FZN2 State]]="Optimal",Table1[[#This Row],[Gurobi DM''z  State]]="Suboptimal"),1,"")</f>
        <v/>
      </c>
      <c r="DZ22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1" spans="1:130" ht="15.75" x14ac:dyDescent="0.25">
      <c r="A221" s="47" t="s">
        <v>247</v>
      </c>
      <c r="B221" s="5">
        <v>24</v>
      </c>
      <c r="C221" s="2">
        <v>12</v>
      </c>
      <c r="D221" s="5">
        <v>54</v>
      </c>
      <c r="E221" s="2">
        <v>19</v>
      </c>
      <c r="F221" s="5">
        <v>11</v>
      </c>
      <c r="G221" s="2">
        <v>0</v>
      </c>
      <c r="H221" s="4">
        <f t="shared" si="3"/>
        <v>0</v>
      </c>
      <c r="I221" s="4">
        <f>Table1[[#This Row],[B]]+Table1[[#This Row],[Atomic Constraints]]+Table1[[#This Row],[Soft Atomic Constraints]]+Table1[[#This Row],[Disjunctive Constraints]]+Table1[[#This Row],[Direct Successors]]</f>
        <v>96</v>
      </c>
      <c r="J221" s="5" t="s">
        <v>25</v>
      </c>
      <c r="K221" s="2">
        <v>3</v>
      </c>
      <c r="L221" s="2">
        <v>1.5008322999999999</v>
      </c>
      <c r="M221" s="2" t="str">
        <f>IF(AND(Table1[[#This Row],[Chuffed MZ1 Cost]]=Table1[[#This Row],[ORTools FZN2 Cost]],Table1[[#This Row],[ORTools FZN2 State]]="Optimal",Table1[[#This Row],[Chuffed MZ1 State]]="Suboptimal"),1,"")</f>
        <v/>
      </c>
      <c r="N221" s="5" t="s">
        <v>25</v>
      </c>
      <c r="O221" s="2">
        <v>3</v>
      </c>
      <c r="P221" s="2">
        <v>1.514132</v>
      </c>
      <c r="Q221" s="2" t="str">
        <f>IF(AND(Table1[[#This Row],[Chuffed MZ2 Cost]]=Table1[[#This Row],[ORTools FZN2 Cost]],Table1[[#This Row],[ORTools FZN2 State]]="Optimal",Table1[[#This Row],[Chuffed MZ2 State]]="Suboptimal"),1,"")</f>
        <v/>
      </c>
      <c r="R221" s="5" t="s">
        <v>25</v>
      </c>
      <c r="S221" s="2">
        <v>3</v>
      </c>
      <c r="T221" s="2">
        <v>0.22799999999915599</v>
      </c>
      <c r="U221" s="2"/>
      <c r="V221" s="5" t="s">
        <v>25</v>
      </c>
      <c r="W221" s="2">
        <v>3</v>
      </c>
      <c r="X221" s="2">
        <v>1.0264225</v>
      </c>
      <c r="Y221" s="2" t="str">
        <f>IF(AND(Table1[[#This Row],[ORTools FZN1 Cost]]=Table1[[#This Row],[ORTools FZN2 Cost]],Table1[[#This Row],[ORTools FZN2 State]]="Optimal",Table1[[#This Row],[ORTools FZN1 State]]="Suboptimal"),1,"")</f>
        <v/>
      </c>
      <c r="Z221" s="5" t="s">
        <v>25</v>
      </c>
      <c r="AA221" s="2">
        <v>3</v>
      </c>
      <c r="AB221" s="2">
        <v>1.3051923000000001</v>
      </c>
      <c r="AC221" s="39" t="s">
        <v>25</v>
      </c>
      <c r="AD221" s="39">
        <v>3</v>
      </c>
      <c r="AE221" s="2">
        <v>4.1136967000000002</v>
      </c>
      <c r="AF221" s="2" t="str">
        <f>IF(AND(Table1[[#This Row],[Cplex MB Cost]]=Table1[[#This Row],[ORTools FZN2 Cost]],Table1[[#This Row],[ORTools FZN2 State]]="Optimal",Table1[[#This Row],[Cplex MB State]]="Suboptimal"),1,"")</f>
        <v/>
      </c>
      <c r="AG221" s="4">
        <f>IF(AND(AC221="Optimal",AD221&lt;&gt;AA221,Table1[[#This Row],[Example]]&lt;&gt;"R001",Table1[[#This Row],[Example]]&lt;&gt;"R002"),AD221-AA221,)</f>
        <v>0</v>
      </c>
      <c r="AH221" s="5" t="s">
        <v>25</v>
      </c>
      <c r="AI221" s="2">
        <v>3</v>
      </c>
      <c r="AJ221" s="2">
        <v>50.0652288</v>
      </c>
      <c r="AK221" s="2" t="str">
        <f>IF(AND(Table1[[#This Row],[Cplex MD Cost]]=Table1[[#This Row],[ORTools FZN2 Cost]],Table1[[#This Row],[ORTools FZN2 State]]="Optimal",Table1[[#This Row],[Cplex MD State]]="Suboptimal"),1,"")</f>
        <v/>
      </c>
      <c r="AL221" s="4">
        <f>IF(AND(AH221="Optimal",AI221&lt;&gt;AA221,Table1[[#This Row],[Example]]&lt;&gt;"R001",Table1[[#This Row],[Example]]&lt;&gt;"R002"),AI221-AA221,)</f>
        <v>0</v>
      </c>
      <c r="AM221" s="39" t="s">
        <v>25</v>
      </c>
      <c r="AN221" s="39">
        <v>3</v>
      </c>
      <c r="AO221" s="2">
        <v>1.2830197000000001</v>
      </c>
      <c r="AP22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1" s="2" t="str">
        <f>IF(AND(Table1[[#This Row],[Cplex MI Cost]]=Table1[[#This Row],[ORTools FZN2 Cost]],Table1[[#This Row],[ORTools FZN2 State]]="Optimal",Table1[[#This Row],[Cplex MI State]]="Suboptimal"),1,"")</f>
        <v/>
      </c>
      <c r="AR221" s="12" t="s">
        <v>26</v>
      </c>
      <c r="AS221" s="12">
        <v>3</v>
      </c>
      <c r="AT221" s="12">
        <v>41.3664998</v>
      </c>
      <c r="AU221" s="12">
        <f>IF(AND(Table1[[#This Row],[Z3 SMT2-1 Maxres Cost]]=Table1[[#This Row],[ORTools FZN2 Cost]],Table1[[#This Row],[ORTools FZN2 State]]="Optimal"),1,"")</f>
        <v>1</v>
      </c>
      <c r="AV221" s="12" t="s">
        <v>26</v>
      </c>
      <c r="AW221" s="12">
        <v>3</v>
      </c>
      <c r="AX221" s="12">
        <v>42.8332725</v>
      </c>
      <c r="AY221" s="12">
        <f>IF(AND(Table1[[#This Row],[Z3 SMT2-1 PdMaxres Cost]]=Table1[[#This Row],[ORTools FZN2 Cost]],Table1[[#This Row],[ORTools FZN2 State]]="Optimal"),1,"")</f>
        <v>1</v>
      </c>
      <c r="AZ221" s="12" t="s">
        <v>26</v>
      </c>
      <c r="BA221" s="12">
        <v>3</v>
      </c>
      <c r="BB221" s="12">
        <v>41.073802299999997</v>
      </c>
      <c r="BC221" s="12">
        <f>IF(AND(Table1[[#This Row],[Z3 SMT2-1 WMax Cost]]=Table1[[#This Row],[ORTools FZN2 Cost]],Table1[[#This Row],[ORTools FZN2 State]]="Optimal"),1,"")</f>
        <v>1</v>
      </c>
      <c r="BD221" s="12" t="s">
        <v>26</v>
      </c>
      <c r="BE221" s="12">
        <v>3</v>
      </c>
      <c r="BF221" s="12">
        <v>41.461550000000003</v>
      </c>
      <c r="BG221" s="12">
        <f>IF(AND(Table1[[#This Row],[Z3 SMT2-2 Maxres Cost]]=Table1[[#This Row],[ORTools FZN2 Cost]],Table1[[#This Row],[ORTools FZN2 State]]="Optimal"),1,"")</f>
        <v>1</v>
      </c>
      <c r="BH221" s="12" t="s">
        <v>26</v>
      </c>
      <c r="BI221" s="12">
        <v>3</v>
      </c>
      <c r="BJ221" s="12">
        <v>40.793966099999999</v>
      </c>
      <c r="BK221" s="12">
        <f>IF(AND(Table1[[#This Row],[Z3 SMT2-2 PdMaxres Cost]]=Table1[[#This Row],[ORTools FZN2 Cost]],Table1[[#This Row],[ORTools FZN2 State]]="Optimal"),1,"")</f>
        <v>1</v>
      </c>
      <c r="BL221" s="12" t="s">
        <v>26</v>
      </c>
      <c r="BM221" s="12">
        <v>3</v>
      </c>
      <c r="BN221" s="12">
        <v>41.677086299999999</v>
      </c>
      <c r="BO221" s="11">
        <f>IF(AND(Table1[[#This Row],[Z3 SMT2-2 PdMaxres Cost]]=Table1[[#This Row],[ORTools FZN2 Cost]],Table1[[#This Row],[ORTools FZN2 State]]="Optimal"),1,"")</f>
        <v>1</v>
      </c>
      <c r="BP221" s="5" t="s">
        <v>25</v>
      </c>
      <c r="BQ221" s="2">
        <v>3</v>
      </c>
      <c r="BR221" s="2">
        <v>1.3069419</v>
      </c>
      <c r="BS221" s="2" t="str">
        <f>IF(AND(Table1[[#This Row],[Gurobi MB Cost]]=Table1[[#This Row],[ORTools FZN2 Cost]],Table1[[#This Row],[ORTools FZN2 State]]="Optimal",Table1[[#This Row],[Gurobi MB State]]="Suboptimal"),1,"")</f>
        <v/>
      </c>
      <c r="BT22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1" s="5" t="s">
        <v>25</v>
      </c>
      <c r="BV221" s="2">
        <v>3</v>
      </c>
      <c r="BW221" s="2">
        <v>30.651676999999999</v>
      </c>
      <c r="BX221" s="2" t="str">
        <f>IF(AND(Table1[[#This Row],[Gurobi MD Cost]]=Table1[[#This Row],[ORTools FZN2 Cost]],Table1[[#This Row],[ORTools FZN2 State]]="Optimal",Table1[[#This Row],[Gurobi MD State]]="Suboptimal"),1,"")</f>
        <v/>
      </c>
      <c r="BY22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1" s="5" t="s">
        <v>25</v>
      </c>
      <c r="CA221" s="2">
        <v>3</v>
      </c>
      <c r="CB221" s="2">
        <v>1.3539494000000001</v>
      </c>
      <c r="CC221" s="2" t="str">
        <f>IF(AND(Table1[[#This Row],[Gurobi MI Cost]]=Table1[[#This Row],[ORTools FZN2 Cost]],Table1[[#This Row],[ORTools FZN2 State]]="Optimal",Table1[[#This Row],[Gurobi MI State]]="Suboptimal"),1,"")</f>
        <v/>
      </c>
      <c r="CD22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1" s="39" t="s">
        <v>42</v>
      </c>
      <c r="CF221" s="2">
        <v>-14425</v>
      </c>
      <c r="CG221" s="39">
        <v>306.03674360000002</v>
      </c>
      <c r="CH221" s="39" t="s">
        <v>42</v>
      </c>
      <c r="CI221" s="39">
        <v>-14425</v>
      </c>
      <c r="CJ221" s="2">
        <v>306.1089624</v>
      </c>
      <c r="CK221" s="5" t="s">
        <v>25</v>
      </c>
      <c r="CL221" s="2">
        <v>3</v>
      </c>
      <c r="CM221" s="2">
        <v>0.18500000000131001</v>
      </c>
      <c r="CN221" s="5" t="s">
        <v>25</v>
      </c>
      <c r="CO221" s="2">
        <v>3</v>
      </c>
      <c r="CP221" s="2">
        <v>5.8138465999999998</v>
      </c>
      <c r="CQ221" s="5" t="s">
        <v>25</v>
      </c>
      <c r="CR221" s="2">
        <v>3</v>
      </c>
      <c r="CS221" s="2">
        <v>2.3908819000000001</v>
      </c>
      <c r="CT221" s="6" t="s">
        <v>25</v>
      </c>
      <c r="CU221" s="4">
        <v>3</v>
      </c>
      <c r="CV221" s="4">
        <v>2.1698438000000002</v>
      </c>
      <c r="CW221" s="39" t="s">
        <v>25</v>
      </c>
      <c r="CX221" s="39">
        <v>3</v>
      </c>
      <c r="CY221" s="2">
        <v>29.940100000000001</v>
      </c>
      <c r="CZ221" s="2" t="str">
        <f>IF(AND(Table1[[#This Row],[Cplex MZ1 Cost]]=Table1[[#This Row],[ORTools FZN2 Cost]],Table1[[#This Row],[ORTools FZN2 State]]="Optimal",Table1[[#This Row],[Cplex MZ1 State]]="Suboptimal"),1,"")</f>
        <v/>
      </c>
      <c r="DA221" s="5" t="s">
        <v>25</v>
      </c>
      <c r="DB221" s="2">
        <v>3</v>
      </c>
      <c r="DC221" s="2">
        <v>16.8782</v>
      </c>
      <c r="DD221" s="2" t="str">
        <f>IF(AND(Table1[[#This Row],[Cplex MZ2 Cost]]=Table1[[#This Row],[ORTools FZN2 Cost]],Table1[[#This Row],[ORTools FZN2 State]]="Optimal",Table1[[#This Row],[Cplex MZ2 State]]="Suboptimal"),1,"")</f>
        <v/>
      </c>
      <c r="DE221" s="39" t="s">
        <v>25</v>
      </c>
      <c r="DF221" s="39">
        <v>3</v>
      </c>
      <c r="DG221" s="2">
        <v>33.316600000000001</v>
      </c>
      <c r="DH221" s="2" t="str">
        <f>IF(AND(Table1[[#This Row],[Gurobi MZ1 Cost]]=Table1[[#This Row],[ORTools FZN2 Cost]],Table1[[#This Row],[ORTools FZN2 State]]="Optimal",Table1[[#This Row],[Gurobi MZ1 State]]="Suboptimal"),1,"")</f>
        <v/>
      </c>
      <c r="DI221" s="5" t="s">
        <v>25</v>
      </c>
      <c r="DJ221" s="2">
        <v>3</v>
      </c>
      <c r="DK221" s="2">
        <v>26.8019</v>
      </c>
      <c r="DL221" s="4" t="str">
        <f>IF(AND(Table1[[#This Row],[Gurobi MZ2 Cost]]=Table1[[#This Row],[ORTools FZN2 Cost]],Table1[[#This Row],[ORTools FZN2 State]]="Optimal",Table1[[#This Row],[Gurobi MZ2 State]]="Suboptimal"),1,"")</f>
        <v/>
      </c>
      <c r="DM221" s="39" t="s">
        <v>25</v>
      </c>
      <c r="DN221" s="39">
        <v>3</v>
      </c>
      <c r="DO221" s="65">
        <v>0.97000000000116404</v>
      </c>
      <c r="DP221" s="4" t="str">
        <f>IF(AND(Table1[[#This Row],[Cplex MC nonDual Cost]]=Table1[[#This Row],[ORTools FZN2 Cost]],Table1[[#This Row],[ORTools FZN2 State]]="Optimal",Table1[[#This Row],[Cplex MC nonDual State]]="Suboptimal"),1,"")</f>
        <v/>
      </c>
      <c r="DQ221" s="5" t="s">
        <v>25</v>
      </c>
      <c r="DR221" s="2">
        <v>3</v>
      </c>
      <c r="DS221" s="2">
        <v>7.6852999999999998</v>
      </c>
      <c r="DT221" s="2" t="str">
        <f>IF(AND(Table1[[#This Row],[Cplex MIP DM''z Cost]]=Table1[[#This Row],[ORTools FZN2 Cost]],Table1[[#This Row],[ORTools FZN2 State]]="Optimal",Table1[[#This Row],[Cplex MIP DM''z  State]]="Suboptimal"),1,"")</f>
        <v/>
      </c>
      <c r="DU22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1" s="5" t="s">
        <v>25</v>
      </c>
      <c r="DW221" s="2">
        <v>3</v>
      </c>
      <c r="DX221" s="2">
        <v>64.9739</v>
      </c>
      <c r="DY221" s="4" t="str">
        <f>IF(AND(Table1[[#This Row],[Gurobi DM''z  Cost]]=Table1[[#This Row],[ORTools FZN2 Cost]],Table1[[#This Row],[ORTools FZN2 State]]="Optimal",Table1[[#This Row],[Gurobi DM''z  State]]="Suboptimal"),1,"")</f>
        <v/>
      </c>
      <c r="DZ22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2" spans="1:130" ht="15.75" x14ac:dyDescent="0.25">
      <c r="A222" s="46" t="s">
        <v>248</v>
      </c>
      <c r="B222" s="5">
        <v>16</v>
      </c>
      <c r="C222" s="2">
        <v>8</v>
      </c>
      <c r="D222" s="5">
        <v>18</v>
      </c>
      <c r="E222" s="2">
        <v>12</v>
      </c>
      <c r="F222" s="5">
        <v>7</v>
      </c>
      <c r="G222" s="2">
        <v>6</v>
      </c>
      <c r="H222" s="4">
        <f t="shared" si="3"/>
        <v>0</v>
      </c>
      <c r="I222" s="4">
        <f>Table1[[#This Row],[B]]+Table1[[#This Row],[Atomic Constraints]]+Table1[[#This Row],[Soft Atomic Constraints]]+Table1[[#This Row],[Disjunctive Constraints]]+Table1[[#This Row],[Direct Successors]]</f>
        <v>51</v>
      </c>
      <c r="J222" s="5" t="s">
        <v>25</v>
      </c>
      <c r="K222" s="2">
        <v>2</v>
      </c>
      <c r="L222" s="2">
        <v>0.81656019999999996</v>
      </c>
      <c r="M222" s="2" t="str">
        <f>IF(AND(Table1[[#This Row],[Chuffed MZ1 Cost]]=Table1[[#This Row],[ORTools FZN2 Cost]],Table1[[#This Row],[ORTools FZN2 State]]="Optimal",Table1[[#This Row],[Chuffed MZ1 State]]="Suboptimal"),1,"")</f>
        <v/>
      </c>
      <c r="N222" s="5" t="s">
        <v>25</v>
      </c>
      <c r="O222" s="2">
        <v>2</v>
      </c>
      <c r="P222" s="2">
        <v>0.74904329999999997</v>
      </c>
      <c r="Q222" s="2" t="str">
        <f>IF(AND(Table1[[#This Row],[Chuffed MZ2 Cost]]=Table1[[#This Row],[ORTools FZN2 Cost]],Table1[[#This Row],[ORTools FZN2 State]]="Optimal",Table1[[#This Row],[Chuffed MZ2 State]]="Suboptimal"),1,"")</f>
        <v/>
      </c>
      <c r="R222" s="6" t="s">
        <v>25</v>
      </c>
      <c r="S222" s="4">
        <v>2</v>
      </c>
      <c r="T222" s="4">
        <v>0.12700000000040701</v>
      </c>
      <c r="U222" s="4"/>
      <c r="V222" s="5" t="s">
        <v>25</v>
      </c>
      <c r="W222" s="2">
        <v>2</v>
      </c>
      <c r="X222" s="2">
        <v>0.3880612</v>
      </c>
      <c r="Y222" s="2" t="str">
        <f>IF(AND(Table1[[#This Row],[ORTools FZN1 Cost]]=Table1[[#This Row],[ORTools FZN2 Cost]],Table1[[#This Row],[ORTools FZN2 State]]="Optimal",Table1[[#This Row],[ORTools FZN1 State]]="Suboptimal"),1,"")</f>
        <v/>
      </c>
      <c r="Z222" s="5" t="s">
        <v>25</v>
      </c>
      <c r="AA222" s="2">
        <v>2</v>
      </c>
      <c r="AB222" s="2">
        <v>0.36576500000000001</v>
      </c>
      <c r="AC222" s="39" t="s">
        <v>25</v>
      </c>
      <c r="AD222" s="39">
        <v>2</v>
      </c>
      <c r="AE222" s="2">
        <v>1.5079412000000001</v>
      </c>
      <c r="AF222" s="2" t="str">
        <f>IF(AND(Table1[[#This Row],[Cplex MB Cost]]=Table1[[#This Row],[ORTools FZN2 Cost]],Table1[[#This Row],[ORTools FZN2 State]]="Optimal",Table1[[#This Row],[Cplex MB State]]="Suboptimal"),1,"")</f>
        <v/>
      </c>
      <c r="AG222" s="4">
        <f>IF(AND(AC222="Optimal",AD222&lt;&gt;AA222,Table1[[#This Row],[Example]]&lt;&gt;"R001",Table1[[#This Row],[Example]]&lt;&gt;"R002"),AD222-AA222,)</f>
        <v>0</v>
      </c>
      <c r="AH222" s="5" t="s">
        <v>25</v>
      </c>
      <c r="AI222" s="2">
        <v>2</v>
      </c>
      <c r="AJ222" s="2">
        <v>2.5030589999999999</v>
      </c>
      <c r="AK222" s="2" t="str">
        <f>IF(AND(Table1[[#This Row],[Cplex MD Cost]]=Table1[[#This Row],[ORTools FZN2 Cost]],Table1[[#This Row],[ORTools FZN2 State]]="Optimal",Table1[[#This Row],[Cplex MD State]]="Suboptimal"),1,"")</f>
        <v/>
      </c>
      <c r="AL222" s="4">
        <f>IF(AND(AH222="Optimal",AI222&lt;&gt;AA222,Table1[[#This Row],[Example]]&lt;&gt;"R001",Table1[[#This Row],[Example]]&lt;&gt;"R002"),AI222-AA222,)</f>
        <v>0</v>
      </c>
      <c r="AM222" s="39" t="s">
        <v>25</v>
      </c>
      <c r="AN222" s="39">
        <v>2</v>
      </c>
      <c r="AO222" s="2">
        <v>0.36791570000000001</v>
      </c>
      <c r="AP22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2" s="4" t="str">
        <f>IF(AND(Table1[[#This Row],[Cplex MI Cost]]=Table1[[#This Row],[ORTools FZN2 Cost]],Table1[[#This Row],[ORTools FZN2 State]]="Optimal",Table1[[#This Row],[Cplex MI State]]="Suboptimal"),1,"")</f>
        <v/>
      </c>
      <c r="AR222" s="12" t="s">
        <v>26</v>
      </c>
      <c r="AS222" s="12">
        <v>2</v>
      </c>
      <c r="AT222" s="12">
        <v>4.5004720999999996</v>
      </c>
      <c r="AU222" s="12">
        <f>IF(AND(Table1[[#This Row],[Z3 SMT2-1 Maxres Cost]]=Table1[[#This Row],[ORTools FZN2 Cost]],Table1[[#This Row],[ORTools FZN2 State]]="Optimal"),1,"")</f>
        <v>1</v>
      </c>
      <c r="AV222" s="12" t="s">
        <v>26</v>
      </c>
      <c r="AW222" s="12">
        <v>2</v>
      </c>
      <c r="AX222" s="12">
        <v>4.5550559000000002</v>
      </c>
      <c r="AY222" s="12">
        <f>IF(AND(Table1[[#This Row],[Z3 SMT2-1 PdMaxres Cost]]=Table1[[#This Row],[ORTools FZN2 Cost]],Table1[[#This Row],[ORTools FZN2 State]]="Optimal"),1,"")</f>
        <v>1</v>
      </c>
      <c r="AZ222" s="12" t="s">
        <v>26</v>
      </c>
      <c r="BA222" s="12">
        <v>2</v>
      </c>
      <c r="BB222" s="12">
        <v>4.4957696</v>
      </c>
      <c r="BC222" s="12">
        <f>IF(AND(Table1[[#This Row],[Z3 SMT2-1 WMax Cost]]=Table1[[#This Row],[ORTools FZN2 Cost]],Table1[[#This Row],[ORTools FZN2 State]]="Optimal"),1,"")</f>
        <v>1</v>
      </c>
      <c r="BD222" s="12" t="s">
        <v>26</v>
      </c>
      <c r="BE222" s="12">
        <v>2</v>
      </c>
      <c r="BF222" s="12">
        <v>4.8613822999999998</v>
      </c>
      <c r="BG222" s="12">
        <f>IF(AND(Table1[[#This Row],[Z3 SMT2-2 Maxres Cost]]=Table1[[#This Row],[ORTools FZN2 Cost]],Table1[[#This Row],[ORTools FZN2 State]]="Optimal"),1,"")</f>
        <v>1</v>
      </c>
      <c r="BH222" s="12" t="s">
        <v>26</v>
      </c>
      <c r="BI222" s="12">
        <v>2</v>
      </c>
      <c r="BJ222" s="12">
        <v>5.0774761000000002</v>
      </c>
      <c r="BK222" s="12">
        <f>IF(AND(Table1[[#This Row],[Z3 SMT2-2 PdMaxres Cost]]=Table1[[#This Row],[ORTools FZN2 Cost]],Table1[[#This Row],[ORTools FZN2 State]]="Optimal"),1,"")</f>
        <v>1</v>
      </c>
      <c r="BL222" s="12" t="s">
        <v>26</v>
      </c>
      <c r="BM222" s="12">
        <v>2</v>
      </c>
      <c r="BN222" s="12">
        <v>5.0606211999999999</v>
      </c>
      <c r="BO222" s="11">
        <f>IF(AND(Table1[[#This Row],[Z3 SMT2-2 PdMaxres Cost]]=Table1[[#This Row],[ORTools FZN2 Cost]],Table1[[#This Row],[ORTools FZN2 State]]="Optimal"),1,"")</f>
        <v>1</v>
      </c>
      <c r="BP222" s="5" t="s">
        <v>25</v>
      </c>
      <c r="BQ222" s="2">
        <v>2</v>
      </c>
      <c r="BR222" s="2">
        <v>0.24655379999999999</v>
      </c>
      <c r="BS222" s="2" t="str">
        <f>IF(AND(Table1[[#This Row],[Gurobi MB Cost]]=Table1[[#This Row],[ORTools FZN2 Cost]],Table1[[#This Row],[ORTools FZN2 State]]="Optimal",Table1[[#This Row],[Gurobi MB State]]="Suboptimal"),1,"")</f>
        <v/>
      </c>
      <c r="BT22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2" s="5" t="s">
        <v>25</v>
      </c>
      <c r="BV222" s="2">
        <v>2</v>
      </c>
      <c r="BW222" s="2">
        <v>6.2206492000000004</v>
      </c>
      <c r="BX222" s="2" t="str">
        <f>IF(AND(Table1[[#This Row],[Gurobi MD Cost]]=Table1[[#This Row],[ORTools FZN2 Cost]],Table1[[#This Row],[ORTools FZN2 State]]="Optimal",Table1[[#This Row],[Gurobi MD State]]="Suboptimal"),1,"")</f>
        <v/>
      </c>
      <c r="BY22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2" s="5" t="s">
        <v>25</v>
      </c>
      <c r="CA222" s="2">
        <v>2</v>
      </c>
      <c r="CB222" s="2">
        <v>0.4326661</v>
      </c>
      <c r="CC222" s="2" t="str">
        <f>IF(AND(Table1[[#This Row],[Gurobi MI Cost]]=Table1[[#This Row],[ORTools FZN2 Cost]],Table1[[#This Row],[ORTools FZN2 State]]="Optimal",Table1[[#This Row],[Gurobi MI State]]="Suboptimal"),1,"")</f>
        <v/>
      </c>
      <c r="CD22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2" s="39" t="s">
        <v>42</v>
      </c>
      <c r="CF222" s="2">
        <v>-4369</v>
      </c>
      <c r="CG222" s="39">
        <v>306.0033201</v>
      </c>
      <c r="CH222" s="39" t="s">
        <v>42</v>
      </c>
      <c r="CI222" s="39">
        <v>-4369</v>
      </c>
      <c r="CJ222" s="2">
        <v>305.97816399999999</v>
      </c>
      <c r="CK222" s="5" t="s">
        <v>25</v>
      </c>
      <c r="CL222" s="2">
        <v>2</v>
      </c>
      <c r="CM222" s="2">
        <v>0.13799999999901</v>
      </c>
      <c r="CN222" s="5" t="s">
        <v>25</v>
      </c>
      <c r="CO222" s="2">
        <v>2</v>
      </c>
      <c r="CP222" s="2">
        <v>1.4180516999999999</v>
      </c>
      <c r="CQ222" s="5" t="s">
        <v>25</v>
      </c>
      <c r="CR222" s="2">
        <v>2</v>
      </c>
      <c r="CS222" s="2">
        <v>0.63675630000000005</v>
      </c>
      <c r="CT222" s="6" t="s">
        <v>25</v>
      </c>
      <c r="CU222" s="4">
        <v>2</v>
      </c>
      <c r="CV222" s="4">
        <v>0.65793440000000003</v>
      </c>
      <c r="CW222" s="39" t="s">
        <v>25</v>
      </c>
      <c r="CX222" s="39">
        <v>2</v>
      </c>
      <c r="CY222" s="2">
        <v>1.2963</v>
      </c>
      <c r="CZ222" s="2" t="str">
        <f>IF(AND(Table1[[#This Row],[Cplex MZ1 Cost]]=Table1[[#This Row],[ORTools FZN2 Cost]],Table1[[#This Row],[ORTools FZN2 State]]="Optimal",Table1[[#This Row],[Cplex MZ1 State]]="Suboptimal"),1,"")</f>
        <v/>
      </c>
      <c r="DA222" s="5" t="s">
        <v>25</v>
      </c>
      <c r="DB222" s="2">
        <v>2</v>
      </c>
      <c r="DC222" s="2">
        <v>1.2189000000000001</v>
      </c>
      <c r="DD222" s="2" t="str">
        <f>IF(AND(Table1[[#This Row],[Cplex MZ2 Cost]]=Table1[[#This Row],[ORTools FZN2 Cost]],Table1[[#This Row],[ORTools FZN2 State]]="Optimal",Table1[[#This Row],[Cplex MZ2 State]]="Suboptimal"),1,"")</f>
        <v/>
      </c>
      <c r="DE222" s="39" t="s">
        <v>25</v>
      </c>
      <c r="DF222" s="39">
        <v>2</v>
      </c>
      <c r="DG222" s="2">
        <v>3.53</v>
      </c>
      <c r="DH222" s="2" t="str">
        <f>IF(AND(Table1[[#This Row],[Gurobi MZ1 Cost]]=Table1[[#This Row],[ORTools FZN2 Cost]],Table1[[#This Row],[ORTools FZN2 State]]="Optimal",Table1[[#This Row],[Gurobi MZ1 State]]="Suboptimal"),1,"")</f>
        <v/>
      </c>
      <c r="DI222" s="5" t="s">
        <v>25</v>
      </c>
      <c r="DJ222" s="2">
        <v>2</v>
      </c>
      <c r="DK222" s="2">
        <v>2.1013999999999999</v>
      </c>
      <c r="DL222" s="4" t="str">
        <f>IF(AND(Table1[[#This Row],[Gurobi MZ2 Cost]]=Table1[[#This Row],[ORTools FZN2 Cost]],Table1[[#This Row],[ORTools FZN2 State]]="Optimal",Table1[[#This Row],[Gurobi MZ2 State]]="Suboptimal"),1,"")</f>
        <v/>
      </c>
      <c r="DM222" s="39" t="s">
        <v>25</v>
      </c>
      <c r="DN222" s="39">
        <v>2</v>
      </c>
      <c r="DO222" s="65">
        <v>0.10500000000320101</v>
      </c>
      <c r="DP222" s="4" t="str">
        <f>IF(AND(Table1[[#This Row],[Cplex MC nonDual Cost]]=Table1[[#This Row],[ORTools FZN2 Cost]],Table1[[#This Row],[ORTools FZN2 State]]="Optimal",Table1[[#This Row],[Cplex MC nonDual State]]="Suboptimal"),1,"")</f>
        <v/>
      </c>
      <c r="DQ222" s="5" t="s">
        <v>25</v>
      </c>
      <c r="DR222" s="2">
        <v>2</v>
      </c>
      <c r="DS222" s="2">
        <v>1.325</v>
      </c>
      <c r="DT222" s="2" t="str">
        <f>IF(AND(Table1[[#This Row],[Cplex MIP DM''z Cost]]=Table1[[#This Row],[ORTools FZN2 Cost]],Table1[[#This Row],[ORTools FZN2 State]]="Optimal",Table1[[#This Row],[Cplex MIP DM''z  State]]="Suboptimal"),1,"")</f>
        <v/>
      </c>
      <c r="DU22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2" s="5" t="s">
        <v>25</v>
      </c>
      <c r="DW222" s="2">
        <v>2</v>
      </c>
      <c r="DX222" s="2">
        <v>2.9927000000000001</v>
      </c>
      <c r="DY222" s="4" t="str">
        <f>IF(AND(Table1[[#This Row],[Gurobi DM''z  Cost]]=Table1[[#This Row],[ORTools FZN2 Cost]],Table1[[#This Row],[ORTools FZN2 State]]="Optimal",Table1[[#This Row],[Gurobi DM''z  State]]="Suboptimal"),1,"")</f>
        <v/>
      </c>
      <c r="DZ22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3" spans="1:130" ht="15.75" x14ac:dyDescent="0.25">
      <c r="A223" s="47" t="s">
        <v>249</v>
      </c>
      <c r="B223" s="5">
        <v>16</v>
      </c>
      <c r="C223" s="2">
        <v>8</v>
      </c>
      <c r="D223" s="5">
        <v>21</v>
      </c>
      <c r="E223" s="2">
        <v>11</v>
      </c>
      <c r="F223" s="5">
        <v>4</v>
      </c>
      <c r="G223" s="2">
        <v>4</v>
      </c>
      <c r="H223" s="4">
        <f t="shared" si="3"/>
        <v>0</v>
      </c>
      <c r="I223" s="4">
        <f>Table1[[#This Row],[B]]+Table1[[#This Row],[Atomic Constraints]]+Table1[[#This Row],[Soft Atomic Constraints]]+Table1[[#This Row],[Disjunctive Constraints]]+Table1[[#This Row],[Direct Successors]]</f>
        <v>48</v>
      </c>
      <c r="J223" s="5" t="s">
        <v>25</v>
      </c>
      <c r="K223" s="2">
        <v>4387</v>
      </c>
      <c r="L223" s="2">
        <v>0.90652659999999996</v>
      </c>
      <c r="M223" s="2" t="str">
        <f>IF(AND(Table1[[#This Row],[Chuffed MZ1 Cost]]=Table1[[#This Row],[ORTools FZN2 Cost]],Table1[[#This Row],[ORTools FZN2 State]]="Optimal",Table1[[#This Row],[Chuffed MZ1 State]]="Suboptimal"),1,"")</f>
        <v/>
      </c>
      <c r="N223" s="5" t="s">
        <v>25</v>
      </c>
      <c r="O223" s="2">
        <v>4387</v>
      </c>
      <c r="P223" s="2">
        <v>1.5555013</v>
      </c>
      <c r="Q223" s="2" t="str">
        <f>IF(AND(Table1[[#This Row],[Chuffed MZ2 Cost]]=Table1[[#This Row],[ORTools FZN2 Cost]],Table1[[#This Row],[ORTools FZN2 State]]="Optimal",Table1[[#This Row],[Chuffed MZ2 State]]="Suboptimal"),1,"")</f>
        <v/>
      </c>
      <c r="R223" s="5" t="s">
        <v>25</v>
      </c>
      <c r="S223" s="2">
        <v>4387</v>
      </c>
      <c r="T223" s="2">
        <v>0.14099999999962201</v>
      </c>
      <c r="U223" s="2"/>
      <c r="V223" s="5" t="s">
        <v>25</v>
      </c>
      <c r="W223" s="2">
        <v>4387</v>
      </c>
      <c r="X223" s="2">
        <v>0.38839180000000001</v>
      </c>
      <c r="Y223" s="2" t="str">
        <f>IF(AND(Table1[[#This Row],[ORTools FZN1 Cost]]=Table1[[#This Row],[ORTools FZN2 Cost]],Table1[[#This Row],[ORTools FZN2 State]]="Optimal",Table1[[#This Row],[ORTools FZN1 State]]="Suboptimal"),1,"")</f>
        <v/>
      </c>
      <c r="Z223" s="5" t="s">
        <v>25</v>
      </c>
      <c r="AA223" s="2">
        <v>4387</v>
      </c>
      <c r="AB223" s="2">
        <v>0.35747570000000001</v>
      </c>
      <c r="AC223" s="39" t="s">
        <v>25</v>
      </c>
      <c r="AD223" s="39">
        <v>4387</v>
      </c>
      <c r="AE223" s="2">
        <v>0.9652115</v>
      </c>
      <c r="AF223" s="2" t="str">
        <f>IF(AND(Table1[[#This Row],[Cplex MB Cost]]=Table1[[#This Row],[ORTools FZN2 Cost]],Table1[[#This Row],[ORTools FZN2 State]]="Optimal",Table1[[#This Row],[Cplex MB State]]="Suboptimal"),1,"")</f>
        <v/>
      </c>
      <c r="AG223" s="4">
        <f>IF(AND(AC223="Optimal",AD223&lt;&gt;AA223,Table1[[#This Row],[Example]]&lt;&gt;"R001",Table1[[#This Row],[Example]]&lt;&gt;"R002"),AD223-AA223,)</f>
        <v>0</v>
      </c>
      <c r="AH223" s="5" t="s">
        <v>25</v>
      </c>
      <c r="AI223" s="2">
        <v>4387</v>
      </c>
      <c r="AJ223" s="2">
        <v>2.8308841999999999</v>
      </c>
      <c r="AK223" s="2" t="str">
        <f>IF(AND(Table1[[#This Row],[Cplex MD Cost]]=Table1[[#This Row],[ORTools FZN2 Cost]],Table1[[#This Row],[ORTools FZN2 State]]="Optimal",Table1[[#This Row],[Cplex MD State]]="Suboptimal"),1,"")</f>
        <v/>
      </c>
      <c r="AL223" s="4">
        <f>IF(AND(AH223="Optimal",AI223&lt;&gt;AA223,Table1[[#This Row],[Example]]&lt;&gt;"R001",Table1[[#This Row],[Example]]&lt;&gt;"R002"),AI223-AA223,)</f>
        <v>0</v>
      </c>
      <c r="AM223" s="39" t="s">
        <v>25</v>
      </c>
      <c r="AN223" s="39">
        <v>4387</v>
      </c>
      <c r="AO223" s="2">
        <v>0.44819209999999998</v>
      </c>
      <c r="AP22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3" s="2" t="str">
        <f>IF(AND(Table1[[#This Row],[Cplex MI Cost]]=Table1[[#This Row],[ORTools FZN2 Cost]],Table1[[#This Row],[ORTools FZN2 State]]="Optimal",Table1[[#This Row],[Cplex MI State]]="Suboptimal"),1,"")</f>
        <v/>
      </c>
      <c r="AR223" s="12" t="s">
        <v>26</v>
      </c>
      <c r="AS223" s="12">
        <v>4387</v>
      </c>
      <c r="AT223" s="12">
        <v>3.0579822999999999</v>
      </c>
      <c r="AU223" s="12">
        <f>IF(AND(Table1[[#This Row],[Z3 SMT2-1 Maxres Cost]]=Table1[[#This Row],[ORTools FZN2 Cost]],Table1[[#This Row],[ORTools FZN2 State]]="Optimal"),1,"")</f>
        <v>1</v>
      </c>
      <c r="AV223" s="12" t="s">
        <v>26</v>
      </c>
      <c r="AW223" s="12">
        <v>4387</v>
      </c>
      <c r="AX223" s="12">
        <v>3.0757599</v>
      </c>
      <c r="AY223" s="12">
        <f>IF(AND(Table1[[#This Row],[Z3 SMT2-1 PdMaxres Cost]]=Table1[[#This Row],[ORTools FZN2 Cost]],Table1[[#This Row],[ORTools FZN2 State]]="Optimal"),1,"")</f>
        <v>1</v>
      </c>
      <c r="AZ223" s="12" t="s">
        <v>26</v>
      </c>
      <c r="BA223" s="12">
        <v>4387</v>
      </c>
      <c r="BB223" s="12">
        <v>3.0577160000000001</v>
      </c>
      <c r="BC223" s="12">
        <f>IF(AND(Table1[[#This Row],[Z3 SMT2-1 WMax Cost]]=Table1[[#This Row],[ORTools FZN2 Cost]],Table1[[#This Row],[ORTools FZN2 State]]="Optimal"),1,"")</f>
        <v>1</v>
      </c>
      <c r="BD223" s="12" t="s">
        <v>26</v>
      </c>
      <c r="BE223" s="12">
        <v>4387</v>
      </c>
      <c r="BF223" s="12">
        <v>3.0743784999999999</v>
      </c>
      <c r="BG223" s="12">
        <f>IF(AND(Table1[[#This Row],[Z3 SMT2-2 Maxres Cost]]=Table1[[#This Row],[ORTools FZN2 Cost]],Table1[[#This Row],[ORTools FZN2 State]]="Optimal"),1,"")</f>
        <v>1</v>
      </c>
      <c r="BH223" s="12" t="s">
        <v>26</v>
      </c>
      <c r="BI223" s="12">
        <v>4387</v>
      </c>
      <c r="BJ223" s="12">
        <v>3.1609693000000001</v>
      </c>
      <c r="BK223" s="12">
        <f>IF(AND(Table1[[#This Row],[Z3 SMT2-2 PdMaxres Cost]]=Table1[[#This Row],[ORTools FZN2 Cost]],Table1[[#This Row],[ORTools FZN2 State]]="Optimal"),1,"")</f>
        <v>1</v>
      </c>
      <c r="BL223" s="12" t="s">
        <v>26</v>
      </c>
      <c r="BM223" s="12">
        <v>4387</v>
      </c>
      <c r="BN223" s="12">
        <v>3.2110894999999999</v>
      </c>
      <c r="BO223" s="11">
        <f>IF(AND(Table1[[#This Row],[Z3 SMT2-2 PdMaxres Cost]]=Table1[[#This Row],[ORTools FZN2 Cost]],Table1[[#This Row],[ORTools FZN2 State]]="Optimal"),1,"")</f>
        <v>1</v>
      </c>
      <c r="BP223" s="5" t="s">
        <v>25</v>
      </c>
      <c r="BQ223" s="2">
        <v>4387</v>
      </c>
      <c r="BR223" s="2">
        <v>0.87353099999999995</v>
      </c>
      <c r="BS223" s="2" t="str">
        <f>IF(AND(Table1[[#This Row],[Gurobi MB Cost]]=Table1[[#This Row],[ORTools FZN2 Cost]],Table1[[#This Row],[ORTools FZN2 State]]="Optimal",Table1[[#This Row],[Gurobi MB State]]="Suboptimal"),1,"")</f>
        <v/>
      </c>
      <c r="BT22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3" s="5" t="s">
        <v>25</v>
      </c>
      <c r="BV223" s="2">
        <v>4387</v>
      </c>
      <c r="BW223" s="2">
        <v>3.0301692999999998</v>
      </c>
      <c r="BX223" s="2" t="str">
        <f>IF(AND(Table1[[#This Row],[Gurobi MD Cost]]=Table1[[#This Row],[ORTools FZN2 Cost]],Table1[[#This Row],[ORTools FZN2 State]]="Optimal",Table1[[#This Row],[Gurobi MD State]]="Suboptimal"),1,"")</f>
        <v/>
      </c>
      <c r="BY22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3" s="5" t="s">
        <v>25</v>
      </c>
      <c r="CA223" s="2">
        <v>4387</v>
      </c>
      <c r="CB223" s="2">
        <v>1.0599154</v>
      </c>
      <c r="CC223" s="2" t="str">
        <f>IF(AND(Table1[[#This Row],[Gurobi MI Cost]]=Table1[[#This Row],[ORTools FZN2 Cost]],Table1[[#This Row],[ORTools FZN2 State]]="Optimal",Table1[[#This Row],[Gurobi MI State]]="Suboptimal"),1,"")</f>
        <v/>
      </c>
      <c r="CD22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3" s="39" t="s">
        <v>42</v>
      </c>
      <c r="CF223" s="2">
        <v>-4369</v>
      </c>
      <c r="CG223" s="39">
        <v>306.02319720000003</v>
      </c>
      <c r="CH223" s="39" t="s">
        <v>42</v>
      </c>
      <c r="CI223" s="39">
        <v>-4369</v>
      </c>
      <c r="CJ223" s="2">
        <v>306.00317990000002</v>
      </c>
      <c r="CK223" s="5" t="s">
        <v>25</v>
      </c>
      <c r="CL223" s="2">
        <v>4387</v>
      </c>
      <c r="CM223" s="2">
        <v>0.26100000000224099</v>
      </c>
      <c r="CN223" s="5" t="s">
        <v>25</v>
      </c>
      <c r="CO223" s="2">
        <v>4387</v>
      </c>
      <c r="CP223" s="2">
        <v>0.81622430000000001</v>
      </c>
      <c r="CQ223" s="5" t="s">
        <v>25</v>
      </c>
      <c r="CR223" s="2">
        <v>4387</v>
      </c>
      <c r="CS223" s="2">
        <v>0.64555269999999998</v>
      </c>
      <c r="CT223" s="6" t="s">
        <v>25</v>
      </c>
      <c r="CU223" s="4">
        <v>4387</v>
      </c>
      <c r="CV223" s="4">
        <v>0.67080589999999995</v>
      </c>
      <c r="CW223" s="39" t="s">
        <v>25</v>
      </c>
      <c r="CX223" s="39">
        <v>4387</v>
      </c>
      <c r="CY223" s="2">
        <v>1.7079</v>
      </c>
      <c r="CZ223" s="2" t="str">
        <f>IF(AND(Table1[[#This Row],[Cplex MZ1 Cost]]=Table1[[#This Row],[ORTools FZN2 Cost]],Table1[[#This Row],[ORTools FZN2 State]]="Optimal",Table1[[#This Row],[Cplex MZ1 State]]="Suboptimal"),1,"")</f>
        <v/>
      </c>
      <c r="DA223" s="5" t="s">
        <v>25</v>
      </c>
      <c r="DB223" s="2">
        <v>4387</v>
      </c>
      <c r="DC223" s="2">
        <v>1.6093999999999999</v>
      </c>
      <c r="DD223" s="2" t="str">
        <f>IF(AND(Table1[[#This Row],[Cplex MZ2 Cost]]=Table1[[#This Row],[ORTools FZN2 Cost]],Table1[[#This Row],[ORTools FZN2 State]]="Optimal",Table1[[#This Row],[Cplex MZ2 State]]="Suboptimal"),1,"")</f>
        <v/>
      </c>
      <c r="DE223" s="39" t="s">
        <v>25</v>
      </c>
      <c r="DF223" s="39">
        <v>4387</v>
      </c>
      <c r="DG223" s="2">
        <v>3.1739999999999999</v>
      </c>
      <c r="DH223" s="2" t="str">
        <f>IF(AND(Table1[[#This Row],[Gurobi MZ1 Cost]]=Table1[[#This Row],[ORTools FZN2 Cost]],Table1[[#This Row],[ORTools FZN2 State]]="Optimal",Table1[[#This Row],[Gurobi MZ1 State]]="Suboptimal"),1,"")</f>
        <v/>
      </c>
      <c r="DI223" s="5" t="s">
        <v>25</v>
      </c>
      <c r="DJ223" s="2">
        <v>4387</v>
      </c>
      <c r="DK223" s="2">
        <v>0.90900000000000003</v>
      </c>
      <c r="DL223" s="4" t="str">
        <f>IF(AND(Table1[[#This Row],[Gurobi MZ2 Cost]]=Table1[[#This Row],[ORTools FZN2 Cost]],Table1[[#This Row],[ORTools FZN2 State]]="Optimal",Table1[[#This Row],[Gurobi MZ2 State]]="Suboptimal"),1,"")</f>
        <v/>
      </c>
      <c r="DM223" s="39" t="s">
        <v>25</v>
      </c>
      <c r="DN223" s="39">
        <v>4387</v>
      </c>
      <c r="DO223" s="65">
        <v>0.31399999999848599</v>
      </c>
      <c r="DP223" s="4" t="str">
        <f>IF(AND(Table1[[#This Row],[Cplex MC nonDual Cost]]=Table1[[#This Row],[ORTools FZN2 Cost]],Table1[[#This Row],[ORTools FZN2 State]]="Optimal",Table1[[#This Row],[Cplex MC nonDual State]]="Suboptimal"),1,"")</f>
        <v/>
      </c>
      <c r="DQ223" s="5" t="s">
        <v>25</v>
      </c>
      <c r="DR223" s="2">
        <v>4387</v>
      </c>
      <c r="DS223" s="2">
        <v>1.7327999999999999</v>
      </c>
      <c r="DT223" s="2" t="str">
        <f>IF(AND(Table1[[#This Row],[Cplex MIP DM''z Cost]]=Table1[[#This Row],[ORTools FZN2 Cost]],Table1[[#This Row],[ORTools FZN2 State]]="Optimal",Table1[[#This Row],[Cplex MIP DM''z  State]]="Suboptimal"),1,"")</f>
        <v/>
      </c>
      <c r="DU22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3" s="5" t="s">
        <v>25</v>
      </c>
      <c r="DW223" s="2">
        <v>4387</v>
      </c>
      <c r="DX223" s="2">
        <v>2.0289999999999999</v>
      </c>
      <c r="DY223" s="4" t="str">
        <f>IF(AND(Table1[[#This Row],[Gurobi DM''z  Cost]]=Table1[[#This Row],[ORTools FZN2 Cost]],Table1[[#This Row],[ORTools FZN2 State]]="Optimal",Table1[[#This Row],[Gurobi DM''z  State]]="Suboptimal"),1,"")</f>
        <v/>
      </c>
      <c r="DZ22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4" spans="1:130" ht="15.75" x14ac:dyDescent="0.25">
      <c r="A224" s="46" t="s">
        <v>250</v>
      </c>
      <c r="B224" s="5">
        <v>24</v>
      </c>
      <c r="C224" s="2">
        <v>12</v>
      </c>
      <c r="D224" s="5">
        <v>54</v>
      </c>
      <c r="E224" s="2">
        <v>19</v>
      </c>
      <c r="F224" s="5">
        <v>10</v>
      </c>
      <c r="G224" s="2">
        <v>0</v>
      </c>
      <c r="H224" s="4">
        <f t="shared" si="3"/>
        <v>0</v>
      </c>
      <c r="I224" s="4">
        <f>Table1[[#This Row],[B]]+Table1[[#This Row],[Atomic Constraints]]+Table1[[#This Row],[Soft Atomic Constraints]]+Table1[[#This Row],[Disjunctive Constraints]]+Table1[[#This Row],[Direct Successors]]</f>
        <v>95</v>
      </c>
      <c r="J224" s="5" t="s">
        <v>25</v>
      </c>
      <c r="K224" s="2">
        <v>3</v>
      </c>
      <c r="L224" s="2">
        <v>1.3209306000000001</v>
      </c>
      <c r="M224" s="2" t="str">
        <f>IF(AND(Table1[[#This Row],[Chuffed MZ1 Cost]]=Table1[[#This Row],[ORTools FZN2 Cost]],Table1[[#This Row],[ORTools FZN2 State]]="Optimal",Table1[[#This Row],[Chuffed MZ1 State]]="Suboptimal"),1,"")</f>
        <v/>
      </c>
      <c r="N224" s="5" t="s">
        <v>25</v>
      </c>
      <c r="O224" s="2">
        <v>3</v>
      </c>
      <c r="P224" s="2">
        <v>1.3295564</v>
      </c>
      <c r="Q224" s="2" t="str">
        <f>IF(AND(Table1[[#This Row],[Chuffed MZ2 Cost]]=Table1[[#This Row],[ORTools FZN2 Cost]],Table1[[#This Row],[ORTools FZN2 State]]="Optimal",Table1[[#This Row],[Chuffed MZ2 State]]="Suboptimal"),1,"")</f>
        <v/>
      </c>
      <c r="R224" s="6" t="s">
        <v>25</v>
      </c>
      <c r="S224" s="4">
        <v>3</v>
      </c>
      <c r="T224" s="4">
        <v>0.222000000001572</v>
      </c>
      <c r="U224" s="4"/>
      <c r="V224" s="5" t="s">
        <v>25</v>
      </c>
      <c r="W224" s="2">
        <v>3</v>
      </c>
      <c r="X224" s="2">
        <v>1.1434233</v>
      </c>
      <c r="Y224" s="2" t="str">
        <f>IF(AND(Table1[[#This Row],[ORTools FZN1 Cost]]=Table1[[#This Row],[ORTools FZN2 Cost]],Table1[[#This Row],[ORTools FZN2 State]]="Optimal",Table1[[#This Row],[ORTools FZN1 State]]="Suboptimal"),1,"")</f>
        <v/>
      </c>
      <c r="Z224" s="5" t="s">
        <v>25</v>
      </c>
      <c r="AA224" s="2">
        <v>3</v>
      </c>
      <c r="AB224" s="2">
        <v>1.2225725999999999</v>
      </c>
      <c r="AC224" s="39" t="s">
        <v>25</v>
      </c>
      <c r="AD224" s="39">
        <v>3</v>
      </c>
      <c r="AE224" s="2">
        <v>4.1326048999999996</v>
      </c>
      <c r="AF224" s="2" t="str">
        <f>IF(AND(Table1[[#This Row],[Cplex MB Cost]]=Table1[[#This Row],[ORTools FZN2 Cost]],Table1[[#This Row],[ORTools FZN2 State]]="Optimal",Table1[[#This Row],[Cplex MB State]]="Suboptimal"),1,"")</f>
        <v/>
      </c>
      <c r="AG224" s="4">
        <f>IF(AND(AC224="Optimal",AD224&lt;&gt;AA224,Table1[[#This Row],[Example]]&lt;&gt;"R001",Table1[[#This Row],[Example]]&lt;&gt;"R002"),AD224-AA224,)</f>
        <v>0</v>
      </c>
      <c r="AH224" s="5" t="s">
        <v>25</v>
      </c>
      <c r="AI224" s="2">
        <v>3</v>
      </c>
      <c r="AJ224" s="2">
        <v>157.5266196</v>
      </c>
      <c r="AK224" s="2" t="str">
        <f>IF(AND(Table1[[#This Row],[Cplex MD Cost]]=Table1[[#This Row],[ORTools FZN2 Cost]],Table1[[#This Row],[ORTools FZN2 State]]="Optimal",Table1[[#This Row],[Cplex MD State]]="Suboptimal"),1,"")</f>
        <v/>
      </c>
      <c r="AL224" s="4">
        <f>IF(AND(AH224="Optimal",AI224&lt;&gt;AA224,Table1[[#This Row],[Example]]&lt;&gt;"R001",Table1[[#This Row],[Example]]&lt;&gt;"R002"),AI224-AA224,)</f>
        <v>0</v>
      </c>
      <c r="AM224" s="39" t="s">
        <v>25</v>
      </c>
      <c r="AN224" s="39">
        <v>3</v>
      </c>
      <c r="AO224" s="2">
        <v>1.2888866999999999</v>
      </c>
      <c r="AP22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4" s="4" t="str">
        <f>IF(AND(Table1[[#This Row],[Cplex MI Cost]]=Table1[[#This Row],[ORTools FZN2 Cost]],Table1[[#This Row],[ORTools FZN2 State]]="Optimal",Table1[[#This Row],[Cplex MI State]]="Suboptimal"),1,"")</f>
        <v/>
      </c>
      <c r="AR224" s="12" t="s">
        <v>26</v>
      </c>
      <c r="AS224" s="12">
        <v>3</v>
      </c>
      <c r="AT224" s="12">
        <v>49.436515499999999</v>
      </c>
      <c r="AU224" s="12">
        <f>IF(AND(Table1[[#This Row],[Z3 SMT2-1 Maxres Cost]]=Table1[[#This Row],[ORTools FZN2 Cost]],Table1[[#This Row],[ORTools FZN2 State]]="Optimal"),1,"")</f>
        <v>1</v>
      </c>
      <c r="AV224" s="12" t="s">
        <v>26</v>
      </c>
      <c r="AW224" s="12">
        <v>3</v>
      </c>
      <c r="AX224" s="12">
        <v>50.726183499999998</v>
      </c>
      <c r="AY224" s="12">
        <f>IF(AND(Table1[[#This Row],[Z3 SMT2-1 PdMaxres Cost]]=Table1[[#This Row],[ORTools FZN2 Cost]],Table1[[#This Row],[ORTools FZN2 State]]="Optimal"),1,"")</f>
        <v>1</v>
      </c>
      <c r="AZ224" s="12" t="s">
        <v>26</v>
      </c>
      <c r="BA224" s="12">
        <v>3</v>
      </c>
      <c r="BB224" s="12">
        <v>48.689550199999999</v>
      </c>
      <c r="BC224" s="12">
        <f>IF(AND(Table1[[#This Row],[Z3 SMT2-1 WMax Cost]]=Table1[[#This Row],[ORTools FZN2 Cost]],Table1[[#This Row],[ORTools FZN2 State]]="Optimal"),1,"")</f>
        <v>1</v>
      </c>
      <c r="BD224" s="12" t="s">
        <v>26</v>
      </c>
      <c r="BE224" s="12">
        <v>3</v>
      </c>
      <c r="BF224" s="12">
        <v>43.162157399999998</v>
      </c>
      <c r="BG224" s="12">
        <f>IF(AND(Table1[[#This Row],[Z3 SMT2-2 Maxres Cost]]=Table1[[#This Row],[ORTools FZN2 Cost]],Table1[[#This Row],[ORTools FZN2 State]]="Optimal"),1,"")</f>
        <v>1</v>
      </c>
      <c r="BH224" s="12" t="s">
        <v>26</v>
      </c>
      <c r="BI224" s="12">
        <v>3</v>
      </c>
      <c r="BJ224" s="12">
        <v>43.0325262</v>
      </c>
      <c r="BK224" s="12">
        <f>IF(AND(Table1[[#This Row],[Z3 SMT2-2 PdMaxres Cost]]=Table1[[#This Row],[ORTools FZN2 Cost]],Table1[[#This Row],[ORTools FZN2 State]]="Optimal"),1,"")</f>
        <v>1</v>
      </c>
      <c r="BL224" s="12" t="s">
        <v>26</v>
      </c>
      <c r="BM224" s="12">
        <v>3</v>
      </c>
      <c r="BN224" s="12">
        <v>43.7286024</v>
      </c>
      <c r="BO224" s="11">
        <f>IF(AND(Table1[[#This Row],[Z3 SMT2-2 PdMaxres Cost]]=Table1[[#This Row],[ORTools FZN2 Cost]],Table1[[#This Row],[ORTools FZN2 State]]="Optimal"),1,"")</f>
        <v>1</v>
      </c>
      <c r="BP224" s="5" t="s">
        <v>25</v>
      </c>
      <c r="BQ224" s="2">
        <v>3</v>
      </c>
      <c r="BR224" s="2">
        <v>1.3314986</v>
      </c>
      <c r="BS224" s="2" t="str">
        <f>IF(AND(Table1[[#This Row],[Gurobi MB Cost]]=Table1[[#This Row],[ORTools FZN2 Cost]],Table1[[#This Row],[ORTools FZN2 State]]="Optimal",Table1[[#This Row],[Gurobi MB State]]="Suboptimal"),1,"")</f>
        <v/>
      </c>
      <c r="BT22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4" s="5" t="s">
        <v>25</v>
      </c>
      <c r="BV224" s="2">
        <v>3</v>
      </c>
      <c r="BW224" s="2">
        <v>30.9661519</v>
      </c>
      <c r="BX224" s="2" t="str">
        <f>IF(AND(Table1[[#This Row],[Gurobi MD Cost]]=Table1[[#This Row],[ORTools FZN2 Cost]],Table1[[#This Row],[ORTools FZN2 State]]="Optimal",Table1[[#This Row],[Gurobi MD State]]="Suboptimal"),1,"")</f>
        <v/>
      </c>
      <c r="BY22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4" s="5" t="s">
        <v>25</v>
      </c>
      <c r="CA224" s="2">
        <v>3</v>
      </c>
      <c r="CB224" s="2">
        <v>1.3344803999999999</v>
      </c>
      <c r="CC224" s="2" t="str">
        <f>IF(AND(Table1[[#This Row],[Gurobi MI Cost]]=Table1[[#This Row],[ORTools FZN2 Cost]],Table1[[#This Row],[ORTools FZN2 State]]="Optimal",Table1[[#This Row],[Gurobi MI State]]="Suboptimal"),1,"")</f>
        <v/>
      </c>
      <c r="CD22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4" s="39" t="s">
        <v>42</v>
      </c>
      <c r="CF224" s="2">
        <v>-14425</v>
      </c>
      <c r="CG224" s="39">
        <v>306.14515929999999</v>
      </c>
      <c r="CH224" s="39" t="s">
        <v>42</v>
      </c>
      <c r="CI224" s="39">
        <v>-14425</v>
      </c>
      <c r="CJ224" s="2">
        <v>305.98173630000002</v>
      </c>
      <c r="CK224" s="5" t="s">
        <v>25</v>
      </c>
      <c r="CL224" s="2">
        <v>3</v>
      </c>
      <c r="CM224" s="2">
        <v>0.185999999997875</v>
      </c>
      <c r="CN224" s="5" t="s">
        <v>25</v>
      </c>
      <c r="CO224" s="2">
        <v>3</v>
      </c>
      <c r="CP224" s="2">
        <v>9.8607251999999992</v>
      </c>
      <c r="CQ224" s="5" t="s">
        <v>25</v>
      </c>
      <c r="CR224" s="2">
        <v>3</v>
      </c>
      <c r="CS224" s="2">
        <v>2.2438715</v>
      </c>
      <c r="CT224" s="6" t="s">
        <v>25</v>
      </c>
      <c r="CU224" s="4">
        <v>3</v>
      </c>
      <c r="CV224" s="4">
        <v>2.1343288</v>
      </c>
      <c r="CW224" s="39" t="s">
        <v>25</v>
      </c>
      <c r="CX224" s="39">
        <v>3</v>
      </c>
      <c r="CY224" s="2">
        <v>23.522600000000001</v>
      </c>
      <c r="CZ224" s="2" t="str">
        <f>IF(AND(Table1[[#This Row],[Cplex MZ1 Cost]]=Table1[[#This Row],[ORTools FZN2 Cost]],Table1[[#This Row],[ORTools FZN2 State]]="Optimal",Table1[[#This Row],[Cplex MZ1 State]]="Suboptimal"),1,"")</f>
        <v/>
      </c>
      <c r="DA224" s="5" t="s">
        <v>25</v>
      </c>
      <c r="DB224" s="2">
        <v>3</v>
      </c>
      <c r="DC224" s="2">
        <v>14.3864</v>
      </c>
      <c r="DD224" s="2" t="str">
        <f>IF(AND(Table1[[#This Row],[Cplex MZ2 Cost]]=Table1[[#This Row],[ORTools FZN2 Cost]],Table1[[#This Row],[ORTools FZN2 State]]="Optimal",Table1[[#This Row],[Cplex MZ2 State]]="Suboptimal"),1,"")</f>
        <v/>
      </c>
      <c r="DE224" s="39" t="s">
        <v>25</v>
      </c>
      <c r="DF224" s="39">
        <v>3</v>
      </c>
      <c r="DG224" s="2">
        <v>28.0059</v>
      </c>
      <c r="DH224" s="2" t="str">
        <f>IF(AND(Table1[[#This Row],[Gurobi MZ1 Cost]]=Table1[[#This Row],[ORTools FZN2 Cost]],Table1[[#This Row],[ORTools FZN2 State]]="Optimal",Table1[[#This Row],[Gurobi MZ1 State]]="Suboptimal"),1,"")</f>
        <v/>
      </c>
      <c r="DI224" s="5" t="s">
        <v>25</v>
      </c>
      <c r="DJ224" s="2">
        <v>3</v>
      </c>
      <c r="DK224" s="2">
        <v>24.907299999999999</v>
      </c>
      <c r="DL224" s="4" t="str">
        <f>IF(AND(Table1[[#This Row],[Gurobi MZ2 Cost]]=Table1[[#This Row],[ORTools FZN2 Cost]],Table1[[#This Row],[ORTools FZN2 State]]="Optimal",Table1[[#This Row],[Gurobi MZ2 State]]="Suboptimal"),1,"")</f>
        <v/>
      </c>
      <c r="DM224" s="39" t="s">
        <v>25</v>
      </c>
      <c r="DN224" s="39">
        <v>3</v>
      </c>
      <c r="DO224" s="65">
        <v>1.10800000000017</v>
      </c>
      <c r="DP224" s="4" t="str">
        <f>IF(AND(Table1[[#This Row],[Cplex MC nonDual Cost]]=Table1[[#This Row],[ORTools FZN2 Cost]],Table1[[#This Row],[ORTools FZN2 State]]="Optimal",Table1[[#This Row],[Cplex MC nonDual State]]="Suboptimal"),1,"")</f>
        <v/>
      </c>
      <c r="DQ224" s="5" t="s">
        <v>25</v>
      </c>
      <c r="DR224" s="2">
        <v>3</v>
      </c>
      <c r="DS224" s="2">
        <v>20.501100000000001</v>
      </c>
      <c r="DT224" s="2" t="str">
        <f>IF(AND(Table1[[#This Row],[Cplex MIP DM''z Cost]]=Table1[[#This Row],[ORTools FZN2 Cost]],Table1[[#This Row],[ORTools FZN2 State]]="Optimal",Table1[[#This Row],[Cplex MIP DM''z  State]]="Suboptimal"),1,"")</f>
        <v/>
      </c>
      <c r="DU22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4" s="5" t="s">
        <v>25</v>
      </c>
      <c r="DW224" s="2">
        <v>3</v>
      </c>
      <c r="DX224" s="2">
        <v>47.672800000000002</v>
      </c>
      <c r="DY224" s="4" t="str">
        <f>IF(AND(Table1[[#This Row],[Gurobi DM''z  Cost]]=Table1[[#This Row],[ORTools FZN2 Cost]],Table1[[#This Row],[ORTools FZN2 State]]="Optimal",Table1[[#This Row],[Gurobi DM''z  State]]="Suboptimal"),1,"")</f>
        <v/>
      </c>
      <c r="DZ22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5" spans="1:130" ht="15.75" x14ac:dyDescent="0.25">
      <c r="A225" s="47" t="s">
        <v>251</v>
      </c>
      <c r="B225" s="5">
        <v>30</v>
      </c>
      <c r="C225" s="2">
        <v>15</v>
      </c>
      <c r="D225" s="5">
        <v>37</v>
      </c>
      <c r="E225" s="2">
        <v>24</v>
      </c>
      <c r="F225" s="5">
        <v>10</v>
      </c>
      <c r="G225" s="2">
        <v>2</v>
      </c>
      <c r="H225" s="4">
        <f t="shared" si="3"/>
        <v>0</v>
      </c>
      <c r="I225" s="4">
        <f>Table1[[#This Row],[B]]+Table1[[#This Row],[Atomic Constraints]]+Table1[[#This Row],[Soft Atomic Constraints]]+Table1[[#This Row],[Disjunctive Constraints]]+Table1[[#This Row],[Direct Successors]]</f>
        <v>88</v>
      </c>
      <c r="J225" s="5" t="s">
        <v>25</v>
      </c>
      <c r="K225" s="2">
        <v>8</v>
      </c>
      <c r="L225" s="2">
        <v>2.7815121999999999</v>
      </c>
      <c r="M225" s="2" t="str">
        <f>IF(AND(Table1[[#This Row],[Chuffed MZ1 Cost]]=Table1[[#This Row],[ORTools FZN2 Cost]],Table1[[#This Row],[ORTools FZN2 State]]="Optimal",Table1[[#This Row],[Chuffed MZ1 State]]="Suboptimal"),1,"")</f>
        <v/>
      </c>
      <c r="N225" s="5" t="s">
        <v>25</v>
      </c>
      <c r="O225" s="2">
        <v>8</v>
      </c>
      <c r="P225" s="2">
        <v>2.8380179999999999</v>
      </c>
      <c r="Q225" s="2" t="str">
        <f>IF(AND(Table1[[#This Row],[Chuffed MZ2 Cost]]=Table1[[#This Row],[ORTools FZN2 Cost]],Table1[[#This Row],[ORTools FZN2 State]]="Optimal",Table1[[#This Row],[Chuffed MZ2 State]]="Suboptimal"),1,"")</f>
        <v/>
      </c>
      <c r="R225" s="6" t="s">
        <v>25</v>
      </c>
      <c r="S225" s="4">
        <v>8</v>
      </c>
      <c r="T225" s="4">
        <v>87.8330000000024</v>
      </c>
      <c r="U225" s="4"/>
      <c r="V225" s="5" t="s">
        <v>25</v>
      </c>
      <c r="W225" s="2">
        <v>8</v>
      </c>
      <c r="X225" s="2">
        <v>3.4049217999999999</v>
      </c>
      <c r="Y225" s="2" t="str">
        <f>IF(AND(Table1[[#This Row],[ORTools FZN1 Cost]]=Table1[[#This Row],[ORTools FZN2 Cost]],Table1[[#This Row],[ORTools FZN2 State]]="Optimal",Table1[[#This Row],[ORTools FZN1 State]]="Suboptimal"),1,"")</f>
        <v/>
      </c>
      <c r="Z225" s="5" t="s">
        <v>25</v>
      </c>
      <c r="AA225" s="2">
        <v>8</v>
      </c>
      <c r="AB225" s="2">
        <v>3.0512142999999998</v>
      </c>
      <c r="AC225" s="39" t="s">
        <v>25</v>
      </c>
      <c r="AD225" s="39">
        <v>8</v>
      </c>
      <c r="AE225" s="2">
        <v>19.7868529</v>
      </c>
      <c r="AF225" s="2" t="str">
        <f>IF(AND(Table1[[#This Row],[Cplex MB Cost]]=Table1[[#This Row],[ORTools FZN2 Cost]],Table1[[#This Row],[ORTools FZN2 State]]="Optimal",Table1[[#This Row],[Cplex MB State]]="Suboptimal"),1,"")</f>
        <v/>
      </c>
      <c r="AG225" s="4">
        <f>IF(AND(AC225="Optimal",AD225&lt;&gt;AA225,Table1[[#This Row],[Example]]&lt;&gt;"R001",Table1[[#This Row],[Example]]&lt;&gt;"R002"),AD225-AA225,)</f>
        <v>0</v>
      </c>
      <c r="AH225" s="5" t="s">
        <v>26</v>
      </c>
      <c r="AI225" s="2">
        <v>165041</v>
      </c>
      <c r="AJ225" s="2">
        <v>300.22996490000003</v>
      </c>
      <c r="AK225" s="2" t="str">
        <f>IF(AND(Table1[[#This Row],[Cplex MD Cost]]=Table1[[#This Row],[ORTools FZN2 Cost]],Table1[[#This Row],[ORTools FZN2 State]]="Optimal",Table1[[#This Row],[Cplex MD State]]="Suboptimal"),1,"")</f>
        <v/>
      </c>
      <c r="AL225" s="4">
        <f>IF(AND(AH225="Optimal",AI225&lt;&gt;AA225,Table1[[#This Row],[Example]]&lt;&gt;"R001",Table1[[#This Row],[Example]]&lt;&gt;"R002"),AI225-AA225,)</f>
        <v>0</v>
      </c>
      <c r="AM225" s="39" t="s">
        <v>25</v>
      </c>
      <c r="AN225" s="39">
        <v>8</v>
      </c>
      <c r="AO225" s="2">
        <v>10.444277</v>
      </c>
      <c r="AP22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5" s="4" t="str">
        <f>IF(AND(Table1[[#This Row],[Cplex MI Cost]]=Table1[[#This Row],[ORTools FZN2 Cost]],Table1[[#This Row],[ORTools FZN2 State]]="Optimal",Table1[[#This Row],[Cplex MI State]]="Suboptimal"),1,"")</f>
        <v/>
      </c>
      <c r="AR225" s="5" t="s">
        <v>42</v>
      </c>
      <c r="AS225" s="2">
        <v>-27931</v>
      </c>
      <c r="AT225" s="2">
        <v>300.03589440000002</v>
      </c>
      <c r="AU225" s="2" t="str">
        <f>IF(AND(Table1[[#This Row],[Z3 SMT2-1 Maxres Cost]]=Table1[[#This Row],[ORTools FZN2 Cost]],Table1[[#This Row],[ORTools FZN2 State]]="Optimal"),1,"")</f>
        <v/>
      </c>
      <c r="AV225" s="39" t="s">
        <v>42</v>
      </c>
      <c r="AW225" s="39">
        <v>-27931</v>
      </c>
      <c r="AX225" s="2">
        <v>300.03691020000002</v>
      </c>
      <c r="AY225" s="2" t="str">
        <f>IF(AND(Table1[[#This Row],[Z3 SMT2-1 PdMaxres Cost]]=Table1[[#This Row],[ORTools FZN2 Cost]],Table1[[#This Row],[ORTools FZN2 State]]="Optimal"),1,"")</f>
        <v/>
      </c>
      <c r="AZ225" s="5" t="s">
        <v>42</v>
      </c>
      <c r="BA225" s="2">
        <v>-27931</v>
      </c>
      <c r="BB225" s="39">
        <v>300.03422110000002</v>
      </c>
      <c r="BC225" s="39" t="str">
        <f>IF(AND(Table1[[#This Row],[Z3 SMT2-1 WMax Cost]]=Table1[[#This Row],[ORTools FZN2 Cost]],Table1[[#This Row],[ORTools FZN2 State]]="Optimal"),1,"")</f>
        <v/>
      </c>
      <c r="BD225" s="12" t="s">
        <v>26</v>
      </c>
      <c r="BE225" s="12">
        <v>8</v>
      </c>
      <c r="BF225" s="12">
        <v>232.13607709999999</v>
      </c>
      <c r="BG225" s="12">
        <f>IF(AND(Table1[[#This Row],[Z3 SMT2-2 Maxres Cost]]=Table1[[#This Row],[ORTools FZN2 Cost]],Table1[[#This Row],[ORTools FZN2 State]]="Optimal"),1,"")</f>
        <v>1</v>
      </c>
      <c r="BH225" s="12" t="s">
        <v>26</v>
      </c>
      <c r="BI225" s="12">
        <v>8</v>
      </c>
      <c r="BJ225" s="12">
        <v>224.8845178</v>
      </c>
      <c r="BK225" s="12">
        <f>IF(AND(Table1[[#This Row],[Z3 SMT2-2 PdMaxres Cost]]=Table1[[#This Row],[ORTools FZN2 Cost]],Table1[[#This Row],[ORTools FZN2 State]]="Optimal"),1,"")</f>
        <v>1</v>
      </c>
      <c r="BL225" s="12" t="s">
        <v>26</v>
      </c>
      <c r="BM225" s="12">
        <v>8</v>
      </c>
      <c r="BN225" s="12">
        <v>233.17743419999999</v>
      </c>
      <c r="BO225" s="11">
        <f>IF(AND(Table1[[#This Row],[Z3 SMT2-2 PdMaxres Cost]]=Table1[[#This Row],[ORTools FZN2 Cost]],Table1[[#This Row],[ORTools FZN2 State]]="Optimal"),1,"")</f>
        <v>1</v>
      </c>
      <c r="BP225" s="5" t="s">
        <v>25</v>
      </c>
      <c r="BQ225" s="2">
        <v>8</v>
      </c>
      <c r="BR225" s="2">
        <v>31.250077699999999</v>
      </c>
      <c r="BS225" s="2" t="str">
        <f>IF(AND(Table1[[#This Row],[Gurobi MB Cost]]=Table1[[#This Row],[ORTools FZN2 Cost]],Table1[[#This Row],[ORTools FZN2 State]]="Optimal",Table1[[#This Row],[Gurobi MB State]]="Suboptimal"),1,"")</f>
        <v/>
      </c>
      <c r="BT22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5" s="5" t="s">
        <v>25</v>
      </c>
      <c r="BV225" s="2">
        <v>8</v>
      </c>
      <c r="BW225" s="2">
        <v>226.8984518</v>
      </c>
      <c r="BX225" s="2" t="str">
        <f>IF(AND(Table1[[#This Row],[Gurobi MD Cost]]=Table1[[#This Row],[ORTools FZN2 Cost]],Table1[[#This Row],[ORTools FZN2 State]]="Optimal",Table1[[#This Row],[Gurobi MD State]]="Suboptimal"),1,"")</f>
        <v/>
      </c>
      <c r="BY22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5" s="5" t="s">
        <v>25</v>
      </c>
      <c r="CA225" s="2">
        <v>8</v>
      </c>
      <c r="CB225" s="2">
        <v>18.632872599999999</v>
      </c>
      <c r="CC225" s="2" t="str">
        <f>IF(AND(Table1[[#This Row],[Gurobi MI Cost]]=Table1[[#This Row],[ORTools FZN2 Cost]],Table1[[#This Row],[ORTools FZN2 State]]="Optimal",Table1[[#This Row],[Gurobi MI State]]="Suboptimal"),1,"")</f>
        <v/>
      </c>
      <c r="CD22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5" s="39" t="s">
        <v>42</v>
      </c>
      <c r="CF225" s="2">
        <v>-27931</v>
      </c>
      <c r="CG225" s="39">
        <v>306.07987350000002</v>
      </c>
      <c r="CH225" s="39" t="s">
        <v>42</v>
      </c>
      <c r="CI225" s="39">
        <v>-27931</v>
      </c>
      <c r="CJ225" s="2">
        <v>306.05691999999999</v>
      </c>
      <c r="CK225" s="5" t="s">
        <v>25</v>
      </c>
      <c r="CL225" s="2">
        <v>8</v>
      </c>
      <c r="CM225" s="2">
        <v>4.4330000000009004</v>
      </c>
      <c r="CN225" s="5" t="s">
        <v>25</v>
      </c>
      <c r="CO225" s="2">
        <v>8</v>
      </c>
      <c r="CP225" s="2">
        <v>12.0298085</v>
      </c>
      <c r="CQ225" s="5" t="s">
        <v>25</v>
      </c>
      <c r="CR225" s="2">
        <v>8</v>
      </c>
      <c r="CS225" s="2">
        <v>5.8299861000000002</v>
      </c>
      <c r="CT225" s="6" t="s">
        <v>25</v>
      </c>
      <c r="CU225" s="4">
        <v>8</v>
      </c>
      <c r="CV225" s="4">
        <v>3.9893432</v>
      </c>
      <c r="CW225" s="39" t="s">
        <v>26</v>
      </c>
      <c r="CX225" s="12">
        <v>8</v>
      </c>
      <c r="CY225" s="12">
        <v>300.01909999999998</v>
      </c>
      <c r="CZ225" s="12">
        <f>IF(AND(Table1[[#This Row],[Cplex MZ1 Cost]]=Table1[[#This Row],[ORTools FZN2 Cost]],Table1[[#This Row],[ORTools FZN2 State]]="Optimal",Table1[[#This Row],[Cplex MZ1 State]]="Suboptimal"),1,"")</f>
        <v>1</v>
      </c>
      <c r="DA225" s="5" t="s">
        <v>26</v>
      </c>
      <c r="DB225" s="2">
        <v>28267</v>
      </c>
      <c r="DC225" s="2">
        <v>300.00839999999999</v>
      </c>
      <c r="DD225" s="2" t="str">
        <f>IF(AND(Table1[[#This Row],[Cplex MZ2 Cost]]=Table1[[#This Row],[ORTools FZN2 Cost]],Table1[[#This Row],[ORTools FZN2 State]]="Optimal",Table1[[#This Row],[Cplex MZ2 State]]="Suboptimal"),1,"")</f>
        <v/>
      </c>
      <c r="DE225" s="12" t="s">
        <v>26</v>
      </c>
      <c r="DF225" s="12">
        <v>8</v>
      </c>
      <c r="DG225" s="12">
        <v>300.00659999999999</v>
      </c>
      <c r="DH225" s="12">
        <f>IF(AND(Table1[[#This Row],[Gurobi MZ1 Cost]]=Table1[[#This Row],[ORTools FZN2 Cost]],Table1[[#This Row],[ORTools FZN2 State]]="Optimal",Table1[[#This Row],[Gurobi MZ1 State]]="Suboptimal"),1,"")</f>
        <v>1</v>
      </c>
      <c r="DI225" s="5" t="s">
        <v>25</v>
      </c>
      <c r="DJ225" s="2">
        <v>8</v>
      </c>
      <c r="DK225" s="2">
        <v>185.64529999999999</v>
      </c>
      <c r="DL225" s="4" t="str">
        <f>IF(AND(Table1[[#This Row],[Gurobi MZ2 Cost]]=Table1[[#This Row],[ORTools FZN2 Cost]],Table1[[#This Row],[ORTools FZN2 State]]="Optimal",Table1[[#This Row],[Gurobi MZ2 State]]="Suboptimal"),1,"")</f>
        <v/>
      </c>
      <c r="DM225" s="39" t="s">
        <v>25</v>
      </c>
      <c r="DN225" s="39">
        <v>8</v>
      </c>
      <c r="DO225" s="65">
        <v>106.15799999999901</v>
      </c>
      <c r="DP225" s="4" t="str">
        <f>IF(AND(Table1[[#This Row],[Cplex MC nonDual Cost]]=Table1[[#This Row],[ORTools FZN2 Cost]],Table1[[#This Row],[ORTools FZN2 State]]="Optimal",Table1[[#This Row],[Cplex MC nonDual State]]="Suboptimal"),1,"")</f>
        <v/>
      </c>
      <c r="DQ225" s="5" t="s">
        <v>25</v>
      </c>
      <c r="DR225" s="2">
        <v>8</v>
      </c>
      <c r="DS225" s="2">
        <v>37.562100000000001</v>
      </c>
      <c r="DT225" s="2" t="str">
        <f>IF(AND(Table1[[#This Row],[Cplex MIP DM''z Cost]]=Table1[[#This Row],[ORTools FZN2 Cost]],Table1[[#This Row],[ORTools FZN2 State]]="Optimal",Table1[[#This Row],[Cplex MIP DM''z  State]]="Suboptimal"),1,"")</f>
        <v/>
      </c>
      <c r="DU22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5" s="5" t="s">
        <v>26</v>
      </c>
      <c r="DW225" s="2">
        <v>8</v>
      </c>
      <c r="DX225" s="2">
        <v>299.99160000000001</v>
      </c>
      <c r="DY225" s="4">
        <f>IF(AND(Table1[[#This Row],[Gurobi DM''z  Cost]]=Table1[[#This Row],[ORTools FZN2 Cost]],Table1[[#This Row],[ORTools FZN2 State]]="Optimal",Table1[[#This Row],[Gurobi DM''z  State]]="Suboptimal"),1,"")</f>
        <v>1</v>
      </c>
      <c r="DZ22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6" spans="1:130" ht="15.75" x14ac:dyDescent="0.25">
      <c r="A226" s="46" t="s">
        <v>252</v>
      </c>
      <c r="B226" s="5">
        <v>16</v>
      </c>
      <c r="C226" s="2">
        <v>8</v>
      </c>
      <c r="D226" s="5">
        <v>18</v>
      </c>
      <c r="E226" s="2">
        <v>12</v>
      </c>
      <c r="F226" s="5">
        <v>3</v>
      </c>
      <c r="G226" s="2">
        <v>2</v>
      </c>
      <c r="H226" s="4">
        <f t="shared" si="3"/>
        <v>0</v>
      </c>
      <c r="I226" s="4">
        <f>Table1[[#This Row],[B]]+Table1[[#This Row],[Atomic Constraints]]+Table1[[#This Row],[Soft Atomic Constraints]]+Table1[[#This Row],[Disjunctive Constraints]]+Table1[[#This Row],[Direct Successors]]</f>
        <v>43</v>
      </c>
      <c r="J226" s="5" t="s">
        <v>25</v>
      </c>
      <c r="K226" s="2">
        <v>2</v>
      </c>
      <c r="L226" s="2">
        <v>0.75005739999999999</v>
      </c>
      <c r="M226" s="2" t="str">
        <f>IF(AND(Table1[[#This Row],[Chuffed MZ1 Cost]]=Table1[[#This Row],[ORTools FZN2 Cost]],Table1[[#This Row],[ORTools FZN2 State]]="Optimal",Table1[[#This Row],[Chuffed MZ1 State]]="Suboptimal"),1,"")</f>
        <v/>
      </c>
      <c r="N226" s="5" t="s">
        <v>25</v>
      </c>
      <c r="O226" s="2">
        <v>2</v>
      </c>
      <c r="P226" s="2">
        <v>0.73201830000000001</v>
      </c>
      <c r="Q226" s="2" t="str">
        <f>IF(AND(Table1[[#This Row],[Chuffed MZ2 Cost]]=Table1[[#This Row],[ORTools FZN2 Cost]],Table1[[#This Row],[ORTools FZN2 State]]="Optimal",Table1[[#This Row],[Chuffed MZ2 State]]="Suboptimal"),1,"")</f>
        <v/>
      </c>
      <c r="R226" s="6" t="s">
        <v>25</v>
      </c>
      <c r="S226" s="4">
        <v>2</v>
      </c>
      <c r="T226" s="4">
        <v>8.6999999999534297E-2</v>
      </c>
      <c r="U226" s="4"/>
      <c r="V226" s="5" t="s">
        <v>25</v>
      </c>
      <c r="W226" s="2">
        <v>2</v>
      </c>
      <c r="X226" s="2">
        <v>0.428923</v>
      </c>
      <c r="Y226" s="2" t="str">
        <f>IF(AND(Table1[[#This Row],[ORTools FZN1 Cost]]=Table1[[#This Row],[ORTools FZN2 Cost]],Table1[[#This Row],[ORTools FZN2 State]]="Optimal",Table1[[#This Row],[ORTools FZN1 State]]="Suboptimal"),1,"")</f>
        <v/>
      </c>
      <c r="Z226" s="5" t="s">
        <v>25</v>
      </c>
      <c r="AA226" s="2">
        <v>2</v>
      </c>
      <c r="AB226" s="2">
        <v>0.38246720000000001</v>
      </c>
      <c r="AC226" s="39" t="s">
        <v>25</v>
      </c>
      <c r="AD226" s="39">
        <v>2</v>
      </c>
      <c r="AE226" s="2">
        <v>0.9904328</v>
      </c>
      <c r="AF226" s="2" t="str">
        <f>IF(AND(Table1[[#This Row],[Cplex MB Cost]]=Table1[[#This Row],[ORTools FZN2 Cost]],Table1[[#This Row],[ORTools FZN2 State]]="Optimal",Table1[[#This Row],[Cplex MB State]]="Suboptimal"),1,"")</f>
        <v/>
      </c>
      <c r="AG226" s="4">
        <f>IF(AND(AC226="Optimal",AD226&lt;&gt;AA226,Table1[[#This Row],[Example]]&lt;&gt;"R001",Table1[[#This Row],[Example]]&lt;&gt;"R002"),AD226-AA226,)</f>
        <v>0</v>
      </c>
      <c r="AH226" s="5" t="s">
        <v>25</v>
      </c>
      <c r="AI226" s="2">
        <v>2</v>
      </c>
      <c r="AJ226" s="2">
        <v>2.1150216999999998</v>
      </c>
      <c r="AK226" s="2" t="str">
        <f>IF(AND(Table1[[#This Row],[Cplex MD Cost]]=Table1[[#This Row],[ORTools FZN2 Cost]],Table1[[#This Row],[ORTools FZN2 State]]="Optimal",Table1[[#This Row],[Cplex MD State]]="Suboptimal"),1,"")</f>
        <v/>
      </c>
      <c r="AL226" s="4">
        <f>IF(AND(AH226="Optimal",AI226&lt;&gt;AA226,Table1[[#This Row],[Example]]&lt;&gt;"R001",Table1[[#This Row],[Example]]&lt;&gt;"R002"),AI226-AA226,)</f>
        <v>0</v>
      </c>
      <c r="AM226" s="39" t="s">
        <v>25</v>
      </c>
      <c r="AN226" s="39">
        <v>2</v>
      </c>
      <c r="AO226" s="2">
        <v>0.34440690000000002</v>
      </c>
      <c r="AP22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6" s="4" t="str">
        <f>IF(AND(Table1[[#This Row],[Cplex MI Cost]]=Table1[[#This Row],[ORTools FZN2 Cost]],Table1[[#This Row],[ORTools FZN2 State]]="Optimal",Table1[[#This Row],[Cplex MI State]]="Suboptimal"),1,"")</f>
        <v/>
      </c>
      <c r="AR226" s="12" t="s">
        <v>26</v>
      </c>
      <c r="AS226" s="12">
        <v>2</v>
      </c>
      <c r="AT226" s="12">
        <v>5.5547462000000003</v>
      </c>
      <c r="AU226" s="12">
        <f>IF(AND(Table1[[#This Row],[Z3 SMT2-1 Maxres Cost]]=Table1[[#This Row],[ORTools FZN2 Cost]],Table1[[#This Row],[ORTools FZN2 State]]="Optimal"),1,"")</f>
        <v>1</v>
      </c>
      <c r="AV226" s="12" t="s">
        <v>26</v>
      </c>
      <c r="AW226" s="12">
        <v>2</v>
      </c>
      <c r="AX226" s="12">
        <v>5.6072816999999997</v>
      </c>
      <c r="AY226" s="12">
        <f>IF(AND(Table1[[#This Row],[Z3 SMT2-1 PdMaxres Cost]]=Table1[[#This Row],[ORTools FZN2 Cost]],Table1[[#This Row],[ORTools FZN2 State]]="Optimal"),1,"")</f>
        <v>1</v>
      </c>
      <c r="AZ226" s="12" t="s">
        <v>26</v>
      </c>
      <c r="BA226" s="12">
        <v>2</v>
      </c>
      <c r="BB226" s="12">
        <v>5.5747995000000001</v>
      </c>
      <c r="BC226" s="12">
        <f>IF(AND(Table1[[#This Row],[Z3 SMT2-1 WMax Cost]]=Table1[[#This Row],[ORTools FZN2 Cost]],Table1[[#This Row],[ORTools FZN2 State]]="Optimal"),1,"")</f>
        <v>1</v>
      </c>
      <c r="BD226" s="12" t="s">
        <v>26</v>
      </c>
      <c r="BE226" s="12">
        <v>2</v>
      </c>
      <c r="BF226" s="12">
        <v>4.3105614000000001</v>
      </c>
      <c r="BG226" s="12">
        <f>IF(AND(Table1[[#This Row],[Z3 SMT2-2 Maxres Cost]]=Table1[[#This Row],[ORTools FZN2 Cost]],Table1[[#This Row],[ORTools FZN2 State]]="Optimal"),1,"")</f>
        <v>1</v>
      </c>
      <c r="BH226" s="12" t="s">
        <v>26</v>
      </c>
      <c r="BI226" s="12">
        <v>2</v>
      </c>
      <c r="BJ226" s="12">
        <v>4.4171556000000001</v>
      </c>
      <c r="BK226" s="12">
        <f>IF(AND(Table1[[#This Row],[Z3 SMT2-2 PdMaxres Cost]]=Table1[[#This Row],[ORTools FZN2 Cost]],Table1[[#This Row],[ORTools FZN2 State]]="Optimal"),1,"")</f>
        <v>1</v>
      </c>
      <c r="BL226" s="12" t="s">
        <v>26</v>
      </c>
      <c r="BM226" s="12">
        <v>2</v>
      </c>
      <c r="BN226" s="12">
        <v>4.3133578000000004</v>
      </c>
      <c r="BO226" s="11">
        <f>IF(AND(Table1[[#This Row],[Z3 SMT2-2 PdMaxres Cost]]=Table1[[#This Row],[ORTools FZN2 Cost]],Table1[[#This Row],[ORTools FZN2 State]]="Optimal"),1,"")</f>
        <v>1</v>
      </c>
      <c r="BP226" s="5" t="s">
        <v>25</v>
      </c>
      <c r="BQ226" s="2">
        <v>2</v>
      </c>
      <c r="BR226" s="2">
        <v>0.24583079999999999</v>
      </c>
      <c r="BS226" s="2" t="str">
        <f>IF(AND(Table1[[#This Row],[Gurobi MB Cost]]=Table1[[#This Row],[ORTools FZN2 Cost]],Table1[[#This Row],[ORTools FZN2 State]]="Optimal",Table1[[#This Row],[Gurobi MB State]]="Suboptimal"),1,"")</f>
        <v/>
      </c>
      <c r="BT22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6" s="5" t="s">
        <v>25</v>
      </c>
      <c r="BV226" s="2">
        <v>2</v>
      </c>
      <c r="BW226" s="2">
        <v>4.89635</v>
      </c>
      <c r="BX226" s="2" t="str">
        <f>IF(AND(Table1[[#This Row],[Gurobi MD Cost]]=Table1[[#This Row],[ORTools FZN2 Cost]],Table1[[#This Row],[ORTools FZN2 State]]="Optimal",Table1[[#This Row],[Gurobi MD State]]="Suboptimal"),1,"")</f>
        <v/>
      </c>
      <c r="BY22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6" s="5" t="s">
        <v>25</v>
      </c>
      <c r="CA226" s="2">
        <v>2</v>
      </c>
      <c r="CB226" s="2">
        <v>0.32380759999999997</v>
      </c>
      <c r="CC226" s="2" t="str">
        <f>IF(AND(Table1[[#This Row],[Gurobi MI Cost]]=Table1[[#This Row],[ORTools FZN2 Cost]],Table1[[#This Row],[ORTools FZN2 State]]="Optimal",Table1[[#This Row],[Gurobi MI State]]="Suboptimal"),1,"")</f>
        <v/>
      </c>
      <c r="CD22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6" s="39" t="s">
        <v>42</v>
      </c>
      <c r="CF226" s="2">
        <v>-4369</v>
      </c>
      <c r="CG226" s="39">
        <v>306.25148530000001</v>
      </c>
      <c r="CH226" s="39" t="s">
        <v>42</v>
      </c>
      <c r="CI226" s="39">
        <v>-4369</v>
      </c>
      <c r="CJ226" s="2">
        <v>306.02331830000003</v>
      </c>
      <c r="CK226" s="5" t="s">
        <v>25</v>
      </c>
      <c r="CL226" s="2">
        <v>2</v>
      </c>
      <c r="CM226" s="2">
        <v>0.11399999999775901</v>
      </c>
      <c r="CN226" s="5" t="s">
        <v>25</v>
      </c>
      <c r="CO226" s="2">
        <v>2</v>
      </c>
      <c r="CP226" s="2">
        <v>1.4280329</v>
      </c>
      <c r="CQ226" s="5" t="s">
        <v>25</v>
      </c>
      <c r="CR226" s="2">
        <v>2</v>
      </c>
      <c r="CS226" s="2">
        <v>0.64406149999999995</v>
      </c>
      <c r="CT226" s="6" t="s">
        <v>25</v>
      </c>
      <c r="CU226" s="4">
        <v>2</v>
      </c>
      <c r="CV226" s="4">
        <v>0.66933679999999995</v>
      </c>
      <c r="CW226" s="39" t="s">
        <v>25</v>
      </c>
      <c r="CX226" s="39">
        <v>2</v>
      </c>
      <c r="CY226" s="2">
        <v>1.7142999999999999</v>
      </c>
      <c r="CZ226" s="2" t="str">
        <f>IF(AND(Table1[[#This Row],[Cplex MZ1 Cost]]=Table1[[#This Row],[ORTools FZN2 Cost]],Table1[[#This Row],[ORTools FZN2 State]]="Optimal",Table1[[#This Row],[Cplex MZ1 State]]="Suboptimal"),1,"")</f>
        <v/>
      </c>
      <c r="DA226" s="5" t="s">
        <v>25</v>
      </c>
      <c r="DB226" s="2">
        <v>2</v>
      </c>
      <c r="DC226" s="2">
        <v>1.2495000000000001</v>
      </c>
      <c r="DD226" s="2" t="str">
        <f>IF(AND(Table1[[#This Row],[Cplex MZ2 Cost]]=Table1[[#This Row],[ORTools FZN2 Cost]],Table1[[#This Row],[ORTools FZN2 State]]="Optimal",Table1[[#This Row],[Cplex MZ2 State]]="Suboptimal"),1,"")</f>
        <v/>
      </c>
      <c r="DE226" s="39" t="s">
        <v>25</v>
      </c>
      <c r="DF226" s="39">
        <v>2</v>
      </c>
      <c r="DG226" s="2">
        <v>2.1032000000000002</v>
      </c>
      <c r="DH226" s="2" t="str">
        <f>IF(AND(Table1[[#This Row],[Gurobi MZ1 Cost]]=Table1[[#This Row],[ORTools FZN2 Cost]],Table1[[#This Row],[ORTools FZN2 State]]="Optimal",Table1[[#This Row],[Gurobi MZ1 State]]="Suboptimal"),1,"")</f>
        <v/>
      </c>
      <c r="DI226" s="5" t="s">
        <v>25</v>
      </c>
      <c r="DJ226" s="2">
        <v>2</v>
      </c>
      <c r="DK226" s="2">
        <v>2.8561000000000001</v>
      </c>
      <c r="DL226" s="4" t="str">
        <f>IF(AND(Table1[[#This Row],[Gurobi MZ2 Cost]]=Table1[[#This Row],[ORTools FZN2 Cost]],Table1[[#This Row],[ORTools FZN2 State]]="Optimal",Table1[[#This Row],[Gurobi MZ2 State]]="Suboptimal"),1,"")</f>
        <v/>
      </c>
      <c r="DM226" s="39" t="s">
        <v>25</v>
      </c>
      <c r="DN226" s="39">
        <v>2</v>
      </c>
      <c r="DO226" s="65">
        <v>9.9999999998544795E-2</v>
      </c>
      <c r="DP226" s="4" t="str">
        <f>IF(AND(Table1[[#This Row],[Cplex MC nonDual Cost]]=Table1[[#This Row],[ORTools FZN2 Cost]],Table1[[#This Row],[ORTools FZN2 State]]="Optimal",Table1[[#This Row],[Cplex MC nonDual State]]="Suboptimal"),1,"")</f>
        <v/>
      </c>
      <c r="DQ226" s="5" t="s">
        <v>25</v>
      </c>
      <c r="DR226" s="2">
        <v>2</v>
      </c>
      <c r="DS226" s="2">
        <v>0.68149999999999999</v>
      </c>
      <c r="DT226" s="2" t="str">
        <f>IF(AND(Table1[[#This Row],[Cplex MIP DM''z Cost]]=Table1[[#This Row],[ORTools FZN2 Cost]],Table1[[#This Row],[ORTools FZN2 State]]="Optimal",Table1[[#This Row],[Cplex MIP DM''z  State]]="Suboptimal"),1,"")</f>
        <v/>
      </c>
      <c r="DU22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6" s="5" t="s">
        <v>25</v>
      </c>
      <c r="DW226" s="2">
        <v>2</v>
      </c>
      <c r="DX226" s="2">
        <v>8.3544999999999998</v>
      </c>
      <c r="DY226" s="4" t="str">
        <f>IF(AND(Table1[[#This Row],[Gurobi DM''z  Cost]]=Table1[[#This Row],[ORTools FZN2 Cost]],Table1[[#This Row],[ORTools FZN2 State]]="Optimal",Table1[[#This Row],[Gurobi DM''z  State]]="Suboptimal"),1,"")</f>
        <v/>
      </c>
      <c r="DZ22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7" spans="1:130" ht="15.75" x14ac:dyDescent="0.25">
      <c r="A227" s="47" t="s">
        <v>253</v>
      </c>
      <c r="B227" s="5">
        <v>16</v>
      </c>
      <c r="C227" s="2">
        <v>8</v>
      </c>
      <c r="D227" s="5">
        <v>21</v>
      </c>
      <c r="E227" s="2">
        <v>11</v>
      </c>
      <c r="F227" s="5">
        <v>4</v>
      </c>
      <c r="G227" s="2">
        <v>2</v>
      </c>
      <c r="H227" s="4">
        <f t="shared" si="3"/>
        <v>0</v>
      </c>
      <c r="I227" s="4">
        <f>Table1[[#This Row],[B]]+Table1[[#This Row],[Atomic Constraints]]+Table1[[#This Row],[Soft Atomic Constraints]]+Table1[[#This Row],[Disjunctive Constraints]]+Table1[[#This Row],[Direct Successors]]</f>
        <v>46</v>
      </c>
      <c r="J227" s="5" t="s">
        <v>25</v>
      </c>
      <c r="K227" s="2">
        <v>4387</v>
      </c>
      <c r="L227" s="2">
        <v>2.3896788999999998</v>
      </c>
      <c r="M227" s="2" t="str">
        <f>IF(AND(Table1[[#This Row],[Chuffed MZ1 Cost]]=Table1[[#This Row],[ORTools FZN2 Cost]],Table1[[#This Row],[ORTools FZN2 State]]="Optimal",Table1[[#This Row],[Chuffed MZ1 State]]="Suboptimal"),1,"")</f>
        <v/>
      </c>
      <c r="N227" s="5" t="s">
        <v>25</v>
      </c>
      <c r="O227" s="2">
        <v>4387</v>
      </c>
      <c r="P227" s="2">
        <v>2.4535952999999999</v>
      </c>
      <c r="Q227" s="2" t="str">
        <f>IF(AND(Table1[[#This Row],[Chuffed MZ2 Cost]]=Table1[[#This Row],[ORTools FZN2 Cost]],Table1[[#This Row],[ORTools FZN2 State]]="Optimal",Table1[[#This Row],[Chuffed MZ2 State]]="Suboptimal"),1,"")</f>
        <v/>
      </c>
      <c r="R227" s="5" t="s">
        <v>25</v>
      </c>
      <c r="S227" s="2">
        <v>4387</v>
      </c>
      <c r="T227" s="2">
        <v>0.27600000000165897</v>
      </c>
      <c r="U227" s="2"/>
      <c r="V227" s="5" t="s">
        <v>25</v>
      </c>
      <c r="W227" s="2">
        <v>4387</v>
      </c>
      <c r="X227" s="2">
        <v>0.42393039999999999</v>
      </c>
      <c r="Y227" s="2" t="str">
        <f>IF(AND(Table1[[#This Row],[ORTools FZN1 Cost]]=Table1[[#This Row],[ORTools FZN2 Cost]],Table1[[#This Row],[ORTools FZN2 State]]="Optimal",Table1[[#This Row],[ORTools FZN1 State]]="Suboptimal"),1,"")</f>
        <v/>
      </c>
      <c r="Z227" s="5" t="s">
        <v>25</v>
      </c>
      <c r="AA227" s="2">
        <v>4387</v>
      </c>
      <c r="AB227" s="2">
        <v>0.47355920000000001</v>
      </c>
      <c r="AC227" s="39" t="s">
        <v>25</v>
      </c>
      <c r="AD227" s="39">
        <v>4387</v>
      </c>
      <c r="AE227" s="2">
        <v>1.5191135</v>
      </c>
      <c r="AF227" s="2" t="str">
        <f>IF(AND(Table1[[#This Row],[Cplex MB Cost]]=Table1[[#This Row],[ORTools FZN2 Cost]],Table1[[#This Row],[ORTools FZN2 State]]="Optimal",Table1[[#This Row],[Cplex MB State]]="Suboptimal"),1,"")</f>
        <v/>
      </c>
      <c r="AG227" s="4">
        <f>IF(AND(AC227="Optimal",AD227&lt;&gt;AA227,Table1[[#This Row],[Example]]&lt;&gt;"R001",Table1[[#This Row],[Example]]&lt;&gt;"R002"),AD227-AA227,)</f>
        <v>0</v>
      </c>
      <c r="AH227" s="5" t="s">
        <v>25</v>
      </c>
      <c r="AI227" s="2">
        <v>4387</v>
      </c>
      <c r="AJ227" s="2">
        <v>7.0116975000000004</v>
      </c>
      <c r="AK227" s="2" t="str">
        <f>IF(AND(Table1[[#This Row],[Cplex MD Cost]]=Table1[[#This Row],[ORTools FZN2 Cost]],Table1[[#This Row],[ORTools FZN2 State]]="Optimal",Table1[[#This Row],[Cplex MD State]]="Suboptimal"),1,"")</f>
        <v/>
      </c>
      <c r="AL227" s="4">
        <f>IF(AND(AH227="Optimal",AI227&lt;&gt;AA227,Table1[[#This Row],[Example]]&lt;&gt;"R001",Table1[[#This Row],[Example]]&lt;&gt;"R002"),AI227-AA227,)</f>
        <v>0</v>
      </c>
      <c r="AM227" s="39" t="s">
        <v>25</v>
      </c>
      <c r="AN227" s="39">
        <v>4387</v>
      </c>
      <c r="AO227" s="2">
        <v>1.3616965000000001</v>
      </c>
      <c r="AP22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7" s="2" t="str">
        <f>IF(AND(Table1[[#This Row],[Cplex MI Cost]]=Table1[[#This Row],[ORTools FZN2 Cost]],Table1[[#This Row],[ORTools FZN2 State]]="Optimal",Table1[[#This Row],[Cplex MI State]]="Suboptimal"),1,"")</f>
        <v/>
      </c>
      <c r="AR227" s="12" t="s">
        <v>26</v>
      </c>
      <c r="AS227" s="12">
        <v>4387</v>
      </c>
      <c r="AT227" s="12">
        <v>5.401618</v>
      </c>
      <c r="AU227" s="12">
        <f>IF(AND(Table1[[#This Row],[Z3 SMT2-1 Maxres Cost]]=Table1[[#This Row],[ORTools FZN2 Cost]],Table1[[#This Row],[ORTools FZN2 State]]="Optimal"),1,"")</f>
        <v>1</v>
      </c>
      <c r="AV227" s="12" t="s">
        <v>26</v>
      </c>
      <c r="AW227" s="12">
        <v>4387</v>
      </c>
      <c r="AX227" s="12">
        <v>5.4384012000000004</v>
      </c>
      <c r="AY227" s="12">
        <f>IF(AND(Table1[[#This Row],[Z3 SMT2-1 PdMaxres Cost]]=Table1[[#This Row],[ORTools FZN2 Cost]],Table1[[#This Row],[ORTools FZN2 State]]="Optimal"),1,"")</f>
        <v>1</v>
      </c>
      <c r="AZ227" s="12" t="s">
        <v>26</v>
      </c>
      <c r="BA227" s="12">
        <v>4387</v>
      </c>
      <c r="BB227" s="12">
        <v>5.3618522000000004</v>
      </c>
      <c r="BC227" s="12">
        <f>IF(AND(Table1[[#This Row],[Z3 SMT2-1 WMax Cost]]=Table1[[#This Row],[ORTools FZN2 Cost]],Table1[[#This Row],[ORTools FZN2 State]]="Optimal"),1,"")</f>
        <v>1</v>
      </c>
      <c r="BD227" s="12" t="s">
        <v>26</v>
      </c>
      <c r="BE227" s="12">
        <v>4387</v>
      </c>
      <c r="BF227" s="12">
        <v>5.1449135000000004</v>
      </c>
      <c r="BG227" s="12">
        <f>IF(AND(Table1[[#This Row],[Z3 SMT2-2 Maxres Cost]]=Table1[[#This Row],[ORTools FZN2 Cost]],Table1[[#This Row],[ORTools FZN2 State]]="Optimal"),1,"")</f>
        <v>1</v>
      </c>
      <c r="BH227" s="12" t="s">
        <v>26</v>
      </c>
      <c r="BI227" s="12">
        <v>4387</v>
      </c>
      <c r="BJ227" s="12">
        <v>5.284459</v>
      </c>
      <c r="BK227" s="12">
        <f>IF(AND(Table1[[#This Row],[Z3 SMT2-2 PdMaxres Cost]]=Table1[[#This Row],[ORTools FZN2 Cost]],Table1[[#This Row],[ORTools FZN2 State]]="Optimal"),1,"")</f>
        <v>1</v>
      </c>
      <c r="BL227" s="12" t="s">
        <v>26</v>
      </c>
      <c r="BM227" s="12">
        <v>4387</v>
      </c>
      <c r="BN227" s="12">
        <v>5.3517090999999999</v>
      </c>
      <c r="BO227" s="11">
        <f>IF(AND(Table1[[#This Row],[Z3 SMT2-2 PdMaxres Cost]]=Table1[[#This Row],[ORTools FZN2 Cost]],Table1[[#This Row],[ORTools FZN2 State]]="Optimal"),1,"")</f>
        <v>1</v>
      </c>
      <c r="BP227" s="5" t="s">
        <v>25</v>
      </c>
      <c r="BQ227" s="2">
        <v>4387</v>
      </c>
      <c r="BR227" s="2">
        <v>1.4183376999999999</v>
      </c>
      <c r="BS227" s="2" t="str">
        <f>IF(AND(Table1[[#This Row],[Gurobi MB Cost]]=Table1[[#This Row],[ORTools FZN2 Cost]],Table1[[#This Row],[ORTools FZN2 State]]="Optimal",Table1[[#This Row],[Gurobi MB State]]="Suboptimal"),1,"")</f>
        <v/>
      </c>
      <c r="BT22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7" s="5" t="s">
        <v>25</v>
      </c>
      <c r="BV227" s="2">
        <v>4387</v>
      </c>
      <c r="BW227" s="2">
        <v>10.823863599999999</v>
      </c>
      <c r="BX227" s="2" t="str">
        <f>IF(AND(Table1[[#This Row],[Gurobi MD Cost]]=Table1[[#This Row],[ORTools FZN2 Cost]],Table1[[#This Row],[ORTools FZN2 State]]="Optimal",Table1[[#This Row],[Gurobi MD State]]="Suboptimal"),1,"")</f>
        <v/>
      </c>
      <c r="BY22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7" s="5" t="s">
        <v>25</v>
      </c>
      <c r="CA227" s="2">
        <v>4387</v>
      </c>
      <c r="CB227" s="2">
        <v>0.99294199999999999</v>
      </c>
      <c r="CC227" s="2" t="str">
        <f>IF(AND(Table1[[#This Row],[Gurobi MI Cost]]=Table1[[#This Row],[ORTools FZN2 Cost]],Table1[[#This Row],[ORTools FZN2 State]]="Optimal",Table1[[#This Row],[Gurobi MI State]]="Suboptimal"),1,"")</f>
        <v/>
      </c>
      <c r="CD22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7" s="39" t="s">
        <v>42</v>
      </c>
      <c r="CF227" s="2">
        <v>-4369</v>
      </c>
      <c r="CG227" s="39">
        <v>305.99800290000002</v>
      </c>
      <c r="CH227" s="39" t="s">
        <v>42</v>
      </c>
      <c r="CI227" s="39">
        <v>-4369</v>
      </c>
      <c r="CJ227" s="2">
        <v>305.99884950000001</v>
      </c>
      <c r="CK227" s="5" t="s">
        <v>25</v>
      </c>
      <c r="CL227" s="2">
        <v>4387</v>
      </c>
      <c r="CM227" s="2">
        <v>0.14899999999761299</v>
      </c>
      <c r="CN227" s="5" t="s">
        <v>25</v>
      </c>
      <c r="CO227" s="2">
        <v>4387</v>
      </c>
      <c r="CP227" s="2">
        <v>0.9007463</v>
      </c>
      <c r="CQ227" s="5" t="s">
        <v>25</v>
      </c>
      <c r="CR227" s="2">
        <v>4387</v>
      </c>
      <c r="CS227" s="2">
        <v>0.77751789999999998</v>
      </c>
      <c r="CT227" s="6" t="s">
        <v>25</v>
      </c>
      <c r="CU227" s="4">
        <v>4387</v>
      </c>
      <c r="CV227" s="4">
        <v>0.77983820000000004</v>
      </c>
      <c r="CW227" s="39" t="s">
        <v>25</v>
      </c>
      <c r="CX227" s="39">
        <v>4387</v>
      </c>
      <c r="CY227" s="2">
        <v>1.4286000000000001</v>
      </c>
      <c r="CZ227" s="2" t="str">
        <f>IF(AND(Table1[[#This Row],[Cplex MZ1 Cost]]=Table1[[#This Row],[ORTools FZN2 Cost]],Table1[[#This Row],[ORTools FZN2 State]]="Optimal",Table1[[#This Row],[Cplex MZ1 State]]="Suboptimal"),1,"")</f>
        <v/>
      </c>
      <c r="DA227" s="5" t="s">
        <v>25</v>
      </c>
      <c r="DB227" s="2">
        <v>4387</v>
      </c>
      <c r="DC227" s="2">
        <v>1.8092999999999999</v>
      </c>
      <c r="DD227" s="2" t="str">
        <f>IF(AND(Table1[[#This Row],[Cplex MZ2 Cost]]=Table1[[#This Row],[ORTools FZN2 Cost]],Table1[[#This Row],[ORTools FZN2 State]]="Optimal",Table1[[#This Row],[Cplex MZ2 State]]="Suboptimal"),1,"")</f>
        <v/>
      </c>
      <c r="DE227" s="39" t="s">
        <v>25</v>
      </c>
      <c r="DF227" s="39">
        <v>4387</v>
      </c>
      <c r="DG227" s="2">
        <v>14.696999999999999</v>
      </c>
      <c r="DH227" s="2" t="str">
        <f>IF(AND(Table1[[#This Row],[Gurobi MZ1 Cost]]=Table1[[#This Row],[ORTools FZN2 Cost]],Table1[[#This Row],[ORTools FZN2 State]]="Optimal",Table1[[#This Row],[Gurobi MZ1 State]]="Suboptimal"),1,"")</f>
        <v/>
      </c>
      <c r="DI227" s="5" t="s">
        <v>25</v>
      </c>
      <c r="DJ227" s="2">
        <v>4387</v>
      </c>
      <c r="DK227" s="2">
        <v>9.3652999999999995</v>
      </c>
      <c r="DL227" s="4" t="str">
        <f>IF(AND(Table1[[#This Row],[Gurobi MZ2 Cost]]=Table1[[#This Row],[ORTools FZN2 Cost]],Table1[[#This Row],[ORTools FZN2 State]]="Optimal",Table1[[#This Row],[Gurobi MZ2 State]]="Suboptimal"),1,"")</f>
        <v/>
      </c>
      <c r="DM227" s="39" t="s">
        <v>25</v>
      </c>
      <c r="DN227" s="39">
        <v>4387</v>
      </c>
      <c r="DO227" s="65">
        <v>0.40699999999924302</v>
      </c>
      <c r="DP227" s="4" t="str">
        <f>IF(AND(Table1[[#This Row],[Cplex MC nonDual Cost]]=Table1[[#This Row],[ORTools FZN2 Cost]],Table1[[#This Row],[ORTools FZN2 State]]="Optimal",Table1[[#This Row],[Cplex MC nonDual State]]="Suboptimal"),1,"")</f>
        <v/>
      </c>
      <c r="DQ227" s="5" t="s">
        <v>25</v>
      </c>
      <c r="DR227" s="2">
        <v>4387</v>
      </c>
      <c r="DS227" s="2">
        <v>2.9363999999999999</v>
      </c>
      <c r="DT227" s="2" t="str">
        <f>IF(AND(Table1[[#This Row],[Cplex MIP DM''z Cost]]=Table1[[#This Row],[ORTools FZN2 Cost]],Table1[[#This Row],[ORTools FZN2 State]]="Optimal",Table1[[#This Row],[Cplex MIP DM''z  State]]="Suboptimal"),1,"")</f>
        <v/>
      </c>
      <c r="DU22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7" s="5" t="s">
        <v>25</v>
      </c>
      <c r="DW227" s="2">
        <v>4387</v>
      </c>
      <c r="DX227" s="2">
        <v>6.0694999999999997</v>
      </c>
      <c r="DY227" s="4" t="str">
        <f>IF(AND(Table1[[#This Row],[Gurobi DM''z  Cost]]=Table1[[#This Row],[ORTools FZN2 Cost]],Table1[[#This Row],[ORTools FZN2 State]]="Optimal",Table1[[#This Row],[Gurobi DM''z  State]]="Suboptimal"),1,"")</f>
        <v/>
      </c>
      <c r="DZ22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8" spans="1:130" x14ac:dyDescent="0.25">
      <c r="A228" s="52" t="s">
        <v>254</v>
      </c>
      <c r="B228" s="5">
        <v>75</v>
      </c>
      <c r="C228" s="2">
        <v>37</v>
      </c>
      <c r="D228" s="5">
        <v>1060</v>
      </c>
      <c r="E228" s="2">
        <v>47</v>
      </c>
      <c r="F228" s="5">
        <v>137</v>
      </c>
      <c r="G228" s="2">
        <v>18</v>
      </c>
      <c r="H228" s="4">
        <f t="shared" si="3"/>
        <v>1</v>
      </c>
      <c r="I228" s="4">
        <f>Table1[[#This Row],[B]]+Table1[[#This Row],[Atomic Constraints]]+Table1[[#This Row],[Soft Atomic Constraints]]+Table1[[#This Row],[Disjunctive Constraints]]+Table1[[#This Row],[Direct Successors]]</f>
        <v>1299</v>
      </c>
      <c r="J228" s="5" t="s">
        <v>77</v>
      </c>
      <c r="K228" s="2">
        <v>-427576</v>
      </c>
      <c r="L228" s="2">
        <v>3.6399246000000001</v>
      </c>
      <c r="M228" s="2" t="str">
        <f>IF(AND(Table1[[#This Row],[Chuffed MZ1 Cost]]=Table1[[#This Row],[ORTools FZN2 Cost]],Table1[[#This Row],[ORTools FZN2 State]]="Optimal",Table1[[#This Row],[Chuffed MZ1 State]]="Suboptimal"),1,"")</f>
        <v/>
      </c>
      <c r="N228" s="5" t="s">
        <v>77</v>
      </c>
      <c r="O228" s="2">
        <v>-427576</v>
      </c>
      <c r="P228" s="2">
        <v>3.611472</v>
      </c>
      <c r="Q228" s="2" t="str">
        <f>IF(AND(Table1[[#This Row],[Chuffed MZ2 Cost]]=Table1[[#This Row],[ORTools FZN2 Cost]],Table1[[#This Row],[ORTools FZN2 State]]="Optimal",Table1[[#This Row],[Chuffed MZ2 State]]="Suboptimal"),1,"")</f>
        <v/>
      </c>
      <c r="R228" s="6" t="s">
        <v>77</v>
      </c>
      <c r="S228" s="4">
        <v>-427576</v>
      </c>
      <c r="T228" s="4">
        <v>0.21399999999994199</v>
      </c>
      <c r="U228" s="4"/>
      <c r="V228" s="5" t="s">
        <v>77</v>
      </c>
      <c r="W228" s="2">
        <v>-427576</v>
      </c>
      <c r="X228" s="2">
        <v>3.6982512000000001</v>
      </c>
      <c r="Y228" s="2" t="str">
        <f>IF(AND(Table1[[#This Row],[ORTools FZN1 Cost]]=Table1[[#This Row],[ORTools FZN2 Cost]],Table1[[#This Row],[ORTools FZN2 State]]="Optimal",Table1[[#This Row],[ORTools FZN1 State]]="Suboptimal"),1,"")</f>
        <v/>
      </c>
      <c r="Z228" s="5" t="s">
        <v>77</v>
      </c>
      <c r="AA228" s="2">
        <v>-427576</v>
      </c>
      <c r="AB228" s="2">
        <v>2.8074257</v>
      </c>
      <c r="AC228" s="39" t="s">
        <v>77</v>
      </c>
      <c r="AD228" s="39">
        <v>-427576</v>
      </c>
      <c r="AE228" s="2">
        <v>0.1000902</v>
      </c>
      <c r="AF228" s="2" t="str">
        <f>IF(AND(Table1[[#This Row],[Cplex MB Cost]]=Table1[[#This Row],[ORTools FZN2 Cost]],Table1[[#This Row],[ORTools FZN2 State]]="Optimal",Table1[[#This Row],[Cplex MB State]]="Suboptimal"),1,"")</f>
        <v/>
      </c>
      <c r="AG228" s="4">
        <f>IF(AND(AC228="Optimal",AD228&lt;&gt;AA228,Table1[[#This Row],[Example]]&lt;&gt;"R001",Table1[[#This Row],[Example]]&lt;&gt;"R002"),AD228-AA228,)</f>
        <v>0</v>
      </c>
      <c r="AH228" s="5" t="s">
        <v>77</v>
      </c>
      <c r="AI228" s="2">
        <v>-427576</v>
      </c>
      <c r="AJ228" s="2">
        <v>4.4000712000000002</v>
      </c>
      <c r="AK228" s="2" t="str">
        <f>IF(AND(Table1[[#This Row],[Cplex MD Cost]]=Table1[[#This Row],[ORTools FZN2 Cost]],Table1[[#This Row],[ORTools FZN2 State]]="Optimal",Table1[[#This Row],[Cplex MD State]]="Suboptimal"),1,"")</f>
        <v/>
      </c>
      <c r="AL228" s="4">
        <f>IF(AND(AH228="Optimal",AI228&lt;&gt;AA228,Table1[[#This Row],[Example]]&lt;&gt;"R001",Table1[[#This Row],[Example]]&lt;&gt;"R002"),AI228-AA228,)</f>
        <v>0</v>
      </c>
      <c r="AM228" s="39" t="s">
        <v>77</v>
      </c>
      <c r="AN228" s="39">
        <v>-427576</v>
      </c>
      <c r="AO228" s="2">
        <v>0.95617509999999994</v>
      </c>
      <c r="AP22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8" s="4" t="str">
        <f>IF(AND(Table1[[#This Row],[Cplex MI Cost]]=Table1[[#This Row],[ORTools FZN2 Cost]],Table1[[#This Row],[ORTools FZN2 State]]="Optimal",Table1[[#This Row],[Cplex MI State]]="Suboptimal"),1,"")</f>
        <v/>
      </c>
      <c r="AR228" s="5" t="s">
        <v>77</v>
      </c>
      <c r="AS228" s="2">
        <v>-427576</v>
      </c>
      <c r="AT228" s="2">
        <v>16.708955799999998</v>
      </c>
      <c r="AU228" s="2" t="str">
        <f>IF(AND(Table1[[#This Row],[Z3 SMT2-1 Maxres Cost]]=Table1[[#This Row],[ORTools FZN2 Cost]],Table1[[#This Row],[ORTools FZN2 State]]="Optimal"),1,"")</f>
        <v/>
      </c>
      <c r="AV228" s="39" t="s">
        <v>77</v>
      </c>
      <c r="AW228" s="39">
        <v>-427576</v>
      </c>
      <c r="AX228" s="2">
        <v>17.0555983</v>
      </c>
      <c r="AY228" s="2" t="str">
        <f>IF(AND(Table1[[#This Row],[Z3 SMT2-1 PdMaxres Cost]]=Table1[[#This Row],[ORTools FZN2 Cost]],Table1[[#This Row],[ORTools FZN2 State]]="Optimal"),1,"")</f>
        <v/>
      </c>
      <c r="AZ228" s="5" t="s">
        <v>77</v>
      </c>
      <c r="BA228" s="2">
        <v>-427576</v>
      </c>
      <c r="BB228" s="39">
        <v>16.356305500000001</v>
      </c>
      <c r="BC228" s="39" t="str">
        <f>IF(AND(Table1[[#This Row],[Z3 SMT2-1 WMax Cost]]=Table1[[#This Row],[ORTools FZN2 Cost]],Table1[[#This Row],[ORTools FZN2 State]]="Optimal"),1,"")</f>
        <v/>
      </c>
      <c r="BD228" s="39" t="s">
        <v>77</v>
      </c>
      <c r="BE228" s="39">
        <v>-427576</v>
      </c>
      <c r="BF228" s="2">
        <v>15.8996508</v>
      </c>
      <c r="BG228" s="2" t="str">
        <f>IF(AND(Table1[[#This Row],[Z3 SMT2-2 Maxres Cost]]=Table1[[#This Row],[ORTools FZN2 Cost]],Table1[[#This Row],[ORTools FZN2 State]]="Optimal"),1,"")</f>
        <v/>
      </c>
      <c r="BH228" s="5" t="s">
        <v>77</v>
      </c>
      <c r="BI228" s="2">
        <v>-427576</v>
      </c>
      <c r="BJ228" s="39">
        <v>16.064295300000001</v>
      </c>
      <c r="BK228" s="39" t="str">
        <f>IF(AND(Table1[[#This Row],[Z3 SMT2-2 PdMaxres Cost]]=Table1[[#This Row],[ORTools FZN2 Cost]],Table1[[#This Row],[ORTools FZN2 State]]="Optimal"),1,"")</f>
        <v/>
      </c>
      <c r="BL228" s="39" t="s">
        <v>77</v>
      </c>
      <c r="BM228" s="39">
        <v>-427576</v>
      </c>
      <c r="BN228" s="2">
        <v>16.0940066</v>
      </c>
      <c r="BO228" s="4" t="str">
        <f>IF(AND(Table1[[#This Row],[Z3 SMT2-2 PdMaxres Cost]]=Table1[[#This Row],[ORTools FZN2 Cost]],Table1[[#This Row],[ORTools FZN2 State]]="Optimal"),1,"")</f>
        <v/>
      </c>
      <c r="BP228" s="5" t="s">
        <v>77</v>
      </c>
      <c r="BQ228" s="2">
        <v>-427576</v>
      </c>
      <c r="BR228" s="2">
        <v>0.11533649999999999</v>
      </c>
      <c r="BS228" s="2" t="str">
        <f>IF(AND(Table1[[#This Row],[Gurobi MB Cost]]=Table1[[#This Row],[ORTools FZN2 Cost]],Table1[[#This Row],[ORTools FZN2 State]]="Optimal",Table1[[#This Row],[Gurobi MB State]]="Suboptimal"),1,"")</f>
        <v/>
      </c>
      <c r="BT22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8" s="5" t="s">
        <v>77</v>
      </c>
      <c r="BV228" s="2">
        <v>-427576</v>
      </c>
      <c r="BW228" s="2">
        <v>2.5022106000000002</v>
      </c>
      <c r="BX228" s="2" t="str">
        <f>IF(AND(Table1[[#This Row],[Gurobi MD Cost]]=Table1[[#This Row],[ORTools FZN2 Cost]],Table1[[#This Row],[ORTools FZN2 State]]="Optimal",Table1[[#This Row],[Gurobi MD State]]="Suboptimal"),1,"")</f>
        <v/>
      </c>
      <c r="BY22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8" s="5" t="s">
        <v>77</v>
      </c>
      <c r="CA228" s="2">
        <v>-427576</v>
      </c>
      <c r="CB228" s="2">
        <v>0.34740369999999998</v>
      </c>
      <c r="CC228" s="2" t="str">
        <f>IF(AND(Table1[[#This Row],[Gurobi MI Cost]]=Table1[[#This Row],[ORTools FZN2 Cost]],Table1[[#This Row],[ORTools FZN2 State]]="Optimal",Table1[[#This Row],[Gurobi MI State]]="Suboptimal"),1,"")</f>
        <v/>
      </c>
      <c r="CD22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8" s="39" t="s">
        <v>77</v>
      </c>
      <c r="CF228" s="2">
        <v>-427576</v>
      </c>
      <c r="CG228" s="39">
        <v>5.3065156</v>
      </c>
      <c r="CH228" s="39" t="s">
        <v>77</v>
      </c>
      <c r="CI228" s="39">
        <v>-427576</v>
      </c>
      <c r="CJ228" s="2">
        <v>5.3205333000000001</v>
      </c>
      <c r="CK228" s="5" t="s">
        <v>77</v>
      </c>
      <c r="CL228" s="2">
        <v>-427576</v>
      </c>
      <c r="CM228" s="2">
        <v>0.20500000000174601</v>
      </c>
      <c r="CN228" s="5" t="s">
        <v>77</v>
      </c>
      <c r="CO228" s="2">
        <v>-427576</v>
      </c>
      <c r="CP228" s="2">
        <v>3.4407972</v>
      </c>
      <c r="CQ228" s="5" t="s">
        <v>77</v>
      </c>
      <c r="CR228" s="2">
        <v>-427576</v>
      </c>
      <c r="CS228" s="2">
        <v>3.9469653999999998</v>
      </c>
      <c r="CT228" s="6" t="s">
        <v>77</v>
      </c>
      <c r="CU228" s="4">
        <v>-427576</v>
      </c>
      <c r="CV228" s="4">
        <v>4.3874184999999999</v>
      </c>
      <c r="CW228" s="39" t="s">
        <v>77</v>
      </c>
      <c r="CX228" s="39"/>
      <c r="CY228" s="2">
        <v>3.8111000000000002</v>
      </c>
      <c r="CZ228" s="2" t="str">
        <f>IF(AND(Table1[[#This Row],[Cplex MZ1 Cost]]=Table1[[#This Row],[ORTools FZN2 Cost]],Table1[[#This Row],[ORTools FZN2 State]]="Optimal",Table1[[#This Row],[Cplex MZ1 State]]="Suboptimal"),1,"")</f>
        <v/>
      </c>
      <c r="DA228" s="5" t="s">
        <v>77</v>
      </c>
      <c r="DB228" s="2"/>
      <c r="DC228" s="2">
        <v>3.6573000000000002</v>
      </c>
      <c r="DD228" s="2" t="str">
        <f>IF(AND(Table1[[#This Row],[Cplex MZ2 Cost]]=Table1[[#This Row],[ORTools FZN2 Cost]],Table1[[#This Row],[ORTools FZN2 State]]="Optimal",Table1[[#This Row],[Cplex MZ2 State]]="Suboptimal"),1,"")</f>
        <v/>
      </c>
      <c r="DE228" s="39" t="s">
        <v>77</v>
      </c>
      <c r="DF228" s="39"/>
      <c r="DG228" s="2">
        <v>0.3115</v>
      </c>
      <c r="DH228" s="2" t="str">
        <f>IF(AND(Table1[[#This Row],[Gurobi MZ1 Cost]]=Table1[[#This Row],[ORTools FZN2 Cost]],Table1[[#This Row],[ORTools FZN2 State]]="Optimal",Table1[[#This Row],[Gurobi MZ1 State]]="Suboptimal"),1,"")</f>
        <v/>
      </c>
      <c r="DI228" s="5" t="s">
        <v>77</v>
      </c>
      <c r="DJ228" s="2"/>
      <c r="DK228" s="2">
        <v>0.29499999999999998</v>
      </c>
      <c r="DL228" s="4" t="str">
        <f>IF(AND(Table1[[#This Row],[Gurobi MZ2 Cost]]=Table1[[#This Row],[ORTools FZN2 Cost]],Table1[[#This Row],[ORTools FZN2 State]]="Optimal",Table1[[#This Row],[Gurobi MZ2 State]]="Suboptimal"),1,"")</f>
        <v/>
      </c>
      <c r="DM228" s="39" t="s">
        <v>77</v>
      </c>
      <c r="DN228" s="39">
        <v>-427576</v>
      </c>
      <c r="DO228" s="65">
        <v>0.19800000000032</v>
      </c>
      <c r="DP228" s="4" t="str">
        <f>IF(AND(Table1[[#This Row],[Cplex MC nonDual Cost]]=Table1[[#This Row],[ORTools FZN2 Cost]],Table1[[#This Row],[ORTools FZN2 State]]="Optimal",Table1[[#This Row],[Cplex MC nonDual State]]="Suboptimal"),1,"")</f>
        <v/>
      </c>
      <c r="DQ228" s="5" t="s">
        <v>77</v>
      </c>
      <c r="DR228" s="2"/>
      <c r="DS228" s="2">
        <v>3.9727000000000001</v>
      </c>
      <c r="DT228" s="2" t="str">
        <f>IF(AND(Table1[[#This Row],[Cplex MIP DM''z Cost]]=Table1[[#This Row],[ORTools FZN2 Cost]],Table1[[#This Row],[ORTools FZN2 State]]="Optimal",Table1[[#This Row],[Cplex MIP DM''z  State]]="Suboptimal"),1,"")</f>
        <v/>
      </c>
      <c r="DU22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8" s="5" t="s">
        <v>77</v>
      </c>
      <c r="DW228" s="2"/>
      <c r="DX228" s="2">
        <v>0.3352</v>
      </c>
      <c r="DY228" s="4" t="str">
        <f>IF(AND(Table1[[#This Row],[Gurobi DM''z  Cost]]=Table1[[#This Row],[ORTools FZN2 Cost]],Table1[[#This Row],[ORTools FZN2 State]]="Optimal",Table1[[#This Row],[Gurobi DM''z  State]]="Suboptimal"),1,"")</f>
        <v/>
      </c>
      <c r="DZ22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29" spans="1:130" x14ac:dyDescent="0.25">
      <c r="A229" s="52" t="s">
        <v>255</v>
      </c>
      <c r="B229" s="5">
        <v>76</v>
      </c>
      <c r="C229" s="2">
        <v>38</v>
      </c>
      <c r="D229" s="5">
        <v>1060</v>
      </c>
      <c r="E229" s="2">
        <v>48</v>
      </c>
      <c r="F229" s="5">
        <v>142</v>
      </c>
      <c r="G229" s="2">
        <v>18</v>
      </c>
      <c r="H229" s="4">
        <f t="shared" si="3"/>
        <v>0</v>
      </c>
      <c r="I229" s="4">
        <f>Table1[[#This Row],[B]]+Table1[[#This Row],[Atomic Constraints]]+Table1[[#This Row],[Soft Atomic Constraints]]+Table1[[#This Row],[Disjunctive Constraints]]+Table1[[#This Row],[Direct Successors]]</f>
        <v>1306</v>
      </c>
      <c r="J229" s="5" t="s">
        <v>77</v>
      </c>
      <c r="K229" s="2">
        <v>-444829</v>
      </c>
      <c r="L229" s="2">
        <v>3.8234724</v>
      </c>
      <c r="M229" s="2" t="str">
        <f>IF(AND(Table1[[#This Row],[Chuffed MZ1 Cost]]=Table1[[#This Row],[ORTools FZN2 Cost]],Table1[[#This Row],[ORTools FZN2 State]]="Optimal",Table1[[#This Row],[Chuffed MZ1 State]]="Suboptimal"),1,"")</f>
        <v/>
      </c>
      <c r="N229" s="5" t="s">
        <v>77</v>
      </c>
      <c r="O229" s="2">
        <v>-444829</v>
      </c>
      <c r="P229" s="2">
        <v>3.7470048999999999</v>
      </c>
      <c r="Q229" s="2" t="str">
        <f>IF(AND(Table1[[#This Row],[Chuffed MZ2 Cost]]=Table1[[#This Row],[ORTools FZN2 Cost]],Table1[[#This Row],[ORTools FZN2 State]]="Optimal",Table1[[#This Row],[Chuffed MZ2 State]]="Suboptimal"),1,"")</f>
        <v/>
      </c>
      <c r="R229" s="5" t="s">
        <v>77</v>
      </c>
      <c r="S229" s="2">
        <v>-444829</v>
      </c>
      <c r="T229" s="2">
        <v>0.19499999999970899</v>
      </c>
      <c r="U229" s="2"/>
      <c r="V229" s="5" t="s">
        <v>77</v>
      </c>
      <c r="W229" s="2">
        <v>-444829</v>
      </c>
      <c r="X229" s="2">
        <v>3.8389452999999998</v>
      </c>
      <c r="Y229" s="2" t="str">
        <f>IF(AND(Table1[[#This Row],[ORTools FZN1 Cost]]=Table1[[#This Row],[ORTools FZN2 Cost]],Table1[[#This Row],[ORTools FZN2 State]]="Optimal",Table1[[#This Row],[ORTools FZN1 State]]="Suboptimal"),1,"")</f>
        <v/>
      </c>
      <c r="Z229" s="5" t="s">
        <v>77</v>
      </c>
      <c r="AA229" s="2">
        <v>-444829</v>
      </c>
      <c r="AB229" s="2">
        <v>2.9559459000000001</v>
      </c>
      <c r="AC229" s="39" t="s">
        <v>77</v>
      </c>
      <c r="AD229" s="39">
        <v>-444829</v>
      </c>
      <c r="AE229" s="2">
        <v>9.9773200000000006E-2</v>
      </c>
      <c r="AF229" s="2" t="str">
        <f>IF(AND(Table1[[#This Row],[Cplex MB Cost]]=Table1[[#This Row],[ORTools FZN2 Cost]],Table1[[#This Row],[ORTools FZN2 State]]="Optimal",Table1[[#This Row],[Cplex MB State]]="Suboptimal"),1,"")</f>
        <v/>
      </c>
      <c r="AG229" s="4">
        <f>IF(AND(AC229="Optimal",AD229&lt;&gt;AA229,Table1[[#This Row],[Example]]&lt;&gt;"R001",Table1[[#This Row],[Example]]&lt;&gt;"R002"),AD229-AA229,)</f>
        <v>0</v>
      </c>
      <c r="AH229" s="5" t="s">
        <v>77</v>
      </c>
      <c r="AI229" s="2">
        <v>-444829</v>
      </c>
      <c r="AJ229" s="2">
        <v>3.0207335</v>
      </c>
      <c r="AK229" s="2" t="str">
        <f>IF(AND(Table1[[#This Row],[Cplex MD Cost]]=Table1[[#This Row],[ORTools FZN2 Cost]],Table1[[#This Row],[ORTools FZN2 State]]="Optimal",Table1[[#This Row],[Cplex MD State]]="Suboptimal"),1,"")</f>
        <v/>
      </c>
      <c r="AL229" s="4">
        <f>IF(AND(AH229="Optimal",AI229&lt;&gt;AA229,Table1[[#This Row],[Example]]&lt;&gt;"R001",Table1[[#This Row],[Example]]&lt;&gt;"R002"),AI229-AA229,)</f>
        <v>0</v>
      </c>
      <c r="AM229" s="39" t="s">
        <v>77</v>
      </c>
      <c r="AN229" s="39">
        <v>-444829</v>
      </c>
      <c r="AO229" s="2">
        <v>0.7671367</v>
      </c>
      <c r="AP22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29" s="2" t="str">
        <f>IF(AND(Table1[[#This Row],[Cplex MI Cost]]=Table1[[#This Row],[ORTools FZN2 Cost]],Table1[[#This Row],[ORTools FZN2 State]]="Optimal",Table1[[#This Row],[Cplex MI State]]="Suboptimal"),1,"")</f>
        <v/>
      </c>
      <c r="AR229" s="5" t="s">
        <v>77</v>
      </c>
      <c r="AS229" s="2">
        <v>-444829</v>
      </c>
      <c r="AT229" s="2">
        <v>20.0161187</v>
      </c>
      <c r="AU229" s="2" t="str">
        <f>IF(AND(Table1[[#This Row],[Z3 SMT2-1 Maxres Cost]]=Table1[[#This Row],[ORTools FZN2 Cost]],Table1[[#This Row],[ORTools FZN2 State]]="Optimal"),1,"")</f>
        <v/>
      </c>
      <c r="AV229" s="39" t="s">
        <v>77</v>
      </c>
      <c r="AW229" s="39">
        <v>-444829</v>
      </c>
      <c r="AX229" s="2">
        <v>20.691952400000002</v>
      </c>
      <c r="AY229" s="2" t="str">
        <f>IF(AND(Table1[[#This Row],[Z3 SMT2-1 PdMaxres Cost]]=Table1[[#This Row],[ORTools FZN2 Cost]],Table1[[#This Row],[ORTools FZN2 State]]="Optimal"),1,"")</f>
        <v/>
      </c>
      <c r="AZ229" s="5" t="s">
        <v>77</v>
      </c>
      <c r="BA229" s="2">
        <v>-444829</v>
      </c>
      <c r="BB229" s="39">
        <v>19.4848888</v>
      </c>
      <c r="BC229" s="39" t="str">
        <f>IF(AND(Table1[[#This Row],[Z3 SMT2-1 WMax Cost]]=Table1[[#This Row],[ORTools FZN2 Cost]],Table1[[#This Row],[ORTools FZN2 State]]="Optimal"),1,"")</f>
        <v/>
      </c>
      <c r="BD229" s="39" t="s">
        <v>77</v>
      </c>
      <c r="BE229" s="39">
        <v>-444829</v>
      </c>
      <c r="BF229" s="2">
        <v>16.768228199999999</v>
      </c>
      <c r="BG229" s="2" t="str">
        <f>IF(AND(Table1[[#This Row],[Z3 SMT2-2 Maxres Cost]]=Table1[[#This Row],[ORTools FZN2 Cost]],Table1[[#This Row],[ORTools FZN2 State]]="Optimal"),1,"")</f>
        <v/>
      </c>
      <c r="BH229" s="5" t="s">
        <v>77</v>
      </c>
      <c r="BI229" s="2">
        <v>-444829</v>
      </c>
      <c r="BJ229" s="39">
        <v>16.345739300000002</v>
      </c>
      <c r="BK229" s="39" t="str">
        <f>IF(AND(Table1[[#This Row],[Z3 SMT2-2 PdMaxres Cost]]=Table1[[#This Row],[ORTools FZN2 Cost]],Table1[[#This Row],[ORTools FZN2 State]]="Optimal"),1,"")</f>
        <v/>
      </c>
      <c r="BL229" s="39" t="s">
        <v>77</v>
      </c>
      <c r="BM229" s="39">
        <v>-444829</v>
      </c>
      <c r="BN229" s="2">
        <v>16.901256799999999</v>
      </c>
      <c r="BO229" s="4" t="str">
        <f>IF(AND(Table1[[#This Row],[Z3 SMT2-2 PdMaxres Cost]]=Table1[[#This Row],[ORTools FZN2 Cost]],Table1[[#This Row],[ORTools FZN2 State]]="Optimal"),1,"")</f>
        <v/>
      </c>
      <c r="BP229" s="5" t="s">
        <v>77</v>
      </c>
      <c r="BQ229" s="2">
        <v>-444829</v>
      </c>
      <c r="BR229" s="2">
        <v>0.1179351</v>
      </c>
      <c r="BS229" s="2" t="str">
        <f>IF(AND(Table1[[#This Row],[Gurobi MB Cost]]=Table1[[#This Row],[ORTools FZN2 Cost]],Table1[[#This Row],[ORTools FZN2 State]]="Optimal",Table1[[#This Row],[Gurobi MB State]]="Suboptimal"),1,"")</f>
        <v/>
      </c>
      <c r="BT22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29" s="5" t="s">
        <v>77</v>
      </c>
      <c r="BV229" s="2">
        <v>-444829</v>
      </c>
      <c r="BW229" s="2">
        <v>2.6061822000000001</v>
      </c>
      <c r="BX229" s="2" t="str">
        <f>IF(AND(Table1[[#This Row],[Gurobi MD Cost]]=Table1[[#This Row],[ORTools FZN2 Cost]],Table1[[#This Row],[ORTools FZN2 State]]="Optimal",Table1[[#This Row],[Gurobi MD State]]="Suboptimal"),1,"")</f>
        <v/>
      </c>
      <c r="BY22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29" s="5" t="s">
        <v>77</v>
      </c>
      <c r="CA229" s="2">
        <v>-444829</v>
      </c>
      <c r="CB229" s="2">
        <v>0.33865339999999999</v>
      </c>
      <c r="CC229" s="2" t="str">
        <f>IF(AND(Table1[[#This Row],[Gurobi MI Cost]]=Table1[[#This Row],[ORTools FZN2 Cost]],Table1[[#This Row],[ORTools FZN2 State]]="Optimal",Table1[[#This Row],[Gurobi MI State]]="Suboptimal"),1,"")</f>
        <v/>
      </c>
      <c r="CD22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29" s="39" t="s">
        <v>77</v>
      </c>
      <c r="CF229" s="2">
        <v>-444829</v>
      </c>
      <c r="CG229" s="39">
        <v>5.2928835000000003</v>
      </c>
      <c r="CH229" s="39" t="s">
        <v>77</v>
      </c>
      <c r="CI229" s="39">
        <v>-444829</v>
      </c>
      <c r="CJ229" s="2">
        <v>5.2738062000000001</v>
      </c>
      <c r="CK229" s="5" t="s">
        <v>77</v>
      </c>
      <c r="CL229" s="2">
        <v>-444829</v>
      </c>
      <c r="CM229" s="2">
        <v>0.19399999999950501</v>
      </c>
      <c r="CN229" s="5" t="s">
        <v>77</v>
      </c>
      <c r="CO229" s="2">
        <v>-444829</v>
      </c>
      <c r="CP229" s="2">
        <v>3.5699499000000001</v>
      </c>
      <c r="CQ229" s="5" t="s">
        <v>77</v>
      </c>
      <c r="CR229" s="2">
        <v>-444829</v>
      </c>
      <c r="CS229" s="2">
        <v>4.0858658999999999</v>
      </c>
      <c r="CT229" s="6" t="s">
        <v>77</v>
      </c>
      <c r="CU229" s="4">
        <v>-444829</v>
      </c>
      <c r="CV229" s="4">
        <v>4.3606695999999996</v>
      </c>
      <c r="CW229" s="39" t="s">
        <v>77</v>
      </c>
      <c r="CX229" s="39"/>
      <c r="CY229" s="2">
        <v>3.8031000000000001</v>
      </c>
      <c r="CZ229" s="2" t="str">
        <f>IF(AND(Table1[[#This Row],[Cplex MZ1 Cost]]=Table1[[#This Row],[ORTools FZN2 Cost]],Table1[[#This Row],[ORTools FZN2 State]]="Optimal",Table1[[#This Row],[Cplex MZ1 State]]="Suboptimal"),1,"")</f>
        <v/>
      </c>
      <c r="DA229" s="5" t="s">
        <v>77</v>
      </c>
      <c r="DB229" s="2"/>
      <c r="DC229" s="2">
        <v>3.8498000000000001</v>
      </c>
      <c r="DD229" s="2" t="str">
        <f>IF(AND(Table1[[#This Row],[Cplex MZ2 Cost]]=Table1[[#This Row],[ORTools FZN2 Cost]],Table1[[#This Row],[ORTools FZN2 State]]="Optimal",Table1[[#This Row],[Cplex MZ2 State]]="Suboptimal"),1,"")</f>
        <v/>
      </c>
      <c r="DE229" s="39" t="s">
        <v>77</v>
      </c>
      <c r="DF229" s="39"/>
      <c r="DG229" s="2">
        <v>0.32790000000000002</v>
      </c>
      <c r="DH229" s="2" t="str">
        <f>IF(AND(Table1[[#This Row],[Gurobi MZ1 Cost]]=Table1[[#This Row],[ORTools FZN2 Cost]],Table1[[#This Row],[ORTools FZN2 State]]="Optimal",Table1[[#This Row],[Gurobi MZ1 State]]="Suboptimal"),1,"")</f>
        <v/>
      </c>
      <c r="DI229" s="5" t="s">
        <v>77</v>
      </c>
      <c r="DJ229" s="2"/>
      <c r="DK229" s="2">
        <v>0.30380000000000001</v>
      </c>
      <c r="DL229" s="4" t="str">
        <f>IF(AND(Table1[[#This Row],[Gurobi MZ2 Cost]]=Table1[[#This Row],[ORTools FZN2 Cost]],Table1[[#This Row],[ORTools FZN2 State]]="Optimal",Table1[[#This Row],[Gurobi MZ2 State]]="Suboptimal"),1,"")</f>
        <v/>
      </c>
      <c r="DM229" s="39" t="s">
        <v>77</v>
      </c>
      <c r="DN229" s="39">
        <v>-444829</v>
      </c>
      <c r="DO229" s="65">
        <v>0.210000000002764</v>
      </c>
      <c r="DP229" s="4" t="str">
        <f>IF(AND(Table1[[#This Row],[Cplex MC nonDual Cost]]=Table1[[#This Row],[ORTools FZN2 Cost]],Table1[[#This Row],[ORTools FZN2 State]]="Optimal",Table1[[#This Row],[Cplex MC nonDual State]]="Suboptimal"),1,"")</f>
        <v/>
      </c>
      <c r="DQ229" s="5" t="s">
        <v>77</v>
      </c>
      <c r="DR229" s="2"/>
      <c r="DS229" s="2">
        <v>4.3587999999999996</v>
      </c>
      <c r="DT229" s="2" t="str">
        <f>IF(AND(Table1[[#This Row],[Cplex MIP DM''z Cost]]=Table1[[#This Row],[ORTools FZN2 Cost]],Table1[[#This Row],[ORTools FZN2 State]]="Optimal",Table1[[#This Row],[Cplex MIP DM''z  State]]="Suboptimal"),1,"")</f>
        <v/>
      </c>
      <c r="DU22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29" s="5" t="s">
        <v>77</v>
      </c>
      <c r="DW229" s="2"/>
      <c r="DX229" s="2">
        <v>0.34660000000000002</v>
      </c>
      <c r="DY229" s="4" t="str">
        <f>IF(AND(Table1[[#This Row],[Gurobi DM''z  Cost]]=Table1[[#This Row],[ORTools FZN2 Cost]],Table1[[#This Row],[ORTools FZN2 State]]="Optimal",Table1[[#This Row],[Gurobi DM''z  State]]="Suboptimal"),1,"")</f>
        <v/>
      </c>
      <c r="DZ22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0" spans="1:130" x14ac:dyDescent="0.25">
      <c r="A230" s="52" t="s">
        <v>256</v>
      </c>
      <c r="B230" s="5">
        <v>75</v>
      </c>
      <c r="C230" s="2">
        <v>37</v>
      </c>
      <c r="D230" s="5">
        <v>1066</v>
      </c>
      <c r="E230" s="2">
        <v>47</v>
      </c>
      <c r="F230" s="5">
        <v>138</v>
      </c>
      <c r="G230" s="2">
        <v>18</v>
      </c>
      <c r="H230" s="4">
        <f t="shared" si="3"/>
        <v>1</v>
      </c>
      <c r="I230" s="4">
        <f>Table1[[#This Row],[B]]+Table1[[#This Row],[Atomic Constraints]]+Table1[[#This Row],[Soft Atomic Constraints]]+Table1[[#This Row],[Disjunctive Constraints]]+Table1[[#This Row],[Direct Successors]]</f>
        <v>1306</v>
      </c>
      <c r="J230" s="5" t="s">
        <v>77</v>
      </c>
      <c r="K230" s="2">
        <v>-427576</v>
      </c>
      <c r="L230" s="2">
        <v>3.6178018000000001</v>
      </c>
      <c r="M230" s="2" t="str">
        <f>IF(AND(Table1[[#This Row],[Chuffed MZ1 Cost]]=Table1[[#This Row],[ORTools FZN2 Cost]],Table1[[#This Row],[ORTools FZN2 State]]="Optimal",Table1[[#This Row],[Chuffed MZ1 State]]="Suboptimal"),1,"")</f>
        <v/>
      </c>
      <c r="N230" s="5" t="s">
        <v>77</v>
      </c>
      <c r="O230" s="2">
        <v>-427576</v>
      </c>
      <c r="P230" s="2">
        <v>3.5752799999999998</v>
      </c>
      <c r="Q230" s="2" t="str">
        <f>IF(AND(Table1[[#This Row],[Chuffed MZ2 Cost]]=Table1[[#This Row],[ORTools FZN2 Cost]],Table1[[#This Row],[ORTools FZN2 State]]="Optimal",Table1[[#This Row],[Chuffed MZ2 State]]="Suboptimal"),1,"")</f>
        <v/>
      </c>
      <c r="R230" s="6" t="s">
        <v>77</v>
      </c>
      <c r="S230" s="4">
        <v>-427576</v>
      </c>
      <c r="T230" s="4">
        <v>0.18600000000151301</v>
      </c>
      <c r="U230" s="4"/>
      <c r="V230" s="5" t="s">
        <v>77</v>
      </c>
      <c r="W230" s="2">
        <v>-427576</v>
      </c>
      <c r="X230" s="2">
        <v>3.7623223000000001</v>
      </c>
      <c r="Y230" s="2" t="str">
        <f>IF(AND(Table1[[#This Row],[ORTools FZN1 Cost]]=Table1[[#This Row],[ORTools FZN2 Cost]],Table1[[#This Row],[ORTools FZN2 State]]="Optimal",Table1[[#This Row],[ORTools FZN1 State]]="Suboptimal"),1,"")</f>
        <v/>
      </c>
      <c r="Z230" s="5" t="s">
        <v>77</v>
      </c>
      <c r="AA230" s="2">
        <v>-427576</v>
      </c>
      <c r="AB230" s="2">
        <v>2.8418595999999998</v>
      </c>
      <c r="AC230" s="39" t="s">
        <v>77</v>
      </c>
      <c r="AD230" s="39">
        <v>-427576</v>
      </c>
      <c r="AE230" s="2">
        <v>9.0223800000000007E-2</v>
      </c>
      <c r="AF230" s="2" t="str">
        <f>IF(AND(Table1[[#This Row],[Cplex MB Cost]]=Table1[[#This Row],[ORTools FZN2 Cost]],Table1[[#This Row],[ORTools FZN2 State]]="Optimal",Table1[[#This Row],[Cplex MB State]]="Suboptimal"),1,"")</f>
        <v/>
      </c>
      <c r="AG230" s="4">
        <f>IF(AND(AC230="Optimal",AD230&lt;&gt;AA230,Table1[[#This Row],[Example]]&lt;&gt;"R001",Table1[[#This Row],[Example]]&lt;&gt;"R002"),AD230-AA230,)</f>
        <v>0</v>
      </c>
      <c r="AH230" s="5" t="s">
        <v>77</v>
      </c>
      <c r="AI230" s="2">
        <v>-427576</v>
      </c>
      <c r="AJ230" s="2">
        <v>4.3931116000000001</v>
      </c>
      <c r="AK230" s="2" t="str">
        <f>IF(AND(Table1[[#This Row],[Cplex MD Cost]]=Table1[[#This Row],[ORTools FZN2 Cost]],Table1[[#This Row],[ORTools FZN2 State]]="Optimal",Table1[[#This Row],[Cplex MD State]]="Suboptimal"),1,"")</f>
        <v/>
      </c>
      <c r="AL230" s="4">
        <f>IF(AND(AH230="Optimal",AI230&lt;&gt;AA230,Table1[[#This Row],[Example]]&lt;&gt;"R001",Table1[[#This Row],[Example]]&lt;&gt;"R002"),AI230-AA230,)</f>
        <v>0</v>
      </c>
      <c r="AM230" s="39" t="s">
        <v>77</v>
      </c>
      <c r="AN230" s="39">
        <v>-427576</v>
      </c>
      <c r="AO230" s="2">
        <v>0.97878929999999997</v>
      </c>
      <c r="AP23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0" s="4" t="str">
        <f>IF(AND(Table1[[#This Row],[Cplex MI Cost]]=Table1[[#This Row],[ORTools FZN2 Cost]],Table1[[#This Row],[ORTools FZN2 State]]="Optimal",Table1[[#This Row],[Cplex MI State]]="Suboptimal"),1,"")</f>
        <v/>
      </c>
      <c r="AR230" s="5" t="s">
        <v>77</v>
      </c>
      <c r="AS230" s="2">
        <v>-427576</v>
      </c>
      <c r="AT230" s="2">
        <v>17.317326099999999</v>
      </c>
      <c r="AU230" s="2" t="str">
        <f>IF(AND(Table1[[#This Row],[Z3 SMT2-1 Maxres Cost]]=Table1[[#This Row],[ORTools FZN2 Cost]],Table1[[#This Row],[ORTools FZN2 State]]="Optimal"),1,"")</f>
        <v/>
      </c>
      <c r="AV230" s="39" t="s">
        <v>77</v>
      </c>
      <c r="AW230" s="39">
        <v>-427576</v>
      </c>
      <c r="AX230" s="2">
        <v>17.784522500000001</v>
      </c>
      <c r="AY230" s="2" t="str">
        <f>IF(AND(Table1[[#This Row],[Z3 SMT2-1 PdMaxres Cost]]=Table1[[#This Row],[ORTools FZN2 Cost]],Table1[[#This Row],[ORTools FZN2 State]]="Optimal"),1,"")</f>
        <v/>
      </c>
      <c r="AZ230" s="5" t="s">
        <v>77</v>
      </c>
      <c r="BA230" s="2">
        <v>-427576</v>
      </c>
      <c r="BB230" s="39">
        <v>17.1481995</v>
      </c>
      <c r="BC230" s="39" t="str">
        <f>IF(AND(Table1[[#This Row],[Z3 SMT2-1 WMax Cost]]=Table1[[#This Row],[ORTools FZN2 Cost]],Table1[[#This Row],[ORTools FZN2 State]]="Optimal"),1,"")</f>
        <v/>
      </c>
      <c r="BD230" s="39" t="s">
        <v>77</v>
      </c>
      <c r="BE230" s="39">
        <v>-427576</v>
      </c>
      <c r="BF230" s="2">
        <v>17.335086</v>
      </c>
      <c r="BG230" s="2" t="str">
        <f>IF(AND(Table1[[#This Row],[Z3 SMT2-2 Maxres Cost]]=Table1[[#This Row],[ORTools FZN2 Cost]],Table1[[#This Row],[ORTools FZN2 State]]="Optimal"),1,"")</f>
        <v/>
      </c>
      <c r="BH230" s="5" t="s">
        <v>77</v>
      </c>
      <c r="BI230" s="2">
        <v>-427576</v>
      </c>
      <c r="BJ230" s="39">
        <v>16.757077899999999</v>
      </c>
      <c r="BK230" s="39" t="str">
        <f>IF(AND(Table1[[#This Row],[Z3 SMT2-2 PdMaxres Cost]]=Table1[[#This Row],[ORTools FZN2 Cost]],Table1[[#This Row],[ORTools FZN2 State]]="Optimal"),1,"")</f>
        <v/>
      </c>
      <c r="BL230" s="39" t="s">
        <v>77</v>
      </c>
      <c r="BM230" s="39">
        <v>-427576</v>
      </c>
      <c r="BN230" s="2">
        <v>16.998143599999999</v>
      </c>
      <c r="BO230" s="4" t="str">
        <f>IF(AND(Table1[[#This Row],[Z3 SMT2-2 PdMaxres Cost]]=Table1[[#This Row],[ORTools FZN2 Cost]],Table1[[#This Row],[ORTools FZN2 State]]="Optimal"),1,"")</f>
        <v/>
      </c>
      <c r="BP230" s="5" t="s">
        <v>77</v>
      </c>
      <c r="BQ230" s="2">
        <v>-427576</v>
      </c>
      <c r="BR230" s="2">
        <v>0.1127937</v>
      </c>
      <c r="BS230" s="2" t="str">
        <f>IF(AND(Table1[[#This Row],[Gurobi MB Cost]]=Table1[[#This Row],[ORTools FZN2 Cost]],Table1[[#This Row],[ORTools FZN2 State]]="Optimal",Table1[[#This Row],[Gurobi MB State]]="Suboptimal"),1,"")</f>
        <v/>
      </c>
      <c r="BT23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0" s="5" t="s">
        <v>77</v>
      </c>
      <c r="BV230" s="2">
        <v>-427576</v>
      </c>
      <c r="BW230" s="2">
        <v>2.4628937</v>
      </c>
      <c r="BX230" s="2" t="str">
        <f>IF(AND(Table1[[#This Row],[Gurobi MD Cost]]=Table1[[#This Row],[ORTools FZN2 Cost]],Table1[[#This Row],[ORTools FZN2 State]]="Optimal",Table1[[#This Row],[Gurobi MD State]]="Suboptimal"),1,"")</f>
        <v/>
      </c>
      <c r="BY23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0" s="5" t="s">
        <v>77</v>
      </c>
      <c r="CA230" s="2">
        <v>-427576</v>
      </c>
      <c r="CB230" s="2">
        <v>0.41831940000000001</v>
      </c>
      <c r="CC230" s="2" t="str">
        <f>IF(AND(Table1[[#This Row],[Gurobi MI Cost]]=Table1[[#This Row],[ORTools FZN2 Cost]],Table1[[#This Row],[ORTools FZN2 State]]="Optimal",Table1[[#This Row],[Gurobi MI State]]="Suboptimal"),1,"")</f>
        <v/>
      </c>
      <c r="CD23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0" s="39" t="s">
        <v>77</v>
      </c>
      <c r="CF230" s="2">
        <v>-427576</v>
      </c>
      <c r="CG230" s="39">
        <v>5.2763515999999999</v>
      </c>
      <c r="CH230" s="39" t="s">
        <v>77</v>
      </c>
      <c r="CI230" s="39">
        <v>-427576</v>
      </c>
      <c r="CJ230" s="2">
        <v>5.3062854000000002</v>
      </c>
      <c r="CK230" s="5" t="s">
        <v>77</v>
      </c>
      <c r="CL230" s="2">
        <v>-427576</v>
      </c>
      <c r="CM230" s="2">
        <v>0.189000000002125</v>
      </c>
      <c r="CN230" s="5" t="s">
        <v>77</v>
      </c>
      <c r="CO230" s="2">
        <v>-427576</v>
      </c>
      <c r="CP230" s="2">
        <v>3.4133645000000001</v>
      </c>
      <c r="CQ230" s="5" t="s">
        <v>77</v>
      </c>
      <c r="CR230" s="2">
        <v>-427576</v>
      </c>
      <c r="CS230" s="2">
        <v>3.9911099999999999</v>
      </c>
      <c r="CT230" s="6" t="s">
        <v>77</v>
      </c>
      <c r="CU230" s="4">
        <v>-427576</v>
      </c>
      <c r="CV230" s="4">
        <v>4.3754939000000004</v>
      </c>
      <c r="CW230" s="39" t="s">
        <v>77</v>
      </c>
      <c r="CX230" s="39"/>
      <c r="CY230" s="2">
        <v>3.7934000000000001</v>
      </c>
      <c r="CZ230" s="2" t="str">
        <f>IF(AND(Table1[[#This Row],[Cplex MZ1 Cost]]=Table1[[#This Row],[ORTools FZN2 Cost]],Table1[[#This Row],[ORTools FZN2 State]]="Optimal",Table1[[#This Row],[Cplex MZ1 State]]="Suboptimal"),1,"")</f>
        <v/>
      </c>
      <c r="DA230" s="5" t="s">
        <v>77</v>
      </c>
      <c r="DB230" s="2"/>
      <c r="DC230" s="2">
        <v>3.6549</v>
      </c>
      <c r="DD230" s="2" t="str">
        <f>IF(AND(Table1[[#This Row],[Cplex MZ2 Cost]]=Table1[[#This Row],[ORTools FZN2 Cost]],Table1[[#This Row],[ORTools FZN2 State]]="Optimal",Table1[[#This Row],[Cplex MZ2 State]]="Suboptimal"),1,"")</f>
        <v/>
      </c>
      <c r="DE230" s="39" t="s">
        <v>77</v>
      </c>
      <c r="DF230" s="39"/>
      <c r="DG230" s="2">
        <v>0.30680000000000002</v>
      </c>
      <c r="DH230" s="2" t="str">
        <f>IF(AND(Table1[[#This Row],[Gurobi MZ1 Cost]]=Table1[[#This Row],[ORTools FZN2 Cost]],Table1[[#This Row],[ORTools FZN2 State]]="Optimal",Table1[[#This Row],[Gurobi MZ1 State]]="Suboptimal"),1,"")</f>
        <v/>
      </c>
      <c r="DI230" s="5" t="s">
        <v>77</v>
      </c>
      <c r="DJ230" s="2"/>
      <c r="DK230" s="2">
        <v>0.2928</v>
      </c>
      <c r="DL230" s="4" t="str">
        <f>IF(AND(Table1[[#This Row],[Gurobi MZ2 Cost]]=Table1[[#This Row],[ORTools FZN2 Cost]],Table1[[#This Row],[ORTools FZN2 State]]="Optimal",Table1[[#This Row],[Gurobi MZ2 State]]="Suboptimal"),1,"")</f>
        <v/>
      </c>
      <c r="DM230" s="39" t="s">
        <v>77</v>
      </c>
      <c r="DN230" s="39">
        <v>-427576</v>
      </c>
      <c r="DO230" s="65">
        <v>0.20099999999729301</v>
      </c>
      <c r="DP230" s="4" t="str">
        <f>IF(AND(Table1[[#This Row],[Cplex MC nonDual Cost]]=Table1[[#This Row],[ORTools FZN2 Cost]],Table1[[#This Row],[ORTools FZN2 State]]="Optimal",Table1[[#This Row],[Cplex MC nonDual State]]="Suboptimal"),1,"")</f>
        <v/>
      </c>
      <c r="DQ230" s="5" t="s">
        <v>77</v>
      </c>
      <c r="DR230" s="2"/>
      <c r="DS230" s="2">
        <v>4.5415999999999999</v>
      </c>
      <c r="DT230" s="2" t="str">
        <f>IF(AND(Table1[[#This Row],[Cplex MIP DM''z Cost]]=Table1[[#This Row],[ORTools FZN2 Cost]],Table1[[#This Row],[ORTools FZN2 State]]="Optimal",Table1[[#This Row],[Cplex MIP DM''z  State]]="Suboptimal"),1,"")</f>
        <v/>
      </c>
      <c r="DU23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0" s="5" t="s">
        <v>77</v>
      </c>
      <c r="DW230" s="2"/>
      <c r="DX230" s="2">
        <v>0.38240000000000002</v>
      </c>
      <c r="DY230" s="4" t="str">
        <f>IF(AND(Table1[[#This Row],[Gurobi DM''z  Cost]]=Table1[[#This Row],[ORTools FZN2 Cost]],Table1[[#This Row],[ORTools FZN2 State]]="Optimal",Table1[[#This Row],[Gurobi DM''z  State]]="Suboptimal"),1,"")</f>
        <v/>
      </c>
      <c r="DZ23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1" spans="1:130" x14ac:dyDescent="0.25">
      <c r="A231" s="52" t="s">
        <v>257</v>
      </c>
      <c r="B231" s="5">
        <v>78</v>
      </c>
      <c r="C231" s="2">
        <v>39</v>
      </c>
      <c r="D231" s="5">
        <v>1100</v>
      </c>
      <c r="E231" s="2">
        <v>48</v>
      </c>
      <c r="F231" s="5">
        <v>152</v>
      </c>
      <c r="G231" s="2">
        <v>19</v>
      </c>
      <c r="H231" s="4">
        <f t="shared" si="3"/>
        <v>0</v>
      </c>
      <c r="I231" s="4">
        <f>Table1[[#This Row],[B]]+Table1[[#This Row],[Atomic Constraints]]+Table1[[#This Row],[Soft Atomic Constraints]]+Table1[[#This Row],[Disjunctive Constraints]]+Table1[[#This Row],[Direct Successors]]</f>
        <v>1358</v>
      </c>
      <c r="J231" s="5" t="s">
        <v>77</v>
      </c>
      <c r="K231" s="2">
        <v>-480715</v>
      </c>
      <c r="L231" s="2">
        <v>3.9699281000000002</v>
      </c>
      <c r="M231" s="2" t="str">
        <f>IF(AND(Table1[[#This Row],[Chuffed MZ1 Cost]]=Table1[[#This Row],[ORTools FZN2 Cost]],Table1[[#This Row],[ORTools FZN2 State]]="Optimal",Table1[[#This Row],[Chuffed MZ1 State]]="Suboptimal"),1,"")</f>
        <v/>
      </c>
      <c r="N231" s="5" t="s">
        <v>77</v>
      </c>
      <c r="O231" s="2">
        <v>-480715</v>
      </c>
      <c r="P231" s="2">
        <v>3.9467525999999999</v>
      </c>
      <c r="Q231" s="2" t="str">
        <f>IF(AND(Table1[[#This Row],[Chuffed MZ2 Cost]]=Table1[[#This Row],[ORTools FZN2 Cost]],Table1[[#This Row],[ORTools FZN2 State]]="Optimal",Table1[[#This Row],[Chuffed MZ2 State]]="Suboptimal"),1,"")</f>
        <v/>
      </c>
      <c r="R231" s="5" t="s">
        <v>77</v>
      </c>
      <c r="S231" s="2">
        <v>-480715</v>
      </c>
      <c r="T231" s="2">
        <v>0.209999999999127</v>
      </c>
      <c r="U231" s="2"/>
      <c r="V231" s="5" t="s">
        <v>77</v>
      </c>
      <c r="W231" s="2">
        <v>-480715</v>
      </c>
      <c r="X231" s="2">
        <v>3.9863697999999999</v>
      </c>
      <c r="Y231" s="2" t="str">
        <f>IF(AND(Table1[[#This Row],[ORTools FZN1 Cost]]=Table1[[#This Row],[ORTools FZN2 Cost]],Table1[[#This Row],[ORTools FZN2 State]]="Optimal",Table1[[#This Row],[ORTools FZN1 State]]="Suboptimal"),1,"")</f>
        <v/>
      </c>
      <c r="Z231" s="5" t="s">
        <v>77</v>
      </c>
      <c r="AA231" s="2">
        <v>-480715</v>
      </c>
      <c r="AB231" s="2">
        <v>3.1636365999999998</v>
      </c>
      <c r="AC231" s="39" t="s">
        <v>77</v>
      </c>
      <c r="AD231" s="39">
        <v>-480715</v>
      </c>
      <c r="AE231" s="2">
        <v>0.1134212</v>
      </c>
      <c r="AF231" s="2" t="str">
        <f>IF(AND(Table1[[#This Row],[Cplex MB Cost]]=Table1[[#This Row],[ORTools FZN2 Cost]],Table1[[#This Row],[ORTools FZN2 State]]="Optimal",Table1[[#This Row],[Cplex MB State]]="Suboptimal"),1,"")</f>
        <v/>
      </c>
      <c r="AG231" s="4">
        <f>IF(AND(AC231="Optimal",AD231&lt;&gt;AA231,Table1[[#This Row],[Example]]&lt;&gt;"R001",Table1[[#This Row],[Example]]&lt;&gt;"R002"),AD231-AA231,)</f>
        <v>0</v>
      </c>
      <c r="AH231" s="5" t="s">
        <v>77</v>
      </c>
      <c r="AI231" s="2">
        <v>-480715</v>
      </c>
      <c r="AJ231" s="2">
        <v>2.7466664999999999</v>
      </c>
      <c r="AK231" s="2" t="str">
        <f>IF(AND(Table1[[#This Row],[Cplex MD Cost]]=Table1[[#This Row],[ORTools FZN2 Cost]],Table1[[#This Row],[ORTools FZN2 State]]="Optimal",Table1[[#This Row],[Cplex MD State]]="Suboptimal"),1,"")</f>
        <v/>
      </c>
      <c r="AL231" s="4">
        <f>IF(AND(AH231="Optimal",AI231&lt;&gt;AA231,Table1[[#This Row],[Example]]&lt;&gt;"R001",Table1[[#This Row],[Example]]&lt;&gt;"R002"),AI231-AA231,)</f>
        <v>0</v>
      </c>
      <c r="AM231" s="39" t="s">
        <v>77</v>
      </c>
      <c r="AN231" s="39">
        <v>-480715</v>
      </c>
      <c r="AO231" s="2">
        <v>0.8389025</v>
      </c>
      <c r="AP23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1" s="2" t="str">
        <f>IF(AND(Table1[[#This Row],[Cplex MI Cost]]=Table1[[#This Row],[ORTools FZN2 Cost]],Table1[[#This Row],[ORTools FZN2 State]]="Optimal",Table1[[#This Row],[Cplex MI State]]="Suboptimal"),1,"")</f>
        <v/>
      </c>
      <c r="AR231" s="5" t="s">
        <v>77</v>
      </c>
      <c r="AS231" s="2">
        <v>-480715</v>
      </c>
      <c r="AT231" s="2">
        <v>22.074379700000001</v>
      </c>
      <c r="AU231" s="2" t="str">
        <f>IF(AND(Table1[[#This Row],[Z3 SMT2-1 Maxres Cost]]=Table1[[#This Row],[ORTools FZN2 Cost]],Table1[[#This Row],[ORTools FZN2 State]]="Optimal"),1,"")</f>
        <v/>
      </c>
      <c r="AV231" s="39" t="s">
        <v>77</v>
      </c>
      <c r="AW231" s="39">
        <v>-480715</v>
      </c>
      <c r="AX231" s="2">
        <v>22.976733400000001</v>
      </c>
      <c r="AY231" s="2" t="str">
        <f>IF(AND(Table1[[#This Row],[Z3 SMT2-1 PdMaxres Cost]]=Table1[[#This Row],[ORTools FZN2 Cost]],Table1[[#This Row],[ORTools FZN2 State]]="Optimal"),1,"")</f>
        <v/>
      </c>
      <c r="AZ231" s="5" t="s">
        <v>77</v>
      </c>
      <c r="BA231" s="2">
        <v>-480715</v>
      </c>
      <c r="BB231" s="39">
        <v>21.5461369</v>
      </c>
      <c r="BC231" s="39" t="str">
        <f>IF(AND(Table1[[#This Row],[Z3 SMT2-1 WMax Cost]]=Table1[[#This Row],[ORTools FZN2 Cost]],Table1[[#This Row],[ORTools FZN2 State]]="Optimal"),1,"")</f>
        <v/>
      </c>
      <c r="BD231" s="39" t="s">
        <v>77</v>
      </c>
      <c r="BE231" s="39">
        <v>-480715</v>
      </c>
      <c r="BF231" s="2">
        <v>19.836407600000001</v>
      </c>
      <c r="BG231" s="2" t="str">
        <f>IF(AND(Table1[[#This Row],[Z3 SMT2-2 Maxres Cost]]=Table1[[#This Row],[ORTools FZN2 Cost]],Table1[[#This Row],[ORTools FZN2 State]]="Optimal"),1,"")</f>
        <v/>
      </c>
      <c r="BH231" s="5" t="s">
        <v>77</v>
      </c>
      <c r="BI231" s="2">
        <v>-480715</v>
      </c>
      <c r="BJ231" s="39">
        <v>19.814975100000002</v>
      </c>
      <c r="BK231" s="39" t="str">
        <f>IF(AND(Table1[[#This Row],[Z3 SMT2-2 PdMaxres Cost]]=Table1[[#This Row],[ORTools FZN2 Cost]],Table1[[#This Row],[ORTools FZN2 State]]="Optimal"),1,"")</f>
        <v/>
      </c>
      <c r="BL231" s="39" t="s">
        <v>77</v>
      </c>
      <c r="BM231" s="39">
        <v>-480715</v>
      </c>
      <c r="BN231" s="2">
        <v>19.363505499999999</v>
      </c>
      <c r="BO231" s="4" t="str">
        <f>IF(AND(Table1[[#This Row],[Z3 SMT2-2 PdMaxres Cost]]=Table1[[#This Row],[ORTools FZN2 Cost]],Table1[[#This Row],[ORTools FZN2 State]]="Optimal"),1,"")</f>
        <v/>
      </c>
      <c r="BP231" s="5" t="s">
        <v>77</v>
      </c>
      <c r="BQ231" s="2">
        <v>-480715</v>
      </c>
      <c r="BR231" s="2">
        <v>0.10822950000000001</v>
      </c>
      <c r="BS231" s="2" t="str">
        <f>IF(AND(Table1[[#This Row],[Gurobi MB Cost]]=Table1[[#This Row],[ORTools FZN2 Cost]],Table1[[#This Row],[ORTools FZN2 State]]="Optimal",Table1[[#This Row],[Gurobi MB State]]="Suboptimal"),1,"")</f>
        <v/>
      </c>
      <c r="BT23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1" s="5" t="s">
        <v>77</v>
      </c>
      <c r="BV231" s="2">
        <v>-480715</v>
      </c>
      <c r="BW231" s="2">
        <v>2.7230865999999998</v>
      </c>
      <c r="BX231" s="2" t="str">
        <f>IF(AND(Table1[[#This Row],[Gurobi MD Cost]]=Table1[[#This Row],[ORTools FZN2 Cost]],Table1[[#This Row],[ORTools FZN2 State]]="Optimal",Table1[[#This Row],[Gurobi MD State]]="Suboptimal"),1,"")</f>
        <v/>
      </c>
      <c r="BY23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1" s="5" t="s">
        <v>77</v>
      </c>
      <c r="CA231" s="2">
        <v>-480715</v>
      </c>
      <c r="CB231" s="2">
        <v>0.33569189999999999</v>
      </c>
      <c r="CC231" s="2" t="str">
        <f>IF(AND(Table1[[#This Row],[Gurobi MI Cost]]=Table1[[#This Row],[ORTools FZN2 Cost]],Table1[[#This Row],[ORTools FZN2 State]]="Optimal",Table1[[#This Row],[Gurobi MI State]]="Suboptimal"),1,"")</f>
        <v/>
      </c>
      <c r="CD23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1" s="39" t="s">
        <v>77</v>
      </c>
      <c r="CF231" s="2">
        <v>-480715</v>
      </c>
      <c r="CG231" s="39">
        <v>5.3419369999999997</v>
      </c>
      <c r="CH231" s="39" t="s">
        <v>77</v>
      </c>
      <c r="CI231" s="39">
        <v>-480715</v>
      </c>
      <c r="CJ231" s="2">
        <v>5.3090039000000004</v>
      </c>
      <c r="CK231" s="5" t="s">
        <v>77</v>
      </c>
      <c r="CL231" s="2">
        <v>-480715</v>
      </c>
      <c r="CM231" s="2">
        <v>0.20899999999892299</v>
      </c>
      <c r="CN231" s="5" t="s">
        <v>77</v>
      </c>
      <c r="CO231" s="2">
        <v>-480715</v>
      </c>
      <c r="CP231" s="2">
        <v>3.7609723000000002</v>
      </c>
      <c r="CQ231" s="5" t="s">
        <v>77</v>
      </c>
      <c r="CR231" s="2">
        <v>-480715</v>
      </c>
      <c r="CS231" s="2">
        <v>6.9606972000000003</v>
      </c>
      <c r="CT231" s="6" t="s">
        <v>77</v>
      </c>
      <c r="CU231" s="4">
        <v>-480715</v>
      </c>
      <c r="CV231" s="4">
        <v>7.4018711000000001</v>
      </c>
      <c r="CW231" s="39" t="s">
        <v>77</v>
      </c>
      <c r="CX231" s="39"/>
      <c r="CY231" s="2">
        <v>3.8296000000000001</v>
      </c>
      <c r="CZ231" s="2" t="str">
        <f>IF(AND(Table1[[#This Row],[Cplex MZ1 Cost]]=Table1[[#This Row],[ORTools FZN2 Cost]],Table1[[#This Row],[ORTools FZN2 State]]="Optimal",Table1[[#This Row],[Cplex MZ1 State]]="Suboptimal"),1,"")</f>
        <v/>
      </c>
      <c r="DA231" s="5" t="s">
        <v>77</v>
      </c>
      <c r="DB231" s="2"/>
      <c r="DC231" s="2">
        <v>3.6166</v>
      </c>
      <c r="DD231" s="2" t="str">
        <f>IF(AND(Table1[[#This Row],[Cplex MZ2 Cost]]=Table1[[#This Row],[ORTools FZN2 Cost]],Table1[[#This Row],[ORTools FZN2 State]]="Optimal",Table1[[#This Row],[Cplex MZ2 State]]="Suboptimal"),1,"")</f>
        <v/>
      </c>
      <c r="DE231" s="39" t="s">
        <v>77</v>
      </c>
      <c r="DF231" s="39"/>
      <c r="DG231" s="2">
        <v>0.32669999999999999</v>
      </c>
      <c r="DH231" s="2" t="str">
        <f>IF(AND(Table1[[#This Row],[Gurobi MZ1 Cost]]=Table1[[#This Row],[ORTools FZN2 Cost]],Table1[[#This Row],[ORTools FZN2 State]]="Optimal",Table1[[#This Row],[Gurobi MZ1 State]]="Suboptimal"),1,"")</f>
        <v/>
      </c>
      <c r="DI231" s="5" t="s">
        <v>77</v>
      </c>
      <c r="DJ231" s="2"/>
      <c r="DK231" s="2">
        <v>0.31859999999999999</v>
      </c>
      <c r="DL231" s="4" t="str">
        <f>IF(AND(Table1[[#This Row],[Gurobi MZ2 Cost]]=Table1[[#This Row],[ORTools FZN2 Cost]],Table1[[#This Row],[ORTools FZN2 State]]="Optimal",Table1[[#This Row],[Gurobi MZ2 State]]="Suboptimal"),1,"")</f>
        <v/>
      </c>
      <c r="DM231" s="39" t="s">
        <v>77</v>
      </c>
      <c r="DN231" s="39">
        <v>-480715</v>
      </c>
      <c r="DO231" s="65">
        <v>0.21299999999973801</v>
      </c>
      <c r="DP231" s="4" t="str">
        <f>IF(AND(Table1[[#This Row],[Cplex MC nonDual Cost]]=Table1[[#This Row],[ORTools FZN2 Cost]],Table1[[#This Row],[ORTools FZN2 State]]="Optimal",Table1[[#This Row],[Cplex MC nonDual State]]="Suboptimal"),1,"")</f>
        <v/>
      </c>
      <c r="DQ231" s="5" t="s">
        <v>77</v>
      </c>
      <c r="DR231" s="2"/>
      <c r="DS231" s="2">
        <v>4.5599999999999996</v>
      </c>
      <c r="DT231" s="2" t="str">
        <f>IF(AND(Table1[[#This Row],[Cplex MIP DM''z Cost]]=Table1[[#This Row],[ORTools FZN2 Cost]],Table1[[#This Row],[ORTools FZN2 State]]="Optimal",Table1[[#This Row],[Cplex MIP DM''z  State]]="Suboptimal"),1,"")</f>
        <v/>
      </c>
      <c r="DU23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1" s="5" t="s">
        <v>77</v>
      </c>
      <c r="DW231" s="2"/>
      <c r="DX231" s="2">
        <v>0.35489999999999999</v>
      </c>
      <c r="DY231" s="4" t="str">
        <f>IF(AND(Table1[[#This Row],[Gurobi DM''z  Cost]]=Table1[[#This Row],[ORTools FZN2 Cost]],Table1[[#This Row],[ORTools FZN2 State]]="Optimal",Table1[[#This Row],[Gurobi DM''z  State]]="Suboptimal"),1,"")</f>
        <v/>
      </c>
      <c r="DZ23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2" spans="1:130" x14ac:dyDescent="0.25">
      <c r="A232" s="52" t="s">
        <v>258</v>
      </c>
      <c r="B232" s="5">
        <v>78</v>
      </c>
      <c r="C232" s="2">
        <v>39</v>
      </c>
      <c r="D232" s="5">
        <v>1106</v>
      </c>
      <c r="E232" s="2">
        <v>48</v>
      </c>
      <c r="F232" s="5">
        <v>156</v>
      </c>
      <c r="G232" s="2">
        <v>19</v>
      </c>
      <c r="H232" s="4">
        <f t="shared" si="3"/>
        <v>0</v>
      </c>
      <c r="I232" s="4">
        <f>Table1[[#This Row],[B]]+Table1[[#This Row],[Atomic Constraints]]+Table1[[#This Row],[Soft Atomic Constraints]]+Table1[[#This Row],[Disjunctive Constraints]]+Table1[[#This Row],[Direct Successors]]</f>
        <v>1368</v>
      </c>
      <c r="J232" s="5" t="s">
        <v>77</v>
      </c>
      <c r="K232" s="2">
        <v>-480715</v>
      </c>
      <c r="L232" s="2">
        <v>3.9402507999999998</v>
      </c>
      <c r="M232" s="2" t="str">
        <f>IF(AND(Table1[[#This Row],[Chuffed MZ1 Cost]]=Table1[[#This Row],[ORTools FZN2 Cost]],Table1[[#This Row],[ORTools FZN2 State]]="Optimal",Table1[[#This Row],[Chuffed MZ1 State]]="Suboptimal"),1,"")</f>
        <v/>
      </c>
      <c r="N232" s="5" t="s">
        <v>77</v>
      </c>
      <c r="O232" s="2">
        <v>-480715</v>
      </c>
      <c r="P232" s="2">
        <v>3.9224458000000002</v>
      </c>
      <c r="Q232" s="2" t="str">
        <f>IF(AND(Table1[[#This Row],[Chuffed MZ2 Cost]]=Table1[[#This Row],[ORTools FZN2 Cost]],Table1[[#This Row],[ORTools FZN2 State]]="Optimal",Table1[[#This Row],[Chuffed MZ2 State]]="Suboptimal"),1,"")</f>
        <v/>
      </c>
      <c r="R232" s="6" t="s">
        <v>77</v>
      </c>
      <c r="S232" s="4">
        <v>-480715</v>
      </c>
      <c r="T232" s="4">
        <v>0.20399999999426699</v>
      </c>
      <c r="U232" s="4"/>
      <c r="V232" s="5" t="s">
        <v>77</v>
      </c>
      <c r="W232" s="2">
        <v>-480715</v>
      </c>
      <c r="X232" s="2">
        <v>3.9953444999999999</v>
      </c>
      <c r="Y232" s="2" t="str">
        <f>IF(AND(Table1[[#This Row],[ORTools FZN1 Cost]]=Table1[[#This Row],[ORTools FZN2 Cost]],Table1[[#This Row],[ORTools FZN2 State]]="Optimal",Table1[[#This Row],[ORTools FZN1 State]]="Suboptimal"),1,"")</f>
        <v/>
      </c>
      <c r="Z232" s="5" t="s">
        <v>77</v>
      </c>
      <c r="AA232" s="2">
        <v>-480715</v>
      </c>
      <c r="AB232" s="2">
        <v>3.1194242999999999</v>
      </c>
      <c r="AC232" s="39" t="s">
        <v>77</v>
      </c>
      <c r="AD232" s="39">
        <v>-480715</v>
      </c>
      <c r="AE232" s="2">
        <v>0.1079891</v>
      </c>
      <c r="AF232" s="2" t="str">
        <f>IF(AND(Table1[[#This Row],[Cplex MB Cost]]=Table1[[#This Row],[ORTools FZN2 Cost]],Table1[[#This Row],[ORTools FZN2 State]]="Optimal",Table1[[#This Row],[Cplex MB State]]="Suboptimal"),1,"")</f>
        <v/>
      </c>
      <c r="AG232" s="4">
        <f>IF(AND(AC232="Optimal",AD232&lt;&gt;AA232,Table1[[#This Row],[Example]]&lt;&gt;"R001",Table1[[#This Row],[Example]]&lt;&gt;"R002"),AD232-AA232,)</f>
        <v>0</v>
      </c>
      <c r="AH232" s="5" t="s">
        <v>77</v>
      </c>
      <c r="AI232" s="2">
        <v>-480715</v>
      </c>
      <c r="AJ232" s="2">
        <v>2.7574073000000001</v>
      </c>
      <c r="AK232" s="2" t="str">
        <f>IF(AND(Table1[[#This Row],[Cplex MD Cost]]=Table1[[#This Row],[ORTools FZN2 Cost]],Table1[[#This Row],[ORTools FZN2 State]]="Optimal",Table1[[#This Row],[Cplex MD State]]="Suboptimal"),1,"")</f>
        <v/>
      </c>
      <c r="AL232" s="4">
        <f>IF(AND(AH232="Optimal",AI232&lt;&gt;AA232,Table1[[#This Row],[Example]]&lt;&gt;"R001",Table1[[#This Row],[Example]]&lt;&gt;"R002"),AI232-AA232,)</f>
        <v>0</v>
      </c>
      <c r="AM232" s="39" t="s">
        <v>77</v>
      </c>
      <c r="AN232" s="39">
        <v>-480715</v>
      </c>
      <c r="AO232" s="2">
        <v>0.76270669999999996</v>
      </c>
      <c r="AP23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2" s="4" t="str">
        <f>IF(AND(Table1[[#This Row],[Cplex MI Cost]]=Table1[[#This Row],[ORTools FZN2 Cost]],Table1[[#This Row],[ORTools FZN2 State]]="Optimal",Table1[[#This Row],[Cplex MI State]]="Suboptimal"),1,"")</f>
        <v/>
      </c>
      <c r="AR232" s="5" t="s">
        <v>77</v>
      </c>
      <c r="AS232" s="2">
        <v>-480715</v>
      </c>
      <c r="AT232" s="2">
        <v>18.175414199999999</v>
      </c>
      <c r="AU232" s="2" t="str">
        <f>IF(AND(Table1[[#This Row],[Z3 SMT2-1 Maxres Cost]]=Table1[[#This Row],[ORTools FZN2 Cost]],Table1[[#This Row],[ORTools FZN2 State]]="Optimal"),1,"")</f>
        <v/>
      </c>
      <c r="AV232" s="39" t="s">
        <v>77</v>
      </c>
      <c r="AW232" s="39">
        <v>-480715</v>
      </c>
      <c r="AX232" s="2">
        <v>18.842224399999999</v>
      </c>
      <c r="AY232" s="2" t="str">
        <f>IF(AND(Table1[[#This Row],[Z3 SMT2-1 PdMaxres Cost]]=Table1[[#This Row],[ORTools FZN2 Cost]],Table1[[#This Row],[ORTools FZN2 State]]="Optimal"),1,"")</f>
        <v/>
      </c>
      <c r="AZ232" s="5" t="s">
        <v>77</v>
      </c>
      <c r="BA232" s="2">
        <v>-480715</v>
      </c>
      <c r="BB232" s="39">
        <v>18.022569799999999</v>
      </c>
      <c r="BC232" s="39" t="str">
        <f>IF(AND(Table1[[#This Row],[Z3 SMT2-1 WMax Cost]]=Table1[[#This Row],[ORTools FZN2 Cost]],Table1[[#This Row],[ORTools FZN2 State]]="Optimal"),1,"")</f>
        <v/>
      </c>
      <c r="BD232" s="39" t="s">
        <v>77</v>
      </c>
      <c r="BE232" s="39">
        <v>-480715</v>
      </c>
      <c r="BF232" s="2">
        <v>18.481437100000001</v>
      </c>
      <c r="BG232" s="2" t="str">
        <f>IF(AND(Table1[[#This Row],[Z3 SMT2-2 Maxres Cost]]=Table1[[#This Row],[ORTools FZN2 Cost]],Table1[[#This Row],[ORTools FZN2 State]]="Optimal"),1,"")</f>
        <v/>
      </c>
      <c r="BH232" s="5" t="s">
        <v>77</v>
      </c>
      <c r="BI232" s="2">
        <v>-480715</v>
      </c>
      <c r="BJ232" s="39">
        <v>18.213263399999999</v>
      </c>
      <c r="BK232" s="39" t="str">
        <f>IF(AND(Table1[[#This Row],[Z3 SMT2-2 PdMaxres Cost]]=Table1[[#This Row],[ORTools FZN2 Cost]],Table1[[#This Row],[ORTools FZN2 State]]="Optimal"),1,"")</f>
        <v/>
      </c>
      <c r="BL232" s="39" t="s">
        <v>77</v>
      </c>
      <c r="BM232" s="39">
        <v>-480715</v>
      </c>
      <c r="BN232" s="2">
        <v>19.0344427</v>
      </c>
      <c r="BO232" s="4" t="str">
        <f>IF(AND(Table1[[#This Row],[Z3 SMT2-2 PdMaxres Cost]]=Table1[[#This Row],[ORTools FZN2 Cost]],Table1[[#This Row],[ORTools FZN2 State]]="Optimal"),1,"")</f>
        <v/>
      </c>
      <c r="BP232" s="5" t="s">
        <v>77</v>
      </c>
      <c r="BQ232" s="2">
        <v>-480715</v>
      </c>
      <c r="BR232" s="2">
        <v>0.1080614</v>
      </c>
      <c r="BS232" s="2" t="str">
        <f>IF(AND(Table1[[#This Row],[Gurobi MB Cost]]=Table1[[#This Row],[ORTools FZN2 Cost]],Table1[[#This Row],[ORTools FZN2 State]]="Optimal",Table1[[#This Row],[Gurobi MB State]]="Suboptimal"),1,"")</f>
        <v/>
      </c>
      <c r="BT23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2" s="5" t="s">
        <v>77</v>
      </c>
      <c r="BV232" s="2">
        <v>-480715</v>
      </c>
      <c r="BW232" s="2">
        <v>2.6789230000000002</v>
      </c>
      <c r="BX232" s="2" t="str">
        <f>IF(AND(Table1[[#This Row],[Gurobi MD Cost]]=Table1[[#This Row],[ORTools FZN2 Cost]],Table1[[#This Row],[ORTools FZN2 State]]="Optimal",Table1[[#This Row],[Gurobi MD State]]="Suboptimal"),1,"")</f>
        <v/>
      </c>
      <c r="BY23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2" s="5" t="s">
        <v>77</v>
      </c>
      <c r="CA232" s="2">
        <v>-480715</v>
      </c>
      <c r="CB232" s="2">
        <v>0.3456419</v>
      </c>
      <c r="CC232" s="2" t="str">
        <f>IF(AND(Table1[[#This Row],[Gurobi MI Cost]]=Table1[[#This Row],[ORTools FZN2 Cost]],Table1[[#This Row],[ORTools FZN2 State]]="Optimal",Table1[[#This Row],[Gurobi MI State]]="Suboptimal"),1,"")</f>
        <v/>
      </c>
      <c r="CD23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2" s="39" t="s">
        <v>77</v>
      </c>
      <c r="CF232" s="2">
        <v>-480715</v>
      </c>
      <c r="CG232" s="39">
        <v>5.2955759999999996</v>
      </c>
      <c r="CH232" s="39" t="s">
        <v>77</v>
      </c>
      <c r="CI232" s="39">
        <v>-480715</v>
      </c>
      <c r="CJ232" s="2">
        <v>5.3079054000000001</v>
      </c>
      <c r="CK232" s="5" t="s">
        <v>77</v>
      </c>
      <c r="CL232" s="2">
        <v>-480715</v>
      </c>
      <c r="CM232" s="2">
        <v>0.20099999999729301</v>
      </c>
      <c r="CN232" s="5" t="s">
        <v>77</v>
      </c>
      <c r="CO232" s="2">
        <v>-480715</v>
      </c>
      <c r="CP232" s="2">
        <v>3.7296334</v>
      </c>
      <c r="CQ232" s="5" t="s">
        <v>77</v>
      </c>
      <c r="CR232" s="2">
        <v>-480715</v>
      </c>
      <c r="CS232" s="2">
        <v>7.0386635000000002</v>
      </c>
      <c r="CT232" s="6" t="s">
        <v>77</v>
      </c>
      <c r="CU232" s="4">
        <v>-480715</v>
      </c>
      <c r="CV232" s="4">
        <v>7.3837935000000003</v>
      </c>
      <c r="CW232" s="39" t="s">
        <v>77</v>
      </c>
      <c r="CX232" s="39"/>
      <c r="CY232" s="2">
        <v>3.9020999999999999</v>
      </c>
      <c r="CZ232" s="2" t="str">
        <f>IF(AND(Table1[[#This Row],[Cplex MZ1 Cost]]=Table1[[#This Row],[ORTools FZN2 Cost]],Table1[[#This Row],[ORTools FZN2 State]]="Optimal",Table1[[#This Row],[Cplex MZ1 State]]="Suboptimal"),1,"")</f>
        <v/>
      </c>
      <c r="DA232" s="5" t="s">
        <v>77</v>
      </c>
      <c r="DB232" s="2"/>
      <c r="DC232" s="2">
        <v>3.7867000000000002</v>
      </c>
      <c r="DD232" s="2" t="str">
        <f>IF(AND(Table1[[#This Row],[Cplex MZ2 Cost]]=Table1[[#This Row],[ORTools FZN2 Cost]],Table1[[#This Row],[ORTools FZN2 State]]="Optimal",Table1[[#This Row],[Cplex MZ2 State]]="Suboptimal"),1,"")</f>
        <v/>
      </c>
      <c r="DE232" s="39" t="s">
        <v>77</v>
      </c>
      <c r="DF232" s="39"/>
      <c r="DG232" s="2">
        <v>0.3342</v>
      </c>
      <c r="DH232" s="2" t="str">
        <f>IF(AND(Table1[[#This Row],[Gurobi MZ1 Cost]]=Table1[[#This Row],[ORTools FZN2 Cost]],Table1[[#This Row],[ORTools FZN2 State]]="Optimal",Table1[[#This Row],[Gurobi MZ1 State]]="Suboptimal"),1,"")</f>
        <v/>
      </c>
      <c r="DI232" s="5" t="s">
        <v>77</v>
      </c>
      <c r="DJ232" s="2"/>
      <c r="DK232" s="2">
        <v>0.32569999999999999</v>
      </c>
      <c r="DL232" s="4" t="str">
        <f>IF(AND(Table1[[#This Row],[Gurobi MZ2 Cost]]=Table1[[#This Row],[ORTools FZN2 Cost]],Table1[[#This Row],[ORTools FZN2 State]]="Optimal",Table1[[#This Row],[Gurobi MZ2 State]]="Suboptimal"),1,"")</f>
        <v/>
      </c>
      <c r="DM232" s="39" t="s">
        <v>77</v>
      </c>
      <c r="DN232" s="39">
        <v>-480715</v>
      </c>
      <c r="DO232" s="65">
        <v>0.21399999999994099</v>
      </c>
      <c r="DP232" s="4" t="str">
        <f>IF(AND(Table1[[#This Row],[Cplex MC nonDual Cost]]=Table1[[#This Row],[ORTools FZN2 Cost]],Table1[[#This Row],[ORTools FZN2 State]]="Optimal",Table1[[#This Row],[Cplex MC nonDual State]]="Suboptimal"),1,"")</f>
        <v/>
      </c>
      <c r="DQ232" s="5" t="s">
        <v>77</v>
      </c>
      <c r="DR232" s="2"/>
      <c r="DS232" s="2">
        <v>3.9190999999999998</v>
      </c>
      <c r="DT232" s="2" t="str">
        <f>IF(AND(Table1[[#This Row],[Cplex MIP DM''z Cost]]=Table1[[#This Row],[ORTools FZN2 Cost]],Table1[[#This Row],[ORTools FZN2 State]]="Optimal",Table1[[#This Row],[Cplex MIP DM''z  State]]="Suboptimal"),1,"")</f>
        <v/>
      </c>
      <c r="DU23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2" s="5" t="s">
        <v>77</v>
      </c>
      <c r="DW232" s="2"/>
      <c r="DX232" s="2">
        <v>0.34510000000000002</v>
      </c>
      <c r="DY232" s="4" t="str">
        <f>IF(AND(Table1[[#This Row],[Gurobi DM''z  Cost]]=Table1[[#This Row],[ORTools FZN2 Cost]],Table1[[#This Row],[ORTools FZN2 State]]="Optimal",Table1[[#This Row],[Gurobi DM''z  State]]="Suboptimal"),1,"")</f>
        <v/>
      </c>
      <c r="DZ23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3" spans="1:130" x14ac:dyDescent="0.25">
      <c r="A233" s="52" t="s">
        <v>259</v>
      </c>
      <c r="B233" s="5">
        <v>80</v>
      </c>
      <c r="C233" s="2">
        <v>40</v>
      </c>
      <c r="D233" s="5">
        <v>1113</v>
      </c>
      <c r="E233" s="2">
        <v>56</v>
      </c>
      <c r="F233" s="5">
        <v>119</v>
      </c>
      <c r="G233" s="2">
        <v>18</v>
      </c>
      <c r="H233" s="4">
        <f t="shared" si="3"/>
        <v>0</v>
      </c>
      <c r="I233" s="4">
        <f>Table1[[#This Row],[B]]+Table1[[#This Row],[Atomic Constraints]]+Table1[[#This Row],[Soft Atomic Constraints]]+Table1[[#This Row],[Disjunctive Constraints]]+Table1[[#This Row],[Direct Successors]]</f>
        <v>1346</v>
      </c>
      <c r="J233" s="5" t="s">
        <v>77</v>
      </c>
      <c r="K233" s="2">
        <v>-518481</v>
      </c>
      <c r="L233" s="2">
        <v>4.1667300999999997</v>
      </c>
      <c r="M233" s="2" t="str">
        <f>IF(AND(Table1[[#This Row],[Chuffed MZ1 Cost]]=Table1[[#This Row],[ORTools FZN2 Cost]],Table1[[#This Row],[ORTools FZN2 State]]="Optimal",Table1[[#This Row],[Chuffed MZ1 State]]="Suboptimal"),1,"")</f>
        <v/>
      </c>
      <c r="N233" s="5" t="s">
        <v>77</v>
      </c>
      <c r="O233" s="2">
        <v>-518481</v>
      </c>
      <c r="P233" s="2">
        <v>4.1353720999999997</v>
      </c>
      <c r="Q233" s="2" t="str">
        <f>IF(AND(Table1[[#This Row],[Chuffed MZ2 Cost]]=Table1[[#This Row],[ORTools FZN2 Cost]],Table1[[#This Row],[ORTools FZN2 State]]="Optimal",Table1[[#This Row],[Chuffed MZ2 State]]="Suboptimal"),1,"")</f>
        <v/>
      </c>
      <c r="R233" s="5" t="s">
        <v>77</v>
      </c>
      <c r="S233" s="2">
        <v>-518481</v>
      </c>
      <c r="T233" s="2">
        <v>0.20100000000093099</v>
      </c>
      <c r="U233" s="2"/>
      <c r="V233" s="5" t="s">
        <v>77</v>
      </c>
      <c r="W233" s="2">
        <v>-518481</v>
      </c>
      <c r="X233" s="2">
        <v>4.7318470000000001</v>
      </c>
      <c r="Y233" s="2" t="str">
        <f>IF(AND(Table1[[#This Row],[ORTools FZN1 Cost]]=Table1[[#This Row],[ORTools FZN2 Cost]],Table1[[#This Row],[ORTools FZN2 State]]="Optimal",Table1[[#This Row],[ORTools FZN1 State]]="Suboptimal"),1,"")</f>
        <v/>
      </c>
      <c r="Z233" s="5" t="s">
        <v>77</v>
      </c>
      <c r="AA233" s="2">
        <v>-518481</v>
      </c>
      <c r="AB233" s="2">
        <v>3.3370142</v>
      </c>
      <c r="AC233" s="39" t="s">
        <v>77</v>
      </c>
      <c r="AD233" s="39">
        <v>-518481</v>
      </c>
      <c r="AE233" s="2">
        <v>0.1184062</v>
      </c>
      <c r="AF233" s="2" t="str">
        <f>IF(AND(Table1[[#This Row],[Cplex MB Cost]]=Table1[[#This Row],[ORTools FZN2 Cost]],Table1[[#This Row],[ORTools FZN2 State]]="Optimal",Table1[[#This Row],[Cplex MB State]]="Suboptimal"),1,"")</f>
        <v/>
      </c>
      <c r="AG233" s="4">
        <f>IF(AND(AC233="Optimal",AD233&lt;&gt;AA233,Table1[[#This Row],[Example]]&lt;&gt;"R001",Table1[[#This Row],[Example]]&lt;&gt;"R002"),AD233-AA233,)</f>
        <v>0</v>
      </c>
      <c r="AH233" s="5" t="s">
        <v>77</v>
      </c>
      <c r="AI233" s="2">
        <v>-518481</v>
      </c>
      <c r="AJ233" s="2">
        <v>2.8928669999999999</v>
      </c>
      <c r="AK233" s="2" t="str">
        <f>IF(AND(Table1[[#This Row],[Cplex MD Cost]]=Table1[[#This Row],[ORTools FZN2 Cost]],Table1[[#This Row],[ORTools FZN2 State]]="Optimal",Table1[[#This Row],[Cplex MD State]]="Suboptimal"),1,"")</f>
        <v/>
      </c>
      <c r="AL233" s="4">
        <f>IF(AND(AH233="Optimal",AI233&lt;&gt;AA233,Table1[[#This Row],[Example]]&lt;&gt;"R001",Table1[[#This Row],[Example]]&lt;&gt;"R002"),AI233-AA233,)</f>
        <v>0</v>
      </c>
      <c r="AM233" s="39" t="s">
        <v>77</v>
      </c>
      <c r="AN233" s="39">
        <v>-518481</v>
      </c>
      <c r="AO233" s="2">
        <v>0.87247319999999995</v>
      </c>
      <c r="AP23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3" s="2" t="str">
        <f>IF(AND(Table1[[#This Row],[Cplex MI Cost]]=Table1[[#This Row],[ORTools FZN2 Cost]],Table1[[#This Row],[ORTools FZN2 State]]="Optimal",Table1[[#This Row],[Cplex MI State]]="Suboptimal"),1,"")</f>
        <v/>
      </c>
      <c r="AR233" s="5" t="s">
        <v>77</v>
      </c>
      <c r="AS233" s="2">
        <v>-518481</v>
      </c>
      <c r="AT233" s="2">
        <v>15.0564313</v>
      </c>
      <c r="AU233" s="2" t="str">
        <f>IF(AND(Table1[[#This Row],[Z3 SMT2-1 Maxres Cost]]=Table1[[#This Row],[ORTools FZN2 Cost]],Table1[[#This Row],[ORTools FZN2 State]]="Optimal"),1,"")</f>
        <v/>
      </c>
      <c r="AV233" s="39" t="s">
        <v>77</v>
      </c>
      <c r="AW233" s="39">
        <v>-518481</v>
      </c>
      <c r="AX233" s="2">
        <v>15.0656836</v>
      </c>
      <c r="AY233" s="2" t="str">
        <f>IF(AND(Table1[[#This Row],[Z3 SMT2-1 PdMaxres Cost]]=Table1[[#This Row],[ORTools FZN2 Cost]],Table1[[#This Row],[ORTools FZN2 State]]="Optimal"),1,"")</f>
        <v/>
      </c>
      <c r="AZ233" s="5" t="s">
        <v>77</v>
      </c>
      <c r="BA233" s="2">
        <v>-518481</v>
      </c>
      <c r="BB233" s="39">
        <v>14.829576899999999</v>
      </c>
      <c r="BC233" s="39" t="str">
        <f>IF(AND(Table1[[#This Row],[Z3 SMT2-1 WMax Cost]]=Table1[[#This Row],[ORTools FZN2 Cost]],Table1[[#This Row],[ORTools FZN2 State]]="Optimal"),1,"")</f>
        <v/>
      </c>
      <c r="BD233" s="39" t="s">
        <v>77</v>
      </c>
      <c r="BE233" s="39">
        <v>-518481</v>
      </c>
      <c r="BF233" s="2">
        <v>14.705197800000001</v>
      </c>
      <c r="BG233" s="2" t="str">
        <f>IF(AND(Table1[[#This Row],[Z3 SMT2-2 Maxres Cost]]=Table1[[#This Row],[ORTools FZN2 Cost]],Table1[[#This Row],[ORTools FZN2 State]]="Optimal"),1,"")</f>
        <v/>
      </c>
      <c r="BH233" s="5" t="s">
        <v>77</v>
      </c>
      <c r="BI233" s="2">
        <v>-518481</v>
      </c>
      <c r="BJ233" s="39">
        <v>14.722066399999999</v>
      </c>
      <c r="BK233" s="39" t="str">
        <f>IF(AND(Table1[[#This Row],[Z3 SMT2-2 PdMaxres Cost]]=Table1[[#This Row],[ORTools FZN2 Cost]],Table1[[#This Row],[ORTools FZN2 State]]="Optimal"),1,"")</f>
        <v/>
      </c>
      <c r="BL233" s="39" t="s">
        <v>77</v>
      </c>
      <c r="BM233" s="39">
        <v>-518481</v>
      </c>
      <c r="BN233" s="2">
        <v>14.398295900000001</v>
      </c>
      <c r="BO233" s="4" t="str">
        <f>IF(AND(Table1[[#This Row],[Z3 SMT2-2 PdMaxres Cost]]=Table1[[#This Row],[ORTools FZN2 Cost]],Table1[[#This Row],[ORTools FZN2 State]]="Optimal"),1,"")</f>
        <v/>
      </c>
      <c r="BP233" s="5" t="s">
        <v>77</v>
      </c>
      <c r="BQ233" s="2">
        <v>-518481</v>
      </c>
      <c r="BR233" s="2">
        <v>0.122727</v>
      </c>
      <c r="BS233" s="2" t="str">
        <f>IF(AND(Table1[[#This Row],[Gurobi MB Cost]]=Table1[[#This Row],[ORTools FZN2 Cost]],Table1[[#This Row],[ORTools FZN2 State]]="Optimal",Table1[[#This Row],[Gurobi MB State]]="Suboptimal"),1,"")</f>
        <v/>
      </c>
      <c r="BT23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3" s="5" t="s">
        <v>77</v>
      </c>
      <c r="BV233" s="2">
        <v>-518481</v>
      </c>
      <c r="BW233" s="2">
        <v>1.7040989</v>
      </c>
      <c r="BX233" s="2" t="str">
        <f>IF(AND(Table1[[#This Row],[Gurobi MD Cost]]=Table1[[#This Row],[ORTools FZN2 Cost]],Table1[[#This Row],[ORTools FZN2 State]]="Optimal",Table1[[#This Row],[Gurobi MD State]]="Suboptimal"),1,"")</f>
        <v/>
      </c>
      <c r="BY23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3" s="5" t="s">
        <v>77</v>
      </c>
      <c r="CA233" s="2">
        <v>-518481</v>
      </c>
      <c r="CB233" s="2">
        <v>2.3803071</v>
      </c>
      <c r="CC233" s="2" t="str">
        <f>IF(AND(Table1[[#This Row],[Gurobi MI Cost]]=Table1[[#This Row],[ORTools FZN2 Cost]],Table1[[#This Row],[ORTools FZN2 State]]="Optimal",Table1[[#This Row],[Gurobi MI State]]="Suboptimal"),1,"")</f>
        <v/>
      </c>
      <c r="CD23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3" s="39" t="s">
        <v>77</v>
      </c>
      <c r="CF233" s="2">
        <v>-518481</v>
      </c>
      <c r="CG233" s="39">
        <v>5.3187831000000001</v>
      </c>
      <c r="CH233" s="39" t="s">
        <v>77</v>
      </c>
      <c r="CI233" s="39">
        <v>-518481</v>
      </c>
      <c r="CJ233" s="2">
        <v>5.3274429999999997</v>
      </c>
      <c r="CK233" s="5" t="s">
        <v>77</v>
      </c>
      <c r="CL233" s="2">
        <v>-518481</v>
      </c>
      <c r="CM233" s="2">
        <v>0.19599999999991299</v>
      </c>
      <c r="CN233" s="5" t="s">
        <v>77</v>
      </c>
      <c r="CO233" s="2">
        <v>-518481</v>
      </c>
      <c r="CP233" s="2">
        <v>3.8996350999999998</v>
      </c>
      <c r="CQ233" s="5" t="s">
        <v>77</v>
      </c>
      <c r="CR233" s="2">
        <v>-518481</v>
      </c>
      <c r="CS233" s="2">
        <v>4.8590542000000001</v>
      </c>
      <c r="CT233" s="6" t="s">
        <v>77</v>
      </c>
      <c r="CU233" s="4">
        <v>-518481</v>
      </c>
      <c r="CV233" s="4">
        <v>5.1689128000000002</v>
      </c>
      <c r="CW233" s="39" t="s">
        <v>77</v>
      </c>
      <c r="CX233" s="39"/>
      <c r="CY233" s="2">
        <v>3.7039</v>
      </c>
      <c r="CZ233" s="2" t="str">
        <f>IF(AND(Table1[[#This Row],[Cplex MZ1 Cost]]=Table1[[#This Row],[ORTools FZN2 Cost]],Table1[[#This Row],[ORTools FZN2 State]]="Optimal",Table1[[#This Row],[Cplex MZ1 State]]="Suboptimal"),1,"")</f>
        <v/>
      </c>
      <c r="DA233" s="5" t="s">
        <v>77</v>
      </c>
      <c r="DB233" s="2"/>
      <c r="DC233" s="2">
        <v>3.8351999999999999</v>
      </c>
      <c r="DD233" s="2" t="str">
        <f>IF(AND(Table1[[#This Row],[Cplex MZ2 Cost]]=Table1[[#This Row],[ORTools FZN2 Cost]],Table1[[#This Row],[ORTools FZN2 State]]="Optimal",Table1[[#This Row],[Cplex MZ2 State]]="Suboptimal"),1,"")</f>
        <v/>
      </c>
      <c r="DE233" s="39" t="s">
        <v>77</v>
      </c>
      <c r="DF233" s="39"/>
      <c r="DG233" s="2">
        <v>0.37409999999999999</v>
      </c>
      <c r="DH233" s="2" t="str">
        <f>IF(AND(Table1[[#This Row],[Gurobi MZ1 Cost]]=Table1[[#This Row],[ORTools FZN2 Cost]],Table1[[#This Row],[ORTools FZN2 State]]="Optimal",Table1[[#This Row],[Gurobi MZ1 State]]="Suboptimal"),1,"")</f>
        <v/>
      </c>
      <c r="DI233" s="5" t="s">
        <v>77</v>
      </c>
      <c r="DJ233" s="2"/>
      <c r="DK233" s="2">
        <v>0.32740000000000002</v>
      </c>
      <c r="DL233" s="4" t="str">
        <f>IF(AND(Table1[[#This Row],[Gurobi MZ2 Cost]]=Table1[[#This Row],[ORTools FZN2 Cost]],Table1[[#This Row],[ORTools FZN2 State]]="Optimal",Table1[[#This Row],[Gurobi MZ2 State]]="Suboptimal"),1,"")</f>
        <v/>
      </c>
      <c r="DM233" s="39" t="s">
        <v>77</v>
      </c>
      <c r="DN233" s="39">
        <v>-518481</v>
      </c>
      <c r="DO233" s="65">
        <v>0.204999999998108</v>
      </c>
      <c r="DP233" s="4" t="str">
        <f>IF(AND(Table1[[#This Row],[Cplex MC nonDual Cost]]=Table1[[#This Row],[ORTools FZN2 Cost]],Table1[[#This Row],[ORTools FZN2 State]]="Optimal",Table1[[#This Row],[Cplex MC nonDual State]]="Suboptimal"),1,"")</f>
        <v/>
      </c>
      <c r="DQ233" s="5" t="s">
        <v>77</v>
      </c>
      <c r="DR233" s="2"/>
      <c r="DS233" s="2">
        <v>3.3675999999999999</v>
      </c>
      <c r="DT233" s="2" t="str">
        <f>IF(AND(Table1[[#This Row],[Cplex MIP DM''z Cost]]=Table1[[#This Row],[ORTools FZN2 Cost]],Table1[[#This Row],[ORTools FZN2 State]]="Optimal",Table1[[#This Row],[Cplex MIP DM''z  State]]="Suboptimal"),1,"")</f>
        <v/>
      </c>
      <c r="DU23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3" s="5" t="s">
        <v>77</v>
      </c>
      <c r="DW233" s="2"/>
      <c r="DX233" s="2">
        <v>0.37440000000000001</v>
      </c>
      <c r="DY233" s="4" t="str">
        <f>IF(AND(Table1[[#This Row],[Gurobi DM''z  Cost]]=Table1[[#This Row],[ORTools FZN2 Cost]],Table1[[#This Row],[ORTools FZN2 State]]="Optimal",Table1[[#This Row],[Gurobi DM''z  State]]="Suboptimal"),1,"")</f>
        <v/>
      </c>
      <c r="DZ23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4" spans="1:130" x14ac:dyDescent="0.25">
      <c r="A234" s="52" t="s">
        <v>260</v>
      </c>
      <c r="B234" s="5">
        <v>80</v>
      </c>
      <c r="C234" s="2">
        <v>40</v>
      </c>
      <c r="D234" s="5">
        <v>1055</v>
      </c>
      <c r="E234" s="2">
        <v>56</v>
      </c>
      <c r="F234" s="5">
        <v>120</v>
      </c>
      <c r="G234" s="2">
        <v>18</v>
      </c>
      <c r="H234" s="4">
        <f t="shared" si="3"/>
        <v>0</v>
      </c>
      <c r="I234" s="4">
        <f>Table1[[#This Row],[B]]+Table1[[#This Row],[Atomic Constraints]]+Table1[[#This Row],[Soft Atomic Constraints]]+Table1[[#This Row],[Disjunctive Constraints]]+Table1[[#This Row],[Direct Successors]]</f>
        <v>1289</v>
      </c>
      <c r="J234" s="5" t="s">
        <v>77</v>
      </c>
      <c r="K234" s="2">
        <v>-518481</v>
      </c>
      <c r="L234" s="2">
        <v>4.1779814999999996</v>
      </c>
      <c r="M234" s="2" t="str">
        <f>IF(AND(Table1[[#This Row],[Chuffed MZ1 Cost]]=Table1[[#This Row],[ORTools FZN2 Cost]],Table1[[#This Row],[ORTools FZN2 State]]="Optimal",Table1[[#This Row],[Chuffed MZ1 State]]="Suboptimal"),1,"")</f>
        <v/>
      </c>
      <c r="N234" s="5" t="s">
        <v>77</v>
      </c>
      <c r="O234" s="2">
        <v>-518481</v>
      </c>
      <c r="P234" s="2">
        <v>4.1205090999999996</v>
      </c>
      <c r="Q234" s="2" t="str">
        <f>IF(AND(Table1[[#This Row],[Chuffed MZ2 Cost]]=Table1[[#This Row],[ORTools FZN2 Cost]],Table1[[#This Row],[ORTools FZN2 State]]="Optimal",Table1[[#This Row],[Chuffed MZ2 State]]="Suboptimal"),1,"")</f>
        <v/>
      </c>
      <c r="R234" s="6" t="s">
        <v>77</v>
      </c>
      <c r="S234" s="4">
        <v>-518481</v>
      </c>
      <c r="T234" s="4">
        <v>0.19800000000032</v>
      </c>
      <c r="U234" s="4"/>
      <c r="V234" s="5" t="s">
        <v>77</v>
      </c>
      <c r="W234" s="2">
        <v>-518481</v>
      </c>
      <c r="X234" s="2">
        <v>4.7282878999999998</v>
      </c>
      <c r="Y234" s="2" t="str">
        <f>IF(AND(Table1[[#This Row],[ORTools FZN1 Cost]]=Table1[[#This Row],[ORTools FZN2 Cost]],Table1[[#This Row],[ORTools FZN2 State]]="Optimal",Table1[[#This Row],[ORTools FZN1 State]]="Suboptimal"),1,"")</f>
        <v/>
      </c>
      <c r="Z234" s="5" t="s">
        <v>77</v>
      </c>
      <c r="AA234" s="2">
        <v>-518481</v>
      </c>
      <c r="AB234" s="2">
        <v>3.4632377000000001</v>
      </c>
      <c r="AC234" s="39" t="s">
        <v>77</v>
      </c>
      <c r="AD234" s="39">
        <v>-518481</v>
      </c>
      <c r="AE234" s="2">
        <v>0.1088131</v>
      </c>
      <c r="AF234" s="2" t="str">
        <f>IF(AND(Table1[[#This Row],[Cplex MB Cost]]=Table1[[#This Row],[ORTools FZN2 Cost]],Table1[[#This Row],[ORTools FZN2 State]]="Optimal",Table1[[#This Row],[Cplex MB State]]="Suboptimal"),1,"")</f>
        <v/>
      </c>
      <c r="AG234" s="4">
        <f>IF(AND(AC234="Optimal",AD234&lt;&gt;AA234,Table1[[#This Row],[Example]]&lt;&gt;"R001",Table1[[#This Row],[Example]]&lt;&gt;"R002"),AD234-AA234,)</f>
        <v>0</v>
      </c>
      <c r="AH234" s="5" t="s">
        <v>77</v>
      </c>
      <c r="AI234" s="2">
        <v>-518481</v>
      </c>
      <c r="AJ234" s="2">
        <v>2.8812376999999998</v>
      </c>
      <c r="AK234" s="2" t="str">
        <f>IF(AND(Table1[[#This Row],[Cplex MD Cost]]=Table1[[#This Row],[ORTools FZN2 Cost]],Table1[[#This Row],[ORTools FZN2 State]]="Optimal",Table1[[#This Row],[Cplex MD State]]="Suboptimal"),1,"")</f>
        <v/>
      </c>
      <c r="AL234" s="4">
        <f>IF(AND(AH234="Optimal",AI234&lt;&gt;AA234,Table1[[#This Row],[Example]]&lt;&gt;"R001",Table1[[#This Row],[Example]]&lt;&gt;"R002"),AI234-AA234,)</f>
        <v>0</v>
      </c>
      <c r="AM234" s="39" t="s">
        <v>77</v>
      </c>
      <c r="AN234" s="39">
        <v>-518481</v>
      </c>
      <c r="AO234" s="2">
        <v>0.86654209999999998</v>
      </c>
      <c r="AP23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4" s="4" t="str">
        <f>IF(AND(Table1[[#This Row],[Cplex MI Cost]]=Table1[[#This Row],[ORTools FZN2 Cost]],Table1[[#This Row],[ORTools FZN2 State]]="Optimal",Table1[[#This Row],[Cplex MI State]]="Suboptimal"),1,"")</f>
        <v/>
      </c>
      <c r="AR234" s="5" t="s">
        <v>77</v>
      </c>
      <c r="AS234" s="2">
        <v>-518481</v>
      </c>
      <c r="AT234" s="2">
        <v>15.196607999999999</v>
      </c>
      <c r="AU234" s="2" t="str">
        <f>IF(AND(Table1[[#This Row],[Z3 SMT2-1 Maxres Cost]]=Table1[[#This Row],[ORTools FZN2 Cost]],Table1[[#This Row],[ORTools FZN2 State]]="Optimal"),1,"")</f>
        <v/>
      </c>
      <c r="AV234" s="39" t="s">
        <v>77</v>
      </c>
      <c r="AW234" s="39">
        <v>-518481</v>
      </c>
      <c r="AX234" s="2">
        <v>15.165109299999999</v>
      </c>
      <c r="AY234" s="2" t="str">
        <f>IF(AND(Table1[[#This Row],[Z3 SMT2-1 PdMaxres Cost]]=Table1[[#This Row],[ORTools FZN2 Cost]],Table1[[#This Row],[ORTools FZN2 State]]="Optimal"),1,"")</f>
        <v/>
      </c>
      <c r="AZ234" s="5" t="s">
        <v>77</v>
      </c>
      <c r="BA234" s="2">
        <v>-518481</v>
      </c>
      <c r="BB234" s="39">
        <v>15.075606000000001</v>
      </c>
      <c r="BC234" s="39" t="str">
        <f>IF(AND(Table1[[#This Row],[Z3 SMT2-1 WMax Cost]]=Table1[[#This Row],[ORTools FZN2 Cost]],Table1[[#This Row],[ORTools FZN2 State]]="Optimal"),1,"")</f>
        <v/>
      </c>
      <c r="BD234" s="39" t="s">
        <v>77</v>
      </c>
      <c r="BE234" s="39">
        <v>-518481</v>
      </c>
      <c r="BF234" s="2">
        <v>14.9730533</v>
      </c>
      <c r="BG234" s="2" t="str">
        <f>IF(AND(Table1[[#This Row],[Z3 SMT2-2 Maxres Cost]]=Table1[[#This Row],[ORTools FZN2 Cost]],Table1[[#This Row],[ORTools FZN2 State]]="Optimal"),1,"")</f>
        <v/>
      </c>
      <c r="BH234" s="5" t="s">
        <v>77</v>
      </c>
      <c r="BI234" s="2">
        <v>-518481</v>
      </c>
      <c r="BJ234" s="39">
        <v>14.8321927</v>
      </c>
      <c r="BK234" s="39" t="str">
        <f>IF(AND(Table1[[#This Row],[Z3 SMT2-2 PdMaxres Cost]]=Table1[[#This Row],[ORTools FZN2 Cost]],Table1[[#This Row],[ORTools FZN2 State]]="Optimal"),1,"")</f>
        <v/>
      </c>
      <c r="BL234" s="39" t="s">
        <v>77</v>
      </c>
      <c r="BM234" s="39">
        <v>-518481</v>
      </c>
      <c r="BN234" s="2">
        <v>15.1452974</v>
      </c>
      <c r="BO234" s="4" t="str">
        <f>IF(AND(Table1[[#This Row],[Z3 SMT2-2 PdMaxres Cost]]=Table1[[#This Row],[ORTools FZN2 Cost]],Table1[[#This Row],[ORTools FZN2 State]]="Optimal"),1,"")</f>
        <v/>
      </c>
      <c r="BP234" s="5" t="s">
        <v>77</v>
      </c>
      <c r="BQ234" s="2">
        <v>-518481</v>
      </c>
      <c r="BR234" s="2">
        <v>0.1222062</v>
      </c>
      <c r="BS234" s="2" t="str">
        <f>IF(AND(Table1[[#This Row],[Gurobi MB Cost]]=Table1[[#This Row],[ORTools FZN2 Cost]],Table1[[#This Row],[ORTools FZN2 State]]="Optimal",Table1[[#This Row],[Gurobi MB State]]="Suboptimal"),1,"")</f>
        <v/>
      </c>
      <c r="BT23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4" s="5" t="s">
        <v>77</v>
      </c>
      <c r="BV234" s="2">
        <v>-518481</v>
      </c>
      <c r="BW234" s="2">
        <v>1.4877765999999999</v>
      </c>
      <c r="BX234" s="2" t="str">
        <f>IF(AND(Table1[[#This Row],[Gurobi MD Cost]]=Table1[[#This Row],[ORTools FZN2 Cost]],Table1[[#This Row],[ORTools FZN2 State]]="Optimal",Table1[[#This Row],[Gurobi MD State]]="Suboptimal"),1,"")</f>
        <v/>
      </c>
      <c r="BY23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4" s="5" t="s">
        <v>77</v>
      </c>
      <c r="CA234" s="2">
        <v>-518481</v>
      </c>
      <c r="CB234" s="2">
        <v>2.0123883999999999</v>
      </c>
      <c r="CC234" s="2" t="str">
        <f>IF(AND(Table1[[#This Row],[Gurobi MI Cost]]=Table1[[#This Row],[ORTools FZN2 Cost]],Table1[[#This Row],[ORTools FZN2 State]]="Optimal",Table1[[#This Row],[Gurobi MI State]]="Suboptimal"),1,"")</f>
        <v/>
      </c>
      <c r="CD23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4" s="39" t="s">
        <v>77</v>
      </c>
      <c r="CF234" s="2">
        <v>-518481</v>
      </c>
      <c r="CG234" s="39">
        <v>5.2816352000000002</v>
      </c>
      <c r="CH234" s="39" t="s">
        <v>77</v>
      </c>
      <c r="CI234" s="39">
        <v>-518481</v>
      </c>
      <c r="CJ234" s="2">
        <v>5.3101108999999997</v>
      </c>
      <c r="CK234" s="5" t="s">
        <v>77</v>
      </c>
      <c r="CL234" s="2">
        <v>-518481</v>
      </c>
      <c r="CM234" s="2">
        <v>0.19299999999930201</v>
      </c>
      <c r="CN234" s="5" t="s">
        <v>77</v>
      </c>
      <c r="CO234" s="2">
        <v>-518481</v>
      </c>
      <c r="CP234" s="2">
        <v>3.9242689999999998</v>
      </c>
      <c r="CQ234" s="5" t="s">
        <v>77</v>
      </c>
      <c r="CR234" s="2">
        <v>-518481</v>
      </c>
      <c r="CS234" s="2">
        <v>4.3503432000000002</v>
      </c>
      <c r="CT234" s="6" t="s">
        <v>77</v>
      </c>
      <c r="CU234" s="4">
        <v>-518481</v>
      </c>
      <c r="CV234" s="4">
        <v>4.7223055</v>
      </c>
      <c r="CW234" s="39" t="s">
        <v>77</v>
      </c>
      <c r="CX234" s="39"/>
      <c r="CY234" s="2">
        <v>3.6177000000000001</v>
      </c>
      <c r="CZ234" s="2" t="str">
        <f>IF(AND(Table1[[#This Row],[Cplex MZ1 Cost]]=Table1[[#This Row],[ORTools FZN2 Cost]],Table1[[#This Row],[ORTools FZN2 State]]="Optimal",Table1[[#This Row],[Cplex MZ1 State]]="Suboptimal"),1,"")</f>
        <v/>
      </c>
      <c r="DA234" s="5" t="s">
        <v>77</v>
      </c>
      <c r="DB234" s="2"/>
      <c r="DC234" s="2">
        <v>4.1082999999999998</v>
      </c>
      <c r="DD234" s="2" t="str">
        <f>IF(AND(Table1[[#This Row],[Cplex MZ2 Cost]]=Table1[[#This Row],[ORTools FZN2 Cost]],Table1[[#This Row],[ORTools FZN2 State]]="Optimal",Table1[[#This Row],[Cplex MZ2 State]]="Suboptimal"),1,"")</f>
        <v/>
      </c>
      <c r="DE234" s="39" t="s">
        <v>77</v>
      </c>
      <c r="DF234" s="39"/>
      <c r="DG234" s="2">
        <v>0.3548</v>
      </c>
      <c r="DH234" s="2" t="str">
        <f>IF(AND(Table1[[#This Row],[Gurobi MZ1 Cost]]=Table1[[#This Row],[ORTools FZN2 Cost]],Table1[[#This Row],[ORTools FZN2 State]]="Optimal",Table1[[#This Row],[Gurobi MZ1 State]]="Suboptimal"),1,"")</f>
        <v/>
      </c>
      <c r="DI234" s="5" t="s">
        <v>77</v>
      </c>
      <c r="DJ234" s="2"/>
      <c r="DK234" s="2">
        <v>0.32779999999999998</v>
      </c>
      <c r="DL234" s="4" t="str">
        <f>IF(AND(Table1[[#This Row],[Gurobi MZ2 Cost]]=Table1[[#This Row],[ORTools FZN2 Cost]],Table1[[#This Row],[ORTools FZN2 State]]="Optimal",Table1[[#This Row],[Gurobi MZ2 State]]="Suboptimal"),1,"")</f>
        <v/>
      </c>
      <c r="DM234" s="39" t="s">
        <v>77</v>
      </c>
      <c r="DN234" s="39">
        <v>-518481</v>
      </c>
      <c r="DO234" s="65">
        <v>0.20500000000174601</v>
      </c>
      <c r="DP234" s="4" t="str">
        <f>IF(AND(Table1[[#This Row],[Cplex MC nonDual Cost]]=Table1[[#This Row],[ORTools FZN2 Cost]],Table1[[#This Row],[ORTools FZN2 State]]="Optimal",Table1[[#This Row],[Cplex MC nonDual State]]="Suboptimal"),1,"")</f>
        <v/>
      </c>
      <c r="DQ234" s="5" t="s">
        <v>77</v>
      </c>
      <c r="DR234" s="2"/>
      <c r="DS234" s="2">
        <v>3.4887999999999999</v>
      </c>
      <c r="DT234" s="2" t="str">
        <f>IF(AND(Table1[[#This Row],[Cplex MIP DM''z Cost]]=Table1[[#This Row],[ORTools FZN2 Cost]],Table1[[#This Row],[ORTools FZN2 State]]="Optimal",Table1[[#This Row],[Cplex MIP DM''z  State]]="Suboptimal"),1,"")</f>
        <v/>
      </c>
      <c r="DU23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4" s="5" t="s">
        <v>77</v>
      </c>
      <c r="DW234" s="2"/>
      <c r="DX234" s="2">
        <v>0.38819999999999999</v>
      </c>
      <c r="DY234" s="4" t="str">
        <f>IF(AND(Table1[[#This Row],[Gurobi DM''z  Cost]]=Table1[[#This Row],[ORTools FZN2 Cost]],Table1[[#This Row],[ORTools FZN2 State]]="Optimal",Table1[[#This Row],[Gurobi DM''z  State]]="Suboptimal"),1,"")</f>
        <v/>
      </c>
      <c r="DZ23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5" spans="1:130" ht="15.75" x14ac:dyDescent="0.25">
      <c r="A235" s="47" t="s">
        <v>261</v>
      </c>
      <c r="B235" s="5">
        <v>80</v>
      </c>
      <c r="C235" s="2">
        <v>40</v>
      </c>
      <c r="D235" s="5">
        <v>741</v>
      </c>
      <c r="E235" s="2">
        <v>54</v>
      </c>
      <c r="F235" s="5">
        <v>216</v>
      </c>
      <c r="G235" s="2">
        <v>0</v>
      </c>
      <c r="H235" s="4">
        <f t="shared" si="3"/>
        <v>0</v>
      </c>
      <c r="I235" s="4">
        <f>Table1[[#This Row],[B]]+Table1[[#This Row],[Atomic Constraints]]+Table1[[#This Row],[Soft Atomic Constraints]]+Table1[[#This Row],[Disjunctive Constraints]]+Table1[[#This Row],[Direct Successors]]</f>
        <v>1051</v>
      </c>
      <c r="J235" s="5" t="s">
        <v>42</v>
      </c>
      <c r="K235" s="2">
        <v>-518481</v>
      </c>
      <c r="L235" s="2">
        <v>304.213525</v>
      </c>
      <c r="M235" s="2" t="str">
        <f>IF(AND(Table1[[#This Row],[Chuffed MZ1 Cost]]=Table1[[#This Row],[ORTools FZN2 Cost]],Table1[[#This Row],[ORTools FZN2 State]]="Optimal",Table1[[#This Row],[Chuffed MZ1 State]]="Suboptimal"),1,"")</f>
        <v/>
      </c>
      <c r="N235" s="5" t="s">
        <v>42</v>
      </c>
      <c r="O235" s="2">
        <v>-518481</v>
      </c>
      <c r="P235" s="2">
        <v>304.14866690000002</v>
      </c>
      <c r="Q235" s="2" t="str">
        <f>IF(AND(Table1[[#This Row],[Chuffed MZ2 Cost]]=Table1[[#This Row],[ORTools FZN2 Cost]],Table1[[#This Row],[ORTools FZN2 State]]="Optimal",Table1[[#This Row],[Chuffed MZ2 State]]="Suboptimal"),1,"")</f>
        <v/>
      </c>
      <c r="R235" s="6" t="s">
        <v>26</v>
      </c>
      <c r="S235" s="4">
        <v>8765054</v>
      </c>
      <c r="T235" s="4">
        <v>300.11800000000198</v>
      </c>
      <c r="U235" s="4"/>
      <c r="V235" s="5" t="s">
        <v>26</v>
      </c>
      <c r="W235" s="2">
        <v>8253291</v>
      </c>
      <c r="X235" s="2">
        <v>301.61984180000002</v>
      </c>
      <c r="Y235" s="2" t="str">
        <f>IF(AND(Table1[[#This Row],[ORTools FZN1 Cost]]=Table1[[#This Row],[ORTools FZN2 Cost]],Table1[[#This Row],[ORTools FZN2 State]]="Optimal",Table1[[#This Row],[ORTools FZN1 State]]="Suboptimal"),1,"")</f>
        <v/>
      </c>
      <c r="Z235" s="5" t="s">
        <v>25</v>
      </c>
      <c r="AA235" s="2">
        <v>7728330</v>
      </c>
      <c r="AB235" s="2">
        <v>288.67226929999998</v>
      </c>
      <c r="AC235" s="39" t="s">
        <v>42</v>
      </c>
      <c r="AD235" s="39">
        <v>-518481</v>
      </c>
      <c r="AE235" s="2">
        <v>300.22948839999998</v>
      </c>
      <c r="AF235" s="2" t="str">
        <f>IF(AND(Table1[[#This Row],[Cplex MB Cost]]=Table1[[#This Row],[ORTools FZN2 Cost]],Table1[[#This Row],[ORTools FZN2 State]]="Optimal",Table1[[#This Row],[Cplex MB State]]="Suboptimal"),1,"")</f>
        <v/>
      </c>
      <c r="AG235" s="4">
        <f>IF(AND(AC235="Optimal",AD235&lt;&gt;AA235,Table1[[#This Row],[Example]]&lt;&gt;"R001",Table1[[#This Row],[Example]]&lt;&gt;"R002"),AD235-AA235,)</f>
        <v>0</v>
      </c>
      <c r="AH235" s="5" t="s">
        <v>42</v>
      </c>
      <c r="AI235" s="2">
        <v>-518481</v>
      </c>
      <c r="AJ235" s="2">
        <v>300.4592624</v>
      </c>
      <c r="AK235" s="2" t="str">
        <f>IF(AND(Table1[[#This Row],[Cplex MD Cost]]=Table1[[#This Row],[ORTools FZN2 Cost]],Table1[[#This Row],[ORTools FZN2 State]]="Optimal",Table1[[#This Row],[Cplex MD State]]="Suboptimal"),1,"")</f>
        <v/>
      </c>
      <c r="AL235" s="4">
        <f>IF(AND(AH235="Optimal",AI235&lt;&gt;AA235,Table1[[#This Row],[Example]]&lt;&gt;"R001",Table1[[#This Row],[Example]]&lt;&gt;"R002"),AI235-AA235,)</f>
        <v>0</v>
      </c>
      <c r="AM235" s="39" t="s">
        <v>42</v>
      </c>
      <c r="AN235" s="39">
        <v>-518481</v>
      </c>
      <c r="AO235" s="2">
        <v>300.38613350000003</v>
      </c>
      <c r="AP23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5" s="4" t="str">
        <f>IF(AND(Table1[[#This Row],[Cplex MI Cost]]=Table1[[#This Row],[ORTools FZN2 Cost]],Table1[[#This Row],[ORTools FZN2 State]]="Optimal",Table1[[#This Row],[Cplex MI State]]="Suboptimal"),1,"")</f>
        <v/>
      </c>
      <c r="AR235" s="5" t="s">
        <v>42</v>
      </c>
      <c r="AS235" s="2">
        <v>-518481</v>
      </c>
      <c r="AT235" s="2">
        <v>300.09087740000001</v>
      </c>
      <c r="AU235" s="2" t="str">
        <f>IF(AND(Table1[[#This Row],[Z3 SMT2-1 Maxres Cost]]=Table1[[#This Row],[ORTools FZN2 Cost]],Table1[[#This Row],[ORTools FZN2 State]]="Optimal"),1,"")</f>
        <v/>
      </c>
      <c r="AV235" s="39" t="s">
        <v>42</v>
      </c>
      <c r="AW235" s="39">
        <v>-518481</v>
      </c>
      <c r="AX235" s="2">
        <v>300.0785601</v>
      </c>
      <c r="AY235" s="2" t="str">
        <f>IF(AND(Table1[[#This Row],[Z3 SMT2-1 PdMaxres Cost]]=Table1[[#This Row],[ORTools FZN2 Cost]],Table1[[#This Row],[ORTools FZN2 State]]="Optimal"),1,"")</f>
        <v/>
      </c>
      <c r="AZ235" s="5" t="s">
        <v>42</v>
      </c>
      <c r="BA235" s="2">
        <v>-518481</v>
      </c>
      <c r="BB235" s="39">
        <v>300.07629930000002</v>
      </c>
      <c r="BC235" s="39" t="str">
        <f>IF(AND(Table1[[#This Row],[Z3 SMT2-1 WMax Cost]]=Table1[[#This Row],[ORTools FZN2 Cost]],Table1[[#This Row],[ORTools FZN2 State]]="Optimal"),1,"")</f>
        <v/>
      </c>
      <c r="BD235" s="39" t="s">
        <v>42</v>
      </c>
      <c r="BE235" s="39">
        <v>-518481</v>
      </c>
      <c r="BF235" s="2">
        <v>300.07576060000002</v>
      </c>
      <c r="BG235" s="2" t="str">
        <f>IF(AND(Table1[[#This Row],[Z3 SMT2-2 Maxres Cost]]=Table1[[#This Row],[ORTools FZN2 Cost]],Table1[[#This Row],[ORTools FZN2 State]]="Optimal"),1,"")</f>
        <v/>
      </c>
      <c r="BH235" s="5" t="s">
        <v>42</v>
      </c>
      <c r="BI235" s="2">
        <v>-518481</v>
      </c>
      <c r="BJ235" s="39">
        <v>300.0786956</v>
      </c>
      <c r="BK235" s="39" t="str">
        <f>IF(AND(Table1[[#This Row],[Z3 SMT2-2 PdMaxres Cost]]=Table1[[#This Row],[ORTools FZN2 Cost]],Table1[[#This Row],[ORTools FZN2 State]]="Optimal"),1,"")</f>
        <v/>
      </c>
      <c r="BL235" s="39" t="s">
        <v>42</v>
      </c>
      <c r="BM235" s="39">
        <v>-518481</v>
      </c>
      <c r="BN235" s="2">
        <v>300.08511520000002</v>
      </c>
      <c r="BO235" s="4" t="str">
        <f>IF(AND(Table1[[#This Row],[Z3 SMT2-2 PdMaxres Cost]]=Table1[[#This Row],[ORTools FZN2 Cost]],Table1[[#This Row],[ORTools FZN2 State]]="Optimal"),1,"")</f>
        <v/>
      </c>
      <c r="BP235" s="5" t="s">
        <v>42</v>
      </c>
      <c r="BQ235" s="2">
        <v>-518481</v>
      </c>
      <c r="BR235" s="2">
        <v>300.12613499999998</v>
      </c>
      <c r="BS235" s="2" t="str">
        <f>IF(AND(Table1[[#This Row],[Gurobi MB Cost]]=Table1[[#This Row],[ORTools FZN2 Cost]],Table1[[#This Row],[ORTools FZN2 State]]="Optimal",Table1[[#This Row],[Gurobi MB State]]="Suboptimal"),1,"")</f>
        <v/>
      </c>
      <c r="BT23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5" s="5" t="s">
        <v>42</v>
      </c>
      <c r="BV235" s="2">
        <v>-518481</v>
      </c>
      <c r="BW235" s="2">
        <v>300.04068389999998</v>
      </c>
      <c r="BX235" s="2" t="str">
        <f>IF(AND(Table1[[#This Row],[Gurobi MD Cost]]=Table1[[#This Row],[ORTools FZN2 Cost]],Table1[[#This Row],[ORTools FZN2 State]]="Optimal",Table1[[#This Row],[Gurobi MD State]]="Suboptimal"),1,"")</f>
        <v/>
      </c>
      <c r="BY23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5" s="5" t="s">
        <v>42</v>
      </c>
      <c r="CA235" s="2">
        <v>-518481</v>
      </c>
      <c r="CB235" s="2">
        <v>306.90721200000002</v>
      </c>
      <c r="CC235" s="2" t="str">
        <f>IF(AND(Table1[[#This Row],[Gurobi MI Cost]]=Table1[[#This Row],[ORTools FZN2 Cost]],Table1[[#This Row],[ORTools FZN2 State]]="Optimal",Table1[[#This Row],[Gurobi MI State]]="Suboptimal"),1,"")</f>
        <v/>
      </c>
      <c r="CD23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5" s="39" t="s">
        <v>42</v>
      </c>
      <c r="CF235" s="2">
        <v>-518481</v>
      </c>
      <c r="CG235" s="39">
        <v>306.23355129999999</v>
      </c>
      <c r="CH235" s="39" t="s">
        <v>42</v>
      </c>
      <c r="CI235" s="39">
        <v>-518481</v>
      </c>
      <c r="CJ235" s="2">
        <v>306.2470429</v>
      </c>
      <c r="CK235" s="5" t="s">
        <v>26</v>
      </c>
      <c r="CL235" s="2">
        <v>7728491</v>
      </c>
      <c r="CM235" s="2">
        <v>300.167000000001</v>
      </c>
      <c r="CN235" s="5" t="s">
        <v>26</v>
      </c>
      <c r="CO235" s="2">
        <v>18558349</v>
      </c>
      <c r="CP235" s="2">
        <v>304.12383080000001</v>
      </c>
      <c r="CQ235" s="5" t="s">
        <v>26</v>
      </c>
      <c r="CR235" s="2">
        <v>7736023</v>
      </c>
      <c r="CS235" s="2">
        <v>302.25702710000002</v>
      </c>
      <c r="CT235" s="6" t="s">
        <v>25</v>
      </c>
      <c r="CU235" s="4">
        <v>7728330</v>
      </c>
      <c r="CV235" s="4">
        <v>106.0749355</v>
      </c>
      <c r="CW235" s="39" t="s">
        <v>42</v>
      </c>
      <c r="CX235" s="39"/>
      <c r="CY235" s="2">
        <v>300.01510000000002</v>
      </c>
      <c r="CZ235" s="2" t="str">
        <f>IF(AND(Table1[[#This Row],[Cplex MZ1 Cost]]=Table1[[#This Row],[ORTools FZN2 Cost]],Table1[[#This Row],[ORTools FZN2 State]]="Optimal",Table1[[#This Row],[Cplex MZ1 State]]="Suboptimal"),1,"")</f>
        <v/>
      </c>
      <c r="DA235" s="5" t="s">
        <v>42</v>
      </c>
      <c r="DB235" s="2"/>
      <c r="DC235" s="2">
        <v>300.04300000000001</v>
      </c>
      <c r="DD235" s="2" t="str">
        <f>IF(AND(Table1[[#This Row],[Cplex MZ2 Cost]]=Table1[[#This Row],[ORTools FZN2 Cost]],Table1[[#This Row],[ORTools FZN2 State]]="Optimal",Table1[[#This Row],[Cplex MZ2 State]]="Suboptimal"),1,"")</f>
        <v/>
      </c>
      <c r="DE235" s="39" t="s">
        <v>42</v>
      </c>
      <c r="DF235" s="39"/>
      <c r="DG235" s="2">
        <v>300.08080000000001</v>
      </c>
      <c r="DH235" s="2" t="str">
        <f>IF(AND(Table1[[#This Row],[Gurobi MZ1 Cost]]=Table1[[#This Row],[ORTools FZN2 Cost]],Table1[[#This Row],[ORTools FZN2 State]]="Optimal",Table1[[#This Row],[Gurobi MZ1 State]]="Suboptimal"),1,"")</f>
        <v/>
      </c>
      <c r="DI235" s="5" t="s">
        <v>42</v>
      </c>
      <c r="DJ235" s="2"/>
      <c r="DK235" s="2">
        <v>300.00689999999997</v>
      </c>
      <c r="DL235" s="4" t="str">
        <f>IF(AND(Table1[[#This Row],[Gurobi MZ2 Cost]]=Table1[[#This Row],[ORTools FZN2 Cost]],Table1[[#This Row],[ORTools FZN2 State]]="Optimal",Table1[[#This Row],[Gurobi MZ2 State]]="Suboptimal"),1,"")</f>
        <v/>
      </c>
      <c r="DM235" s="39" t="s">
        <v>26</v>
      </c>
      <c r="DN235" s="39">
        <v>7734735</v>
      </c>
      <c r="DO235" s="65">
        <v>300.28399999999903</v>
      </c>
      <c r="DP235" s="4" t="str">
        <f>IF(AND(Table1[[#This Row],[Cplex MC nonDual Cost]]=Table1[[#This Row],[ORTools FZN2 Cost]],Table1[[#This Row],[ORTools FZN2 State]]="Optimal",Table1[[#This Row],[Cplex MC nonDual State]]="Suboptimal"),1,"")</f>
        <v/>
      </c>
      <c r="DQ235" s="5" t="s">
        <v>42</v>
      </c>
      <c r="DR235" s="2"/>
      <c r="DS235" s="2">
        <v>300.02359999999999</v>
      </c>
      <c r="DT235" s="2" t="str">
        <f>IF(AND(Table1[[#This Row],[Cplex MIP DM''z Cost]]=Table1[[#This Row],[ORTools FZN2 Cost]],Table1[[#This Row],[ORTools FZN2 State]]="Optimal",Table1[[#This Row],[Cplex MIP DM''z  State]]="Suboptimal"),1,"")</f>
        <v/>
      </c>
      <c r="DU23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5" s="5" t="s">
        <v>42</v>
      </c>
      <c r="DW235" s="2"/>
      <c r="DX235" s="2">
        <v>299.9984</v>
      </c>
      <c r="DY235" s="4" t="str">
        <f>IF(AND(Table1[[#This Row],[Gurobi DM''z  Cost]]=Table1[[#This Row],[ORTools FZN2 Cost]],Table1[[#This Row],[ORTools FZN2 State]]="Optimal",Table1[[#This Row],[Gurobi DM''z  State]]="Suboptimal"),1,"")</f>
        <v/>
      </c>
      <c r="DZ23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6" spans="1:130" x14ac:dyDescent="0.25">
      <c r="A236" s="52" t="s">
        <v>262</v>
      </c>
      <c r="B236" s="5">
        <v>80</v>
      </c>
      <c r="C236" s="2">
        <v>40</v>
      </c>
      <c r="D236" s="5">
        <v>723</v>
      </c>
      <c r="E236" s="2">
        <v>54</v>
      </c>
      <c r="F236" s="5">
        <v>204</v>
      </c>
      <c r="G236" s="2">
        <v>16</v>
      </c>
      <c r="H236" s="4">
        <f t="shared" si="3"/>
        <v>0</v>
      </c>
      <c r="I236" s="4">
        <f>Table1[[#This Row],[B]]+Table1[[#This Row],[Atomic Constraints]]+Table1[[#This Row],[Soft Atomic Constraints]]+Table1[[#This Row],[Disjunctive Constraints]]+Table1[[#This Row],[Direct Successors]]</f>
        <v>1037</v>
      </c>
      <c r="J236" s="5" t="s">
        <v>77</v>
      </c>
      <c r="K236" s="2">
        <v>-518481</v>
      </c>
      <c r="L236" s="2">
        <v>4.2938435999999998</v>
      </c>
      <c r="M236" s="2" t="str">
        <f>IF(AND(Table1[[#This Row],[Chuffed MZ1 Cost]]=Table1[[#This Row],[ORTools FZN2 Cost]],Table1[[#This Row],[ORTools FZN2 State]]="Optimal",Table1[[#This Row],[Chuffed MZ1 State]]="Suboptimal"),1,"")</f>
        <v/>
      </c>
      <c r="N236" s="5" t="s">
        <v>77</v>
      </c>
      <c r="O236" s="2">
        <v>-518481</v>
      </c>
      <c r="P236" s="2">
        <v>4.1714877000000001</v>
      </c>
      <c r="Q236" s="2" t="str">
        <f>IF(AND(Table1[[#This Row],[Chuffed MZ2 Cost]]=Table1[[#This Row],[ORTools FZN2 Cost]],Table1[[#This Row],[ORTools FZN2 State]]="Optimal",Table1[[#This Row],[Chuffed MZ2 State]]="Suboptimal"),1,"")</f>
        <v/>
      </c>
      <c r="R236" s="6" t="s">
        <v>77</v>
      </c>
      <c r="S236" s="4">
        <v>-518481</v>
      </c>
      <c r="T236" s="4">
        <v>0.210000000002765</v>
      </c>
      <c r="U236" s="4"/>
      <c r="V236" s="5" t="s">
        <v>77</v>
      </c>
      <c r="W236" s="2">
        <v>-518481</v>
      </c>
      <c r="X236" s="2">
        <v>4.5015128000000004</v>
      </c>
      <c r="Y236" s="2" t="str">
        <f>IF(AND(Table1[[#This Row],[ORTools FZN1 Cost]]=Table1[[#This Row],[ORTools FZN2 Cost]],Table1[[#This Row],[ORTools FZN2 State]]="Optimal",Table1[[#This Row],[ORTools FZN1 State]]="Suboptimal"),1,"")</f>
        <v/>
      </c>
      <c r="Z236" s="5" t="s">
        <v>77</v>
      </c>
      <c r="AA236" s="2">
        <v>-518481</v>
      </c>
      <c r="AB236" s="2">
        <v>3.5541342999999999</v>
      </c>
      <c r="AC236" s="39" t="s">
        <v>77</v>
      </c>
      <c r="AD236" s="39">
        <v>-518481</v>
      </c>
      <c r="AE236" s="2">
        <v>0.1040282</v>
      </c>
      <c r="AF236" s="2" t="str">
        <f>IF(AND(Table1[[#This Row],[Cplex MB Cost]]=Table1[[#This Row],[ORTools FZN2 Cost]],Table1[[#This Row],[ORTools FZN2 State]]="Optimal",Table1[[#This Row],[Cplex MB State]]="Suboptimal"),1,"")</f>
        <v/>
      </c>
      <c r="AG236" s="4">
        <f>IF(AND(AC236="Optimal",AD236&lt;&gt;AA236,Table1[[#This Row],[Example]]&lt;&gt;"R001",Table1[[#This Row],[Example]]&lt;&gt;"R002"),AD236-AA236,)</f>
        <v>0</v>
      </c>
      <c r="AH236" s="5" t="s">
        <v>77</v>
      </c>
      <c r="AI236" s="2">
        <v>-518481</v>
      </c>
      <c r="AJ236" s="2">
        <v>2.8798631000000001</v>
      </c>
      <c r="AK236" s="2" t="str">
        <f>IF(AND(Table1[[#This Row],[Cplex MD Cost]]=Table1[[#This Row],[ORTools FZN2 Cost]],Table1[[#This Row],[ORTools FZN2 State]]="Optimal",Table1[[#This Row],[Cplex MD State]]="Suboptimal"),1,"")</f>
        <v/>
      </c>
      <c r="AL236" s="4">
        <f>IF(AND(AH236="Optimal",AI236&lt;&gt;AA236,Table1[[#This Row],[Example]]&lt;&gt;"R001",Table1[[#This Row],[Example]]&lt;&gt;"R002"),AI236-AA236,)</f>
        <v>0</v>
      </c>
      <c r="AM236" s="39" t="s">
        <v>77</v>
      </c>
      <c r="AN236" s="39">
        <v>-518481</v>
      </c>
      <c r="AO236" s="2">
        <v>0.88311640000000002</v>
      </c>
      <c r="AP23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6" s="4" t="str">
        <f>IF(AND(Table1[[#This Row],[Cplex MI Cost]]=Table1[[#This Row],[ORTools FZN2 Cost]],Table1[[#This Row],[ORTools FZN2 State]]="Optimal",Table1[[#This Row],[Cplex MI State]]="Suboptimal"),1,"")</f>
        <v/>
      </c>
      <c r="AR236" s="5" t="s">
        <v>77</v>
      </c>
      <c r="AS236" s="2">
        <v>-518481</v>
      </c>
      <c r="AT236" s="2">
        <v>14.428268600000001</v>
      </c>
      <c r="AU236" s="2" t="str">
        <f>IF(AND(Table1[[#This Row],[Z3 SMT2-1 Maxres Cost]]=Table1[[#This Row],[ORTools FZN2 Cost]],Table1[[#This Row],[ORTools FZN2 State]]="Optimal"),1,"")</f>
        <v/>
      </c>
      <c r="AV236" s="39" t="s">
        <v>77</v>
      </c>
      <c r="AW236" s="39">
        <v>-518481</v>
      </c>
      <c r="AX236" s="2">
        <v>14.227340399999999</v>
      </c>
      <c r="AY236" s="2" t="str">
        <f>IF(AND(Table1[[#This Row],[Z3 SMT2-1 PdMaxres Cost]]=Table1[[#This Row],[ORTools FZN2 Cost]],Table1[[#This Row],[ORTools FZN2 State]]="Optimal"),1,"")</f>
        <v/>
      </c>
      <c r="AZ236" s="5" t="s">
        <v>77</v>
      </c>
      <c r="BA236" s="2">
        <v>-518481</v>
      </c>
      <c r="BB236" s="39">
        <v>14.095097000000001</v>
      </c>
      <c r="BC236" s="39" t="str">
        <f>IF(AND(Table1[[#This Row],[Z3 SMT2-1 WMax Cost]]=Table1[[#This Row],[ORTools FZN2 Cost]],Table1[[#This Row],[ORTools FZN2 State]]="Optimal"),1,"")</f>
        <v/>
      </c>
      <c r="BD236" s="39" t="s">
        <v>77</v>
      </c>
      <c r="BE236" s="39">
        <v>-518481</v>
      </c>
      <c r="BF236" s="2">
        <v>13.586857200000001</v>
      </c>
      <c r="BG236" s="2" t="str">
        <f>IF(AND(Table1[[#This Row],[Z3 SMT2-2 Maxres Cost]]=Table1[[#This Row],[ORTools FZN2 Cost]],Table1[[#This Row],[ORTools FZN2 State]]="Optimal"),1,"")</f>
        <v/>
      </c>
      <c r="BH236" s="5" t="s">
        <v>77</v>
      </c>
      <c r="BI236" s="2">
        <v>-518481</v>
      </c>
      <c r="BJ236" s="39">
        <v>13.6197284</v>
      </c>
      <c r="BK236" s="39" t="str">
        <f>IF(AND(Table1[[#This Row],[Z3 SMT2-2 PdMaxres Cost]]=Table1[[#This Row],[ORTools FZN2 Cost]],Table1[[#This Row],[ORTools FZN2 State]]="Optimal"),1,"")</f>
        <v/>
      </c>
      <c r="BL236" s="39" t="s">
        <v>77</v>
      </c>
      <c r="BM236" s="39">
        <v>-518481</v>
      </c>
      <c r="BN236" s="2">
        <v>13.878254800000001</v>
      </c>
      <c r="BO236" s="4" t="str">
        <f>IF(AND(Table1[[#This Row],[Z3 SMT2-2 PdMaxres Cost]]=Table1[[#This Row],[ORTools FZN2 Cost]],Table1[[#This Row],[ORTools FZN2 State]]="Optimal"),1,"")</f>
        <v/>
      </c>
      <c r="BP236" s="5" t="s">
        <v>77</v>
      </c>
      <c r="BQ236" s="2">
        <v>-518481</v>
      </c>
      <c r="BR236" s="2">
        <v>0.1646137</v>
      </c>
      <c r="BS236" s="2" t="str">
        <f>IF(AND(Table1[[#This Row],[Gurobi MB Cost]]=Table1[[#This Row],[ORTools FZN2 Cost]],Table1[[#This Row],[ORTools FZN2 State]]="Optimal",Table1[[#This Row],[Gurobi MB State]]="Suboptimal"),1,"")</f>
        <v/>
      </c>
      <c r="BT23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6" s="5" t="s">
        <v>77</v>
      </c>
      <c r="BV236" s="2">
        <v>-518481</v>
      </c>
      <c r="BW236" s="2">
        <v>6.7000593999999998</v>
      </c>
      <c r="BX236" s="2" t="str">
        <f>IF(AND(Table1[[#This Row],[Gurobi MD Cost]]=Table1[[#This Row],[ORTools FZN2 Cost]],Table1[[#This Row],[ORTools FZN2 State]]="Optimal",Table1[[#This Row],[Gurobi MD State]]="Suboptimal"),1,"")</f>
        <v/>
      </c>
      <c r="BY23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6" s="5" t="s">
        <v>77</v>
      </c>
      <c r="CA236" s="2">
        <v>-518481</v>
      </c>
      <c r="CB236" s="2">
        <v>0.42065409999999998</v>
      </c>
      <c r="CC236" s="2" t="str">
        <f>IF(AND(Table1[[#This Row],[Gurobi MI Cost]]=Table1[[#This Row],[ORTools FZN2 Cost]],Table1[[#This Row],[ORTools FZN2 State]]="Optimal",Table1[[#This Row],[Gurobi MI State]]="Suboptimal"),1,"")</f>
        <v/>
      </c>
      <c r="CD23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6" s="39" t="s">
        <v>77</v>
      </c>
      <c r="CF236" s="2">
        <v>-518481</v>
      </c>
      <c r="CG236" s="39">
        <v>5.3470873000000001</v>
      </c>
      <c r="CH236" s="39" t="s">
        <v>77</v>
      </c>
      <c r="CI236" s="39">
        <v>-518481</v>
      </c>
      <c r="CJ236" s="2">
        <v>5.3134693999999998</v>
      </c>
      <c r="CK236" s="5" t="s">
        <v>77</v>
      </c>
      <c r="CL236" s="2">
        <v>-518481</v>
      </c>
      <c r="CM236" s="2">
        <v>0.204999999998108</v>
      </c>
      <c r="CN236" s="5" t="s">
        <v>77</v>
      </c>
      <c r="CO236" s="2">
        <v>-518481</v>
      </c>
      <c r="CP236" s="2">
        <v>4.0003888999999999</v>
      </c>
      <c r="CQ236" s="5" t="s">
        <v>77</v>
      </c>
      <c r="CR236" s="2">
        <v>-518481</v>
      </c>
      <c r="CS236" s="2">
        <v>9.8497263000000004</v>
      </c>
      <c r="CT236" s="6" t="s">
        <v>77</v>
      </c>
      <c r="CU236" s="4">
        <v>-518481</v>
      </c>
      <c r="CV236" s="4">
        <v>10.257124299999999</v>
      </c>
      <c r="CW236" s="39" t="s">
        <v>77</v>
      </c>
      <c r="CX236" s="39"/>
      <c r="CY236" s="2">
        <v>4.2465999999999999</v>
      </c>
      <c r="CZ236" s="2" t="str">
        <f>IF(AND(Table1[[#This Row],[Cplex MZ1 Cost]]=Table1[[#This Row],[ORTools FZN2 Cost]],Table1[[#This Row],[ORTools FZN2 State]]="Optimal",Table1[[#This Row],[Cplex MZ1 State]]="Suboptimal"),1,"")</f>
        <v/>
      </c>
      <c r="DA236" s="5" t="s">
        <v>77</v>
      </c>
      <c r="DB236" s="2"/>
      <c r="DC236" s="2">
        <v>4.4490999999999996</v>
      </c>
      <c r="DD236" s="2" t="str">
        <f>IF(AND(Table1[[#This Row],[Cplex MZ2 Cost]]=Table1[[#This Row],[ORTools FZN2 Cost]],Table1[[#This Row],[ORTools FZN2 State]]="Optimal",Table1[[#This Row],[Cplex MZ2 State]]="Suboptimal"),1,"")</f>
        <v/>
      </c>
      <c r="DE236" s="39" t="s">
        <v>77</v>
      </c>
      <c r="DF236" s="39"/>
      <c r="DG236" s="2">
        <v>0.42330000000000001</v>
      </c>
      <c r="DH236" s="2" t="str">
        <f>IF(AND(Table1[[#This Row],[Gurobi MZ1 Cost]]=Table1[[#This Row],[ORTools FZN2 Cost]],Table1[[#This Row],[ORTools FZN2 State]]="Optimal",Table1[[#This Row],[Gurobi MZ1 State]]="Suboptimal"),1,"")</f>
        <v/>
      </c>
      <c r="DI236" s="5" t="s">
        <v>77</v>
      </c>
      <c r="DJ236" s="2"/>
      <c r="DK236" s="2">
        <v>0.36959999999999998</v>
      </c>
      <c r="DL236" s="4" t="str">
        <f>IF(AND(Table1[[#This Row],[Gurobi MZ2 Cost]]=Table1[[#This Row],[ORTools FZN2 Cost]],Table1[[#This Row],[ORTools FZN2 State]]="Optimal",Table1[[#This Row],[Gurobi MZ2 State]]="Suboptimal"),1,"")</f>
        <v/>
      </c>
      <c r="DM236" s="39" t="s">
        <v>77</v>
      </c>
      <c r="DN236" s="39">
        <v>-518481</v>
      </c>
      <c r="DO236" s="65">
        <v>0.217000000000552</v>
      </c>
      <c r="DP236" s="4" t="str">
        <f>IF(AND(Table1[[#This Row],[Cplex MC nonDual Cost]]=Table1[[#This Row],[ORTools FZN2 Cost]],Table1[[#This Row],[ORTools FZN2 State]]="Optimal",Table1[[#This Row],[Cplex MC nonDual State]]="Suboptimal"),1,"")</f>
        <v/>
      </c>
      <c r="DQ236" s="5" t="s">
        <v>77</v>
      </c>
      <c r="DR236" s="2"/>
      <c r="DS236" s="2">
        <v>4.3552999999999997</v>
      </c>
      <c r="DT236" s="2" t="str">
        <f>IF(AND(Table1[[#This Row],[Cplex MIP DM''z Cost]]=Table1[[#This Row],[ORTools FZN2 Cost]],Table1[[#This Row],[ORTools FZN2 State]]="Optimal",Table1[[#This Row],[Cplex MIP DM''z  State]]="Suboptimal"),1,"")</f>
        <v/>
      </c>
      <c r="DU23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6" s="5" t="s">
        <v>77</v>
      </c>
      <c r="DW236" s="2"/>
      <c r="DX236" s="2">
        <v>0.43840000000000001</v>
      </c>
      <c r="DY236" s="4" t="str">
        <f>IF(AND(Table1[[#This Row],[Gurobi DM''z  Cost]]=Table1[[#This Row],[ORTools FZN2 Cost]],Table1[[#This Row],[ORTools FZN2 State]]="Optimal",Table1[[#This Row],[Gurobi DM''z  State]]="Suboptimal"),1,"")</f>
        <v/>
      </c>
      <c r="DZ23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7" spans="1:130" ht="15.75" x14ac:dyDescent="0.25">
      <c r="A237" s="47" t="s">
        <v>263</v>
      </c>
      <c r="B237" s="5">
        <v>80</v>
      </c>
      <c r="C237" s="2">
        <v>40</v>
      </c>
      <c r="D237" s="5">
        <v>735</v>
      </c>
      <c r="E237" s="2">
        <v>54</v>
      </c>
      <c r="F237" s="5">
        <v>249</v>
      </c>
      <c r="G237" s="2">
        <v>2</v>
      </c>
      <c r="H237" s="4">
        <f t="shared" si="3"/>
        <v>0</v>
      </c>
      <c r="I237" s="4">
        <f>Table1[[#This Row],[B]]+Table1[[#This Row],[Atomic Constraints]]+Table1[[#This Row],[Soft Atomic Constraints]]+Table1[[#This Row],[Disjunctive Constraints]]+Table1[[#This Row],[Direct Successors]]</f>
        <v>1080</v>
      </c>
      <c r="J237" s="5" t="s">
        <v>26</v>
      </c>
      <c r="K237" s="2">
        <v>19634675</v>
      </c>
      <c r="L237" s="2">
        <v>304.2032221</v>
      </c>
      <c r="M237" s="2" t="str">
        <f>IF(AND(Table1[[#This Row],[Chuffed MZ1 Cost]]=Table1[[#This Row],[ORTools FZN2 Cost]],Table1[[#This Row],[ORTools FZN2 State]]="Optimal",Table1[[#This Row],[Chuffed MZ1 State]]="Suboptimal"),1,"")</f>
        <v/>
      </c>
      <c r="N237" s="5" t="s">
        <v>42</v>
      </c>
      <c r="O237" s="2">
        <v>-518481</v>
      </c>
      <c r="P237" s="2">
        <v>304.20853740000001</v>
      </c>
      <c r="Q237" s="2" t="str">
        <f>IF(AND(Table1[[#This Row],[Chuffed MZ2 Cost]]=Table1[[#This Row],[ORTools FZN2 Cost]],Table1[[#This Row],[ORTools FZN2 State]]="Optimal",Table1[[#This Row],[Chuffed MZ2 State]]="Suboptimal"),1,"")</f>
        <v/>
      </c>
      <c r="R237" s="6" t="s">
        <v>26</v>
      </c>
      <c r="S237" s="4">
        <v>7728575</v>
      </c>
      <c r="T237" s="4">
        <v>300.05999999999801</v>
      </c>
      <c r="U237" s="4"/>
      <c r="V237" s="5" t="s">
        <v>26</v>
      </c>
      <c r="W237" s="2">
        <v>7728902</v>
      </c>
      <c r="X237" s="2">
        <v>301.62589279999997</v>
      </c>
      <c r="Y237" s="2" t="str">
        <f>IF(AND(Table1[[#This Row],[ORTools FZN1 Cost]]=Table1[[#This Row],[ORTools FZN2 Cost]],Table1[[#This Row],[ORTools FZN2 State]]="Optimal",Table1[[#This Row],[ORTools FZN1 State]]="Suboptimal"),1,"")</f>
        <v/>
      </c>
      <c r="Z237" s="5" t="s">
        <v>25</v>
      </c>
      <c r="AA237" s="2">
        <v>7728574</v>
      </c>
      <c r="AB237" s="2">
        <v>270.07764780000002</v>
      </c>
      <c r="AC237" s="39" t="s">
        <v>42</v>
      </c>
      <c r="AD237" s="39">
        <v>-518481</v>
      </c>
      <c r="AE237" s="2">
        <v>300.25893150000002</v>
      </c>
      <c r="AF237" s="2" t="str">
        <f>IF(AND(Table1[[#This Row],[Cplex MB Cost]]=Table1[[#This Row],[ORTools FZN2 Cost]],Table1[[#This Row],[ORTools FZN2 State]]="Optimal",Table1[[#This Row],[Cplex MB State]]="Suboptimal"),1,"")</f>
        <v/>
      </c>
      <c r="AG237" s="4">
        <f>IF(AND(AC237="Optimal",AD237&lt;&gt;AA237,Table1[[#This Row],[Example]]&lt;&gt;"R001",Table1[[#This Row],[Example]]&lt;&gt;"R002"),AD237-AA237,)</f>
        <v>0</v>
      </c>
      <c r="AH237" s="5" t="s">
        <v>42</v>
      </c>
      <c r="AI237" s="2">
        <v>-518481</v>
      </c>
      <c r="AJ237" s="2">
        <v>300.47139759999999</v>
      </c>
      <c r="AK237" s="2" t="str">
        <f>IF(AND(Table1[[#This Row],[Cplex MD Cost]]=Table1[[#This Row],[ORTools FZN2 Cost]],Table1[[#This Row],[ORTools FZN2 State]]="Optimal",Table1[[#This Row],[Cplex MD State]]="Suboptimal"),1,"")</f>
        <v/>
      </c>
      <c r="AL237" s="4">
        <f>IF(AND(AH237="Optimal",AI237&lt;&gt;AA237,Table1[[#This Row],[Example]]&lt;&gt;"R001",Table1[[#This Row],[Example]]&lt;&gt;"R002"),AI237-AA237,)</f>
        <v>0</v>
      </c>
      <c r="AM237" s="39" t="s">
        <v>26</v>
      </c>
      <c r="AN237" s="39">
        <v>19582836</v>
      </c>
      <c r="AO237" s="2">
        <v>300.19777649999997</v>
      </c>
      <c r="AP23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7" s="4" t="str">
        <f>IF(AND(Table1[[#This Row],[Cplex MI Cost]]=Table1[[#This Row],[ORTools FZN2 Cost]],Table1[[#This Row],[ORTools FZN2 State]]="Optimal",Table1[[#This Row],[Cplex MI State]]="Suboptimal"),1,"")</f>
        <v/>
      </c>
      <c r="AR237" s="5" t="s">
        <v>42</v>
      </c>
      <c r="AS237" s="2">
        <v>-518481</v>
      </c>
      <c r="AT237" s="2">
        <v>300.09384740000002</v>
      </c>
      <c r="AU237" s="2" t="str">
        <f>IF(AND(Table1[[#This Row],[Z3 SMT2-1 Maxres Cost]]=Table1[[#This Row],[ORTools FZN2 Cost]],Table1[[#This Row],[ORTools FZN2 State]]="Optimal"),1,"")</f>
        <v/>
      </c>
      <c r="AV237" s="39" t="s">
        <v>42</v>
      </c>
      <c r="AW237" s="39">
        <v>-518481</v>
      </c>
      <c r="AX237" s="2">
        <v>300.0792227</v>
      </c>
      <c r="AY237" s="2" t="str">
        <f>IF(AND(Table1[[#This Row],[Z3 SMT2-1 PdMaxres Cost]]=Table1[[#This Row],[ORTools FZN2 Cost]],Table1[[#This Row],[ORTools FZN2 State]]="Optimal"),1,"")</f>
        <v/>
      </c>
      <c r="AZ237" s="5" t="s">
        <v>42</v>
      </c>
      <c r="BA237" s="2">
        <v>-518481</v>
      </c>
      <c r="BB237" s="39">
        <v>300.09190430000001</v>
      </c>
      <c r="BC237" s="39" t="str">
        <f>IF(AND(Table1[[#This Row],[Z3 SMT2-1 WMax Cost]]=Table1[[#This Row],[ORTools FZN2 Cost]],Table1[[#This Row],[ORTools FZN2 State]]="Optimal"),1,"")</f>
        <v/>
      </c>
      <c r="BD237" s="39" t="s">
        <v>42</v>
      </c>
      <c r="BE237" s="39">
        <v>-518481</v>
      </c>
      <c r="BF237" s="2">
        <v>300.08714049999998</v>
      </c>
      <c r="BG237" s="2" t="str">
        <f>IF(AND(Table1[[#This Row],[Z3 SMT2-2 Maxres Cost]]=Table1[[#This Row],[ORTools FZN2 Cost]],Table1[[#This Row],[ORTools FZN2 State]]="Optimal"),1,"")</f>
        <v/>
      </c>
      <c r="BH237" s="5" t="s">
        <v>42</v>
      </c>
      <c r="BI237" s="2">
        <v>-518481</v>
      </c>
      <c r="BJ237" s="39">
        <v>300.0876548</v>
      </c>
      <c r="BK237" s="39" t="str">
        <f>IF(AND(Table1[[#This Row],[Z3 SMT2-2 PdMaxres Cost]]=Table1[[#This Row],[ORTools FZN2 Cost]],Table1[[#This Row],[ORTools FZN2 State]]="Optimal"),1,"")</f>
        <v/>
      </c>
      <c r="BL237" s="39" t="s">
        <v>42</v>
      </c>
      <c r="BM237" s="39">
        <v>-518481</v>
      </c>
      <c r="BN237" s="2">
        <v>300.08469430000002</v>
      </c>
      <c r="BO237" s="4" t="str">
        <f>IF(AND(Table1[[#This Row],[Z3 SMT2-2 PdMaxres Cost]]=Table1[[#This Row],[ORTools FZN2 Cost]],Table1[[#This Row],[ORTools FZN2 State]]="Optimal"),1,"")</f>
        <v/>
      </c>
      <c r="BP237" s="5" t="s">
        <v>42</v>
      </c>
      <c r="BQ237" s="2">
        <v>-518481</v>
      </c>
      <c r="BR237" s="2">
        <v>300.2317074</v>
      </c>
      <c r="BS237" s="2" t="str">
        <f>IF(AND(Table1[[#This Row],[Gurobi MB Cost]]=Table1[[#This Row],[ORTools FZN2 Cost]],Table1[[#This Row],[ORTools FZN2 State]]="Optimal",Table1[[#This Row],[Gurobi MB State]]="Suboptimal"),1,"")</f>
        <v/>
      </c>
      <c r="BT23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7" s="5" t="s">
        <v>42</v>
      </c>
      <c r="BV237" s="2">
        <v>-518481</v>
      </c>
      <c r="BW237" s="2">
        <v>300.22943839999999</v>
      </c>
      <c r="BX237" s="2" t="str">
        <f>IF(AND(Table1[[#This Row],[Gurobi MD Cost]]=Table1[[#This Row],[ORTools FZN2 Cost]],Table1[[#This Row],[ORTools FZN2 State]]="Optimal",Table1[[#This Row],[Gurobi MD State]]="Suboptimal"),1,"")</f>
        <v/>
      </c>
      <c r="BY23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7" s="5" t="s">
        <v>42</v>
      </c>
      <c r="CA237" s="2">
        <v>-518481</v>
      </c>
      <c r="CB237" s="2">
        <v>300.48330800000002</v>
      </c>
      <c r="CC237" s="2" t="str">
        <f>IF(AND(Table1[[#This Row],[Gurobi MI Cost]]=Table1[[#This Row],[ORTools FZN2 Cost]],Table1[[#This Row],[ORTools FZN2 State]]="Optimal",Table1[[#This Row],[Gurobi MI State]]="Suboptimal"),1,"")</f>
        <v/>
      </c>
      <c r="CD23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7" s="39" t="s">
        <v>42</v>
      </c>
      <c r="CF237" s="2">
        <v>-518481</v>
      </c>
      <c r="CG237" s="39">
        <v>306.21508390000002</v>
      </c>
      <c r="CH237" s="39" t="s">
        <v>42</v>
      </c>
      <c r="CI237" s="39">
        <v>-518481</v>
      </c>
      <c r="CJ237" s="2">
        <v>306.1995465</v>
      </c>
      <c r="CK237" s="5" t="s">
        <v>26</v>
      </c>
      <c r="CL237" s="2">
        <v>7728575</v>
      </c>
      <c r="CM237" s="2">
        <v>300.28800000000001</v>
      </c>
      <c r="CN237" s="5" t="s">
        <v>26</v>
      </c>
      <c r="CO237" s="2">
        <v>17567302</v>
      </c>
      <c r="CP237" s="2">
        <v>304.11263350000002</v>
      </c>
      <c r="CQ237" s="5" t="s">
        <v>26</v>
      </c>
      <c r="CR237" s="2">
        <v>7728577</v>
      </c>
      <c r="CS237" s="2">
        <v>302.23949040000002</v>
      </c>
      <c r="CT237" s="6" t="s">
        <v>25</v>
      </c>
      <c r="CU237" s="4">
        <v>7728574</v>
      </c>
      <c r="CV237" s="4">
        <v>111.3669702</v>
      </c>
      <c r="CW237" s="39" t="s">
        <v>42</v>
      </c>
      <c r="CX237" s="39"/>
      <c r="CY237" s="2">
        <v>300.02269999999999</v>
      </c>
      <c r="CZ237" s="2" t="str">
        <f>IF(AND(Table1[[#This Row],[Cplex MZ1 Cost]]=Table1[[#This Row],[ORTools FZN2 Cost]],Table1[[#This Row],[ORTools FZN2 State]]="Optimal",Table1[[#This Row],[Cplex MZ1 State]]="Suboptimal"),1,"")</f>
        <v/>
      </c>
      <c r="DA237" s="5" t="s">
        <v>42</v>
      </c>
      <c r="DB237" s="2"/>
      <c r="DC237" s="2">
        <v>300.01429999999999</v>
      </c>
      <c r="DD237" s="2" t="str">
        <f>IF(AND(Table1[[#This Row],[Cplex MZ2 Cost]]=Table1[[#This Row],[ORTools FZN2 Cost]],Table1[[#This Row],[ORTools FZN2 State]]="Optimal",Table1[[#This Row],[Cplex MZ2 State]]="Suboptimal"),1,"")</f>
        <v/>
      </c>
      <c r="DE237" s="39" t="s">
        <v>42</v>
      </c>
      <c r="DF237" s="39"/>
      <c r="DG237" s="2">
        <v>300.00659999999999</v>
      </c>
      <c r="DH237" s="2" t="str">
        <f>IF(AND(Table1[[#This Row],[Gurobi MZ1 Cost]]=Table1[[#This Row],[ORTools FZN2 Cost]],Table1[[#This Row],[ORTools FZN2 State]]="Optimal",Table1[[#This Row],[Gurobi MZ1 State]]="Suboptimal"),1,"")</f>
        <v/>
      </c>
      <c r="DI237" s="5" t="s">
        <v>42</v>
      </c>
      <c r="DJ237" s="2"/>
      <c r="DK237" s="2">
        <v>300.01560000000001</v>
      </c>
      <c r="DL237" s="4" t="str">
        <f>IF(AND(Table1[[#This Row],[Gurobi MZ2 Cost]]=Table1[[#This Row],[ORTools FZN2 Cost]],Table1[[#This Row],[ORTools FZN2 State]]="Optimal",Table1[[#This Row],[Gurobi MZ2 State]]="Suboptimal"),1,"")</f>
        <v/>
      </c>
      <c r="DM237" s="39" t="s">
        <v>26</v>
      </c>
      <c r="DN237" s="39">
        <v>7728575</v>
      </c>
      <c r="DO237" s="65">
        <v>300.18400000000099</v>
      </c>
      <c r="DP237" s="4" t="str">
        <f>IF(AND(Table1[[#This Row],[Cplex MC nonDual Cost]]=Table1[[#This Row],[ORTools FZN2 Cost]],Table1[[#This Row],[ORTools FZN2 State]]="Optimal",Table1[[#This Row],[Cplex MC nonDual State]]="Suboptimal"),1,"")</f>
        <v/>
      </c>
      <c r="DQ237" s="5" t="s">
        <v>42</v>
      </c>
      <c r="DR237" s="2"/>
      <c r="DS237" s="2">
        <v>300.02379999999999</v>
      </c>
      <c r="DT237" s="2" t="str">
        <f>IF(AND(Table1[[#This Row],[Cplex MIP DM''z Cost]]=Table1[[#This Row],[ORTools FZN2 Cost]],Table1[[#This Row],[ORTools FZN2 State]]="Optimal",Table1[[#This Row],[Cplex MIP DM''z  State]]="Suboptimal"),1,"")</f>
        <v/>
      </c>
      <c r="DU23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7" s="5" t="s">
        <v>42</v>
      </c>
      <c r="DW237" s="2"/>
      <c r="DX237" s="2">
        <v>300.02229999999997</v>
      </c>
      <c r="DY237" s="4" t="str">
        <f>IF(AND(Table1[[#This Row],[Gurobi DM''z  Cost]]=Table1[[#This Row],[ORTools FZN2 Cost]],Table1[[#This Row],[ORTools FZN2 State]]="Optimal",Table1[[#This Row],[Gurobi DM''z  State]]="Suboptimal"),1,"")</f>
        <v/>
      </c>
      <c r="DZ23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8" spans="1:130" ht="15.75" x14ac:dyDescent="0.25">
      <c r="A238" s="46" t="s">
        <v>264</v>
      </c>
      <c r="B238" s="5">
        <v>56</v>
      </c>
      <c r="C238" s="2">
        <v>25</v>
      </c>
      <c r="D238" s="5">
        <v>562</v>
      </c>
      <c r="E238" s="2">
        <v>27</v>
      </c>
      <c r="F238" s="5">
        <v>28</v>
      </c>
      <c r="G238" s="2">
        <v>0</v>
      </c>
      <c r="H238" s="4">
        <f t="shared" si="3"/>
        <v>6</v>
      </c>
      <c r="I238" s="4">
        <f>Table1[[#This Row],[B]]+Table1[[#This Row],[Atomic Constraints]]+Table1[[#This Row],[Soft Atomic Constraints]]+Table1[[#This Row],[Disjunctive Constraints]]+Table1[[#This Row],[Direct Successors]]</f>
        <v>642</v>
      </c>
      <c r="J238" s="5" t="s">
        <v>26</v>
      </c>
      <c r="K238" s="2">
        <v>3545990</v>
      </c>
      <c r="L238" s="2">
        <v>301.96118869999998</v>
      </c>
      <c r="M238" s="2" t="str">
        <f>IF(AND(Table1[[#This Row],[Chuffed MZ1 Cost]]=Table1[[#This Row],[ORTools FZN2 Cost]],Table1[[#This Row],[ORTools FZN2 State]]="Optimal",Table1[[#This Row],[Chuffed MZ1 State]]="Suboptimal"),1,"")</f>
        <v/>
      </c>
      <c r="N238" s="5" t="s">
        <v>26</v>
      </c>
      <c r="O238" s="2">
        <v>712107</v>
      </c>
      <c r="P238" s="2">
        <v>302.1034482</v>
      </c>
      <c r="Q238" s="2" t="str">
        <f>IF(AND(Table1[[#This Row],[Chuffed MZ2 Cost]]=Table1[[#This Row],[ORTools FZN2 Cost]],Table1[[#This Row],[ORTools FZN2 State]]="Optimal",Table1[[#This Row],[Chuffed MZ2 State]]="Suboptimal"),1,"")</f>
        <v/>
      </c>
      <c r="R238" s="6" t="s">
        <v>25</v>
      </c>
      <c r="S238" s="4">
        <v>178868</v>
      </c>
      <c r="T238" s="4">
        <v>28.300999999999501</v>
      </c>
      <c r="U238" s="4"/>
      <c r="V238" s="5" t="s">
        <v>25</v>
      </c>
      <c r="W238" s="2">
        <v>178868</v>
      </c>
      <c r="X238" s="2">
        <v>16.857439100000001</v>
      </c>
      <c r="Y238" s="2" t="str">
        <f>IF(AND(Table1[[#This Row],[ORTools FZN1 Cost]]=Table1[[#This Row],[ORTools FZN2 Cost]],Table1[[#This Row],[ORTools FZN2 State]]="Optimal",Table1[[#This Row],[ORTools FZN1 State]]="Suboptimal"),1,"")</f>
        <v/>
      </c>
      <c r="Z238" s="5" t="s">
        <v>25</v>
      </c>
      <c r="AA238" s="2">
        <v>178868</v>
      </c>
      <c r="AB238" s="2">
        <v>12.8382822</v>
      </c>
      <c r="AC238" s="39" t="s">
        <v>42</v>
      </c>
      <c r="AD238" s="39">
        <v>-178809</v>
      </c>
      <c r="AE238" s="2">
        <v>300.11494340000002</v>
      </c>
      <c r="AF238" s="2" t="str">
        <f>IF(AND(Table1[[#This Row],[Cplex MB Cost]]=Table1[[#This Row],[ORTools FZN2 Cost]],Table1[[#This Row],[ORTools FZN2 State]]="Optimal",Table1[[#This Row],[Cplex MB State]]="Suboptimal"),1,"")</f>
        <v/>
      </c>
      <c r="AG238" s="4">
        <f>IF(AND(AC238="Optimal",AD238&lt;&gt;AA238,Table1[[#This Row],[Example]]&lt;&gt;"R001",Table1[[#This Row],[Example]]&lt;&gt;"R002"),AD238-AA238,)</f>
        <v>0</v>
      </c>
      <c r="AH238" s="5" t="s">
        <v>26</v>
      </c>
      <c r="AI238" s="2">
        <v>3877166</v>
      </c>
      <c r="AJ238" s="2">
        <v>313.62803109999999</v>
      </c>
      <c r="AK238" s="2" t="str">
        <f>IF(AND(Table1[[#This Row],[Cplex MD Cost]]=Table1[[#This Row],[ORTools FZN2 Cost]],Table1[[#This Row],[ORTools FZN2 State]]="Optimal",Table1[[#This Row],[Cplex MD State]]="Suboptimal"),1,"")</f>
        <v/>
      </c>
      <c r="AL238" s="4">
        <f>IF(AND(AH238="Optimal",AI238&lt;&gt;AA238,Table1[[#This Row],[Example]]&lt;&gt;"R001",Table1[[#This Row],[Example]]&lt;&gt;"R002"),AI238-AA238,)</f>
        <v>0</v>
      </c>
      <c r="AM238" s="39" t="s">
        <v>26</v>
      </c>
      <c r="AN238" s="39">
        <v>705829</v>
      </c>
      <c r="AO238" s="2">
        <v>300.1070464</v>
      </c>
      <c r="AP238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8" s="2" t="str">
        <f>IF(AND(Table1[[#This Row],[Cplex MI Cost]]=Table1[[#This Row],[ORTools FZN2 Cost]],Table1[[#This Row],[ORTools FZN2 State]]="Optimal",Table1[[#This Row],[Cplex MI State]]="Suboptimal"),1,"")</f>
        <v/>
      </c>
      <c r="AR238" s="5" t="s">
        <v>42</v>
      </c>
      <c r="AS238" s="2">
        <v>-178809</v>
      </c>
      <c r="AT238" s="2">
        <v>300.0536616</v>
      </c>
      <c r="AU238" s="2" t="str">
        <f>IF(AND(Table1[[#This Row],[Z3 SMT2-1 Maxres Cost]]=Table1[[#This Row],[ORTools FZN2 Cost]],Table1[[#This Row],[ORTools FZN2 State]]="Optimal"),1,"")</f>
        <v/>
      </c>
      <c r="AV238" s="39" t="s">
        <v>42</v>
      </c>
      <c r="AW238" s="39">
        <v>-178809</v>
      </c>
      <c r="AX238" s="2">
        <v>300.0628906</v>
      </c>
      <c r="AY238" s="2" t="str">
        <f>IF(AND(Table1[[#This Row],[Z3 SMT2-1 PdMaxres Cost]]=Table1[[#This Row],[ORTools FZN2 Cost]],Table1[[#This Row],[ORTools FZN2 State]]="Optimal"),1,"")</f>
        <v/>
      </c>
      <c r="AZ238" s="5" t="s">
        <v>42</v>
      </c>
      <c r="BA238" s="2">
        <v>-178809</v>
      </c>
      <c r="BB238" s="39">
        <v>300.06306039999998</v>
      </c>
      <c r="BC238" s="39" t="str">
        <f>IF(AND(Table1[[#This Row],[Z3 SMT2-1 WMax Cost]]=Table1[[#This Row],[ORTools FZN2 Cost]],Table1[[#This Row],[ORTools FZN2 State]]="Optimal"),1,"")</f>
        <v/>
      </c>
      <c r="BD238" s="39" t="s">
        <v>42</v>
      </c>
      <c r="BE238" s="39">
        <v>-178809</v>
      </c>
      <c r="BF238" s="2">
        <v>300.05567509999997</v>
      </c>
      <c r="BG238" s="2" t="str">
        <f>IF(AND(Table1[[#This Row],[Z3 SMT2-2 Maxres Cost]]=Table1[[#This Row],[ORTools FZN2 Cost]],Table1[[#This Row],[ORTools FZN2 State]]="Optimal"),1,"")</f>
        <v/>
      </c>
      <c r="BH238" s="5" t="s">
        <v>42</v>
      </c>
      <c r="BI238" s="2">
        <v>-178809</v>
      </c>
      <c r="BJ238" s="39">
        <v>300.05623029999998</v>
      </c>
      <c r="BK238" s="39" t="str">
        <f>IF(AND(Table1[[#This Row],[Z3 SMT2-2 PdMaxres Cost]]=Table1[[#This Row],[ORTools FZN2 Cost]],Table1[[#This Row],[ORTools FZN2 State]]="Optimal"),1,"")</f>
        <v/>
      </c>
      <c r="BL238" s="39" t="s">
        <v>42</v>
      </c>
      <c r="BM238" s="39">
        <v>-178809</v>
      </c>
      <c r="BN238" s="2">
        <v>300.04792140000001</v>
      </c>
      <c r="BO238" s="4" t="str">
        <f>IF(AND(Table1[[#This Row],[Z3 SMT2-2 PdMaxres Cost]]=Table1[[#This Row],[ORTools FZN2 Cost]],Table1[[#This Row],[ORTools FZN2 State]]="Optimal"),1,"")</f>
        <v/>
      </c>
      <c r="BP238" s="5" t="s">
        <v>25</v>
      </c>
      <c r="BQ238" s="2">
        <v>178868</v>
      </c>
      <c r="BR238" s="2">
        <v>149.29396</v>
      </c>
      <c r="BS238" s="2" t="str">
        <f>IF(AND(Table1[[#This Row],[Gurobi MB Cost]]=Table1[[#This Row],[ORTools FZN2 Cost]],Table1[[#This Row],[ORTools FZN2 State]]="Optimal",Table1[[#This Row],[Gurobi MB State]]="Suboptimal"),1,"")</f>
        <v/>
      </c>
      <c r="BT23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8" s="5" t="s">
        <v>42</v>
      </c>
      <c r="BV238" s="2">
        <v>-178809</v>
      </c>
      <c r="BW238" s="2">
        <v>300.42568069999999</v>
      </c>
      <c r="BX238" s="2" t="str">
        <f>IF(AND(Table1[[#This Row],[Gurobi MD Cost]]=Table1[[#This Row],[ORTools FZN2 Cost]],Table1[[#This Row],[ORTools FZN2 State]]="Optimal",Table1[[#This Row],[Gurobi MD State]]="Suboptimal"),1,"")</f>
        <v/>
      </c>
      <c r="BY23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8" s="5" t="s">
        <v>26</v>
      </c>
      <c r="CA238" s="2">
        <v>178868</v>
      </c>
      <c r="CB238" s="2">
        <v>300.17233640000001</v>
      </c>
      <c r="CC238" s="2">
        <f>IF(AND(Table1[[#This Row],[Gurobi MI Cost]]=Table1[[#This Row],[ORTools FZN2 Cost]],Table1[[#This Row],[ORTools FZN2 State]]="Optimal",Table1[[#This Row],[Gurobi MI State]]="Suboptimal"),1,"")</f>
        <v>1</v>
      </c>
      <c r="CD23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8" s="39" t="s">
        <v>42</v>
      </c>
      <c r="CF238" s="2">
        <v>-178809</v>
      </c>
      <c r="CG238" s="39">
        <v>306.1840153</v>
      </c>
      <c r="CH238" s="39" t="s">
        <v>42</v>
      </c>
      <c r="CI238" s="39">
        <v>-178809</v>
      </c>
      <c r="CJ238" s="2">
        <v>306.09999019999998</v>
      </c>
      <c r="CK238" s="5" t="s">
        <v>25</v>
      </c>
      <c r="CL238" s="2">
        <v>178868</v>
      </c>
      <c r="CM238" s="2">
        <v>11.746999999999399</v>
      </c>
      <c r="CN238" s="5" t="s">
        <v>26</v>
      </c>
      <c r="CO238" s="2">
        <v>2842852</v>
      </c>
      <c r="CP238" s="2">
        <v>301.9470273</v>
      </c>
      <c r="CQ238" s="5" t="s">
        <v>25</v>
      </c>
      <c r="CR238" s="2">
        <v>178868</v>
      </c>
      <c r="CS238" s="2">
        <v>38.247079100000001</v>
      </c>
      <c r="CT238" s="6" t="s">
        <v>25</v>
      </c>
      <c r="CU238" s="4">
        <v>178868</v>
      </c>
      <c r="CV238" s="4">
        <v>21.545381500000001</v>
      </c>
      <c r="CW238" s="39" t="s">
        <v>26</v>
      </c>
      <c r="CX238" s="39">
        <v>354486</v>
      </c>
      <c r="CY238" s="2">
        <v>300.0095</v>
      </c>
      <c r="CZ238" s="2" t="str">
        <f>IF(AND(Table1[[#This Row],[Cplex MZ1 Cost]]=Table1[[#This Row],[ORTools FZN2 Cost]],Table1[[#This Row],[ORTools FZN2 State]]="Optimal",Table1[[#This Row],[Cplex MZ1 State]]="Suboptimal"),1,"")</f>
        <v/>
      </c>
      <c r="DA238" s="12" t="s">
        <v>26</v>
      </c>
      <c r="DB238" s="12">
        <v>178868</v>
      </c>
      <c r="DC238" s="12">
        <v>300.012</v>
      </c>
      <c r="DD238" s="12">
        <f>IF(AND(Table1[[#This Row],[Cplex MZ2 Cost]]=Table1[[#This Row],[ORTools FZN2 Cost]],Table1[[#This Row],[ORTools FZN2 State]]="Optimal",Table1[[#This Row],[Cplex MZ2 State]]="Suboptimal"),1,"")</f>
        <v>1</v>
      </c>
      <c r="DE238" s="39" t="s">
        <v>26</v>
      </c>
      <c r="DF238" s="39">
        <v>1415242</v>
      </c>
      <c r="DG238" s="2">
        <v>300.00869999999998</v>
      </c>
      <c r="DH238" s="2" t="str">
        <f>IF(AND(Table1[[#This Row],[Gurobi MZ1 Cost]]=Table1[[#This Row],[ORTools FZN2 Cost]],Table1[[#This Row],[ORTools FZN2 State]]="Optimal",Table1[[#This Row],[Gurobi MZ1 State]]="Suboptimal"),1,"")</f>
        <v/>
      </c>
      <c r="DI238" s="5" t="s">
        <v>26</v>
      </c>
      <c r="DJ238" s="2">
        <v>1064289</v>
      </c>
      <c r="DK238" s="2">
        <v>300.00810000000001</v>
      </c>
      <c r="DL238" s="4" t="str">
        <f>IF(AND(Table1[[#This Row],[Gurobi MZ2 Cost]]=Table1[[#This Row],[ORTools FZN2 Cost]],Table1[[#This Row],[ORTools FZN2 State]]="Optimal",Table1[[#This Row],[Gurobi MZ2 State]]="Suboptimal"),1,"")</f>
        <v/>
      </c>
      <c r="DM238" s="39" t="s">
        <v>25</v>
      </c>
      <c r="DN238" s="39">
        <v>178868</v>
      </c>
      <c r="DO238" s="65">
        <v>7.7420000000020002</v>
      </c>
      <c r="DP238" s="4" t="str">
        <f>IF(AND(Table1[[#This Row],[Cplex MC nonDual Cost]]=Table1[[#This Row],[ORTools FZN2 Cost]],Table1[[#This Row],[ORTools FZN2 State]]="Optimal",Table1[[#This Row],[Cplex MC nonDual State]]="Suboptimal"),1,"")</f>
        <v/>
      </c>
      <c r="DQ238" s="5" t="s">
        <v>26</v>
      </c>
      <c r="DR238" s="2">
        <v>354599</v>
      </c>
      <c r="DS238" s="2">
        <v>300.0256</v>
      </c>
      <c r="DT238" s="2" t="str">
        <f>IF(AND(Table1[[#This Row],[Cplex MIP DM''z Cost]]=Table1[[#This Row],[ORTools FZN2 Cost]],Table1[[#This Row],[ORTools FZN2 State]]="Optimal",Table1[[#This Row],[Cplex MIP DM''z  State]]="Suboptimal"),1,"")</f>
        <v/>
      </c>
      <c r="DU23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8" s="5" t="s">
        <v>26</v>
      </c>
      <c r="DW238" s="2">
        <v>1951775</v>
      </c>
      <c r="DX238" s="2">
        <v>300.00790000000001</v>
      </c>
      <c r="DY238" s="4" t="str">
        <f>IF(AND(Table1[[#This Row],[Gurobi DM''z  Cost]]=Table1[[#This Row],[ORTools FZN2 Cost]],Table1[[#This Row],[ORTools FZN2 State]]="Optimal",Table1[[#This Row],[Gurobi DM''z  State]]="Suboptimal"),1,"")</f>
        <v/>
      </c>
      <c r="DZ23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39" spans="1:130" ht="15.75" x14ac:dyDescent="0.25">
      <c r="A239" s="47" t="s">
        <v>265</v>
      </c>
      <c r="B239" s="5">
        <v>67</v>
      </c>
      <c r="C239" s="2">
        <v>31</v>
      </c>
      <c r="D239" s="5">
        <v>800</v>
      </c>
      <c r="E239" s="2">
        <v>35</v>
      </c>
      <c r="F239" s="5">
        <v>34</v>
      </c>
      <c r="G239" s="2">
        <v>0</v>
      </c>
      <c r="H239" s="4">
        <f t="shared" si="3"/>
        <v>5</v>
      </c>
      <c r="I239" s="4">
        <f>Table1[[#This Row],[B]]+Table1[[#This Row],[Atomic Constraints]]+Table1[[#This Row],[Soft Atomic Constraints]]+Table1[[#This Row],[Disjunctive Constraints]]+Table1[[#This Row],[Direct Successors]]</f>
        <v>900</v>
      </c>
      <c r="J239" s="5" t="s">
        <v>26</v>
      </c>
      <c r="K239" s="2">
        <v>7584895</v>
      </c>
      <c r="L239" s="2">
        <v>302.82496020000002</v>
      </c>
      <c r="M239" s="2" t="str">
        <f>IF(AND(Table1[[#This Row],[Chuffed MZ1 Cost]]=Table1[[#This Row],[ORTools FZN2 Cost]],Table1[[#This Row],[ORTools FZN2 State]]="Optimal",Table1[[#This Row],[Chuffed MZ1 State]]="Suboptimal"),1,"")</f>
        <v/>
      </c>
      <c r="N239" s="5" t="s">
        <v>26</v>
      </c>
      <c r="O239" s="2">
        <v>8217904</v>
      </c>
      <c r="P239" s="2">
        <v>302.72549759999998</v>
      </c>
      <c r="Q239" s="2" t="str">
        <f>IF(AND(Table1[[#This Row],[Chuffed MZ2 Cost]]=Table1[[#This Row],[ORTools FZN2 Cost]],Table1[[#This Row],[ORTools FZN2 State]]="Optimal",Table1[[#This Row],[Chuffed MZ2 State]]="Suboptimal"),1,"")</f>
        <v/>
      </c>
      <c r="R239" s="11" t="s">
        <v>26</v>
      </c>
      <c r="S239" s="11">
        <v>606155</v>
      </c>
      <c r="T239" s="11">
        <v>300.04500000000201</v>
      </c>
      <c r="U239" s="11">
        <v>1</v>
      </c>
      <c r="V239" s="5" t="s">
        <v>25</v>
      </c>
      <c r="W239" s="2">
        <v>606155</v>
      </c>
      <c r="X239" s="2">
        <v>29.267313999999999</v>
      </c>
      <c r="Y239" s="2" t="str">
        <f>IF(AND(Table1[[#This Row],[ORTools FZN1 Cost]]=Table1[[#This Row],[ORTools FZN2 Cost]],Table1[[#This Row],[ORTools FZN2 State]]="Optimal",Table1[[#This Row],[ORTools FZN1 State]]="Suboptimal"),1,"")</f>
        <v/>
      </c>
      <c r="Z239" s="5" t="s">
        <v>25</v>
      </c>
      <c r="AA239" s="2">
        <v>606155</v>
      </c>
      <c r="AB239" s="2">
        <v>48.9988356</v>
      </c>
      <c r="AC239" s="39" t="s">
        <v>42</v>
      </c>
      <c r="AD239" s="39">
        <v>-305320</v>
      </c>
      <c r="AE239" s="2">
        <v>300.17352729999999</v>
      </c>
      <c r="AF239" s="2" t="str">
        <f>IF(AND(Table1[[#This Row],[Cplex MB Cost]]=Table1[[#This Row],[ORTools FZN2 Cost]],Table1[[#This Row],[ORTools FZN2 State]]="Optimal",Table1[[#This Row],[Cplex MB State]]="Suboptimal"),1,"")</f>
        <v/>
      </c>
      <c r="AG239" s="4">
        <f>IF(AND(AC239="Optimal",AD239&lt;&gt;AA239,Table1[[#This Row],[Example]]&lt;&gt;"R001",Table1[[#This Row],[Example]]&lt;&gt;"R002"),AD239-AA239,)</f>
        <v>0</v>
      </c>
      <c r="AH239" s="5" t="s">
        <v>42</v>
      </c>
      <c r="AI239" s="2">
        <v>-305320</v>
      </c>
      <c r="AJ239" s="2">
        <v>300.02330599999999</v>
      </c>
      <c r="AK239" s="2" t="str">
        <f>IF(AND(Table1[[#This Row],[Cplex MD Cost]]=Table1[[#This Row],[ORTools FZN2 Cost]],Table1[[#This Row],[ORTools FZN2 State]]="Optimal",Table1[[#This Row],[Cplex MD State]]="Suboptimal"),1,"")</f>
        <v/>
      </c>
      <c r="AL239" s="4">
        <f>IF(AND(AH239="Optimal",AI239&lt;&gt;AA239,Table1[[#This Row],[Example]]&lt;&gt;"R001",Table1[[#This Row],[Example]]&lt;&gt;"R002"),AI239-AA239,)</f>
        <v>0</v>
      </c>
      <c r="AM239" s="39" t="s">
        <v>26</v>
      </c>
      <c r="AN239" s="39">
        <v>2119281</v>
      </c>
      <c r="AO239" s="2">
        <v>300.11371380000003</v>
      </c>
      <c r="AP23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39" s="4" t="str">
        <f>IF(AND(Table1[[#This Row],[Cplex MI Cost]]=Table1[[#This Row],[ORTools FZN2 Cost]],Table1[[#This Row],[ORTools FZN2 State]]="Optimal",Table1[[#This Row],[Cplex MI State]]="Suboptimal"),1,"")</f>
        <v/>
      </c>
      <c r="AR239" s="5" t="s">
        <v>42</v>
      </c>
      <c r="AS239" s="2">
        <v>-305320</v>
      </c>
      <c r="AT239" s="2">
        <v>300.06265489999998</v>
      </c>
      <c r="AU239" s="2" t="str">
        <f>IF(AND(Table1[[#This Row],[Z3 SMT2-1 Maxres Cost]]=Table1[[#This Row],[ORTools FZN2 Cost]],Table1[[#This Row],[ORTools FZN2 State]]="Optimal"),1,"")</f>
        <v/>
      </c>
      <c r="AV239" s="39" t="s">
        <v>42</v>
      </c>
      <c r="AW239" s="39">
        <v>-305320</v>
      </c>
      <c r="AX239" s="2">
        <v>300.06846460000003</v>
      </c>
      <c r="AY239" s="2" t="str">
        <f>IF(AND(Table1[[#This Row],[Z3 SMT2-1 PdMaxres Cost]]=Table1[[#This Row],[ORTools FZN2 Cost]],Table1[[#This Row],[ORTools FZN2 State]]="Optimal"),1,"")</f>
        <v/>
      </c>
      <c r="AZ239" s="5" t="s">
        <v>42</v>
      </c>
      <c r="BA239" s="2">
        <v>-305320</v>
      </c>
      <c r="BB239" s="39">
        <v>300.06988630000001</v>
      </c>
      <c r="BC239" s="39" t="str">
        <f>IF(AND(Table1[[#This Row],[Z3 SMT2-1 WMax Cost]]=Table1[[#This Row],[ORTools FZN2 Cost]],Table1[[#This Row],[ORTools FZN2 State]]="Optimal"),1,"")</f>
        <v/>
      </c>
      <c r="BD239" s="39" t="s">
        <v>42</v>
      </c>
      <c r="BE239" s="39">
        <v>-305320</v>
      </c>
      <c r="BF239" s="2">
        <v>300.0656697</v>
      </c>
      <c r="BG239" s="2" t="str">
        <f>IF(AND(Table1[[#This Row],[Z3 SMT2-2 Maxres Cost]]=Table1[[#This Row],[ORTools FZN2 Cost]],Table1[[#This Row],[ORTools FZN2 State]]="Optimal"),1,"")</f>
        <v/>
      </c>
      <c r="BH239" s="5" t="s">
        <v>42</v>
      </c>
      <c r="BI239" s="2">
        <v>-305320</v>
      </c>
      <c r="BJ239" s="39">
        <v>300.05770239999998</v>
      </c>
      <c r="BK239" s="39" t="str">
        <f>IF(AND(Table1[[#This Row],[Z3 SMT2-2 PdMaxres Cost]]=Table1[[#This Row],[ORTools FZN2 Cost]],Table1[[#This Row],[ORTools FZN2 State]]="Optimal"),1,"")</f>
        <v/>
      </c>
      <c r="BL239" s="39" t="s">
        <v>42</v>
      </c>
      <c r="BM239" s="39">
        <v>-305320</v>
      </c>
      <c r="BN239" s="2">
        <v>300.05651130000001</v>
      </c>
      <c r="BO239" s="4" t="str">
        <f>IF(AND(Table1[[#This Row],[Z3 SMT2-2 PdMaxres Cost]]=Table1[[#This Row],[ORTools FZN2 Cost]],Table1[[#This Row],[ORTools FZN2 State]]="Optimal"),1,"")</f>
        <v/>
      </c>
      <c r="BP239" s="5" t="s">
        <v>42</v>
      </c>
      <c r="BQ239" s="2">
        <v>-305320</v>
      </c>
      <c r="BR239" s="2">
        <v>300.20372750000001</v>
      </c>
      <c r="BS239" s="2" t="str">
        <f>IF(AND(Table1[[#This Row],[Gurobi MB Cost]]=Table1[[#This Row],[ORTools FZN2 Cost]],Table1[[#This Row],[ORTools FZN2 State]]="Optimal",Table1[[#This Row],[Gurobi MB State]]="Suboptimal"),1,"")</f>
        <v/>
      </c>
      <c r="BT23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39" s="5" t="s">
        <v>42</v>
      </c>
      <c r="BV239" s="2">
        <v>-305320</v>
      </c>
      <c r="BW239" s="2">
        <v>302.3441072</v>
      </c>
      <c r="BX239" s="2" t="str">
        <f>IF(AND(Table1[[#This Row],[Gurobi MD Cost]]=Table1[[#This Row],[ORTools FZN2 Cost]],Table1[[#This Row],[ORTools FZN2 State]]="Optimal",Table1[[#This Row],[Gurobi MD State]]="Suboptimal"),1,"")</f>
        <v/>
      </c>
      <c r="BY23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39" s="5" t="s">
        <v>42</v>
      </c>
      <c r="CA239" s="2">
        <v>-305320</v>
      </c>
      <c r="CB239" s="2">
        <v>300.29851539999999</v>
      </c>
      <c r="CC239" s="2" t="str">
        <f>IF(AND(Table1[[#This Row],[Gurobi MI Cost]]=Table1[[#This Row],[ORTools FZN2 Cost]],Table1[[#This Row],[ORTools FZN2 State]]="Optimal",Table1[[#This Row],[Gurobi MI State]]="Suboptimal"),1,"")</f>
        <v/>
      </c>
      <c r="CD23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39" s="39" t="s">
        <v>42</v>
      </c>
      <c r="CF239" s="2">
        <v>-305320</v>
      </c>
      <c r="CG239" s="39">
        <v>306.17729889999998</v>
      </c>
      <c r="CH239" s="39" t="s">
        <v>42</v>
      </c>
      <c r="CI239" s="39">
        <v>-305320</v>
      </c>
      <c r="CJ239" s="2">
        <v>306.13577340000001</v>
      </c>
      <c r="CK239" s="5" t="s">
        <v>26</v>
      </c>
      <c r="CL239" s="2">
        <v>606155</v>
      </c>
      <c r="CM239" s="2">
        <v>300.12700000000001</v>
      </c>
      <c r="CN239" s="5" t="s">
        <v>26</v>
      </c>
      <c r="CO239" s="2">
        <v>4263160</v>
      </c>
      <c r="CP239" s="2">
        <v>302.70280589999999</v>
      </c>
      <c r="CQ239" s="5" t="s">
        <v>25</v>
      </c>
      <c r="CR239" s="2">
        <v>606155</v>
      </c>
      <c r="CS239" s="2">
        <v>85.959112399999995</v>
      </c>
      <c r="CT239" s="6" t="s">
        <v>25</v>
      </c>
      <c r="CU239" s="4">
        <v>606155</v>
      </c>
      <c r="CV239" s="4">
        <v>34.190384299999998</v>
      </c>
      <c r="CW239" s="39" t="s">
        <v>26</v>
      </c>
      <c r="CX239" s="39">
        <v>4243390</v>
      </c>
      <c r="CY239" s="2">
        <v>300.02879999999999</v>
      </c>
      <c r="CZ239" s="2" t="str">
        <f>IF(AND(Table1[[#This Row],[Cplex MZ1 Cost]]=Table1[[#This Row],[ORTools FZN2 Cost]],Table1[[#This Row],[ORTools FZN2 State]]="Optimal",Table1[[#This Row],[Cplex MZ1 State]]="Suboptimal"),1,"")</f>
        <v/>
      </c>
      <c r="DA239" s="5" t="s">
        <v>26</v>
      </c>
      <c r="DB239" s="2">
        <v>4243249</v>
      </c>
      <c r="DC239" s="2">
        <v>300.01639999999998</v>
      </c>
      <c r="DD239" s="2" t="str">
        <f>IF(AND(Table1[[#This Row],[Cplex MZ2 Cost]]=Table1[[#This Row],[ORTools FZN2 Cost]],Table1[[#This Row],[ORTools FZN2 State]]="Optimal",Table1[[#This Row],[Cplex MZ2 State]]="Suboptimal"),1,"")</f>
        <v/>
      </c>
      <c r="DE239" s="39" t="s">
        <v>42</v>
      </c>
      <c r="DF239" s="39"/>
      <c r="DG239" s="2">
        <v>300.00749999999999</v>
      </c>
      <c r="DH239" s="2" t="str">
        <f>IF(AND(Table1[[#This Row],[Gurobi MZ1 Cost]]=Table1[[#This Row],[ORTools FZN2 Cost]],Table1[[#This Row],[ORTools FZN2 State]]="Optimal",Table1[[#This Row],[Gurobi MZ1 State]]="Suboptimal"),1,"")</f>
        <v/>
      </c>
      <c r="DI239" s="5" t="s">
        <v>42</v>
      </c>
      <c r="DJ239" s="2"/>
      <c r="DK239" s="2">
        <v>300.18369999999999</v>
      </c>
      <c r="DL239" s="4" t="str">
        <f>IF(AND(Table1[[#This Row],[Gurobi MZ2 Cost]]=Table1[[#This Row],[ORTools FZN2 Cost]],Table1[[#This Row],[ORTools FZN2 State]]="Optimal",Table1[[#This Row],[Gurobi MZ2 State]]="Suboptimal"),1,"")</f>
        <v/>
      </c>
      <c r="DM239" s="12" t="s">
        <v>26</v>
      </c>
      <c r="DN239" s="12">
        <v>606155</v>
      </c>
      <c r="DO239" s="69">
        <v>300.10099999999801</v>
      </c>
      <c r="DP239" s="11">
        <f>IF(AND(Table1[[#This Row],[Cplex MC nonDual Cost]]=Table1[[#This Row],[ORTools FZN2 Cost]],Table1[[#This Row],[ORTools FZN2 State]]="Optimal",Table1[[#This Row],[Cplex MC nonDual State]]="Suboptimal"),1,"")</f>
        <v>1</v>
      </c>
      <c r="DQ239" s="5" t="s">
        <v>26</v>
      </c>
      <c r="DR239" s="2">
        <v>5437597</v>
      </c>
      <c r="DS239" s="2">
        <v>300.0249</v>
      </c>
      <c r="DT239" s="2" t="str">
        <f>IF(AND(Table1[[#This Row],[Cplex MIP DM''z Cost]]=Table1[[#This Row],[ORTools FZN2 Cost]],Table1[[#This Row],[ORTools FZN2 State]]="Optimal",Table1[[#This Row],[Cplex MIP DM''z  State]]="Suboptimal"),1,"")</f>
        <v/>
      </c>
      <c r="DU23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39" s="5" t="s">
        <v>42</v>
      </c>
      <c r="DW239" s="2"/>
      <c r="DX239" s="2">
        <v>300.1728</v>
      </c>
      <c r="DY239" s="4" t="str">
        <f>IF(AND(Table1[[#This Row],[Gurobi DM''z  Cost]]=Table1[[#This Row],[ORTools FZN2 Cost]],Table1[[#This Row],[ORTools FZN2 State]]="Optimal",Table1[[#This Row],[Gurobi DM''z  State]]="Suboptimal"),1,"")</f>
        <v/>
      </c>
      <c r="DZ23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0" spans="1:130" ht="15.75" x14ac:dyDescent="0.25">
      <c r="A240" s="46" t="s">
        <v>266</v>
      </c>
      <c r="B240" s="5">
        <v>3</v>
      </c>
      <c r="C240" s="2">
        <v>1</v>
      </c>
      <c r="D240" s="5">
        <v>0</v>
      </c>
      <c r="E240" s="2">
        <v>1</v>
      </c>
      <c r="F240" s="5">
        <v>0</v>
      </c>
      <c r="G240" s="2">
        <v>0</v>
      </c>
      <c r="H240" s="4">
        <f t="shared" si="3"/>
        <v>1</v>
      </c>
      <c r="I240" s="4">
        <f>Table1[[#This Row],[B]]+Table1[[#This Row],[Atomic Constraints]]+Table1[[#This Row],[Soft Atomic Constraints]]+Table1[[#This Row],[Disjunctive Constraints]]+Table1[[#This Row],[Direct Successors]]</f>
        <v>2</v>
      </c>
      <c r="J240" s="5" t="s">
        <v>25</v>
      </c>
      <c r="K240" s="2">
        <v>0</v>
      </c>
      <c r="L240" s="2">
        <v>0.57478589999999996</v>
      </c>
      <c r="M240" s="2" t="str">
        <f>IF(AND(Table1[[#This Row],[Chuffed MZ1 Cost]]=Table1[[#This Row],[ORTools FZN2 Cost]],Table1[[#This Row],[ORTools FZN2 State]]="Optimal",Table1[[#This Row],[Chuffed MZ1 State]]="Suboptimal"),1,"")</f>
        <v/>
      </c>
      <c r="N240" s="5" t="s">
        <v>25</v>
      </c>
      <c r="O240" s="2">
        <v>0</v>
      </c>
      <c r="P240" s="2">
        <v>0.59164329999999998</v>
      </c>
      <c r="Q240" s="2" t="str">
        <f>IF(AND(Table1[[#This Row],[Chuffed MZ2 Cost]]=Table1[[#This Row],[ORTools FZN2 Cost]],Table1[[#This Row],[ORTools FZN2 State]]="Optimal",Table1[[#This Row],[Chuffed MZ2 State]]="Suboptimal"),1,"")</f>
        <v/>
      </c>
      <c r="R240" s="6" t="s">
        <v>25</v>
      </c>
      <c r="S240" s="4">
        <v>0</v>
      </c>
      <c r="T240" s="4">
        <v>0.114000000001397</v>
      </c>
      <c r="U240" s="4"/>
      <c r="V240" s="5" t="s">
        <v>25</v>
      </c>
      <c r="W240" s="2">
        <v>0</v>
      </c>
      <c r="X240" s="2">
        <v>4.4002100000000002E-2</v>
      </c>
      <c r="Y240" s="2" t="str">
        <f>IF(AND(Table1[[#This Row],[ORTools FZN1 Cost]]=Table1[[#This Row],[ORTools FZN2 Cost]],Table1[[#This Row],[ORTools FZN2 State]]="Optimal",Table1[[#This Row],[ORTools FZN1 State]]="Suboptimal"),1,"")</f>
        <v/>
      </c>
      <c r="Z240" s="5" t="s">
        <v>25</v>
      </c>
      <c r="AA240" s="2">
        <v>0</v>
      </c>
      <c r="AB240" s="2">
        <v>4.7739799999999999E-2</v>
      </c>
      <c r="AC240" s="39" t="s">
        <v>25</v>
      </c>
      <c r="AD240" s="39">
        <v>0</v>
      </c>
      <c r="AE240" s="2">
        <v>9.3244999999999995E-3</v>
      </c>
      <c r="AF240" s="2" t="str">
        <f>IF(AND(Table1[[#This Row],[Cplex MB Cost]]=Table1[[#This Row],[ORTools FZN2 Cost]],Table1[[#This Row],[ORTools FZN2 State]]="Optimal",Table1[[#This Row],[Cplex MB State]]="Suboptimal"),1,"")</f>
        <v/>
      </c>
      <c r="AG240" s="4">
        <f>IF(AND(AC240="Optimal",AD240&lt;&gt;AA240,Table1[[#This Row],[Example]]&lt;&gt;"R001",Table1[[#This Row],[Example]]&lt;&gt;"R002"),AD240-AA240,)</f>
        <v>0</v>
      </c>
      <c r="AH240" s="5" t="s">
        <v>25</v>
      </c>
      <c r="AI240" s="2">
        <v>0</v>
      </c>
      <c r="AJ240" s="2">
        <v>4.3014499999999997E-2</v>
      </c>
      <c r="AK240" s="2" t="str">
        <f>IF(AND(Table1[[#This Row],[Cplex MD Cost]]=Table1[[#This Row],[ORTools FZN2 Cost]],Table1[[#This Row],[ORTools FZN2 State]]="Optimal",Table1[[#This Row],[Cplex MD State]]="Suboptimal"),1,"")</f>
        <v/>
      </c>
      <c r="AL240" s="4">
        <f>IF(AND(AH240="Optimal",AI240&lt;&gt;AA240,Table1[[#This Row],[Example]]&lt;&gt;"R001",Table1[[#This Row],[Example]]&lt;&gt;"R002"),AI240-AA240,)</f>
        <v>0</v>
      </c>
      <c r="AM240" s="39" t="s">
        <v>25</v>
      </c>
      <c r="AN240" s="39">
        <v>0</v>
      </c>
      <c r="AO240" s="2">
        <v>3.2182200000000001E-2</v>
      </c>
      <c r="AP24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0" s="4" t="str">
        <f>IF(AND(Table1[[#This Row],[Cplex MI Cost]]=Table1[[#This Row],[ORTools FZN2 Cost]],Table1[[#This Row],[ORTools FZN2 State]]="Optimal",Table1[[#This Row],[Cplex MI State]]="Suboptimal"),1,"")</f>
        <v/>
      </c>
      <c r="AR240" s="12" t="s">
        <v>26</v>
      </c>
      <c r="AS240" s="12">
        <v>0</v>
      </c>
      <c r="AT240" s="12">
        <v>8.1039700000000006E-2</v>
      </c>
      <c r="AU240" s="12">
        <f>IF(AND(Table1[[#This Row],[Z3 SMT2-1 Maxres Cost]]=Table1[[#This Row],[ORTools FZN2 Cost]],Table1[[#This Row],[ORTools FZN2 State]]="Optimal"),1,"")</f>
        <v>1</v>
      </c>
      <c r="AV240" s="12" t="s">
        <v>26</v>
      </c>
      <c r="AW240" s="12">
        <v>0</v>
      </c>
      <c r="AX240" s="12">
        <v>0.11270090000000001</v>
      </c>
      <c r="AY240" s="12">
        <f>IF(AND(Table1[[#This Row],[Z3 SMT2-1 PdMaxres Cost]]=Table1[[#This Row],[ORTools FZN2 Cost]],Table1[[#This Row],[ORTools FZN2 State]]="Optimal"),1,"")</f>
        <v>1</v>
      </c>
      <c r="AZ240" s="12" t="s">
        <v>26</v>
      </c>
      <c r="BA240" s="12">
        <v>0</v>
      </c>
      <c r="BB240" s="12">
        <v>7.4063699999999996E-2</v>
      </c>
      <c r="BC240" s="12">
        <f>IF(AND(Table1[[#This Row],[Z3 SMT2-1 WMax Cost]]=Table1[[#This Row],[ORTools FZN2 Cost]],Table1[[#This Row],[ORTools FZN2 State]]="Optimal"),1,"")</f>
        <v>1</v>
      </c>
      <c r="BD240" s="12" t="s">
        <v>26</v>
      </c>
      <c r="BE240" s="12">
        <v>0</v>
      </c>
      <c r="BF240" s="12">
        <v>7.4640600000000001E-2</v>
      </c>
      <c r="BG240" s="12">
        <f>IF(AND(Table1[[#This Row],[Z3 SMT2-2 Maxres Cost]]=Table1[[#This Row],[ORTools FZN2 Cost]],Table1[[#This Row],[ORTools FZN2 State]]="Optimal"),1,"")</f>
        <v>1</v>
      </c>
      <c r="BH240" s="12" t="s">
        <v>26</v>
      </c>
      <c r="BI240" s="12">
        <v>0</v>
      </c>
      <c r="BJ240" s="12">
        <v>5.6785099999999998E-2</v>
      </c>
      <c r="BK240" s="12">
        <f>IF(AND(Table1[[#This Row],[Z3 SMT2-2 PdMaxres Cost]]=Table1[[#This Row],[ORTools FZN2 Cost]],Table1[[#This Row],[ORTools FZN2 State]]="Optimal"),1,"")</f>
        <v>1</v>
      </c>
      <c r="BL240" s="12" t="s">
        <v>26</v>
      </c>
      <c r="BM240" s="12">
        <v>0</v>
      </c>
      <c r="BN240" s="12">
        <v>8.2567699999999994E-2</v>
      </c>
      <c r="BO240" s="11">
        <f>IF(AND(Table1[[#This Row],[Z3 SMT2-2 PdMaxres Cost]]=Table1[[#This Row],[ORTools FZN2 Cost]],Table1[[#This Row],[ORTools FZN2 State]]="Optimal"),1,"")</f>
        <v>1</v>
      </c>
      <c r="BP240" s="5" t="s">
        <v>25</v>
      </c>
      <c r="BQ240" s="2">
        <v>0</v>
      </c>
      <c r="BR240" s="2">
        <v>1.8529E-3</v>
      </c>
      <c r="BS240" s="2" t="str">
        <f>IF(AND(Table1[[#This Row],[Gurobi MB Cost]]=Table1[[#This Row],[ORTools FZN2 Cost]],Table1[[#This Row],[ORTools FZN2 State]]="Optimal",Table1[[#This Row],[Gurobi MB State]]="Suboptimal"),1,"")</f>
        <v/>
      </c>
      <c r="BT24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0" s="5" t="s">
        <v>25</v>
      </c>
      <c r="BV240" s="2">
        <v>0</v>
      </c>
      <c r="BW240" s="2">
        <v>9.7287999999999993E-3</v>
      </c>
      <c r="BX240" s="2" t="str">
        <f>IF(AND(Table1[[#This Row],[Gurobi MD Cost]]=Table1[[#This Row],[ORTools FZN2 Cost]],Table1[[#This Row],[ORTools FZN2 State]]="Optimal",Table1[[#This Row],[Gurobi MD State]]="Suboptimal"),1,"")</f>
        <v/>
      </c>
      <c r="BY24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0" s="5" t="s">
        <v>25</v>
      </c>
      <c r="CA240" s="2">
        <v>0</v>
      </c>
      <c r="CB240" s="2">
        <v>8.2319999999999997E-3</v>
      </c>
      <c r="CC240" s="2" t="str">
        <f>IF(AND(Table1[[#This Row],[Gurobi MI Cost]]=Table1[[#This Row],[ORTools FZN2 Cost]],Table1[[#This Row],[ORTools FZN2 State]]="Optimal",Table1[[#This Row],[Gurobi MI State]]="Suboptimal"),1,"")</f>
        <v/>
      </c>
      <c r="CD24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0" s="39" t="s">
        <v>25</v>
      </c>
      <c r="CF240" s="2">
        <v>0</v>
      </c>
      <c r="CG240" s="39">
        <v>5.0966379999999996</v>
      </c>
      <c r="CH240" s="39" t="s">
        <v>25</v>
      </c>
      <c r="CI240" s="39">
        <v>0</v>
      </c>
      <c r="CJ240" s="2">
        <v>5.0969087999999996</v>
      </c>
      <c r="CK240" s="5" t="s">
        <v>25</v>
      </c>
      <c r="CL240" s="2">
        <v>0</v>
      </c>
      <c r="CM240" s="2">
        <v>5.0999999999476103E-2</v>
      </c>
      <c r="CN240" s="5" t="s">
        <v>25</v>
      </c>
      <c r="CO240" s="2">
        <v>0</v>
      </c>
      <c r="CP240" s="2">
        <v>0.55275169999999996</v>
      </c>
      <c r="CQ240" s="5" t="s">
        <v>25</v>
      </c>
      <c r="CR240" s="2">
        <v>0</v>
      </c>
      <c r="CS240" s="2">
        <v>6.9646399999999997E-2</v>
      </c>
      <c r="CT240" s="6" t="s">
        <v>25</v>
      </c>
      <c r="CU240" s="4">
        <v>0</v>
      </c>
      <c r="CV240" s="4">
        <v>0.14356360000000001</v>
      </c>
      <c r="CW240" s="39" t="s">
        <v>25</v>
      </c>
      <c r="CX240" s="39">
        <v>0</v>
      </c>
      <c r="CY240" s="2">
        <v>1.3299999999999999E-2</v>
      </c>
      <c r="CZ240" s="2" t="str">
        <f>IF(AND(Table1[[#This Row],[Cplex MZ1 Cost]]=Table1[[#This Row],[ORTools FZN2 Cost]],Table1[[#This Row],[ORTools FZN2 State]]="Optimal",Table1[[#This Row],[Cplex MZ1 State]]="Suboptimal"),1,"")</f>
        <v/>
      </c>
      <c r="DA240" s="5" t="s">
        <v>25</v>
      </c>
      <c r="DB240" s="2">
        <v>0</v>
      </c>
      <c r="DC240" s="2">
        <v>1.3299999999999999E-2</v>
      </c>
      <c r="DD240" s="2" t="str">
        <f>IF(AND(Table1[[#This Row],[Cplex MZ2 Cost]]=Table1[[#This Row],[ORTools FZN2 Cost]],Table1[[#This Row],[ORTools FZN2 State]]="Optimal",Table1[[#This Row],[Cplex MZ2 State]]="Suboptimal"),1,"")</f>
        <v/>
      </c>
      <c r="DE240" s="39" t="s">
        <v>25</v>
      </c>
      <c r="DF240" s="39">
        <v>0</v>
      </c>
      <c r="DG240" s="2">
        <v>6.7999999999999996E-3</v>
      </c>
      <c r="DH240" s="2" t="str">
        <f>IF(AND(Table1[[#This Row],[Gurobi MZ1 Cost]]=Table1[[#This Row],[ORTools FZN2 Cost]],Table1[[#This Row],[ORTools FZN2 State]]="Optimal",Table1[[#This Row],[Gurobi MZ1 State]]="Suboptimal"),1,"")</f>
        <v/>
      </c>
      <c r="DI240" s="5" t="s">
        <v>25</v>
      </c>
      <c r="DJ240" s="2">
        <v>0</v>
      </c>
      <c r="DK240" s="2">
        <v>8.5000000000000006E-3</v>
      </c>
      <c r="DL240" s="4" t="str">
        <f>IF(AND(Table1[[#This Row],[Gurobi MZ2 Cost]]=Table1[[#This Row],[ORTools FZN2 Cost]],Table1[[#This Row],[ORTools FZN2 State]]="Optimal",Table1[[#This Row],[Gurobi MZ2 State]]="Suboptimal"),1,"")</f>
        <v/>
      </c>
      <c r="DM240" s="39" t="s">
        <v>25</v>
      </c>
      <c r="DN240" s="39">
        <v>0</v>
      </c>
      <c r="DO240" s="65">
        <v>0.11999999999898101</v>
      </c>
      <c r="DP240" s="4" t="str">
        <f>IF(AND(Table1[[#This Row],[Cplex MC nonDual Cost]]=Table1[[#This Row],[ORTools FZN2 Cost]],Table1[[#This Row],[ORTools FZN2 State]]="Optimal",Table1[[#This Row],[Cplex MC nonDual State]]="Suboptimal"),1,"")</f>
        <v/>
      </c>
      <c r="DQ240" s="5" t="s">
        <v>25</v>
      </c>
      <c r="DR240" s="2">
        <v>0</v>
      </c>
      <c r="DS240" s="2">
        <v>2.1499999999999998E-2</v>
      </c>
      <c r="DT240" s="2" t="str">
        <f>IF(AND(Table1[[#This Row],[Cplex MIP DM''z Cost]]=Table1[[#This Row],[ORTools FZN2 Cost]],Table1[[#This Row],[ORTools FZN2 State]]="Optimal",Table1[[#This Row],[Cplex MIP DM''z  State]]="Suboptimal"),1,"")</f>
        <v/>
      </c>
      <c r="DU24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0" s="5" t="s">
        <v>25</v>
      </c>
      <c r="DW240" s="2">
        <v>0</v>
      </c>
      <c r="DX240" s="2">
        <v>8.9999999999999993E-3</v>
      </c>
      <c r="DY240" s="4" t="str">
        <f>IF(AND(Table1[[#This Row],[Gurobi DM''z  Cost]]=Table1[[#This Row],[ORTools FZN2 Cost]],Table1[[#This Row],[ORTools FZN2 State]]="Optimal",Table1[[#This Row],[Gurobi DM''z  State]]="Suboptimal"),1,"")</f>
        <v/>
      </c>
      <c r="DZ24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1" spans="1:130" ht="15.75" x14ac:dyDescent="0.25">
      <c r="A241" s="47" t="s">
        <v>267</v>
      </c>
      <c r="B241" s="5">
        <v>65</v>
      </c>
      <c r="C241" s="2">
        <v>30</v>
      </c>
      <c r="D241" s="5">
        <v>750</v>
      </c>
      <c r="E241" s="2">
        <v>33</v>
      </c>
      <c r="F241" s="5">
        <v>42</v>
      </c>
      <c r="G241" s="2">
        <v>0</v>
      </c>
      <c r="H241" s="4">
        <f t="shared" si="3"/>
        <v>5</v>
      </c>
      <c r="I241" s="4">
        <f>Table1[[#This Row],[B]]+Table1[[#This Row],[Atomic Constraints]]+Table1[[#This Row],[Soft Atomic Constraints]]+Table1[[#This Row],[Disjunctive Constraints]]+Table1[[#This Row],[Direct Successors]]</f>
        <v>855</v>
      </c>
      <c r="J241" s="5" t="s">
        <v>26</v>
      </c>
      <c r="K241" s="2">
        <v>7193831</v>
      </c>
      <c r="L241" s="2">
        <v>302.54769959999999</v>
      </c>
      <c r="M241" s="2" t="str">
        <f>IF(AND(Table1[[#This Row],[Chuffed MZ1 Cost]]=Table1[[#This Row],[ORTools FZN2 Cost]],Table1[[#This Row],[ORTools FZN2 State]]="Optimal",Table1[[#This Row],[Chuffed MZ1 State]]="Suboptimal"),1,"")</f>
        <v/>
      </c>
      <c r="N241" s="5" t="s">
        <v>26</v>
      </c>
      <c r="O241" s="2">
        <v>4988897</v>
      </c>
      <c r="P241" s="2">
        <v>302.69383900000003</v>
      </c>
      <c r="Q241" s="2" t="str">
        <f>IF(AND(Table1[[#This Row],[Chuffed MZ2 Cost]]=Table1[[#This Row],[ORTools FZN2 Cost]],Table1[[#This Row],[ORTools FZN2 State]]="Optimal",Table1[[#This Row],[Chuffed MZ2 State]]="Suboptimal"),1,"")</f>
        <v/>
      </c>
      <c r="R241" s="11" t="s">
        <v>26</v>
      </c>
      <c r="S241" s="11">
        <v>553610</v>
      </c>
      <c r="T241" s="11">
        <v>300.01799999999997</v>
      </c>
      <c r="U241" s="11">
        <v>1</v>
      </c>
      <c r="V241" s="5" t="s">
        <v>25</v>
      </c>
      <c r="W241" s="2">
        <v>553610</v>
      </c>
      <c r="X241" s="2">
        <v>36.8203405</v>
      </c>
      <c r="Y241" s="2" t="str">
        <f>IF(AND(Table1[[#This Row],[ORTools FZN1 Cost]]=Table1[[#This Row],[ORTools FZN2 Cost]],Table1[[#This Row],[ORTools FZN2 State]]="Optimal",Table1[[#This Row],[ORTools FZN1 State]]="Suboptimal"),1,"")</f>
        <v/>
      </c>
      <c r="Z241" s="5" t="s">
        <v>25</v>
      </c>
      <c r="AA241" s="2">
        <v>553610</v>
      </c>
      <c r="AB241" s="2">
        <v>36.904408599999996</v>
      </c>
      <c r="AC241" s="39" t="s">
        <v>42</v>
      </c>
      <c r="AD241" s="39">
        <v>-278916</v>
      </c>
      <c r="AE241" s="2">
        <v>300.13819649999999</v>
      </c>
      <c r="AF241" s="2" t="str">
        <f>IF(AND(Table1[[#This Row],[Cplex MB Cost]]=Table1[[#This Row],[ORTools FZN2 Cost]],Table1[[#This Row],[ORTools FZN2 State]]="Optimal",Table1[[#This Row],[Cplex MB State]]="Suboptimal"),1,"")</f>
        <v/>
      </c>
      <c r="AG241" s="4">
        <f>IF(AND(AC241="Optimal",AD241&lt;&gt;AA241,Table1[[#This Row],[Example]]&lt;&gt;"R001",Table1[[#This Row],[Example]]&lt;&gt;"R002"),AD241-AA241,)</f>
        <v>0</v>
      </c>
      <c r="AH241" s="5" t="s">
        <v>42</v>
      </c>
      <c r="AI241" s="2">
        <v>-278916</v>
      </c>
      <c r="AJ241" s="2">
        <v>300.41234259999999</v>
      </c>
      <c r="AK241" s="2" t="str">
        <f>IF(AND(Table1[[#This Row],[Cplex MD Cost]]=Table1[[#This Row],[ORTools FZN2 Cost]],Table1[[#This Row],[ORTools FZN2 State]]="Optimal",Table1[[#This Row],[Cplex MD State]]="Suboptimal"),1,"")</f>
        <v/>
      </c>
      <c r="AL241" s="2">
        <f>IF(AND(AH241="Optimal",AI241&lt;&gt;AA241,Table1[[#This Row],[Example]]&lt;&gt;"R001",Table1[[#This Row],[Example]]&lt;&gt;"R002"),AI241-AA241,)</f>
        <v>0</v>
      </c>
      <c r="AM241" s="39" t="s">
        <v>26</v>
      </c>
      <c r="AN241" s="39">
        <v>2750932</v>
      </c>
      <c r="AO241" s="2">
        <v>300.12947370000001</v>
      </c>
      <c r="AP24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1" s="2" t="str">
        <f>IF(AND(Table1[[#This Row],[Cplex MI Cost]]=Table1[[#This Row],[ORTools FZN2 Cost]],Table1[[#This Row],[ORTools FZN2 State]]="Optimal",Table1[[#This Row],[Cplex MI State]]="Suboptimal"),1,"")</f>
        <v/>
      </c>
      <c r="AR241" s="5" t="s">
        <v>42</v>
      </c>
      <c r="AS241" s="2">
        <v>-278916</v>
      </c>
      <c r="AT241" s="2">
        <v>300.05355550000002</v>
      </c>
      <c r="AU241" s="2" t="str">
        <f>IF(AND(Table1[[#This Row],[Z3 SMT2-1 Maxres Cost]]=Table1[[#This Row],[ORTools FZN2 Cost]],Table1[[#This Row],[ORTools FZN2 State]]="Optimal"),1,"")</f>
        <v/>
      </c>
      <c r="AV241" s="39" t="s">
        <v>42</v>
      </c>
      <c r="AW241" s="39">
        <v>-278916</v>
      </c>
      <c r="AX241" s="2">
        <v>300.06332179999998</v>
      </c>
      <c r="AY241" s="2" t="str">
        <f>IF(AND(Table1[[#This Row],[Z3 SMT2-1 PdMaxres Cost]]=Table1[[#This Row],[ORTools FZN2 Cost]],Table1[[#This Row],[ORTools FZN2 State]]="Optimal"),1,"")</f>
        <v/>
      </c>
      <c r="AZ241" s="5" t="s">
        <v>42</v>
      </c>
      <c r="BA241" s="2">
        <v>-278916</v>
      </c>
      <c r="BB241" s="39">
        <v>300.05884459999999</v>
      </c>
      <c r="BC241" s="39" t="str">
        <f>IF(AND(Table1[[#This Row],[Z3 SMT2-1 WMax Cost]]=Table1[[#This Row],[ORTools FZN2 Cost]],Table1[[#This Row],[ORTools FZN2 State]]="Optimal"),1,"")</f>
        <v/>
      </c>
      <c r="BD241" s="39" t="s">
        <v>42</v>
      </c>
      <c r="BE241" s="39">
        <v>-278916</v>
      </c>
      <c r="BF241" s="2">
        <v>300.05525699999998</v>
      </c>
      <c r="BG241" s="2" t="str">
        <f>IF(AND(Table1[[#This Row],[Z3 SMT2-2 Maxres Cost]]=Table1[[#This Row],[ORTools FZN2 Cost]],Table1[[#This Row],[ORTools FZN2 State]]="Optimal"),1,"")</f>
        <v/>
      </c>
      <c r="BH241" s="5" t="s">
        <v>42</v>
      </c>
      <c r="BI241" s="2">
        <v>-278916</v>
      </c>
      <c r="BJ241" s="39">
        <v>300.04860480000002</v>
      </c>
      <c r="BK241" s="39" t="str">
        <f>IF(AND(Table1[[#This Row],[Z3 SMT2-2 PdMaxres Cost]]=Table1[[#This Row],[ORTools FZN2 Cost]],Table1[[#This Row],[ORTools FZN2 State]]="Optimal"),1,"")</f>
        <v/>
      </c>
      <c r="BL241" s="39" t="s">
        <v>42</v>
      </c>
      <c r="BM241" s="39">
        <v>-278916</v>
      </c>
      <c r="BN241" s="2">
        <v>300.06463330000003</v>
      </c>
      <c r="BO241" s="4" t="str">
        <f>IF(AND(Table1[[#This Row],[Z3 SMT2-2 PdMaxres Cost]]=Table1[[#This Row],[ORTools FZN2 Cost]],Table1[[#This Row],[ORTools FZN2 State]]="Optimal"),1,"")</f>
        <v/>
      </c>
      <c r="BP241" s="5" t="s">
        <v>26</v>
      </c>
      <c r="BQ241" s="2">
        <v>553610</v>
      </c>
      <c r="BR241" s="2">
        <v>300.20320049999998</v>
      </c>
      <c r="BS241" s="2">
        <f>IF(AND(Table1[[#This Row],[Gurobi MB Cost]]=Table1[[#This Row],[ORTools FZN2 Cost]],Table1[[#This Row],[ORTools FZN2 State]]="Optimal",Table1[[#This Row],[Gurobi MB State]]="Suboptimal"),1,"")</f>
        <v>1</v>
      </c>
      <c r="BT24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1" s="5" t="s">
        <v>42</v>
      </c>
      <c r="BV241" s="2">
        <v>-278916</v>
      </c>
      <c r="BW241" s="2">
        <v>300.17334749999998</v>
      </c>
      <c r="BX241" s="2" t="str">
        <f>IF(AND(Table1[[#This Row],[Gurobi MD Cost]]=Table1[[#This Row],[ORTools FZN2 Cost]],Table1[[#This Row],[ORTools FZN2 State]]="Optimal",Table1[[#This Row],[Gurobi MD State]]="Suboptimal"),1,"")</f>
        <v/>
      </c>
      <c r="BY24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1" s="5" t="s">
        <v>42</v>
      </c>
      <c r="CA241" s="2">
        <v>-278916</v>
      </c>
      <c r="CB241" s="2">
        <v>300.15166979999998</v>
      </c>
      <c r="CC241" s="2" t="str">
        <f>IF(AND(Table1[[#This Row],[Gurobi MI Cost]]=Table1[[#This Row],[ORTools FZN2 Cost]],Table1[[#This Row],[ORTools FZN2 State]]="Optimal",Table1[[#This Row],[Gurobi MI State]]="Suboptimal"),1,"")</f>
        <v/>
      </c>
      <c r="CD24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1" s="39" t="s">
        <v>42</v>
      </c>
      <c r="CF241" s="2">
        <v>-278916</v>
      </c>
      <c r="CG241" s="39">
        <v>306.5642426</v>
      </c>
      <c r="CH241" s="39" t="s">
        <v>42</v>
      </c>
      <c r="CI241" s="39">
        <v>-278916</v>
      </c>
      <c r="CJ241" s="2">
        <v>306.27205909999998</v>
      </c>
      <c r="CK241" s="5" t="s">
        <v>26</v>
      </c>
      <c r="CL241" s="2">
        <v>553610</v>
      </c>
      <c r="CM241" s="2">
        <v>300.03800000000001</v>
      </c>
      <c r="CN241" s="5" t="s">
        <v>26</v>
      </c>
      <c r="CO241" s="2">
        <v>6366243</v>
      </c>
      <c r="CP241" s="2">
        <v>302.5012112</v>
      </c>
      <c r="CQ241" s="5" t="s">
        <v>25</v>
      </c>
      <c r="CR241" s="2">
        <v>553610</v>
      </c>
      <c r="CS241" s="2">
        <v>107.61489280000001</v>
      </c>
      <c r="CT241" s="6" t="s">
        <v>25</v>
      </c>
      <c r="CU241" s="4">
        <v>553610</v>
      </c>
      <c r="CV241" s="4">
        <v>34.116840699999997</v>
      </c>
      <c r="CW241" s="39" t="s">
        <v>26</v>
      </c>
      <c r="CX241" s="39">
        <v>1381976</v>
      </c>
      <c r="CY241" s="2">
        <v>300.0179</v>
      </c>
      <c r="CZ241" s="2" t="str">
        <f>IF(AND(Table1[[#This Row],[Cplex MZ1 Cost]]=Table1[[#This Row],[ORTools FZN2 Cost]],Table1[[#This Row],[ORTools FZN2 State]]="Optimal",Table1[[#This Row],[Cplex MZ1 State]]="Suboptimal"),1,"")</f>
        <v/>
      </c>
      <c r="DA241" s="5" t="s">
        <v>26</v>
      </c>
      <c r="DB241" s="2">
        <v>1661275</v>
      </c>
      <c r="DC241" s="2">
        <v>300.0222</v>
      </c>
      <c r="DD241" s="2" t="str">
        <f>IF(AND(Table1[[#This Row],[Cplex MZ2 Cost]]=Table1[[#This Row],[ORTools FZN2 Cost]],Table1[[#This Row],[ORTools FZN2 State]]="Optimal",Table1[[#This Row],[Cplex MZ2 State]]="Suboptimal"),1,"")</f>
        <v/>
      </c>
      <c r="DE241" s="39" t="s">
        <v>42</v>
      </c>
      <c r="DF241" s="39"/>
      <c r="DG241" s="2">
        <v>300.00569999999999</v>
      </c>
      <c r="DH241" s="2" t="str">
        <f>IF(AND(Table1[[#This Row],[Gurobi MZ1 Cost]]=Table1[[#This Row],[ORTools FZN2 Cost]],Table1[[#This Row],[ORTools FZN2 State]]="Optimal",Table1[[#This Row],[Gurobi MZ1 State]]="Suboptimal"),1,"")</f>
        <v/>
      </c>
      <c r="DI241" s="5" t="s">
        <v>42</v>
      </c>
      <c r="DJ241" s="2"/>
      <c r="DK241" s="2">
        <v>300.0104</v>
      </c>
      <c r="DL241" s="4" t="str">
        <f>IF(AND(Table1[[#This Row],[Gurobi MZ2 Cost]]=Table1[[#This Row],[ORTools FZN2 Cost]],Table1[[#This Row],[ORTools FZN2 State]]="Optimal",Table1[[#This Row],[Gurobi MZ2 State]]="Suboptimal"),1,"")</f>
        <v/>
      </c>
      <c r="DM241" s="12" t="s">
        <v>26</v>
      </c>
      <c r="DN241" s="12">
        <v>553610</v>
      </c>
      <c r="DO241" s="69">
        <v>300.081999999998</v>
      </c>
      <c r="DP241" s="11">
        <f>IF(AND(Table1[[#This Row],[Cplex MC nonDual Cost]]=Table1[[#This Row],[ORTools FZN2 Cost]],Table1[[#This Row],[ORTools FZN2 State]]="Optimal",Table1[[#This Row],[Cplex MC nonDual State]]="Suboptimal"),1,"")</f>
        <v>1</v>
      </c>
      <c r="DQ241" s="5" t="s">
        <v>26</v>
      </c>
      <c r="DR241" s="2">
        <v>3044025</v>
      </c>
      <c r="DS241" s="2">
        <v>300.0102</v>
      </c>
      <c r="DT241" s="2" t="str">
        <f>IF(AND(Table1[[#This Row],[Cplex MIP DM''z Cost]]=Table1[[#This Row],[ORTools FZN2 Cost]],Table1[[#This Row],[ORTools FZN2 State]]="Optimal",Table1[[#This Row],[Cplex MIP DM''z  State]]="Suboptimal"),1,"")</f>
        <v/>
      </c>
      <c r="DU24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1" s="5" t="s">
        <v>42</v>
      </c>
      <c r="DW241" s="2"/>
      <c r="DX241" s="2">
        <v>300.0609</v>
      </c>
      <c r="DY241" s="4" t="str">
        <f>IF(AND(Table1[[#This Row],[Gurobi DM''z  Cost]]=Table1[[#This Row],[ORTools FZN2 Cost]],Table1[[#This Row],[ORTools FZN2 State]]="Optimal",Table1[[#This Row],[Gurobi DM''z  State]]="Suboptimal"),1,"")</f>
        <v/>
      </c>
      <c r="DZ24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2" spans="1:130" ht="15.75" x14ac:dyDescent="0.25">
      <c r="A242" s="46" t="s">
        <v>268</v>
      </c>
      <c r="B242" s="5">
        <v>26</v>
      </c>
      <c r="C242" s="2">
        <v>13</v>
      </c>
      <c r="D242" s="5">
        <v>37</v>
      </c>
      <c r="E242" s="2">
        <v>19</v>
      </c>
      <c r="F242" s="5">
        <v>16</v>
      </c>
      <c r="G242" s="2">
        <v>0</v>
      </c>
      <c r="H242" s="4">
        <f t="shared" si="3"/>
        <v>0</v>
      </c>
      <c r="I242" s="4">
        <f>Table1[[#This Row],[B]]+Table1[[#This Row],[Atomic Constraints]]+Table1[[#This Row],[Soft Atomic Constraints]]+Table1[[#This Row],[Disjunctive Constraints]]+Table1[[#This Row],[Direct Successors]]</f>
        <v>85</v>
      </c>
      <c r="J242" s="5" t="s">
        <v>25</v>
      </c>
      <c r="K242" s="2">
        <v>18307</v>
      </c>
      <c r="L242" s="2">
        <v>27.255897399999998</v>
      </c>
      <c r="M242" s="2" t="str">
        <f>IF(AND(Table1[[#This Row],[Chuffed MZ1 Cost]]=Table1[[#This Row],[ORTools FZN2 Cost]],Table1[[#This Row],[ORTools FZN2 State]]="Optimal",Table1[[#This Row],[Chuffed MZ1 State]]="Suboptimal"),1,"")</f>
        <v/>
      </c>
      <c r="N242" s="5" t="s">
        <v>25</v>
      </c>
      <c r="O242" s="2">
        <v>18307</v>
      </c>
      <c r="P242" s="2">
        <v>11.986677500000001</v>
      </c>
      <c r="Q242" s="2" t="str">
        <f>IF(AND(Table1[[#This Row],[Chuffed MZ2 Cost]]=Table1[[#This Row],[ORTools FZN2 Cost]],Table1[[#This Row],[ORTools FZN2 State]]="Optimal",Table1[[#This Row],[Chuffed MZ2 State]]="Suboptimal"),1,"")</f>
        <v/>
      </c>
      <c r="R242" s="5" t="s">
        <v>25</v>
      </c>
      <c r="S242" s="2">
        <v>18307</v>
      </c>
      <c r="T242" s="2">
        <v>0.82400000000052398</v>
      </c>
      <c r="U242" s="2"/>
      <c r="V242" s="5" t="s">
        <v>25</v>
      </c>
      <c r="W242" s="2">
        <v>18307</v>
      </c>
      <c r="X242" s="2">
        <v>2.4394165999999999</v>
      </c>
      <c r="Y242" s="2" t="str">
        <f>IF(AND(Table1[[#This Row],[ORTools FZN1 Cost]]=Table1[[#This Row],[ORTools FZN2 Cost]],Table1[[#This Row],[ORTools FZN2 State]]="Optimal",Table1[[#This Row],[ORTools FZN1 State]]="Suboptimal"),1,"")</f>
        <v/>
      </c>
      <c r="Z242" s="5" t="s">
        <v>25</v>
      </c>
      <c r="AA242" s="2">
        <v>18307</v>
      </c>
      <c r="AB242" s="2">
        <v>1.5501088999999999</v>
      </c>
      <c r="AC242" s="39" t="s">
        <v>25</v>
      </c>
      <c r="AD242" s="39">
        <v>18307</v>
      </c>
      <c r="AE242" s="2">
        <v>13.840806000000001</v>
      </c>
      <c r="AF242" s="2" t="str">
        <f>IF(AND(Table1[[#This Row],[Cplex MB Cost]]=Table1[[#This Row],[ORTools FZN2 Cost]],Table1[[#This Row],[ORTools FZN2 State]]="Optimal",Table1[[#This Row],[Cplex MB State]]="Suboptimal"),1,"")</f>
        <v/>
      </c>
      <c r="AG242" s="4">
        <f>IF(AND(AC242="Optimal",AD242&lt;&gt;AA242,Table1[[#This Row],[Example]]&lt;&gt;"R001",Table1[[#This Row],[Example]]&lt;&gt;"R002"),AD242-AA242,)</f>
        <v>0</v>
      </c>
      <c r="AH242" s="5" t="s">
        <v>26</v>
      </c>
      <c r="AI242" s="2">
        <v>35857</v>
      </c>
      <c r="AJ242" s="2">
        <v>300.18608949999998</v>
      </c>
      <c r="AK242" s="2" t="str">
        <f>IF(AND(Table1[[#This Row],[Cplex MD Cost]]=Table1[[#This Row],[ORTools FZN2 Cost]],Table1[[#This Row],[ORTools FZN2 State]]="Optimal",Table1[[#This Row],[Cplex MD State]]="Suboptimal"),1,"")</f>
        <v/>
      </c>
      <c r="AL242" s="2">
        <f>IF(AND(AH242="Optimal",AI242&lt;&gt;AA242,Table1[[#This Row],[Example]]&lt;&gt;"R001",Table1[[#This Row],[Example]]&lt;&gt;"R002"),AI242-AA242,)</f>
        <v>0</v>
      </c>
      <c r="AM242" s="39" t="s">
        <v>26</v>
      </c>
      <c r="AN242" s="39">
        <v>18307</v>
      </c>
      <c r="AO242" s="2">
        <v>300.04650379999998</v>
      </c>
      <c r="AP24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2" s="4">
        <f>IF(AND(Table1[[#This Row],[Cplex MI Cost]]=Table1[[#This Row],[ORTools FZN2 Cost]],Table1[[#This Row],[ORTools FZN2 State]]="Optimal",Table1[[#This Row],[Cplex MI State]]="Suboptimal"),1,"")</f>
        <v>1</v>
      </c>
      <c r="AR242" s="12" t="s">
        <v>26</v>
      </c>
      <c r="AS242" s="12">
        <v>18307</v>
      </c>
      <c r="AT242" s="12">
        <v>129.45596800000001</v>
      </c>
      <c r="AU242" s="12">
        <f>IF(AND(Table1[[#This Row],[Z3 SMT2-1 Maxres Cost]]=Table1[[#This Row],[ORTools FZN2 Cost]],Table1[[#This Row],[ORTools FZN2 State]]="Optimal"),1,"")</f>
        <v>1</v>
      </c>
      <c r="AV242" s="12" t="s">
        <v>26</v>
      </c>
      <c r="AW242" s="12">
        <v>18307</v>
      </c>
      <c r="AX242" s="12">
        <v>137.1507282</v>
      </c>
      <c r="AY242" s="12">
        <f>IF(AND(Table1[[#This Row],[Z3 SMT2-1 PdMaxres Cost]]=Table1[[#This Row],[ORTools FZN2 Cost]],Table1[[#This Row],[ORTools FZN2 State]]="Optimal"),1,"")</f>
        <v>1</v>
      </c>
      <c r="AZ242" s="12" t="s">
        <v>26</v>
      </c>
      <c r="BA242" s="12">
        <v>18307</v>
      </c>
      <c r="BB242" s="12">
        <v>128.2740368</v>
      </c>
      <c r="BC242" s="12">
        <f>IF(AND(Table1[[#This Row],[Z3 SMT2-1 WMax Cost]]=Table1[[#This Row],[ORTools FZN2 Cost]],Table1[[#This Row],[ORTools FZN2 State]]="Optimal"),1,"")</f>
        <v>1</v>
      </c>
      <c r="BD242" s="12" t="s">
        <v>26</v>
      </c>
      <c r="BE242" s="12">
        <v>18307</v>
      </c>
      <c r="BF242" s="12">
        <v>104.71851580000001</v>
      </c>
      <c r="BG242" s="12">
        <f>IF(AND(Table1[[#This Row],[Z3 SMT2-2 Maxres Cost]]=Table1[[#This Row],[ORTools FZN2 Cost]],Table1[[#This Row],[ORTools FZN2 State]]="Optimal"),1,"")</f>
        <v>1</v>
      </c>
      <c r="BH242" s="12" t="s">
        <v>26</v>
      </c>
      <c r="BI242" s="12">
        <v>18307</v>
      </c>
      <c r="BJ242" s="12">
        <v>103.309191</v>
      </c>
      <c r="BK242" s="12">
        <f>IF(AND(Table1[[#This Row],[Z3 SMT2-2 PdMaxres Cost]]=Table1[[#This Row],[ORTools FZN2 Cost]],Table1[[#This Row],[ORTools FZN2 State]]="Optimal"),1,"")</f>
        <v>1</v>
      </c>
      <c r="BL242" s="12" t="s">
        <v>26</v>
      </c>
      <c r="BM242" s="12">
        <v>18307</v>
      </c>
      <c r="BN242" s="12">
        <v>103.0526606</v>
      </c>
      <c r="BO242" s="11">
        <f>IF(AND(Table1[[#This Row],[Z3 SMT2-2 PdMaxres Cost]]=Table1[[#This Row],[ORTools FZN2 Cost]],Table1[[#This Row],[ORTools FZN2 State]]="Optimal"),1,"")</f>
        <v>1</v>
      </c>
      <c r="BP242" s="5" t="s">
        <v>25</v>
      </c>
      <c r="BQ242" s="2">
        <v>18307</v>
      </c>
      <c r="BR242" s="2">
        <v>14.0934083</v>
      </c>
      <c r="BS242" s="2" t="str">
        <f>IF(AND(Table1[[#This Row],[Gurobi MB Cost]]=Table1[[#This Row],[ORTools FZN2 Cost]],Table1[[#This Row],[ORTools FZN2 State]]="Optimal",Table1[[#This Row],[Gurobi MB State]]="Suboptimal"),1,"")</f>
        <v/>
      </c>
      <c r="BT24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2" s="5" t="s">
        <v>25</v>
      </c>
      <c r="BV242" s="2">
        <v>18307</v>
      </c>
      <c r="BW242" s="2">
        <v>96.877089799999993</v>
      </c>
      <c r="BX242" s="2" t="str">
        <f>IF(AND(Table1[[#This Row],[Gurobi MD Cost]]=Table1[[#This Row],[ORTools FZN2 Cost]],Table1[[#This Row],[ORTools FZN2 State]]="Optimal",Table1[[#This Row],[Gurobi MD State]]="Suboptimal"),1,"")</f>
        <v/>
      </c>
      <c r="BY24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2" s="5" t="s">
        <v>25</v>
      </c>
      <c r="CA242" s="2">
        <v>18307</v>
      </c>
      <c r="CB242" s="2">
        <v>17.598030399999999</v>
      </c>
      <c r="CC242" s="2" t="str">
        <f>IF(AND(Table1[[#This Row],[Gurobi MI Cost]]=Table1[[#This Row],[ORTools FZN2 Cost]],Table1[[#This Row],[ORTools FZN2 State]]="Optimal",Table1[[#This Row],[Gurobi MI State]]="Suboptimal"),1,"")</f>
        <v/>
      </c>
      <c r="CD24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2" s="39" t="s">
        <v>42</v>
      </c>
      <c r="CF242" s="2">
        <v>-18279</v>
      </c>
      <c r="CG242" s="39">
        <v>301.00998040000002</v>
      </c>
      <c r="CH242" s="39" t="s">
        <v>42</v>
      </c>
      <c r="CI242" s="39">
        <v>-18279</v>
      </c>
      <c r="CJ242" s="2">
        <v>306.03137950000001</v>
      </c>
      <c r="CK242" s="5" t="s">
        <v>25</v>
      </c>
      <c r="CL242" s="2">
        <v>18307</v>
      </c>
      <c r="CM242" s="2">
        <v>0.44299999999930201</v>
      </c>
      <c r="CN242" s="5" t="s">
        <v>25</v>
      </c>
      <c r="CO242" s="2">
        <v>18307</v>
      </c>
      <c r="CP242" s="2">
        <v>75.014728399999996</v>
      </c>
      <c r="CQ242" s="5" t="s">
        <v>25</v>
      </c>
      <c r="CR242" s="2">
        <v>18307</v>
      </c>
      <c r="CS242" s="2">
        <v>4.2283964999999997</v>
      </c>
      <c r="CT242" s="6" t="s">
        <v>25</v>
      </c>
      <c r="CU242" s="4">
        <v>18307</v>
      </c>
      <c r="CV242" s="4">
        <v>2.7319977</v>
      </c>
      <c r="CW242" s="39" t="s">
        <v>25</v>
      </c>
      <c r="CX242" s="39">
        <v>18307</v>
      </c>
      <c r="CY242" s="2">
        <v>95.156899999999993</v>
      </c>
      <c r="CZ242" s="2" t="str">
        <f>IF(AND(Table1[[#This Row],[Cplex MZ1 Cost]]=Table1[[#This Row],[ORTools FZN2 Cost]],Table1[[#This Row],[ORTools FZN2 State]]="Optimal",Table1[[#This Row],[Cplex MZ1 State]]="Suboptimal"),1,"")</f>
        <v/>
      </c>
      <c r="DA242" s="5" t="s">
        <v>25</v>
      </c>
      <c r="DB242" s="2">
        <v>18307</v>
      </c>
      <c r="DC242" s="2">
        <v>116.6892</v>
      </c>
      <c r="DD242" s="2" t="str">
        <f>IF(AND(Table1[[#This Row],[Cplex MZ2 Cost]]=Table1[[#This Row],[ORTools FZN2 Cost]],Table1[[#This Row],[ORTools FZN2 State]]="Optimal",Table1[[#This Row],[Cplex MZ2 State]]="Suboptimal"),1,"")</f>
        <v/>
      </c>
      <c r="DE242" s="12" t="s">
        <v>26</v>
      </c>
      <c r="DF242" s="12">
        <v>18307</v>
      </c>
      <c r="DG242" s="12">
        <v>300.017</v>
      </c>
      <c r="DH242" s="12">
        <f>IF(AND(Table1[[#This Row],[Gurobi MZ1 Cost]]=Table1[[#This Row],[ORTools FZN2 Cost]],Table1[[#This Row],[ORTools FZN2 State]]="Optimal",Table1[[#This Row],[Gurobi MZ1 State]]="Suboptimal"),1,"")</f>
        <v>1</v>
      </c>
      <c r="DI242" s="12" t="s">
        <v>26</v>
      </c>
      <c r="DJ242" s="12">
        <v>18307</v>
      </c>
      <c r="DK242" s="12">
        <v>300.00290000000001</v>
      </c>
      <c r="DL242" s="11">
        <f>IF(AND(Table1[[#This Row],[Gurobi MZ2 Cost]]=Table1[[#This Row],[ORTools FZN2 Cost]],Table1[[#This Row],[ORTools FZN2 State]]="Optimal",Table1[[#This Row],[Gurobi MZ2 State]]="Suboptimal"),1,"")</f>
        <v>1</v>
      </c>
      <c r="DM242" s="39" t="s">
        <v>25</v>
      </c>
      <c r="DN242" s="39">
        <v>18307</v>
      </c>
      <c r="DO242" s="65">
        <v>4.6359999999986004</v>
      </c>
      <c r="DP242" s="4" t="str">
        <f>IF(AND(Table1[[#This Row],[Cplex MC nonDual Cost]]=Table1[[#This Row],[ORTools FZN2 Cost]],Table1[[#This Row],[ORTools FZN2 State]]="Optimal",Table1[[#This Row],[Cplex MC nonDual State]]="Suboptimal"),1,"")</f>
        <v/>
      </c>
      <c r="DQ242" s="5" t="s">
        <v>25</v>
      </c>
      <c r="DR242" s="2">
        <v>18307</v>
      </c>
      <c r="DS242" s="2">
        <v>112.0535</v>
      </c>
      <c r="DT242" s="2" t="str">
        <f>IF(AND(Table1[[#This Row],[Cplex MIP DM''z Cost]]=Table1[[#This Row],[ORTools FZN2 Cost]],Table1[[#This Row],[ORTools FZN2 State]]="Optimal",Table1[[#This Row],[Cplex MIP DM''z  State]]="Suboptimal"),1,"")</f>
        <v/>
      </c>
      <c r="DU24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2" s="5" t="s">
        <v>26</v>
      </c>
      <c r="DW242" s="2">
        <v>18307</v>
      </c>
      <c r="DX242" s="2">
        <v>300.02229999999997</v>
      </c>
      <c r="DY242" s="4">
        <f>IF(AND(Table1[[#This Row],[Gurobi DM''z  Cost]]=Table1[[#This Row],[ORTools FZN2 Cost]],Table1[[#This Row],[ORTools FZN2 State]]="Optimal",Table1[[#This Row],[Gurobi DM''z  State]]="Suboptimal"),1,"")</f>
        <v>1</v>
      </c>
      <c r="DZ24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3" spans="1:130" ht="15.75" x14ac:dyDescent="0.25">
      <c r="A243" s="47" t="s">
        <v>269</v>
      </c>
      <c r="B243" s="5">
        <v>56</v>
      </c>
      <c r="C243" s="2">
        <v>25</v>
      </c>
      <c r="D243" s="5">
        <v>517</v>
      </c>
      <c r="E243" s="2">
        <v>26</v>
      </c>
      <c r="F243" s="5">
        <v>33</v>
      </c>
      <c r="G243" s="2">
        <v>0</v>
      </c>
      <c r="H243" s="4">
        <f t="shared" si="3"/>
        <v>6</v>
      </c>
      <c r="I243" s="4">
        <f>Table1[[#This Row],[B]]+Table1[[#This Row],[Atomic Constraints]]+Table1[[#This Row],[Soft Atomic Constraints]]+Table1[[#This Row],[Disjunctive Constraints]]+Table1[[#This Row],[Direct Successors]]</f>
        <v>601</v>
      </c>
      <c r="J243" s="5" t="s">
        <v>26</v>
      </c>
      <c r="K243" s="2">
        <v>3889828</v>
      </c>
      <c r="L243" s="2">
        <v>301.96058970000001</v>
      </c>
      <c r="M243" s="2" t="str">
        <f>IF(AND(Table1[[#This Row],[Chuffed MZ1 Cost]]=Table1[[#This Row],[ORTools FZN2 Cost]],Table1[[#This Row],[ORTools FZN2 State]]="Optimal",Table1[[#This Row],[Chuffed MZ1 State]]="Suboptimal"),1,"")</f>
        <v/>
      </c>
      <c r="N243" s="5" t="s">
        <v>26</v>
      </c>
      <c r="O243" s="2">
        <v>2309447</v>
      </c>
      <c r="P243" s="2">
        <v>302.01622229999998</v>
      </c>
      <c r="Q243" s="2" t="str">
        <f>IF(AND(Table1[[#This Row],[Chuffed MZ2 Cost]]=Table1[[#This Row],[ORTools FZN2 Cost]],Table1[[#This Row],[ORTools FZN2 State]]="Optimal",Table1[[#This Row],[Chuffed MZ2 State]]="Suboptimal"),1,"")</f>
        <v/>
      </c>
      <c r="R243" s="6" t="s">
        <v>25</v>
      </c>
      <c r="S243" s="4">
        <v>178870</v>
      </c>
      <c r="T243" s="4">
        <v>1.46800000000076</v>
      </c>
      <c r="U243" s="4"/>
      <c r="V243" s="5" t="s">
        <v>25</v>
      </c>
      <c r="W243" s="2">
        <v>178867</v>
      </c>
      <c r="X243" s="2">
        <v>19.003719799999999</v>
      </c>
      <c r="Y243" s="2" t="str">
        <f>IF(AND(Table1[[#This Row],[ORTools FZN1 Cost]]=Table1[[#This Row],[ORTools FZN2 Cost]],Table1[[#This Row],[ORTools FZN2 State]]="Optimal",Table1[[#This Row],[ORTools FZN1 State]]="Suboptimal"),1,"")</f>
        <v/>
      </c>
      <c r="Z243" s="5" t="s">
        <v>25</v>
      </c>
      <c r="AA243" s="2">
        <v>178867</v>
      </c>
      <c r="AB243" s="2">
        <v>16.312612999999999</v>
      </c>
      <c r="AC243" s="12" t="s">
        <v>26</v>
      </c>
      <c r="AD243" s="12">
        <v>178867</v>
      </c>
      <c r="AE243" s="12">
        <v>300.11200639999998</v>
      </c>
      <c r="AF243" s="2">
        <f>IF(AND(Table1[[#This Row],[Cplex MB Cost]]=Table1[[#This Row],[ORTools FZN2 Cost]],Table1[[#This Row],[ORTools FZN2 State]]="Optimal",Table1[[#This Row],[Cplex MB State]]="Suboptimal"),1,"")</f>
        <v>1</v>
      </c>
      <c r="AG243" s="4">
        <f>IF(AND(AC243="Optimal",AD243&lt;&gt;AA243,Table1[[#This Row],[Example]]&lt;&gt;"R001",Table1[[#This Row],[Example]]&lt;&gt;"R002"),AD243-AA243,)</f>
        <v>0</v>
      </c>
      <c r="AH243" s="5" t="s">
        <v>42</v>
      </c>
      <c r="AI243" s="2">
        <v>-178809</v>
      </c>
      <c r="AJ243" s="2">
        <v>300.50054649999998</v>
      </c>
      <c r="AK243" s="2" t="str">
        <f>IF(AND(Table1[[#This Row],[Cplex MD Cost]]=Table1[[#This Row],[ORTools FZN2 Cost]],Table1[[#This Row],[ORTools FZN2 State]]="Optimal",Table1[[#This Row],[Cplex MD State]]="Suboptimal"),1,"")</f>
        <v/>
      </c>
      <c r="AL243" s="4">
        <f>IF(AND(AH243="Optimal",AI243&lt;&gt;AA243,Table1[[#This Row],[Example]]&lt;&gt;"R001",Table1[[#This Row],[Example]]&lt;&gt;"R002"),AI243-AA243,)</f>
        <v>0</v>
      </c>
      <c r="AM243" s="39" t="s">
        <v>26</v>
      </c>
      <c r="AN243" s="39">
        <v>1941640</v>
      </c>
      <c r="AO243" s="2">
        <v>300.10343339999997</v>
      </c>
      <c r="AP24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3" s="2" t="str">
        <f>IF(AND(Table1[[#This Row],[Cplex MI Cost]]=Table1[[#This Row],[ORTools FZN2 Cost]],Table1[[#This Row],[ORTools FZN2 State]]="Optimal",Table1[[#This Row],[Cplex MI State]]="Suboptimal"),1,"")</f>
        <v/>
      </c>
      <c r="AR243" s="5" t="s">
        <v>42</v>
      </c>
      <c r="AS243" s="2">
        <v>-178809</v>
      </c>
      <c r="AT243" s="2">
        <v>300.06331039999998</v>
      </c>
      <c r="AU243" s="2" t="str">
        <f>IF(AND(Table1[[#This Row],[Z3 SMT2-1 Maxres Cost]]=Table1[[#This Row],[ORTools FZN2 Cost]],Table1[[#This Row],[ORTools FZN2 State]]="Optimal"),1,"")</f>
        <v/>
      </c>
      <c r="AV243" s="39" t="s">
        <v>42</v>
      </c>
      <c r="AW243" s="39">
        <v>-178809</v>
      </c>
      <c r="AX243" s="2">
        <v>300.05256489999999</v>
      </c>
      <c r="AY243" s="2" t="str">
        <f>IF(AND(Table1[[#This Row],[Z3 SMT2-1 PdMaxres Cost]]=Table1[[#This Row],[ORTools FZN2 Cost]],Table1[[#This Row],[ORTools FZN2 State]]="Optimal"),1,"")</f>
        <v/>
      </c>
      <c r="AZ243" s="5" t="s">
        <v>42</v>
      </c>
      <c r="BA243" s="2">
        <v>-178809</v>
      </c>
      <c r="BB243" s="39">
        <v>300.04697679999998</v>
      </c>
      <c r="BC243" s="39" t="str">
        <f>IF(AND(Table1[[#This Row],[Z3 SMT2-1 WMax Cost]]=Table1[[#This Row],[ORTools FZN2 Cost]],Table1[[#This Row],[ORTools FZN2 State]]="Optimal"),1,"")</f>
        <v/>
      </c>
      <c r="BD243" s="39" t="s">
        <v>42</v>
      </c>
      <c r="BE243" s="39">
        <v>-178809</v>
      </c>
      <c r="BF243" s="2">
        <v>300.05814909999998</v>
      </c>
      <c r="BG243" s="2" t="str">
        <f>IF(AND(Table1[[#This Row],[Z3 SMT2-2 Maxres Cost]]=Table1[[#This Row],[ORTools FZN2 Cost]],Table1[[#This Row],[ORTools FZN2 State]]="Optimal"),1,"")</f>
        <v/>
      </c>
      <c r="BH243" s="5" t="s">
        <v>42</v>
      </c>
      <c r="BI243" s="2">
        <v>-178809</v>
      </c>
      <c r="BJ243" s="39">
        <v>300.06240609999998</v>
      </c>
      <c r="BK243" s="39" t="str">
        <f>IF(AND(Table1[[#This Row],[Z3 SMT2-2 PdMaxres Cost]]=Table1[[#This Row],[ORTools FZN2 Cost]],Table1[[#This Row],[ORTools FZN2 State]]="Optimal"),1,"")</f>
        <v/>
      </c>
      <c r="BL243" s="39" t="s">
        <v>42</v>
      </c>
      <c r="BM243" s="39">
        <v>-178809</v>
      </c>
      <c r="BN243" s="2">
        <v>300.04726840000001</v>
      </c>
      <c r="BO243" s="4" t="str">
        <f>IF(AND(Table1[[#This Row],[Z3 SMT2-2 PdMaxres Cost]]=Table1[[#This Row],[ORTools FZN2 Cost]],Table1[[#This Row],[ORTools FZN2 State]]="Optimal"),1,"")</f>
        <v/>
      </c>
      <c r="BP243" s="5" t="s">
        <v>26</v>
      </c>
      <c r="BQ243" s="2">
        <v>178867</v>
      </c>
      <c r="BR243" s="2">
        <v>300.15160209999999</v>
      </c>
      <c r="BS243" s="2">
        <f>IF(AND(Table1[[#This Row],[Gurobi MB Cost]]=Table1[[#This Row],[ORTools FZN2 Cost]],Table1[[#This Row],[ORTools FZN2 State]]="Optimal",Table1[[#This Row],[Gurobi MB State]]="Suboptimal"),1,"")</f>
        <v>1</v>
      </c>
      <c r="BT24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3" s="5" t="s">
        <v>42</v>
      </c>
      <c r="BV243" s="2">
        <v>-178809</v>
      </c>
      <c r="BW243" s="2">
        <v>300.1381366</v>
      </c>
      <c r="BX243" s="2" t="str">
        <f>IF(AND(Table1[[#This Row],[Gurobi MD Cost]]=Table1[[#This Row],[ORTools FZN2 Cost]],Table1[[#This Row],[ORTools FZN2 State]]="Optimal",Table1[[#This Row],[Gurobi MD State]]="Suboptimal"),1,"")</f>
        <v/>
      </c>
      <c r="BY24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3" s="5" t="s">
        <v>25</v>
      </c>
      <c r="CA243" s="2">
        <v>178867</v>
      </c>
      <c r="CB243" s="2">
        <v>153.3221236</v>
      </c>
      <c r="CC243" s="2" t="str">
        <f>IF(AND(Table1[[#This Row],[Gurobi MI Cost]]=Table1[[#This Row],[ORTools FZN2 Cost]],Table1[[#This Row],[ORTools FZN2 State]]="Optimal",Table1[[#This Row],[Gurobi MI State]]="Suboptimal"),1,"")</f>
        <v/>
      </c>
      <c r="CD24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3" s="39" t="s">
        <v>42</v>
      </c>
      <c r="CF243" s="2">
        <v>-178809</v>
      </c>
      <c r="CG243" s="39">
        <v>306.26293190000001</v>
      </c>
      <c r="CH243" s="39" t="s">
        <v>42</v>
      </c>
      <c r="CI243" s="39">
        <v>-178809</v>
      </c>
      <c r="CJ243" s="2">
        <v>306.13106879999998</v>
      </c>
      <c r="CK243" s="5" t="s">
        <v>25</v>
      </c>
      <c r="CL243" s="2">
        <v>178867</v>
      </c>
      <c r="CM243" s="2">
        <v>7.5119999999988103</v>
      </c>
      <c r="CN243" s="5" t="s">
        <v>26</v>
      </c>
      <c r="CO243" s="2">
        <v>3548454</v>
      </c>
      <c r="CP243" s="2">
        <v>301.93319760000003</v>
      </c>
      <c r="CQ243" s="5" t="s">
        <v>25</v>
      </c>
      <c r="CR243" s="2">
        <v>178867</v>
      </c>
      <c r="CS243" s="2">
        <v>40.131207500000002</v>
      </c>
      <c r="CT243" s="6" t="s">
        <v>25</v>
      </c>
      <c r="CU243" s="4">
        <v>178867</v>
      </c>
      <c r="CV243" s="4">
        <v>22.0614788</v>
      </c>
      <c r="CW243" s="39" t="s">
        <v>26</v>
      </c>
      <c r="CX243" s="39">
        <v>354483</v>
      </c>
      <c r="CY243" s="2">
        <v>300.00979999999998</v>
      </c>
      <c r="CZ243" s="2" t="str">
        <f>IF(AND(Table1[[#This Row],[Cplex MZ1 Cost]]=Table1[[#This Row],[ORTools FZN2 Cost]],Table1[[#This Row],[ORTools FZN2 State]]="Optimal",Table1[[#This Row],[Cplex MZ1 State]]="Suboptimal"),1,"")</f>
        <v/>
      </c>
      <c r="DA243" s="5" t="s">
        <v>26</v>
      </c>
      <c r="DB243" s="2">
        <v>354486</v>
      </c>
      <c r="DC243" s="2">
        <v>300.02539999999999</v>
      </c>
      <c r="DD243" s="2" t="str">
        <f>IF(AND(Table1[[#This Row],[Cplex MZ2 Cost]]=Table1[[#This Row],[ORTools FZN2 Cost]],Table1[[#This Row],[ORTools FZN2 State]]="Optimal",Table1[[#This Row],[Cplex MZ2 State]]="Suboptimal"),1,"")</f>
        <v/>
      </c>
      <c r="DE243" s="39" t="s">
        <v>26</v>
      </c>
      <c r="DF243" s="39">
        <v>2829804</v>
      </c>
      <c r="DG243" s="2">
        <v>300.00909999999999</v>
      </c>
      <c r="DH243" s="2" t="str">
        <f>IF(AND(Table1[[#This Row],[Gurobi MZ1 Cost]]=Table1[[#This Row],[ORTools FZN2 Cost]],Table1[[#This Row],[ORTools FZN2 State]]="Optimal",Table1[[#This Row],[Gurobi MZ1 State]]="Suboptimal"),1,"")</f>
        <v/>
      </c>
      <c r="DI243" s="5" t="s">
        <v>26</v>
      </c>
      <c r="DJ243" s="2">
        <v>530104</v>
      </c>
      <c r="DK243" s="2">
        <v>300.00749999999999</v>
      </c>
      <c r="DL243" s="4" t="str">
        <f>IF(AND(Table1[[#This Row],[Gurobi MZ2 Cost]]=Table1[[#This Row],[ORTools FZN2 Cost]],Table1[[#This Row],[ORTools FZN2 State]]="Optimal",Table1[[#This Row],[Gurobi MZ2 State]]="Suboptimal"),1,"")</f>
        <v/>
      </c>
      <c r="DM243" s="39" t="s">
        <v>25</v>
      </c>
      <c r="DN243" s="39">
        <v>178867</v>
      </c>
      <c r="DO243" s="65">
        <v>7.9779999999991498</v>
      </c>
      <c r="DP243" s="4" t="str">
        <f>IF(AND(Table1[[#This Row],[Cplex MC nonDual Cost]]=Table1[[#This Row],[ORTools FZN2 Cost]],Table1[[#This Row],[ORTools FZN2 State]]="Optimal",Table1[[#This Row],[Cplex MC nonDual State]]="Suboptimal"),1,"")</f>
        <v/>
      </c>
      <c r="DQ243" s="5" t="s">
        <v>26</v>
      </c>
      <c r="DR243" s="2">
        <v>178867</v>
      </c>
      <c r="DS243" s="2">
        <v>300.02679999999998</v>
      </c>
      <c r="DT243" s="2">
        <f>IF(AND(Table1[[#This Row],[Cplex MIP DM''z Cost]]=Table1[[#This Row],[ORTools FZN2 Cost]],Table1[[#This Row],[ORTools FZN2 State]]="Optimal",Table1[[#This Row],[Cplex MIP DM''z  State]]="Suboptimal"),1,"")</f>
        <v>1</v>
      </c>
      <c r="DU24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3" s="5" t="s">
        <v>26</v>
      </c>
      <c r="DW243" s="2">
        <v>885590</v>
      </c>
      <c r="DX243" s="2">
        <v>300.02949999999998</v>
      </c>
      <c r="DY243" s="4" t="str">
        <f>IF(AND(Table1[[#This Row],[Gurobi DM''z  Cost]]=Table1[[#This Row],[ORTools FZN2 Cost]],Table1[[#This Row],[ORTools FZN2 State]]="Optimal",Table1[[#This Row],[Gurobi DM''z  State]]="Suboptimal"),1,"")</f>
        <v/>
      </c>
      <c r="DZ24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4" spans="1:130" ht="15.75" x14ac:dyDescent="0.25">
      <c r="A244" s="46" t="s">
        <v>270</v>
      </c>
      <c r="B244" s="5">
        <v>67</v>
      </c>
      <c r="C244" s="2">
        <v>31</v>
      </c>
      <c r="D244" s="5">
        <v>756</v>
      </c>
      <c r="E244" s="2">
        <v>34</v>
      </c>
      <c r="F244" s="5">
        <v>43</v>
      </c>
      <c r="G244" s="2">
        <v>0</v>
      </c>
      <c r="H244" s="4">
        <f t="shared" si="3"/>
        <v>5</v>
      </c>
      <c r="I244" s="4">
        <f>Table1[[#This Row],[B]]+Table1[[#This Row],[Atomic Constraints]]+Table1[[#This Row],[Soft Atomic Constraints]]+Table1[[#This Row],[Disjunctive Constraints]]+Table1[[#This Row],[Direct Successors]]</f>
        <v>864</v>
      </c>
      <c r="J244" s="5" t="s">
        <v>26</v>
      </c>
      <c r="K244" s="2">
        <v>7292897</v>
      </c>
      <c r="L244" s="2">
        <v>302.72805060000002</v>
      </c>
      <c r="M244" s="2" t="str">
        <f>IF(AND(Table1[[#This Row],[Chuffed MZ1 Cost]]=Table1[[#This Row],[ORTools FZN2 Cost]],Table1[[#This Row],[ORTools FZN2 State]]="Optimal",Table1[[#This Row],[Chuffed MZ1 State]]="Suboptimal"),1,"")</f>
        <v/>
      </c>
      <c r="N244" s="5" t="s">
        <v>26</v>
      </c>
      <c r="O244" s="2">
        <v>7279501</v>
      </c>
      <c r="P244" s="2">
        <v>302.7986788</v>
      </c>
      <c r="Q244" s="2" t="str">
        <f>IF(AND(Table1[[#This Row],[Chuffed MZ2 Cost]]=Table1[[#This Row],[ORTools FZN2 Cost]],Table1[[#This Row],[ORTools FZN2 State]]="Optimal",Table1[[#This Row],[Chuffed MZ2 State]]="Suboptimal"),1,"")</f>
        <v/>
      </c>
      <c r="R244" s="11" t="s">
        <v>26</v>
      </c>
      <c r="S244" s="11">
        <v>606154</v>
      </c>
      <c r="T244" s="11">
        <v>300.115999999998</v>
      </c>
      <c r="U244" s="11">
        <v>1</v>
      </c>
      <c r="V244" s="5" t="s">
        <v>25</v>
      </c>
      <c r="W244" s="2">
        <v>606154</v>
      </c>
      <c r="X244" s="2">
        <v>39.268538100000001</v>
      </c>
      <c r="Y244" s="2" t="str">
        <f>IF(AND(Table1[[#This Row],[ORTools FZN1 Cost]]=Table1[[#This Row],[ORTools FZN2 Cost]],Table1[[#This Row],[ORTools FZN2 State]]="Optimal",Table1[[#This Row],[ORTools FZN1 State]]="Suboptimal"),1,"")</f>
        <v/>
      </c>
      <c r="Z244" s="5" t="s">
        <v>25</v>
      </c>
      <c r="AA244" s="2">
        <v>606154</v>
      </c>
      <c r="AB244" s="2">
        <v>39.124850299999999</v>
      </c>
      <c r="AC244" s="39" t="s">
        <v>42</v>
      </c>
      <c r="AD244" s="39">
        <v>-305320</v>
      </c>
      <c r="AE244" s="2">
        <v>300.12956639999999</v>
      </c>
      <c r="AF244" s="2" t="str">
        <f>IF(AND(Table1[[#This Row],[Cplex MB Cost]]=Table1[[#This Row],[ORTools FZN2 Cost]],Table1[[#This Row],[ORTools FZN2 State]]="Optimal",Table1[[#This Row],[Cplex MB State]]="Suboptimal"),1,"")</f>
        <v/>
      </c>
      <c r="AG244" s="4">
        <f>IF(AND(AC244="Optimal",AD244&lt;&gt;AA244,Table1[[#This Row],[Example]]&lt;&gt;"R001",Table1[[#This Row],[Example]]&lt;&gt;"R002"),AD244-AA244,)</f>
        <v>0</v>
      </c>
      <c r="AH244" s="5" t="s">
        <v>42</v>
      </c>
      <c r="AI244" s="2">
        <v>-305320</v>
      </c>
      <c r="AJ244" s="2">
        <v>328.86537010000001</v>
      </c>
      <c r="AK244" s="2" t="str">
        <f>IF(AND(Table1[[#This Row],[Cplex MD Cost]]=Table1[[#This Row],[ORTools FZN2 Cost]],Table1[[#This Row],[ORTools FZN2 State]]="Optimal",Table1[[#This Row],[Cplex MD State]]="Suboptimal"),1,"")</f>
        <v/>
      </c>
      <c r="AL244" s="4">
        <f>IF(AND(AH244="Optimal",AI244&lt;&gt;AA244,Table1[[#This Row],[Example]]&lt;&gt;"R001",Table1[[#This Row],[Example]]&lt;&gt;"R002"),AI244-AA244,)</f>
        <v>0</v>
      </c>
      <c r="AM244" s="39" t="s">
        <v>42</v>
      </c>
      <c r="AN244" s="39">
        <v>-305320</v>
      </c>
      <c r="AO244" s="2">
        <v>300.27995609999999</v>
      </c>
      <c r="AP24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4" s="4" t="str">
        <f>IF(AND(Table1[[#This Row],[Cplex MI Cost]]=Table1[[#This Row],[ORTools FZN2 Cost]],Table1[[#This Row],[ORTools FZN2 State]]="Optimal",Table1[[#This Row],[Cplex MI State]]="Suboptimal"),1,"")</f>
        <v/>
      </c>
      <c r="AR244" s="5" t="s">
        <v>42</v>
      </c>
      <c r="AS244" s="2">
        <v>-305320</v>
      </c>
      <c r="AT244" s="2">
        <v>300.07049890000002</v>
      </c>
      <c r="AU244" s="2" t="str">
        <f>IF(AND(Table1[[#This Row],[Z3 SMT2-1 Maxres Cost]]=Table1[[#This Row],[ORTools FZN2 Cost]],Table1[[#This Row],[ORTools FZN2 State]]="Optimal"),1,"")</f>
        <v/>
      </c>
      <c r="AV244" s="39" t="s">
        <v>42</v>
      </c>
      <c r="AW244" s="39">
        <v>-305320</v>
      </c>
      <c r="AX244" s="2">
        <v>300.06982219999998</v>
      </c>
      <c r="AY244" s="2" t="str">
        <f>IF(AND(Table1[[#This Row],[Z3 SMT2-1 PdMaxres Cost]]=Table1[[#This Row],[ORTools FZN2 Cost]],Table1[[#This Row],[ORTools FZN2 State]]="Optimal"),1,"")</f>
        <v/>
      </c>
      <c r="AZ244" s="5" t="s">
        <v>42</v>
      </c>
      <c r="BA244" s="2">
        <v>-305320</v>
      </c>
      <c r="BB244" s="39">
        <v>300.06974480000002</v>
      </c>
      <c r="BC244" s="39" t="str">
        <f>IF(AND(Table1[[#This Row],[Z3 SMT2-1 WMax Cost]]=Table1[[#This Row],[ORTools FZN2 Cost]],Table1[[#This Row],[ORTools FZN2 State]]="Optimal"),1,"")</f>
        <v/>
      </c>
      <c r="BD244" s="39" t="s">
        <v>42</v>
      </c>
      <c r="BE244" s="39">
        <v>-305320</v>
      </c>
      <c r="BF244" s="2">
        <v>300.06618379999998</v>
      </c>
      <c r="BG244" s="2" t="str">
        <f>IF(AND(Table1[[#This Row],[Z3 SMT2-2 Maxres Cost]]=Table1[[#This Row],[ORTools FZN2 Cost]],Table1[[#This Row],[ORTools FZN2 State]]="Optimal"),1,"")</f>
        <v/>
      </c>
      <c r="BH244" s="5" t="s">
        <v>42</v>
      </c>
      <c r="BI244" s="2">
        <v>-305320</v>
      </c>
      <c r="BJ244" s="39">
        <v>300.07140829999997</v>
      </c>
      <c r="BK244" s="39" t="str">
        <f>IF(AND(Table1[[#This Row],[Z3 SMT2-2 PdMaxres Cost]]=Table1[[#This Row],[ORTools FZN2 Cost]],Table1[[#This Row],[ORTools FZN2 State]]="Optimal"),1,"")</f>
        <v/>
      </c>
      <c r="BL244" s="39" t="s">
        <v>42</v>
      </c>
      <c r="BM244" s="39">
        <v>-305320</v>
      </c>
      <c r="BN244" s="2">
        <v>300.06397870000001</v>
      </c>
      <c r="BO244" s="4" t="str">
        <f>IF(AND(Table1[[#This Row],[Z3 SMT2-2 PdMaxres Cost]]=Table1[[#This Row],[ORTools FZN2 Cost]],Table1[[#This Row],[ORTools FZN2 State]]="Optimal"),1,"")</f>
        <v/>
      </c>
      <c r="BP244" s="5" t="s">
        <v>42</v>
      </c>
      <c r="BQ244" s="2">
        <v>-305320</v>
      </c>
      <c r="BR244" s="2">
        <v>300.16217419999998</v>
      </c>
      <c r="BS244" s="2" t="str">
        <f>IF(AND(Table1[[#This Row],[Gurobi MB Cost]]=Table1[[#This Row],[ORTools FZN2 Cost]],Table1[[#This Row],[ORTools FZN2 State]]="Optimal",Table1[[#This Row],[Gurobi MB State]]="Suboptimal"),1,"")</f>
        <v/>
      </c>
      <c r="BT24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4" s="5" t="s">
        <v>42</v>
      </c>
      <c r="BV244" s="2">
        <v>-305320</v>
      </c>
      <c r="BW244" s="2">
        <v>300.22165230000002</v>
      </c>
      <c r="BX244" s="2" t="str">
        <f>IF(AND(Table1[[#This Row],[Gurobi MD Cost]]=Table1[[#This Row],[ORTools FZN2 Cost]],Table1[[#This Row],[ORTools FZN2 State]]="Optimal",Table1[[#This Row],[Gurobi MD State]]="Suboptimal"),1,"")</f>
        <v/>
      </c>
      <c r="BY24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4" s="5" t="s">
        <v>42</v>
      </c>
      <c r="CA244" s="2">
        <v>-305320</v>
      </c>
      <c r="CB244" s="2">
        <v>300.16821199999998</v>
      </c>
      <c r="CC244" s="2" t="str">
        <f>IF(AND(Table1[[#This Row],[Gurobi MI Cost]]=Table1[[#This Row],[ORTools FZN2 Cost]],Table1[[#This Row],[ORTools FZN2 State]]="Optimal",Table1[[#This Row],[Gurobi MI State]]="Suboptimal"),1,"")</f>
        <v/>
      </c>
      <c r="CD24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4" s="39" t="s">
        <v>42</v>
      </c>
      <c r="CF244" s="2">
        <v>-305320</v>
      </c>
      <c r="CG244" s="39">
        <v>306.10220149999998</v>
      </c>
      <c r="CH244" s="39" t="s">
        <v>42</v>
      </c>
      <c r="CI244" s="39">
        <v>-305320</v>
      </c>
      <c r="CJ244" s="2">
        <v>306.1092496</v>
      </c>
      <c r="CK244" s="5" t="s">
        <v>26</v>
      </c>
      <c r="CL244" s="2">
        <v>606154</v>
      </c>
      <c r="CM244" s="2">
        <v>300.07100000000003</v>
      </c>
      <c r="CN244" s="5" t="s">
        <v>26</v>
      </c>
      <c r="CO244" s="2">
        <v>8486567</v>
      </c>
      <c r="CP244" s="2">
        <v>302.6654418</v>
      </c>
      <c r="CQ244" s="5" t="s">
        <v>25</v>
      </c>
      <c r="CR244" s="2">
        <v>606154</v>
      </c>
      <c r="CS244" s="2">
        <v>73.318537500000005</v>
      </c>
      <c r="CT244" s="6" t="s">
        <v>25</v>
      </c>
      <c r="CU244" s="4">
        <v>606154</v>
      </c>
      <c r="CV244" s="4">
        <v>37.706923099999997</v>
      </c>
      <c r="CW244" s="39" t="s">
        <v>26</v>
      </c>
      <c r="CX244" s="39">
        <v>4238633</v>
      </c>
      <c r="CY244" s="2">
        <v>300.01569999999998</v>
      </c>
      <c r="CZ244" s="2" t="str">
        <f>IF(AND(Table1[[#This Row],[Cplex MZ1 Cost]]=Table1[[#This Row],[ORTools FZN2 Cost]],Table1[[#This Row],[ORTools FZN2 State]]="Optimal",Table1[[#This Row],[Cplex MZ1 State]]="Suboptimal"),1,"")</f>
        <v/>
      </c>
      <c r="DA244" s="5" t="s">
        <v>26</v>
      </c>
      <c r="DB244" s="2">
        <v>1514271</v>
      </c>
      <c r="DC244" s="2">
        <v>300.02050000000003</v>
      </c>
      <c r="DD244" s="2" t="str">
        <f>IF(AND(Table1[[#This Row],[Cplex MZ2 Cost]]=Table1[[#This Row],[ORTools FZN2 Cost]],Table1[[#This Row],[ORTools FZN2 State]]="Optimal",Table1[[#This Row],[Cplex MZ2 State]]="Suboptimal"),1,"")</f>
        <v/>
      </c>
      <c r="DE244" s="39" t="s">
        <v>42</v>
      </c>
      <c r="DF244" s="39"/>
      <c r="DG244" s="2">
        <v>300.02390000000003</v>
      </c>
      <c r="DH244" s="2" t="str">
        <f>IF(AND(Table1[[#This Row],[Gurobi MZ1 Cost]]=Table1[[#This Row],[ORTools FZN2 Cost]],Table1[[#This Row],[ORTools FZN2 State]]="Optimal",Table1[[#This Row],[Gurobi MZ1 State]]="Suboptimal"),1,"")</f>
        <v/>
      </c>
      <c r="DI244" s="5" t="s">
        <v>42</v>
      </c>
      <c r="DJ244" s="2"/>
      <c r="DK244" s="2">
        <v>300.08030000000002</v>
      </c>
      <c r="DL244" s="4" t="str">
        <f>IF(AND(Table1[[#This Row],[Gurobi MZ2 Cost]]=Table1[[#This Row],[ORTools FZN2 Cost]],Table1[[#This Row],[ORTools FZN2 State]]="Optimal",Table1[[#This Row],[Gurobi MZ2 State]]="Suboptimal"),1,"")</f>
        <v/>
      </c>
      <c r="DM244" s="12" t="s">
        <v>26</v>
      </c>
      <c r="DN244" s="12">
        <v>606154</v>
      </c>
      <c r="DO244" s="69">
        <v>300.18</v>
      </c>
      <c r="DP244" s="11">
        <f>IF(AND(Table1[[#This Row],[Cplex MC nonDual Cost]]=Table1[[#This Row],[ORTools FZN2 Cost]],Table1[[#This Row],[ORTools FZN2 State]]="Optimal",Table1[[#This Row],[Cplex MC nonDual State]]="Suboptimal"),1,"")</f>
        <v>1</v>
      </c>
      <c r="DQ244" s="5" t="s">
        <v>26</v>
      </c>
      <c r="DR244" s="2">
        <v>9452782</v>
      </c>
      <c r="DS244" s="2">
        <v>300.01940000000002</v>
      </c>
      <c r="DT244" s="2" t="str">
        <f>IF(AND(Table1[[#This Row],[Cplex MIP DM''z Cost]]=Table1[[#This Row],[ORTools FZN2 Cost]],Table1[[#This Row],[ORTools FZN2 State]]="Optimal",Table1[[#This Row],[Cplex MIP DM''z  State]]="Suboptimal"),1,"")</f>
        <v/>
      </c>
      <c r="DU24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4" s="5" t="s">
        <v>42</v>
      </c>
      <c r="DW244" s="2"/>
      <c r="DX244" s="2">
        <v>300.02229999999997</v>
      </c>
      <c r="DY244" s="4" t="str">
        <f>IF(AND(Table1[[#This Row],[Gurobi DM''z  Cost]]=Table1[[#This Row],[ORTools FZN2 Cost]],Table1[[#This Row],[ORTools FZN2 State]]="Optimal",Table1[[#This Row],[Gurobi DM''z  State]]="Suboptimal"),1,"")</f>
        <v/>
      </c>
      <c r="DZ24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5" spans="1:130" ht="15.75" x14ac:dyDescent="0.25">
      <c r="A245" s="47" t="s">
        <v>271</v>
      </c>
      <c r="B245" s="5">
        <v>3</v>
      </c>
      <c r="C245" s="2">
        <v>1</v>
      </c>
      <c r="D245" s="5">
        <v>1</v>
      </c>
      <c r="E245" s="2">
        <v>1</v>
      </c>
      <c r="F245" s="5">
        <v>0</v>
      </c>
      <c r="G245" s="2">
        <v>0</v>
      </c>
      <c r="H245" s="4">
        <f t="shared" si="3"/>
        <v>1</v>
      </c>
      <c r="I245" s="4">
        <f>Table1[[#This Row],[B]]+Table1[[#This Row],[Atomic Constraints]]+Table1[[#This Row],[Soft Atomic Constraints]]+Table1[[#This Row],[Disjunctive Constraints]]+Table1[[#This Row],[Direct Successors]]</f>
        <v>3</v>
      </c>
      <c r="J245" s="5" t="s">
        <v>25</v>
      </c>
      <c r="K245" s="2">
        <v>0</v>
      </c>
      <c r="L245" s="2">
        <v>0.56777129999999998</v>
      </c>
      <c r="M245" s="2" t="str">
        <f>IF(AND(Table1[[#This Row],[Chuffed MZ1 Cost]]=Table1[[#This Row],[ORTools FZN2 Cost]],Table1[[#This Row],[ORTools FZN2 State]]="Optimal",Table1[[#This Row],[Chuffed MZ1 State]]="Suboptimal"),1,"")</f>
        <v/>
      </c>
      <c r="N245" s="5" t="s">
        <v>25</v>
      </c>
      <c r="O245" s="2">
        <v>0</v>
      </c>
      <c r="P245" s="2">
        <v>0.57197189999999998</v>
      </c>
      <c r="Q245" s="2" t="str">
        <f>IF(AND(Table1[[#This Row],[Chuffed MZ2 Cost]]=Table1[[#This Row],[ORTools FZN2 Cost]],Table1[[#This Row],[ORTools FZN2 State]]="Optimal",Table1[[#This Row],[Chuffed MZ2 State]]="Suboptimal"),1,"")</f>
        <v/>
      </c>
      <c r="R245" s="5" t="s">
        <v>25</v>
      </c>
      <c r="S245" s="2">
        <v>0</v>
      </c>
      <c r="T245" s="2">
        <v>3.4000000003288698E-2</v>
      </c>
      <c r="U245" s="2"/>
      <c r="V245" s="5" t="s">
        <v>25</v>
      </c>
      <c r="W245" s="2">
        <v>0</v>
      </c>
      <c r="X245" s="2">
        <v>3.5707999999999997E-2</v>
      </c>
      <c r="Y245" s="2" t="str">
        <f>IF(AND(Table1[[#This Row],[ORTools FZN1 Cost]]=Table1[[#This Row],[ORTools FZN2 Cost]],Table1[[#This Row],[ORTools FZN2 State]]="Optimal",Table1[[#This Row],[ORTools FZN1 State]]="Suboptimal"),1,"")</f>
        <v/>
      </c>
      <c r="Z245" s="5" t="s">
        <v>25</v>
      </c>
      <c r="AA245" s="2">
        <v>0</v>
      </c>
      <c r="AB245" s="2">
        <v>4.4857899999999999E-2</v>
      </c>
      <c r="AC245" s="39" t="s">
        <v>25</v>
      </c>
      <c r="AD245" s="39">
        <v>0</v>
      </c>
      <c r="AE245" s="2">
        <v>9.3042000000000003E-3</v>
      </c>
      <c r="AF245" s="2" t="str">
        <f>IF(AND(Table1[[#This Row],[Cplex MB Cost]]=Table1[[#This Row],[ORTools FZN2 Cost]],Table1[[#This Row],[ORTools FZN2 State]]="Optimal",Table1[[#This Row],[Cplex MB State]]="Suboptimal"),1,"")</f>
        <v/>
      </c>
      <c r="AG245" s="4">
        <f>IF(AND(AC245="Optimal",AD245&lt;&gt;AA245,Table1[[#This Row],[Example]]&lt;&gt;"R001",Table1[[#This Row],[Example]]&lt;&gt;"R002"),AD245-AA245,)</f>
        <v>0</v>
      </c>
      <c r="AH245" s="5" t="s">
        <v>25</v>
      </c>
      <c r="AI245" s="2">
        <v>0</v>
      </c>
      <c r="AJ245" s="2">
        <v>2.9707500000000001E-2</v>
      </c>
      <c r="AK245" s="2" t="str">
        <f>IF(AND(Table1[[#This Row],[Cplex MD Cost]]=Table1[[#This Row],[ORTools FZN2 Cost]],Table1[[#This Row],[ORTools FZN2 State]]="Optimal",Table1[[#This Row],[Cplex MD State]]="Suboptimal"),1,"")</f>
        <v/>
      </c>
      <c r="AL245" s="4">
        <f>IF(AND(AH245="Optimal",AI245&lt;&gt;AA245,Table1[[#This Row],[Example]]&lt;&gt;"R001",Table1[[#This Row],[Example]]&lt;&gt;"R002"),AI245-AA245,)</f>
        <v>0</v>
      </c>
      <c r="AM245" s="39" t="s">
        <v>25</v>
      </c>
      <c r="AN245" s="39">
        <v>0</v>
      </c>
      <c r="AO245" s="2">
        <v>3.24804E-2</v>
      </c>
      <c r="AP24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5" s="2" t="str">
        <f>IF(AND(Table1[[#This Row],[Cplex MI Cost]]=Table1[[#This Row],[ORTools FZN2 Cost]],Table1[[#This Row],[ORTools FZN2 State]]="Optimal",Table1[[#This Row],[Cplex MI State]]="Suboptimal"),1,"")</f>
        <v/>
      </c>
      <c r="AR245" s="12" t="s">
        <v>26</v>
      </c>
      <c r="AS245" s="12">
        <v>0</v>
      </c>
      <c r="AT245" s="12">
        <v>7.3463799999999996E-2</v>
      </c>
      <c r="AU245" s="12">
        <f>IF(AND(Table1[[#This Row],[Z3 SMT2-1 Maxres Cost]]=Table1[[#This Row],[ORTools FZN2 Cost]],Table1[[#This Row],[ORTools FZN2 State]]="Optimal"),1,"")</f>
        <v>1</v>
      </c>
      <c r="AV245" s="12" t="s">
        <v>26</v>
      </c>
      <c r="AW245" s="12">
        <v>0</v>
      </c>
      <c r="AX245" s="12">
        <v>7.2570899999999994E-2</v>
      </c>
      <c r="AY245" s="12">
        <f>IF(AND(Table1[[#This Row],[Z3 SMT2-1 PdMaxres Cost]]=Table1[[#This Row],[ORTools FZN2 Cost]],Table1[[#This Row],[ORTools FZN2 State]]="Optimal"),1,"")</f>
        <v>1</v>
      </c>
      <c r="AZ245" s="12" t="s">
        <v>26</v>
      </c>
      <c r="BA245" s="12">
        <v>0</v>
      </c>
      <c r="BB245" s="12">
        <v>7.2471400000000005E-2</v>
      </c>
      <c r="BC245" s="12">
        <f>IF(AND(Table1[[#This Row],[Z3 SMT2-1 WMax Cost]]=Table1[[#This Row],[ORTools FZN2 Cost]],Table1[[#This Row],[ORTools FZN2 State]]="Optimal"),1,"")</f>
        <v>1</v>
      </c>
      <c r="BD245" s="12" t="s">
        <v>26</v>
      </c>
      <c r="BE245" s="12">
        <v>0</v>
      </c>
      <c r="BF245" s="12">
        <v>7.6790499999999998E-2</v>
      </c>
      <c r="BG245" s="12">
        <f>IF(AND(Table1[[#This Row],[Z3 SMT2-2 Maxres Cost]]=Table1[[#This Row],[ORTools FZN2 Cost]],Table1[[#This Row],[ORTools FZN2 State]]="Optimal"),1,"")</f>
        <v>1</v>
      </c>
      <c r="BH245" s="12" t="s">
        <v>26</v>
      </c>
      <c r="BI245" s="12">
        <v>0</v>
      </c>
      <c r="BJ245" s="12">
        <v>6.3128100000000006E-2</v>
      </c>
      <c r="BK245" s="12">
        <f>IF(AND(Table1[[#This Row],[Z3 SMT2-2 PdMaxres Cost]]=Table1[[#This Row],[ORTools FZN2 Cost]],Table1[[#This Row],[ORTools FZN2 State]]="Optimal"),1,"")</f>
        <v>1</v>
      </c>
      <c r="BL245" s="12" t="s">
        <v>26</v>
      </c>
      <c r="BM245" s="12">
        <v>0</v>
      </c>
      <c r="BN245" s="12">
        <v>8.4846000000000005E-2</v>
      </c>
      <c r="BO245" s="11">
        <f>IF(AND(Table1[[#This Row],[Z3 SMT2-2 PdMaxres Cost]]=Table1[[#This Row],[ORTools FZN2 Cost]],Table1[[#This Row],[ORTools FZN2 State]]="Optimal"),1,"")</f>
        <v>1</v>
      </c>
      <c r="BP245" s="5" t="s">
        <v>25</v>
      </c>
      <c r="BQ245" s="2">
        <v>0</v>
      </c>
      <c r="BR245" s="2">
        <v>1.9409E-3</v>
      </c>
      <c r="BS245" s="2" t="str">
        <f>IF(AND(Table1[[#This Row],[Gurobi MB Cost]]=Table1[[#This Row],[ORTools FZN2 Cost]],Table1[[#This Row],[ORTools FZN2 State]]="Optimal",Table1[[#This Row],[Gurobi MB State]]="Suboptimal"),1,"")</f>
        <v/>
      </c>
      <c r="BT24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5" s="5" t="s">
        <v>25</v>
      </c>
      <c r="BV245" s="2">
        <v>0</v>
      </c>
      <c r="BW245" s="2">
        <v>7.2091000000000004E-3</v>
      </c>
      <c r="BX245" s="2" t="str">
        <f>IF(AND(Table1[[#This Row],[Gurobi MD Cost]]=Table1[[#This Row],[ORTools FZN2 Cost]],Table1[[#This Row],[ORTools FZN2 State]]="Optimal",Table1[[#This Row],[Gurobi MD State]]="Suboptimal"),1,"")</f>
        <v/>
      </c>
      <c r="BY24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5" s="5" t="s">
        <v>25</v>
      </c>
      <c r="CA245" s="2">
        <v>0</v>
      </c>
      <c r="CB245" s="2">
        <v>8.2702999999999995E-3</v>
      </c>
      <c r="CC245" s="2" t="str">
        <f>IF(AND(Table1[[#This Row],[Gurobi MI Cost]]=Table1[[#This Row],[ORTools FZN2 Cost]],Table1[[#This Row],[ORTools FZN2 State]]="Optimal",Table1[[#This Row],[Gurobi MI State]]="Suboptimal"),1,"")</f>
        <v/>
      </c>
      <c r="CD24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5" s="39" t="s">
        <v>25</v>
      </c>
      <c r="CF245" s="2">
        <v>0</v>
      </c>
      <c r="CG245" s="39">
        <v>5.0781554</v>
      </c>
      <c r="CH245" s="39" t="s">
        <v>25</v>
      </c>
      <c r="CI245" s="39">
        <v>0</v>
      </c>
      <c r="CJ245" s="2">
        <v>5.1693049999999996</v>
      </c>
      <c r="CK245" s="5" t="s">
        <v>25</v>
      </c>
      <c r="CL245" s="2">
        <v>0</v>
      </c>
      <c r="CM245" s="2">
        <v>3.4999999999854502E-2</v>
      </c>
      <c r="CN245" s="5" t="s">
        <v>25</v>
      </c>
      <c r="CO245" s="2">
        <v>0</v>
      </c>
      <c r="CP245" s="2">
        <v>0.57290640000000004</v>
      </c>
      <c r="CQ245" s="5" t="s">
        <v>25</v>
      </c>
      <c r="CR245" s="2">
        <v>0</v>
      </c>
      <c r="CS245" s="2">
        <v>4.3542699999999997E-2</v>
      </c>
      <c r="CT245" s="6" t="s">
        <v>25</v>
      </c>
      <c r="CU245" s="4">
        <v>0</v>
      </c>
      <c r="CV245" s="4">
        <v>7.9868300000000003E-2</v>
      </c>
      <c r="CW245" s="39" t="s">
        <v>25</v>
      </c>
      <c r="CX245" s="39">
        <v>0</v>
      </c>
      <c r="CY245" s="2">
        <v>1.89E-2</v>
      </c>
      <c r="CZ245" s="2" t="str">
        <f>IF(AND(Table1[[#This Row],[Cplex MZ1 Cost]]=Table1[[#This Row],[ORTools FZN2 Cost]],Table1[[#This Row],[ORTools FZN2 State]]="Optimal",Table1[[#This Row],[Cplex MZ1 State]]="Suboptimal"),1,"")</f>
        <v/>
      </c>
      <c r="DA245" s="5" t="s">
        <v>25</v>
      </c>
      <c r="DB245" s="2">
        <v>0</v>
      </c>
      <c r="DC245" s="2">
        <v>6.7999999999999996E-3</v>
      </c>
      <c r="DD245" s="2" t="str">
        <f>IF(AND(Table1[[#This Row],[Cplex MZ2 Cost]]=Table1[[#This Row],[ORTools FZN2 Cost]],Table1[[#This Row],[ORTools FZN2 State]]="Optimal",Table1[[#This Row],[Cplex MZ2 State]]="Suboptimal"),1,"")</f>
        <v/>
      </c>
      <c r="DE245" s="39" t="s">
        <v>25</v>
      </c>
      <c r="DF245" s="39">
        <v>0</v>
      </c>
      <c r="DG245" s="2">
        <v>4.1000000000000003E-3</v>
      </c>
      <c r="DH245" s="2" t="str">
        <f>IF(AND(Table1[[#This Row],[Gurobi MZ1 Cost]]=Table1[[#This Row],[ORTools FZN2 Cost]],Table1[[#This Row],[ORTools FZN2 State]]="Optimal",Table1[[#This Row],[Gurobi MZ1 State]]="Suboptimal"),1,"")</f>
        <v/>
      </c>
      <c r="DI245" s="5" t="s">
        <v>25</v>
      </c>
      <c r="DJ245" s="2">
        <v>0</v>
      </c>
      <c r="DK245" s="2">
        <v>4.1999999999999997E-3</v>
      </c>
      <c r="DL245" s="4" t="str">
        <f>IF(AND(Table1[[#This Row],[Gurobi MZ2 Cost]]=Table1[[#This Row],[ORTools FZN2 Cost]],Table1[[#This Row],[ORTools FZN2 State]]="Optimal",Table1[[#This Row],[Gurobi MZ2 State]]="Suboptimal"),1,"")</f>
        <v/>
      </c>
      <c r="DM245" s="39" t="s">
        <v>25</v>
      </c>
      <c r="DN245" s="39">
        <v>0</v>
      </c>
      <c r="DO245" s="65">
        <v>3.70000000002619E-2</v>
      </c>
      <c r="DP245" s="4" t="str">
        <f>IF(AND(Table1[[#This Row],[Cplex MC nonDual Cost]]=Table1[[#This Row],[ORTools FZN2 Cost]],Table1[[#This Row],[ORTools FZN2 State]]="Optimal",Table1[[#This Row],[Cplex MC nonDual State]]="Suboptimal"),1,"")</f>
        <v/>
      </c>
      <c r="DQ245" s="5" t="s">
        <v>25</v>
      </c>
      <c r="DR245" s="2">
        <v>0</v>
      </c>
      <c r="DS245" s="2">
        <v>9.7000000000000003E-3</v>
      </c>
      <c r="DT245" s="2" t="str">
        <f>IF(AND(Table1[[#This Row],[Cplex MIP DM''z Cost]]=Table1[[#This Row],[ORTools FZN2 Cost]],Table1[[#This Row],[ORTools FZN2 State]]="Optimal",Table1[[#This Row],[Cplex MIP DM''z  State]]="Suboptimal"),1,"")</f>
        <v/>
      </c>
      <c r="DU24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5" s="5" t="s">
        <v>25</v>
      </c>
      <c r="DW245" s="2">
        <v>0</v>
      </c>
      <c r="DX245" s="2">
        <v>7.3000000000000001E-3</v>
      </c>
      <c r="DY245" s="4" t="str">
        <f>IF(AND(Table1[[#This Row],[Gurobi DM''z  Cost]]=Table1[[#This Row],[ORTools FZN2 Cost]],Table1[[#This Row],[ORTools FZN2 State]]="Optimal",Table1[[#This Row],[Gurobi DM''z  State]]="Suboptimal"),1,"")</f>
        <v/>
      </c>
      <c r="DZ24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6" spans="1:130" ht="15.75" x14ac:dyDescent="0.25">
      <c r="A246" s="46" t="s">
        <v>272</v>
      </c>
      <c r="B246" s="5">
        <v>65</v>
      </c>
      <c r="C246" s="2">
        <v>30</v>
      </c>
      <c r="D246" s="5">
        <v>717</v>
      </c>
      <c r="E246" s="2">
        <v>32</v>
      </c>
      <c r="F246" s="5">
        <v>48</v>
      </c>
      <c r="G246" s="2">
        <v>0</v>
      </c>
      <c r="H246" s="4">
        <f t="shared" si="3"/>
        <v>5</v>
      </c>
      <c r="I246" s="4">
        <f>Table1[[#This Row],[B]]+Table1[[#This Row],[Atomic Constraints]]+Table1[[#This Row],[Soft Atomic Constraints]]+Table1[[#This Row],[Disjunctive Constraints]]+Table1[[#This Row],[Direct Successors]]</f>
        <v>827</v>
      </c>
      <c r="J246" s="5" t="s">
        <v>26</v>
      </c>
      <c r="K246" s="2">
        <v>6910225</v>
      </c>
      <c r="L246" s="2">
        <v>302.54491230000002</v>
      </c>
      <c r="M246" s="2" t="str">
        <f>IF(AND(Table1[[#This Row],[Chuffed MZ1 Cost]]=Table1[[#This Row],[ORTools FZN2 Cost]],Table1[[#This Row],[ORTools FZN2 State]]="Optimal",Table1[[#This Row],[Chuffed MZ1 State]]="Suboptimal"),1,"")</f>
        <v/>
      </c>
      <c r="N246" s="5" t="s">
        <v>26</v>
      </c>
      <c r="O246" s="2">
        <v>7459475</v>
      </c>
      <c r="P246" s="2">
        <v>302.55457100000001</v>
      </c>
      <c r="Q246" s="2" t="str">
        <f>IF(AND(Table1[[#This Row],[Chuffed MZ2 Cost]]=Table1[[#This Row],[ORTools FZN2 Cost]],Table1[[#This Row],[ORTools FZN2 State]]="Optimal",Table1[[#This Row],[Chuffed MZ2 State]]="Suboptimal"),1,"")</f>
        <v/>
      </c>
      <c r="R246" s="12" t="s">
        <v>26</v>
      </c>
      <c r="S246" s="12">
        <v>553609</v>
      </c>
      <c r="T246" s="12">
        <v>300.05099999999902</v>
      </c>
      <c r="U246" s="12">
        <v>1</v>
      </c>
      <c r="V246" s="5" t="s">
        <v>25</v>
      </c>
      <c r="W246" s="2">
        <v>553609</v>
      </c>
      <c r="X246" s="2">
        <v>51.233082000000003</v>
      </c>
      <c r="Y246" s="2" t="str">
        <f>IF(AND(Table1[[#This Row],[ORTools FZN1 Cost]]=Table1[[#This Row],[ORTools FZN2 Cost]],Table1[[#This Row],[ORTools FZN2 State]]="Optimal",Table1[[#This Row],[ORTools FZN1 State]]="Suboptimal"),1,"")</f>
        <v/>
      </c>
      <c r="Z246" s="5" t="s">
        <v>25</v>
      </c>
      <c r="AA246" s="2">
        <v>553609</v>
      </c>
      <c r="AB246" s="2">
        <v>39.087130600000002</v>
      </c>
      <c r="AC246" s="12" t="s">
        <v>26</v>
      </c>
      <c r="AD246" s="12">
        <v>553609</v>
      </c>
      <c r="AE246" s="12">
        <v>300.15654970000003</v>
      </c>
      <c r="AF246" s="2">
        <f>IF(AND(Table1[[#This Row],[Cplex MB Cost]]=Table1[[#This Row],[ORTools FZN2 Cost]],Table1[[#This Row],[ORTools FZN2 State]]="Optimal",Table1[[#This Row],[Cplex MB State]]="Suboptimal"),1,"")</f>
        <v>1</v>
      </c>
      <c r="AG246" s="4">
        <f>IF(AND(AC246="Optimal",AD246&lt;&gt;AA246,Table1[[#This Row],[Example]]&lt;&gt;"R001",Table1[[#This Row],[Example]]&lt;&gt;"R002"),AD246-AA246,)</f>
        <v>0</v>
      </c>
      <c r="AH246" s="5" t="s">
        <v>42</v>
      </c>
      <c r="AI246" s="2">
        <v>-278916</v>
      </c>
      <c r="AJ246" s="2">
        <v>300.4425468</v>
      </c>
      <c r="AK246" s="2" t="str">
        <f>IF(AND(Table1[[#This Row],[Cplex MD Cost]]=Table1[[#This Row],[ORTools FZN2 Cost]],Table1[[#This Row],[ORTools FZN2 State]]="Optimal",Table1[[#This Row],[Cplex MD State]]="Suboptimal"),1,"")</f>
        <v/>
      </c>
      <c r="AL246" s="4">
        <f>IF(AND(AH246="Optimal",AI246&lt;&gt;AA246,Table1[[#This Row],[Example]]&lt;&gt;"R001",Table1[[#This Row],[Example]]&lt;&gt;"R002"),AI246-AA246,)</f>
        <v>0</v>
      </c>
      <c r="AM246" s="39" t="s">
        <v>42</v>
      </c>
      <c r="AN246" s="39">
        <v>-278916</v>
      </c>
      <c r="AO246" s="2">
        <v>300.10667840000002</v>
      </c>
      <c r="AP246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6" s="2" t="str">
        <f>IF(AND(Table1[[#This Row],[Cplex MI Cost]]=Table1[[#This Row],[ORTools FZN2 Cost]],Table1[[#This Row],[ORTools FZN2 State]]="Optimal",Table1[[#This Row],[Cplex MI State]]="Suboptimal"),1,"")</f>
        <v/>
      </c>
      <c r="AR246" s="5" t="s">
        <v>42</v>
      </c>
      <c r="AS246" s="2">
        <v>-278916</v>
      </c>
      <c r="AT246" s="2">
        <v>300.06358790000002</v>
      </c>
      <c r="AU246" s="2" t="str">
        <f>IF(AND(Table1[[#This Row],[Z3 SMT2-1 Maxres Cost]]=Table1[[#This Row],[ORTools FZN2 Cost]],Table1[[#This Row],[ORTools FZN2 State]]="Optimal"),1,"")</f>
        <v/>
      </c>
      <c r="AV246" s="39" t="s">
        <v>42</v>
      </c>
      <c r="AW246" s="39">
        <v>-278916</v>
      </c>
      <c r="AX246" s="2">
        <v>300.05658010000002</v>
      </c>
      <c r="AY246" s="2" t="str">
        <f>IF(AND(Table1[[#This Row],[Z3 SMT2-1 PdMaxres Cost]]=Table1[[#This Row],[ORTools FZN2 Cost]],Table1[[#This Row],[ORTools FZN2 State]]="Optimal"),1,"")</f>
        <v/>
      </c>
      <c r="AZ246" s="5" t="s">
        <v>42</v>
      </c>
      <c r="BA246" s="2">
        <v>-278916</v>
      </c>
      <c r="BB246" s="39">
        <v>300.0648812</v>
      </c>
      <c r="BC246" s="39" t="str">
        <f>IF(AND(Table1[[#This Row],[Z3 SMT2-1 WMax Cost]]=Table1[[#This Row],[ORTools FZN2 Cost]],Table1[[#This Row],[ORTools FZN2 State]]="Optimal"),1,"")</f>
        <v/>
      </c>
      <c r="BD246" s="39" t="s">
        <v>42</v>
      </c>
      <c r="BE246" s="39">
        <v>-278916</v>
      </c>
      <c r="BF246" s="2">
        <v>300.04989719999998</v>
      </c>
      <c r="BG246" s="2" t="str">
        <f>IF(AND(Table1[[#This Row],[Z3 SMT2-2 Maxres Cost]]=Table1[[#This Row],[ORTools FZN2 Cost]],Table1[[#This Row],[ORTools FZN2 State]]="Optimal"),1,"")</f>
        <v/>
      </c>
      <c r="BH246" s="5" t="s">
        <v>42</v>
      </c>
      <c r="BI246" s="2">
        <v>-278916</v>
      </c>
      <c r="BJ246" s="39">
        <v>300.05554979999999</v>
      </c>
      <c r="BK246" s="39" t="str">
        <f>IF(AND(Table1[[#This Row],[Z3 SMT2-2 PdMaxres Cost]]=Table1[[#This Row],[ORTools FZN2 Cost]],Table1[[#This Row],[ORTools FZN2 State]]="Optimal"),1,"")</f>
        <v/>
      </c>
      <c r="BL246" s="39" t="s">
        <v>42</v>
      </c>
      <c r="BM246" s="39">
        <v>-278916</v>
      </c>
      <c r="BN246" s="2">
        <v>300.06236730000001</v>
      </c>
      <c r="BO246" s="4" t="str">
        <f>IF(AND(Table1[[#This Row],[Z3 SMT2-2 PdMaxres Cost]]=Table1[[#This Row],[ORTools FZN2 Cost]],Table1[[#This Row],[ORTools FZN2 State]]="Optimal"),1,"")</f>
        <v/>
      </c>
      <c r="BP246" s="5" t="s">
        <v>26</v>
      </c>
      <c r="BQ246" s="2">
        <v>3321769</v>
      </c>
      <c r="BR246" s="2">
        <v>300.20783979999999</v>
      </c>
      <c r="BS246" s="2" t="str">
        <f>IF(AND(Table1[[#This Row],[Gurobi MB Cost]]=Table1[[#This Row],[ORTools FZN2 Cost]],Table1[[#This Row],[ORTools FZN2 State]]="Optimal",Table1[[#This Row],[Gurobi MB State]]="Suboptimal"),1,"")</f>
        <v/>
      </c>
      <c r="BT24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6" s="5" t="s">
        <v>42</v>
      </c>
      <c r="BV246" s="2">
        <v>-278916</v>
      </c>
      <c r="BW246" s="2">
        <v>300.16330470000003</v>
      </c>
      <c r="BX246" s="2" t="str">
        <f>IF(AND(Table1[[#This Row],[Gurobi MD Cost]]=Table1[[#This Row],[ORTools FZN2 Cost]],Table1[[#This Row],[ORTools FZN2 State]]="Optimal",Table1[[#This Row],[Gurobi MD State]]="Suboptimal"),1,"")</f>
        <v/>
      </c>
      <c r="BY24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6" s="5" t="s">
        <v>42</v>
      </c>
      <c r="CA246" s="2">
        <v>-278916</v>
      </c>
      <c r="CB246" s="2">
        <v>300.16612930000002</v>
      </c>
      <c r="CC246" s="2" t="str">
        <f>IF(AND(Table1[[#This Row],[Gurobi MI Cost]]=Table1[[#This Row],[ORTools FZN2 Cost]],Table1[[#This Row],[ORTools FZN2 State]]="Optimal",Table1[[#This Row],[Gurobi MI State]]="Suboptimal"),1,"")</f>
        <v/>
      </c>
      <c r="CD24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6" s="39" t="s">
        <v>42</v>
      </c>
      <c r="CF246" s="2">
        <v>-278916</v>
      </c>
      <c r="CG246" s="39">
        <v>306.11610719999999</v>
      </c>
      <c r="CH246" s="39" t="s">
        <v>42</v>
      </c>
      <c r="CI246" s="39">
        <v>-278916</v>
      </c>
      <c r="CJ246" s="2">
        <v>306.1036762</v>
      </c>
      <c r="CK246" s="5" t="s">
        <v>26</v>
      </c>
      <c r="CL246" s="2">
        <v>553609</v>
      </c>
      <c r="CM246" s="2">
        <v>300.02499999999799</v>
      </c>
      <c r="CN246" s="5" t="s">
        <v>26</v>
      </c>
      <c r="CO246" s="2">
        <v>6948188</v>
      </c>
      <c r="CP246" s="2">
        <v>302.5977752</v>
      </c>
      <c r="CQ246" s="5" t="s">
        <v>25</v>
      </c>
      <c r="CR246" s="2">
        <v>553609</v>
      </c>
      <c r="CS246" s="2">
        <v>87.917253000000002</v>
      </c>
      <c r="CT246" s="6" t="s">
        <v>25</v>
      </c>
      <c r="CU246" s="4">
        <v>553609</v>
      </c>
      <c r="CV246" s="4">
        <v>33.033535999999998</v>
      </c>
      <c r="CW246" s="39" t="s">
        <v>26</v>
      </c>
      <c r="CX246" s="39">
        <v>1103057</v>
      </c>
      <c r="CY246" s="2">
        <v>300.02260000000001</v>
      </c>
      <c r="CZ246" s="2" t="str">
        <f>IF(AND(Table1[[#This Row],[Cplex MZ1 Cost]]=Table1[[#This Row],[ORTools FZN2 Cost]],Table1[[#This Row],[ORTools FZN2 State]]="Optimal",Table1[[#This Row],[Cplex MZ1 State]]="Suboptimal"),1,"")</f>
        <v/>
      </c>
      <c r="DA246" s="5" t="s">
        <v>26</v>
      </c>
      <c r="DB246" s="2">
        <v>1107148</v>
      </c>
      <c r="DC246" s="2">
        <v>300.02550000000002</v>
      </c>
      <c r="DD246" s="2" t="str">
        <f>IF(AND(Table1[[#This Row],[Cplex MZ2 Cost]]=Table1[[#This Row],[ORTools FZN2 Cost]],Table1[[#This Row],[ORTools FZN2 State]]="Optimal",Table1[[#This Row],[Cplex MZ2 State]]="Suboptimal"),1,"")</f>
        <v/>
      </c>
      <c r="DE246" s="39" t="s">
        <v>42</v>
      </c>
      <c r="DF246" s="39"/>
      <c r="DG246" s="2">
        <v>300.11739999999998</v>
      </c>
      <c r="DH246" s="2" t="str">
        <f>IF(AND(Table1[[#This Row],[Gurobi MZ1 Cost]]=Table1[[#This Row],[ORTools FZN2 Cost]],Table1[[#This Row],[ORTools FZN2 State]]="Optimal",Table1[[#This Row],[Gurobi MZ1 State]]="Suboptimal"),1,"")</f>
        <v/>
      </c>
      <c r="DI246" s="5" t="s">
        <v>42</v>
      </c>
      <c r="DJ246" s="2"/>
      <c r="DK246" s="2">
        <v>300.02800000000002</v>
      </c>
      <c r="DL246" s="4" t="str">
        <f>IF(AND(Table1[[#This Row],[Gurobi MZ2 Cost]]=Table1[[#This Row],[ORTools FZN2 Cost]],Table1[[#This Row],[ORTools FZN2 State]]="Optimal",Table1[[#This Row],[Gurobi MZ2 State]]="Suboptimal"),1,"")</f>
        <v/>
      </c>
      <c r="DM246" s="39" t="s">
        <v>26</v>
      </c>
      <c r="DN246" s="12">
        <v>553609</v>
      </c>
      <c r="DO246" s="69">
        <v>300.10099999999801</v>
      </c>
      <c r="DP246" s="11">
        <f>IF(AND(Table1[[#This Row],[Cplex MC nonDual Cost]]=Table1[[#This Row],[ORTools FZN2 Cost]],Table1[[#This Row],[ORTools FZN2 State]]="Optimal",Table1[[#This Row],[Cplex MC nonDual State]]="Suboptimal"),1,"")</f>
        <v>1</v>
      </c>
      <c r="DQ246" s="5" t="s">
        <v>26</v>
      </c>
      <c r="DR246" s="2">
        <v>3870757</v>
      </c>
      <c r="DS246" s="2">
        <v>300.02319999999997</v>
      </c>
      <c r="DT246" s="2" t="str">
        <f>IF(AND(Table1[[#This Row],[Cplex MIP DM''z Cost]]=Table1[[#This Row],[ORTools FZN2 Cost]],Table1[[#This Row],[ORTools FZN2 State]]="Optimal",Table1[[#This Row],[Cplex MIP DM''z  State]]="Suboptimal"),1,"")</f>
        <v/>
      </c>
      <c r="DU24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6" s="5" t="s">
        <v>42</v>
      </c>
      <c r="DW246" s="2"/>
      <c r="DX246" s="2">
        <v>299.9932</v>
      </c>
      <c r="DY246" s="4" t="str">
        <f>IF(AND(Table1[[#This Row],[Gurobi DM''z  Cost]]=Table1[[#This Row],[ORTools FZN2 Cost]],Table1[[#This Row],[ORTools FZN2 State]]="Optimal",Table1[[#This Row],[Gurobi DM''z  State]]="Suboptimal"),1,"")</f>
        <v/>
      </c>
      <c r="DZ24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7" spans="1:130" ht="15.75" x14ac:dyDescent="0.25">
      <c r="A247" s="47" t="s">
        <v>273</v>
      </c>
      <c r="B247" s="5">
        <v>22</v>
      </c>
      <c r="C247" s="2">
        <v>11</v>
      </c>
      <c r="D247" s="5">
        <v>29</v>
      </c>
      <c r="E247" s="2">
        <v>16</v>
      </c>
      <c r="F247" s="5">
        <v>15</v>
      </c>
      <c r="G247" s="2">
        <v>0</v>
      </c>
      <c r="H247" s="4">
        <f t="shared" si="3"/>
        <v>0</v>
      </c>
      <c r="I247" s="4">
        <f>Table1[[#This Row],[B]]+Table1[[#This Row],[Atomic Constraints]]+Table1[[#This Row],[Soft Atomic Constraints]]+Table1[[#This Row],[Disjunctive Constraints]]+Table1[[#This Row],[Direct Successors]]</f>
        <v>71</v>
      </c>
      <c r="J247" s="5" t="s">
        <v>25</v>
      </c>
      <c r="K247" s="2">
        <v>11179</v>
      </c>
      <c r="L247" s="2">
        <v>10.9054018</v>
      </c>
      <c r="M247" s="2" t="str">
        <f>IF(AND(Table1[[#This Row],[Chuffed MZ1 Cost]]=Table1[[#This Row],[ORTools FZN2 Cost]],Table1[[#This Row],[ORTools FZN2 State]]="Optimal",Table1[[#This Row],[Chuffed MZ1 State]]="Suboptimal"),1,"")</f>
        <v/>
      </c>
      <c r="N247" s="5" t="s">
        <v>25</v>
      </c>
      <c r="O247" s="2">
        <v>11179</v>
      </c>
      <c r="P247" s="2">
        <v>5.6188148</v>
      </c>
      <c r="Q247" s="2" t="str">
        <f>IF(AND(Table1[[#This Row],[Chuffed MZ2 Cost]]=Table1[[#This Row],[ORTools FZN2 Cost]],Table1[[#This Row],[ORTools FZN2 State]]="Optimal",Table1[[#This Row],[Chuffed MZ2 State]]="Suboptimal"),1,"")</f>
        <v/>
      </c>
      <c r="R247" s="5" t="s">
        <v>25</v>
      </c>
      <c r="S247" s="2">
        <v>11179</v>
      </c>
      <c r="T247" s="2">
        <v>0.49400000000241601</v>
      </c>
      <c r="U247" s="2"/>
      <c r="V247" s="5" t="s">
        <v>25</v>
      </c>
      <c r="W247" s="2">
        <v>11179</v>
      </c>
      <c r="X247" s="2">
        <v>1.4227901999999999</v>
      </c>
      <c r="Y247" s="2" t="str">
        <f>IF(AND(Table1[[#This Row],[ORTools FZN1 Cost]]=Table1[[#This Row],[ORTools FZN2 Cost]],Table1[[#This Row],[ORTools FZN2 State]]="Optimal",Table1[[#This Row],[ORTools FZN1 State]]="Suboptimal"),1,"")</f>
        <v/>
      </c>
      <c r="Z247" s="5" t="s">
        <v>25</v>
      </c>
      <c r="AA247" s="2">
        <v>11179</v>
      </c>
      <c r="AB247" s="2">
        <v>1.2567676000000001</v>
      </c>
      <c r="AC247" s="39" t="s">
        <v>25</v>
      </c>
      <c r="AD247" s="39">
        <v>11179</v>
      </c>
      <c r="AE247" s="2">
        <v>12.3201006</v>
      </c>
      <c r="AF247" s="2" t="str">
        <f>IF(AND(Table1[[#This Row],[Cplex MB Cost]]=Table1[[#This Row],[ORTools FZN2 Cost]],Table1[[#This Row],[ORTools FZN2 State]]="Optimal",Table1[[#This Row],[Cplex MB State]]="Suboptimal"),1,"")</f>
        <v/>
      </c>
      <c r="AG247" s="4">
        <f>IF(AND(AC247="Optimal",AD247&lt;&gt;AA247,Table1[[#This Row],[Example]]&lt;&gt;"R001",Table1[[#This Row],[Example]]&lt;&gt;"R002"),AD247-AA247,)</f>
        <v>0</v>
      </c>
      <c r="AH247" s="5" t="s">
        <v>25</v>
      </c>
      <c r="AI247" s="2">
        <v>11179</v>
      </c>
      <c r="AJ247" s="2">
        <v>196.32952470000001</v>
      </c>
      <c r="AK247" s="2" t="str">
        <f>IF(AND(Table1[[#This Row],[Cplex MD Cost]]=Table1[[#This Row],[ORTools FZN2 Cost]],Table1[[#This Row],[ORTools FZN2 State]]="Optimal",Table1[[#This Row],[Cplex MD State]]="Suboptimal"),1,"")</f>
        <v/>
      </c>
      <c r="AL247" s="4">
        <f>IF(AND(AH247="Optimal",AI247&lt;&gt;AA247,Table1[[#This Row],[Example]]&lt;&gt;"R001",Table1[[#This Row],[Example]]&lt;&gt;"R002"),AI247-AA247,)</f>
        <v>0</v>
      </c>
      <c r="AM247" s="39" t="s">
        <v>25</v>
      </c>
      <c r="AN247" s="39">
        <v>11179</v>
      </c>
      <c r="AO247" s="2">
        <v>10.911358699999999</v>
      </c>
      <c r="AP24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7" s="2" t="str">
        <f>IF(AND(Table1[[#This Row],[Cplex MI Cost]]=Table1[[#This Row],[ORTools FZN2 Cost]],Table1[[#This Row],[ORTools FZN2 State]]="Optimal",Table1[[#This Row],[Cplex MI State]]="Suboptimal"),1,"")</f>
        <v/>
      </c>
      <c r="AR247" s="12" t="s">
        <v>26</v>
      </c>
      <c r="AS247" s="12">
        <v>11179</v>
      </c>
      <c r="AT247" s="12">
        <v>48.365712700000003</v>
      </c>
      <c r="AU247" s="12">
        <f>IF(AND(Table1[[#This Row],[Z3 SMT2-1 Maxres Cost]]=Table1[[#This Row],[ORTools FZN2 Cost]],Table1[[#This Row],[ORTools FZN2 State]]="Optimal"),1,"")</f>
        <v>1</v>
      </c>
      <c r="AV247" s="12" t="s">
        <v>26</v>
      </c>
      <c r="AW247" s="12">
        <v>11179</v>
      </c>
      <c r="AX247" s="12">
        <v>49.5205202</v>
      </c>
      <c r="AY247" s="12">
        <f>IF(AND(Table1[[#This Row],[Z3 SMT2-1 PdMaxres Cost]]=Table1[[#This Row],[ORTools FZN2 Cost]],Table1[[#This Row],[ORTools FZN2 State]]="Optimal"),1,"")</f>
        <v>1</v>
      </c>
      <c r="AZ247" s="12" t="s">
        <v>26</v>
      </c>
      <c r="BA247" s="12">
        <v>11179</v>
      </c>
      <c r="BB247" s="12">
        <v>47.208725999999999</v>
      </c>
      <c r="BC247" s="12">
        <f>IF(AND(Table1[[#This Row],[Z3 SMT2-1 WMax Cost]]=Table1[[#This Row],[ORTools FZN2 Cost]],Table1[[#This Row],[ORTools FZN2 State]]="Optimal"),1,"")</f>
        <v>1</v>
      </c>
      <c r="BD247" s="12" t="s">
        <v>26</v>
      </c>
      <c r="BE247" s="12">
        <v>11179</v>
      </c>
      <c r="BF247" s="12">
        <v>28.541376499999998</v>
      </c>
      <c r="BG247" s="12">
        <f>IF(AND(Table1[[#This Row],[Z3 SMT2-2 Maxres Cost]]=Table1[[#This Row],[ORTools FZN2 Cost]],Table1[[#This Row],[ORTools FZN2 State]]="Optimal"),1,"")</f>
        <v>1</v>
      </c>
      <c r="BH247" s="12" t="s">
        <v>26</v>
      </c>
      <c r="BI247" s="12">
        <v>11179</v>
      </c>
      <c r="BJ247" s="12">
        <v>28.357802700000001</v>
      </c>
      <c r="BK247" s="12">
        <f>IF(AND(Table1[[#This Row],[Z3 SMT2-2 PdMaxres Cost]]=Table1[[#This Row],[ORTools FZN2 Cost]],Table1[[#This Row],[ORTools FZN2 State]]="Optimal"),1,"")</f>
        <v>1</v>
      </c>
      <c r="BL247" s="12" t="s">
        <v>26</v>
      </c>
      <c r="BM247" s="12">
        <v>11179</v>
      </c>
      <c r="BN247" s="12">
        <v>28.918040000000001</v>
      </c>
      <c r="BO247" s="11">
        <f>IF(AND(Table1[[#This Row],[Z3 SMT2-2 PdMaxres Cost]]=Table1[[#This Row],[ORTools FZN2 Cost]],Table1[[#This Row],[ORTools FZN2 State]]="Optimal"),1,"")</f>
        <v>1</v>
      </c>
      <c r="BP247" s="5" t="s">
        <v>25</v>
      </c>
      <c r="BQ247" s="2">
        <v>11179</v>
      </c>
      <c r="BR247" s="2">
        <v>3.3788501000000002</v>
      </c>
      <c r="BS247" s="2" t="str">
        <f>IF(AND(Table1[[#This Row],[Gurobi MB Cost]]=Table1[[#This Row],[ORTools FZN2 Cost]],Table1[[#This Row],[ORTools FZN2 State]]="Optimal",Table1[[#This Row],[Gurobi MB State]]="Suboptimal"),1,"")</f>
        <v/>
      </c>
      <c r="BT24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7" s="5" t="s">
        <v>25</v>
      </c>
      <c r="BV247" s="2">
        <v>11179</v>
      </c>
      <c r="BW247" s="2">
        <v>46.643986599999998</v>
      </c>
      <c r="BX247" s="2" t="str">
        <f>IF(AND(Table1[[#This Row],[Gurobi MD Cost]]=Table1[[#This Row],[ORTools FZN2 Cost]],Table1[[#This Row],[ORTools FZN2 State]]="Optimal",Table1[[#This Row],[Gurobi MD State]]="Suboptimal"),1,"")</f>
        <v/>
      </c>
      <c r="BY24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7" s="5" t="s">
        <v>25</v>
      </c>
      <c r="CA247" s="2">
        <v>11179</v>
      </c>
      <c r="CB247" s="2">
        <v>5.5379332000000003</v>
      </c>
      <c r="CC247" s="2" t="str">
        <f>IF(AND(Table1[[#This Row],[Gurobi MI Cost]]=Table1[[#This Row],[ORTools FZN2 Cost]],Table1[[#This Row],[ORTools FZN2 State]]="Optimal",Table1[[#This Row],[Gurobi MI State]]="Suboptimal"),1,"")</f>
        <v/>
      </c>
      <c r="CD24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7" s="39" t="s">
        <v>42</v>
      </c>
      <c r="CF247" s="2">
        <v>-11155</v>
      </c>
      <c r="CG247" s="39">
        <v>306.01145810000003</v>
      </c>
      <c r="CH247" s="39" t="s">
        <v>42</v>
      </c>
      <c r="CI247" s="39">
        <v>-11155</v>
      </c>
      <c r="CJ247" s="2">
        <v>305.99415909999999</v>
      </c>
      <c r="CK247" s="5" t="s">
        <v>25</v>
      </c>
      <c r="CL247" s="2">
        <v>11179</v>
      </c>
      <c r="CM247" s="2">
        <v>0.71600000000034902</v>
      </c>
      <c r="CN247" s="5" t="s">
        <v>25</v>
      </c>
      <c r="CO247" s="2">
        <v>11179</v>
      </c>
      <c r="CP247" s="2">
        <v>1.9867846</v>
      </c>
      <c r="CQ247" s="5" t="s">
        <v>25</v>
      </c>
      <c r="CR247" s="2">
        <v>11179</v>
      </c>
      <c r="CS247" s="2">
        <v>1.753126</v>
      </c>
      <c r="CT247" s="6" t="s">
        <v>25</v>
      </c>
      <c r="CU247" s="4">
        <v>11179</v>
      </c>
      <c r="CV247" s="4">
        <v>1.6798381</v>
      </c>
      <c r="CW247" s="39" t="s">
        <v>25</v>
      </c>
      <c r="CX247" s="39">
        <v>11179</v>
      </c>
      <c r="CY247" s="2">
        <v>31.049499999999998</v>
      </c>
      <c r="CZ247" s="2" t="str">
        <f>IF(AND(Table1[[#This Row],[Cplex MZ1 Cost]]=Table1[[#This Row],[ORTools FZN2 Cost]],Table1[[#This Row],[ORTools FZN2 State]]="Optimal",Table1[[#This Row],[Cplex MZ1 State]]="Suboptimal"),1,"")</f>
        <v/>
      </c>
      <c r="DA247" s="5" t="s">
        <v>25</v>
      </c>
      <c r="DB247" s="2">
        <v>11179</v>
      </c>
      <c r="DC247" s="2">
        <v>15.7919</v>
      </c>
      <c r="DD247" s="2" t="str">
        <f>IF(AND(Table1[[#This Row],[Cplex MZ2 Cost]]=Table1[[#This Row],[ORTools FZN2 Cost]],Table1[[#This Row],[ORTools FZN2 State]]="Optimal",Table1[[#This Row],[Cplex MZ2 State]]="Suboptimal"),1,"")</f>
        <v/>
      </c>
      <c r="DE247" s="39" t="s">
        <v>25</v>
      </c>
      <c r="DF247" s="39">
        <v>11179</v>
      </c>
      <c r="DG247" s="2">
        <v>22.173200000000001</v>
      </c>
      <c r="DH247" s="2" t="str">
        <f>IF(AND(Table1[[#This Row],[Gurobi MZ1 Cost]]=Table1[[#This Row],[ORTools FZN2 Cost]],Table1[[#This Row],[ORTools FZN2 State]]="Optimal",Table1[[#This Row],[Gurobi MZ1 State]]="Suboptimal"),1,"")</f>
        <v/>
      </c>
      <c r="DI247" s="5" t="s">
        <v>25</v>
      </c>
      <c r="DJ247" s="2">
        <v>11179</v>
      </c>
      <c r="DK247" s="2">
        <v>20.280200000000001</v>
      </c>
      <c r="DL247" s="4" t="str">
        <f>IF(AND(Table1[[#This Row],[Gurobi MZ2 Cost]]=Table1[[#This Row],[ORTools FZN2 Cost]],Table1[[#This Row],[ORTools FZN2 State]]="Optimal",Table1[[#This Row],[Gurobi MZ2 State]]="Suboptimal"),1,"")</f>
        <v/>
      </c>
      <c r="DM247" s="39" t="s">
        <v>25</v>
      </c>
      <c r="DN247" s="39">
        <v>11179</v>
      </c>
      <c r="DO247" s="65">
        <v>4.1199999999989796</v>
      </c>
      <c r="DP247" s="4" t="str">
        <f>IF(AND(Table1[[#This Row],[Cplex MC nonDual Cost]]=Table1[[#This Row],[ORTools FZN2 Cost]],Table1[[#This Row],[ORTools FZN2 State]]="Optimal",Table1[[#This Row],[Cplex MC nonDual State]]="Suboptimal"),1,"")</f>
        <v/>
      </c>
      <c r="DQ247" s="5" t="s">
        <v>25</v>
      </c>
      <c r="DR247" s="2">
        <v>11179</v>
      </c>
      <c r="DS247" s="2">
        <v>13.239599999999999</v>
      </c>
      <c r="DT247" s="2" t="str">
        <f>IF(AND(Table1[[#This Row],[Cplex MIP DM''z Cost]]=Table1[[#This Row],[ORTools FZN2 Cost]],Table1[[#This Row],[ORTools FZN2 State]]="Optimal",Table1[[#This Row],[Cplex MIP DM''z  State]]="Suboptimal"),1,"")</f>
        <v/>
      </c>
      <c r="DU24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7" s="5" t="s">
        <v>25</v>
      </c>
      <c r="DW247" s="2">
        <v>11179</v>
      </c>
      <c r="DX247" s="2">
        <v>39.090299999999999</v>
      </c>
      <c r="DY247" s="4" t="str">
        <f>IF(AND(Table1[[#This Row],[Gurobi DM''z  Cost]]=Table1[[#This Row],[ORTools FZN2 Cost]],Table1[[#This Row],[ORTools FZN2 State]]="Optimal",Table1[[#This Row],[Gurobi DM''z  State]]="Suboptimal"),1,"")</f>
        <v/>
      </c>
      <c r="DZ24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8" spans="1:130" ht="15.75" x14ac:dyDescent="0.25">
      <c r="A248" s="46" t="s">
        <v>274</v>
      </c>
      <c r="B248" s="5">
        <v>26</v>
      </c>
      <c r="C248" s="2">
        <v>13</v>
      </c>
      <c r="D248" s="5">
        <v>35</v>
      </c>
      <c r="E248" s="2">
        <v>19</v>
      </c>
      <c r="F248" s="5">
        <v>17</v>
      </c>
      <c r="G248" s="2">
        <v>0</v>
      </c>
      <c r="H248" s="4">
        <f t="shared" si="3"/>
        <v>0</v>
      </c>
      <c r="I248" s="4">
        <f>Table1[[#This Row],[B]]+Table1[[#This Row],[Atomic Constraints]]+Table1[[#This Row],[Soft Atomic Constraints]]+Table1[[#This Row],[Disjunctive Constraints]]+Table1[[#This Row],[Direct Successors]]</f>
        <v>84</v>
      </c>
      <c r="J248" s="5" t="s">
        <v>25</v>
      </c>
      <c r="K248" s="2">
        <v>18307</v>
      </c>
      <c r="L248" s="2">
        <v>20.028959400000002</v>
      </c>
      <c r="M248" s="2" t="str">
        <f>IF(AND(Table1[[#This Row],[Chuffed MZ1 Cost]]=Table1[[#This Row],[ORTools FZN2 Cost]],Table1[[#This Row],[ORTools FZN2 State]]="Optimal",Table1[[#This Row],[Chuffed MZ1 State]]="Suboptimal"),1,"")</f>
        <v/>
      </c>
      <c r="N248" s="5" t="s">
        <v>25</v>
      </c>
      <c r="O248" s="2">
        <v>18307</v>
      </c>
      <c r="P248" s="2">
        <v>11.187897</v>
      </c>
      <c r="Q248" s="2" t="str">
        <f>IF(AND(Table1[[#This Row],[Chuffed MZ2 Cost]]=Table1[[#This Row],[ORTools FZN2 Cost]],Table1[[#This Row],[ORTools FZN2 State]]="Optimal",Table1[[#This Row],[Chuffed MZ2 State]]="Suboptimal"),1,"")</f>
        <v/>
      </c>
      <c r="R248" s="6" t="s">
        <v>25</v>
      </c>
      <c r="S248" s="4">
        <v>18307</v>
      </c>
      <c r="T248" s="4">
        <v>0.20000000000072801</v>
      </c>
      <c r="U248" s="4"/>
      <c r="V248" s="5" t="s">
        <v>25</v>
      </c>
      <c r="W248" s="2">
        <v>18307</v>
      </c>
      <c r="X248" s="2">
        <v>2.1830039999999999</v>
      </c>
      <c r="Y248" s="2" t="str">
        <f>IF(AND(Table1[[#This Row],[ORTools FZN1 Cost]]=Table1[[#This Row],[ORTools FZN2 Cost]],Table1[[#This Row],[ORTools FZN2 State]]="Optimal",Table1[[#This Row],[ORTools FZN1 State]]="Suboptimal"),1,"")</f>
        <v/>
      </c>
      <c r="Z248" s="5" t="s">
        <v>25</v>
      </c>
      <c r="AA248" s="2">
        <v>18307</v>
      </c>
      <c r="AB248" s="2">
        <v>2.0803791999999999</v>
      </c>
      <c r="AC248" s="39" t="s">
        <v>25</v>
      </c>
      <c r="AD248" s="39">
        <v>18307</v>
      </c>
      <c r="AE248" s="2">
        <v>66.983663899999996</v>
      </c>
      <c r="AF248" s="2" t="str">
        <f>IF(AND(Table1[[#This Row],[Cplex MB Cost]]=Table1[[#This Row],[ORTools FZN2 Cost]],Table1[[#This Row],[ORTools FZN2 State]]="Optimal",Table1[[#This Row],[Cplex MB State]]="Suboptimal"),1,"")</f>
        <v/>
      </c>
      <c r="AG248" s="4">
        <f>IF(AND(AC248="Optimal",AD248&lt;&gt;AA248,Table1[[#This Row],[Example]]&lt;&gt;"R001",Table1[[#This Row],[Example]]&lt;&gt;"R002"),AD248-AA248,)</f>
        <v>0</v>
      </c>
      <c r="AH248" s="5" t="s">
        <v>26</v>
      </c>
      <c r="AI248" s="2">
        <v>53461</v>
      </c>
      <c r="AJ248" s="2">
        <v>300.19264440000001</v>
      </c>
      <c r="AK248" s="2" t="str">
        <f>IF(AND(Table1[[#This Row],[Cplex MD Cost]]=Table1[[#This Row],[ORTools FZN2 Cost]],Table1[[#This Row],[ORTools FZN2 State]]="Optimal",Table1[[#This Row],[Cplex MD State]]="Suboptimal"),1,"")</f>
        <v/>
      </c>
      <c r="AL248" s="4">
        <f>IF(AND(AH248="Optimal",AI248&lt;&gt;AA248,Table1[[#This Row],[Example]]&lt;&gt;"R001",Table1[[#This Row],[Example]]&lt;&gt;"R002"),AI248-AA248,)</f>
        <v>0</v>
      </c>
      <c r="AM248" s="39" t="s">
        <v>26</v>
      </c>
      <c r="AN248" s="39">
        <v>18307</v>
      </c>
      <c r="AO248" s="2">
        <v>300.04550110000002</v>
      </c>
      <c r="AP24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8" s="4">
        <f>IF(AND(Table1[[#This Row],[Cplex MI Cost]]=Table1[[#This Row],[ORTools FZN2 Cost]],Table1[[#This Row],[ORTools FZN2 State]]="Optimal",Table1[[#This Row],[Cplex MI State]]="Suboptimal"),1,"")</f>
        <v>1</v>
      </c>
      <c r="AR248" s="12" t="s">
        <v>26</v>
      </c>
      <c r="AS248" s="12">
        <v>18307</v>
      </c>
      <c r="AT248" s="12">
        <v>137.14133910000001</v>
      </c>
      <c r="AU248" s="12">
        <f>IF(AND(Table1[[#This Row],[Z3 SMT2-1 Maxres Cost]]=Table1[[#This Row],[ORTools FZN2 Cost]],Table1[[#This Row],[ORTools FZN2 State]]="Optimal"),1,"")</f>
        <v>1</v>
      </c>
      <c r="AV248" s="12" t="s">
        <v>26</v>
      </c>
      <c r="AW248" s="12">
        <v>18307</v>
      </c>
      <c r="AX248" s="12">
        <v>144.32379420000001</v>
      </c>
      <c r="AY248" s="12">
        <f>IF(AND(Table1[[#This Row],[Z3 SMT2-1 PdMaxres Cost]]=Table1[[#This Row],[ORTools FZN2 Cost]],Table1[[#This Row],[ORTools FZN2 State]]="Optimal"),1,"")</f>
        <v>1</v>
      </c>
      <c r="AZ248" s="12" t="s">
        <v>26</v>
      </c>
      <c r="BA248" s="12">
        <v>18307</v>
      </c>
      <c r="BB248" s="12">
        <v>135.18891049999999</v>
      </c>
      <c r="BC248" s="12">
        <f>IF(AND(Table1[[#This Row],[Z3 SMT2-1 WMax Cost]]=Table1[[#This Row],[ORTools FZN2 Cost]],Table1[[#This Row],[ORTools FZN2 State]]="Optimal"),1,"")</f>
        <v>1</v>
      </c>
      <c r="BD248" s="12" t="s">
        <v>26</v>
      </c>
      <c r="BE248" s="12">
        <v>18307</v>
      </c>
      <c r="BF248" s="12">
        <v>113.6356081</v>
      </c>
      <c r="BG248" s="12">
        <f>IF(AND(Table1[[#This Row],[Z3 SMT2-2 Maxres Cost]]=Table1[[#This Row],[ORTools FZN2 Cost]],Table1[[#This Row],[ORTools FZN2 State]]="Optimal"),1,"")</f>
        <v>1</v>
      </c>
      <c r="BH248" s="12" t="s">
        <v>26</v>
      </c>
      <c r="BI248" s="12">
        <v>18307</v>
      </c>
      <c r="BJ248" s="12">
        <v>112.6924164</v>
      </c>
      <c r="BK248" s="12">
        <f>IF(AND(Table1[[#This Row],[Z3 SMT2-2 PdMaxres Cost]]=Table1[[#This Row],[ORTools FZN2 Cost]],Table1[[#This Row],[ORTools FZN2 State]]="Optimal"),1,"")</f>
        <v>1</v>
      </c>
      <c r="BL248" s="12" t="s">
        <v>26</v>
      </c>
      <c r="BM248" s="12">
        <v>18307</v>
      </c>
      <c r="BN248" s="12">
        <v>113.79851189999999</v>
      </c>
      <c r="BO248" s="11">
        <f>IF(AND(Table1[[#This Row],[Z3 SMT2-2 PdMaxres Cost]]=Table1[[#This Row],[ORTools FZN2 Cost]],Table1[[#This Row],[ORTools FZN2 State]]="Optimal"),1,"")</f>
        <v>1</v>
      </c>
      <c r="BP248" s="5" t="s">
        <v>25</v>
      </c>
      <c r="BQ248" s="2">
        <v>18307</v>
      </c>
      <c r="BR248" s="2">
        <v>38.335839999999997</v>
      </c>
      <c r="BS248" s="2" t="str">
        <f>IF(AND(Table1[[#This Row],[Gurobi MB Cost]]=Table1[[#This Row],[ORTools FZN2 Cost]],Table1[[#This Row],[ORTools FZN2 State]]="Optimal",Table1[[#This Row],[Gurobi MB State]]="Suboptimal"),1,"")</f>
        <v/>
      </c>
      <c r="BT24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8" s="5" t="s">
        <v>25</v>
      </c>
      <c r="BV248" s="2">
        <v>18307</v>
      </c>
      <c r="BW248" s="2">
        <v>181.48377540000001</v>
      </c>
      <c r="BX248" s="2" t="str">
        <f>IF(AND(Table1[[#This Row],[Gurobi MD Cost]]=Table1[[#This Row],[ORTools FZN2 Cost]],Table1[[#This Row],[ORTools FZN2 State]]="Optimal",Table1[[#This Row],[Gurobi MD State]]="Suboptimal"),1,"")</f>
        <v/>
      </c>
      <c r="BY24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8" s="5" t="s">
        <v>25</v>
      </c>
      <c r="CA248" s="2">
        <v>18307</v>
      </c>
      <c r="CB248" s="2">
        <v>11.8081058</v>
      </c>
      <c r="CC248" s="2" t="str">
        <f>IF(AND(Table1[[#This Row],[Gurobi MI Cost]]=Table1[[#This Row],[ORTools FZN2 Cost]],Table1[[#This Row],[ORTools FZN2 State]]="Optimal",Table1[[#This Row],[Gurobi MI State]]="Suboptimal"),1,"")</f>
        <v/>
      </c>
      <c r="CD24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8" s="39" t="s">
        <v>42</v>
      </c>
      <c r="CF248" s="2">
        <v>-18279</v>
      </c>
      <c r="CG248" s="39">
        <v>306.03396140000001</v>
      </c>
      <c r="CH248" s="39" t="s">
        <v>42</v>
      </c>
      <c r="CI248" s="39">
        <v>-18279</v>
      </c>
      <c r="CJ248" s="2">
        <v>306.02011119999997</v>
      </c>
      <c r="CK248" s="5" t="s">
        <v>25</v>
      </c>
      <c r="CL248" s="2">
        <v>18307</v>
      </c>
      <c r="CM248" s="2">
        <v>0.61500000000160104</v>
      </c>
      <c r="CN248" s="5" t="s">
        <v>25</v>
      </c>
      <c r="CO248" s="2">
        <v>18307</v>
      </c>
      <c r="CP248" s="2">
        <v>85.644190100000003</v>
      </c>
      <c r="CQ248" s="5" t="s">
        <v>25</v>
      </c>
      <c r="CR248" s="2">
        <v>18307</v>
      </c>
      <c r="CS248" s="2">
        <v>4.9206006000000002</v>
      </c>
      <c r="CT248" s="6" t="s">
        <v>25</v>
      </c>
      <c r="CU248" s="4">
        <v>18307</v>
      </c>
      <c r="CV248" s="4">
        <v>2.7581285000000002</v>
      </c>
      <c r="CW248" s="39" t="s">
        <v>25</v>
      </c>
      <c r="CX248" s="39">
        <v>18307</v>
      </c>
      <c r="CY248" s="2">
        <v>239.45519999999999</v>
      </c>
      <c r="CZ248" s="2" t="str">
        <f>IF(AND(Table1[[#This Row],[Cplex MZ1 Cost]]=Table1[[#This Row],[ORTools FZN2 Cost]],Table1[[#This Row],[ORTools FZN2 State]]="Optimal",Table1[[#This Row],[Cplex MZ1 State]]="Suboptimal"),1,"")</f>
        <v/>
      </c>
      <c r="DA248" s="5" t="s">
        <v>25</v>
      </c>
      <c r="DB248" s="2">
        <v>18307</v>
      </c>
      <c r="DC248" s="2">
        <v>187.12350000000001</v>
      </c>
      <c r="DD248" s="2" t="str">
        <f>IF(AND(Table1[[#This Row],[Cplex MZ2 Cost]]=Table1[[#This Row],[ORTools FZN2 Cost]],Table1[[#This Row],[ORTools FZN2 State]]="Optimal",Table1[[#This Row],[Cplex MZ2 State]]="Suboptimal"),1,"")</f>
        <v/>
      </c>
      <c r="DE248" s="39" t="s">
        <v>25</v>
      </c>
      <c r="DF248" s="39">
        <v>18307</v>
      </c>
      <c r="DG248" s="2">
        <v>101.99039999999999</v>
      </c>
      <c r="DH248" s="2" t="str">
        <f>IF(AND(Table1[[#This Row],[Gurobi MZ1 Cost]]=Table1[[#This Row],[ORTools FZN2 Cost]],Table1[[#This Row],[ORTools FZN2 State]]="Optimal",Table1[[#This Row],[Gurobi MZ1 State]]="Suboptimal"),1,"")</f>
        <v/>
      </c>
      <c r="DI248" s="5" t="s">
        <v>25</v>
      </c>
      <c r="DJ248" s="2">
        <v>18307</v>
      </c>
      <c r="DK248" s="2">
        <v>65.166300000000007</v>
      </c>
      <c r="DL248" s="4" t="str">
        <f>IF(AND(Table1[[#This Row],[Gurobi MZ2 Cost]]=Table1[[#This Row],[ORTools FZN2 Cost]],Table1[[#This Row],[ORTools FZN2 State]]="Optimal",Table1[[#This Row],[Gurobi MZ2 State]]="Suboptimal"),1,"")</f>
        <v/>
      </c>
      <c r="DM248" s="39" t="s">
        <v>25</v>
      </c>
      <c r="DN248" s="39">
        <v>18307</v>
      </c>
      <c r="DO248" s="65">
        <v>6.7560000000012197</v>
      </c>
      <c r="DP248" s="4" t="str">
        <f>IF(AND(Table1[[#This Row],[Cplex MC nonDual Cost]]=Table1[[#This Row],[ORTools FZN2 Cost]],Table1[[#This Row],[ORTools FZN2 State]]="Optimal",Table1[[#This Row],[Cplex MC nonDual State]]="Suboptimal"),1,"")</f>
        <v/>
      </c>
      <c r="DQ248" s="5" t="s">
        <v>25</v>
      </c>
      <c r="DR248" s="2">
        <v>18307</v>
      </c>
      <c r="DS248" s="2">
        <v>38.472200000000001</v>
      </c>
      <c r="DT248" s="2" t="str">
        <f>IF(AND(Table1[[#This Row],[Cplex MIP DM''z Cost]]=Table1[[#This Row],[ORTools FZN2 Cost]],Table1[[#This Row],[ORTools FZN2 State]]="Optimal",Table1[[#This Row],[Cplex MIP DM''z  State]]="Suboptimal"),1,"")</f>
        <v/>
      </c>
      <c r="DU24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8" s="5" t="s">
        <v>25</v>
      </c>
      <c r="DW248" s="2">
        <v>18307</v>
      </c>
      <c r="DX248" s="2">
        <v>115.82899999999999</v>
      </c>
      <c r="DY248" s="4" t="str">
        <f>IF(AND(Table1[[#This Row],[Gurobi DM''z  Cost]]=Table1[[#This Row],[ORTools FZN2 Cost]],Table1[[#This Row],[ORTools FZN2 State]]="Optimal",Table1[[#This Row],[Gurobi DM''z  State]]="Suboptimal"),1,"")</f>
        <v/>
      </c>
      <c r="DZ24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49" spans="1:130" ht="15.75" x14ac:dyDescent="0.25">
      <c r="A249" s="47" t="s">
        <v>275</v>
      </c>
      <c r="B249" s="5">
        <v>26</v>
      </c>
      <c r="C249" s="2">
        <v>13</v>
      </c>
      <c r="D249" s="5">
        <v>35</v>
      </c>
      <c r="E249" s="2">
        <v>19</v>
      </c>
      <c r="F249" s="5">
        <v>17</v>
      </c>
      <c r="G249" s="2">
        <v>0</v>
      </c>
      <c r="H249" s="4">
        <f t="shared" si="3"/>
        <v>0</v>
      </c>
      <c r="I249" s="4">
        <f>Table1[[#This Row],[B]]+Table1[[#This Row],[Atomic Constraints]]+Table1[[#This Row],[Soft Atomic Constraints]]+Table1[[#This Row],[Disjunctive Constraints]]+Table1[[#This Row],[Direct Successors]]</f>
        <v>84</v>
      </c>
      <c r="J249" s="5" t="s">
        <v>25</v>
      </c>
      <c r="K249" s="2">
        <v>18307</v>
      </c>
      <c r="L249" s="2">
        <v>26.447498499999998</v>
      </c>
      <c r="M249" s="2" t="str">
        <f>IF(AND(Table1[[#This Row],[Chuffed MZ1 Cost]]=Table1[[#This Row],[ORTools FZN2 Cost]],Table1[[#This Row],[ORTools FZN2 State]]="Optimal",Table1[[#This Row],[Chuffed MZ1 State]]="Suboptimal"),1,"")</f>
        <v/>
      </c>
      <c r="N249" s="5" t="s">
        <v>25</v>
      </c>
      <c r="O249" s="2">
        <v>18307</v>
      </c>
      <c r="P249" s="2">
        <v>7.4002515999999998</v>
      </c>
      <c r="Q249" s="2" t="str">
        <f>IF(AND(Table1[[#This Row],[Chuffed MZ2 Cost]]=Table1[[#This Row],[ORTools FZN2 Cost]],Table1[[#This Row],[ORTools FZN2 State]]="Optimal",Table1[[#This Row],[Chuffed MZ2 State]]="Suboptimal"),1,"")</f>
        <v/>
      </c>
      <c r="R249" s="5" t="s">
        <v>25</v>
      </c>
      <c r="S249" s="2">
        <v>18307</v>
      </c>
      <c r="T249" s="2">
        <v>0.20100000000093099</v>
      </c>
      <c r="U249" s="2"/>
      <c r="V249" s="5" t="s">
        <v>25</v>
      </c>
      <c r="W249" s="2">
        <v>18307</v>
      </c>
      <c r="X249" s="2">
        <v>3.0134070999999998</v>
      </c>
      <c r="Y249" s="2" t="str">
        <f>IF(AND(Table1[[#This Row],[ORTools FZN1 Cost]]=Table1[[#This Row],[ORTools FZN2 Cost]],Table1[[#This Row],[ORTools FZN2 State]]="Optimal",Table1[[#This Row],[ORTools FZN1 State]]="Suboptimal"),1,"")</f>
        <v/>
      </c>
      <c r="Z249" s="5" t="s">
        <v>25</v>
      </c>
      <c r="AA249" s="2">
        <v>18307</v>
      </c>
      <c r="AB249" s="2">
        <v>1.7113517</v>
      </c>
      <c r="AC249" s="39" t="s">
        <v>25</v>
      </c>
      <c r="AD249" s="39">
        <v>18307</v>
      </c>
      <c r="AE249" s="2">
        <v>66.808536099999998</v>
      </c>
      <c r="AF249" s="2" t="str">
        <f>IF(AND(Table1[[#This Row],[Cplex MB Cost]]=Table1[[#This Row],[ORTools FZN2 Cost]],Table1[[#This Row],[ORTools FZN2 State]]="Optimal",Table1[[#This Row],[Cplex MB State]]="Suboptimal"),1,"")</f>
        <v/>
      </c>
      <c r="AG249" s="4">
        <f>IF(AND(AC249="Optimal",AD249&lt;&gt;AA249,Table1[[#This Row],[Example]]&lt;&gt;"R001",Table1[[#This Row],[Example]]&lt;&gt;"R002"),AD249-AA249,)</f>
        <v>0</v>
      </c>
      <c r="AH249" s="5" t="s">
        <v>26</v>
      </c>
      <c r="AI249" s="2">
        <v>54270</v>
      </c>
      <c r="AJ249" s="2">
        <v>300.14009770000001</v>
      </c>
      <c r="AK249" s="2" t="str">
        <f>IF(AND(Table1[[#This Row],[Cplex MD Cost]]=Table1[[#This Row],[ORTools FZN2 Cost]],Table1[[#This Row],[ORTools FZN2 State]]="Optimal",Table1[[#This Row],[Cplex MD State]]="Suboptimal"),1,"")</f>
        <v/>
      </c>
      <c r="AL249" s="2">
        <f>IF(AND(AH249="Optimal",AI249&lt;&gt;AA249,Table1[[#This Row],[Example]]&lt;&gt;"R001",Table1[[#This Row],[Example]]&lt;&gt;"R002"),AI249-AA249,)</f>
        <v>0</v>
      </c>
      <c r="AM249" s="39" t="s">
        <v>26</v>
      </c>
      <c r="AN249" s="39">
        <v>18307</v>
      </c>
      <c r="AO249" s="2">
        <v>300.0466146</v>
      </c>
      <c r="AP24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49" s="4">
        <f>IF(AND(Table1[[#This Row],[Cplex MI Cost]]=Table1[[#This Row],[ORTools FZN2 Cost]],Table1[[#This Row],[ORTools FZN2 State]]="Optimal",Table1[[#This Row],[Cplex MI State]]="Suboptimal"),1,"")</f>
        <v>1</v>
      </c>
      <c r="AR249" s="12" t="s">
        <v>26</v>
      </c>
      <c r="AS249" s="12">
        <v>18307</v>
      </c>
      <c r="AT249" s="12">
        <v>142.0756623</v>
      </c>
      <c r="AU249" s="12">
        <f>IF(AND(Table1[[#This Row],[Z3 SMT2-1 Maxres Cost]]=Table1[[#This Row],[ORTools FZN2 Cost]],Table1[[#This Row],[ORTools FZN2 State]]="Optimal"),1,"")</f>
        <v>1</v>
      </c>
      <c r="AV249" s="12" t="s">
        <v>26</v>
      </c>
      <c r="AW249" s="12">
        <v>18307</v>
      </c>
      <c r="AX249" s="12">
        <v>149.39614169999999</v>
      </c>
      <c r="AY249" s="12">
        <f>IF(AND(Table1[[#This Row],[Z3 SMT2-1 PdMaxres Cost]]=Table1[[#This Row],[ORTools FZN2 Cost]],Table1[[#This Row],[ORTools FZN2 State]]="Optimal"),1,"")</f>
        <v>1</v>
      </c>
      <c r="AZ249" s="12" t="s">
        <v>26</v>
      </c>
      <c r="BA249" s="12">
        <v>18307</v>
      </c>
      <c r="BB249" s="12">
        <v>140.12471489999999</v>
      </c>
      <c r="BC249" s="12">
        <f>IF(AND(Table1[[#This Row],[Z3 SMT2-1 WMax Cost]]=Table1[[#This Row],[ORTools FZN2 Cost]],Table1[[#This Row],[ORTools FZN2 State]]="Optimal"),1,"")</f>
        <v>1</v>
      </c>
      <c r="BD249" s="12" t="s">
        <v>26</v>
      </c>
      <c r="BE249" s="12">
        <v>18307</v>
      </c>
      <c r="BF249" s="12">
        <v>91.621501499999994</v>
      </c>
      <c r="BG249" s="12">
        <f>IF(AND(Table1[[#This Row],[Z3 SMT2-2 Maxres Cost]]=Table1[[#This Row],[ORTools FZN2 Cost]],Table1[[#This Row],[ORTools FZN2 State]]="Optimal"),1,"")</f>
        <v>1</v>
      </c>
      <c r="BH249" s="12" t="s">
        <v>26</v>
      </c>
      <c r="BI249" s="12">
        <v>18307</v>
      </c>
      <c r="BJ249" s="12">
        <v>89.566518700000003</v>
      </c>
      <c r="BK249" s="12">
        <f>IF(AND(Table1[[#This Row],[Z3 SMT2-2 PdMaxres Cost]]=Table1[[#This Row],[ORTools FZN2 Cost]],Table1[[#This Row],[ORTools FZN2 State]]="Optimal"),1,"")</f>
        <v>1</v>
      </c>
      <c r="BL249" s="12" t="s">
        <v>26</v>
      </c>
      <c r="BM249" s="12">
        <v>18307</v>
      </c>
      <c r="BN249" s="12">
        <v>90.201840099999998</v>
      </c>
      <c r="BO249" s="11">
        <f>IF(AND(Table1[[#This Row],[Z3 SMT2-2 PdMaxres Cost]]=Table1[[#This Row],[ORTools FZN2 Cost]],Table1[[#This Row],[ORTools FZN2 State]]="Optimal"),1,"")</f>
        <v>1</v>
      </c>
      <c r="BP249" s="5" t="s">
        <v>25</v>
      </c>
      <c r="BQ249" s="2">
        <v>18307</v>
      </c>
      <c r="BR249" s="2">
        <v>38.149759600000003</v>
      </c>
      <c r="BS249" s="2" t="str">
        <f>IF(AND(Table1[[#This Row],[Gurobi MB Cost]]=Table1[[#This Row],[ORTools FZN2 Cost]],Table1[[#This Row],[ORTools FZN2 State]]="Optimal",Table1[[#This Row],[Gurobi MB State]]="Suboptimal"),1,"")</f>
        <v/>
      </c>
      <c r="BT24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49" s="5" t="s">
        <v>25</v>
      </c>
      <c r="BV249" s="2">
        <v>18307</v>
      </c>
      <c r="BW249" s="2">
        <v>182.04826840000001</v>
      </c>
      <c r="BX249" s="2" t="str">
        <f>IF(AND(Table1[[#This Row],[Gurobi MD Cost]]=Table1[[#This Row],[ORTools FZN2 Cost]],Table1[[#This Row],[ORTools FZN2 State]]="Optimal",Table1[[#This Row],[Gurobi MD State]]="Suboptimal"),1,"")</f>
        <v/>
      </c>
      <c r="BY24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49" s="5" t="s">
        <v>25</v>
      </c>
      <c r="CA249" s="2">
        <v>18307</v>
      </c>
      <c r="CB249" s="2">
        <v>11.7996395</v>
      </c>
      <c r="CC249" s="2" t="str">
        <f>IF(AND(Table1[[#This Row],[Gurobi MI Cost]]=Table1[[#This Row],[ORTools FZN2 Cost]],Table1[[#This Row],[ORTools FZN2 State]]="Optimal",Table1[[#This Row],[Gurobi MI State]]="Suboptimal"),1,"")</f>
        <v/>
      </c>
      <c r="CD24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49" s="39" t="s">
        <v>42</v>
      </c>
      <c r="CF249" s="2">
        <v>-18279</v>
      </c>
      <c r="CG249" s="39">
        <v>306.06221670000002</v>
      </c>
      <c r="CH249" s="39" t="s">
        <v>42</v>
      </c>
      <c r="CI249" s="39">
        <v>-18279</v>
      </c>
      <c r="CJ249" s="2">
        <v>306.06345779999998</v>
      </c>
      <c r="CK249" s="5" t="s">
        <v>25</v>
      </c>
      <c r="CL249" s="2">
        <v>18307</v>
      </c>
      <c r="CM249" s="2">
        <v>0.60800000000017496</v>
      </c>
      <c r="CN249" s="5" t="s">
        <v>25</v>
      </c>
      <c r="CO249" s="2">
        <v>18307</v>
      </c>
      <c r="CP249" s="2">
        <v>8.9119896000000001</v>
      </c>
      <c r="CQ249" s="5" t="s">
        <v>25</v>
      </c>
      <c r="CR249" s="2">
        <v>18307</v>
      </c>
      <c r="CS249" s="2">
        <v>3.4350505999999998</v>
      </c>
      <c r="CT249" s="6" t="s">
        <v>25</v>
      </c>
      <c r="CU249" s="4">
        <v>18307</v>
      </c>
      <c r="CV249" s="4">
        <v>2.7044952000000002</v>
      </c>
      <c r="CW249" s="39" t="s">
        <v>25</v>
      </c>
      <c r="CX249" s="39">
        <v>18307</v>
      </c>
      <c r="CY249" s="2">
        <v>147.6284</v>
      </c>
      <c r="CZ249" s="2" t="str">
        <f>IF(AND(Table1[[#This Row],[Cplex MZ1 Cost]]=Table1[[#This Row],[ORTools FZN2 Cost]],Table1[[#This Row],[ORTools FZN2 State]]="Optimal",Table1[[#This Row],[Cplex MZ1 State]]="Suboptimal"),1,"")</f>
        <v/>
      </c>
      <c r="DA249" s="5" t="s">
        <v>25</v>
      </c>
      <c r="DB249" s="2">
        <v>18307</v>
      </c>
      <c r="DC249" s="2">
        <v>81.255799999999994</v>
      </c>
      <c r="DD249" s="2" t="str">
        <f>IF(AND(Table1[[#This Row],[Cplex MZ2 Cost]]=Table1[[#This Row],[ORTools FZN2 Cost]],Table1[[#This Row],[ORTools FZN2 State]]="Optimal",Table1[[#This Row],[Cplex MZ2 State]]="Suboptimal"),1,"")</f>
        <v/>
      </c>
      <c r="DE249" s="39" t="s">
        <v>25</v>
      </c>
      <c r="DF249" s="39">
        <v>18307</v>
      </c>
      <c r="DG249" s="2">
        <v>28.8141</v>
      </c>
      <c r="DH249" s="2" t="str">
        <f>IF(AND(Table1[[#This Row],[Gurobi MZ1 Cost]]=Table1[[#This Row],[ORTools FZN2 Cost]],Table1[[#This Row],[ORTools FZN2 State]]="Optimal",Table1[[#This Row],[Gurobi MZ1 State]]="Suboptimal"),1,"")</f>
        <v/>
      </c>
      <c r="DI249" s="5" t="s">
        <v>25</v>
      </c>
      <c r="DJ249" s="2">
        <v>18307</v>
      </c>
      <c r="DK249" s="2">
        <v>32.527000000000001</v>
      </c>
      <c r="DL249" s="4" t="str">
        <f>IF(AND(Table1[[#This Row],[Gurobi MZ2 Cost]]=Table1[[#This Row],[ORTools FZN2 Cost]],Table1[[#This Row],[ORTools FZN2 State]]="Optimal",Table1[[#This Row],[Gurobi MZ2 State]]="Suboptimal"),1,"")</f>
        <v/>
      </c>
      <c r="DM249" s="39" t="s">
        <v>25</v>
      </c>
      <c r="DN249" s="39">
        <v>18307</v>
      </c>
      <c r="DO249" s="65">
        <v>7.04099999999743</v>
      </c>
      <c r="DP249" s="4" t="str">
        <f>IF(AND(Table1[[#This Row],[Cplex MC nonDual Cost]]=Table1[[#This Row],[ORTools FZN2 Cost]],Table1[[#This Row],[ORTools FZN2 State]]="Optimal",Table1[[#This Row],[Cplex MC nonDual State]]="Suboptimal"),1,"")</f>
        <v/>
      </c>
      <c r="DQ249" s="5" t="s">
        <v>25</v>
      </c>
      <c r="DR249" s="2">
        <v>18307</v>
      </c>
      <c r="DS249" s="2">
        <v>37.183599999999998</v>
      </c>
      <c r="DT249" s="2" t="str">
        <f>IF(AND(Table1[[#This Row],[Cplex MIP DM''z Cost]]=Table1[[#This Row],[ORTools FZN2 Cost]],Table1[[#This Row],[ORTools FZN2 State]]="Optimal",Table1[[#This Row],[Cplex MIP DM''z  State]]="Suboptimal"),1,"")</f>
        <v/>
      </c>
      <c r="DU24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49" s="5" t="s">
        <v>25</v>
      </c>
      <c r="DW249" s="2">
        <v>18307</v>
      </c>
      <c r="DX249" s="2">
        <v>98.725099999999998</v>
      </c>
      <c r="DY249" s="4" t="str">
        <f>IF(AND(Table1[[#This Row],[Gurobi DM''z  Cost]]=Table1[[#This Row],[ORTools FZN2 Cost]],Table1[[#This Row],[ORTools FZN2 State]]="Optimal",Table1[[#This Row],[Gurobi DM''z  State]]="Suboptimal"),1,"")</f>
        <v/>
      </c>
      <c r="DZ24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0" spans="1:130" ht="15.75" x14ac:dyDescent="0.25">
      <c r="A250" s="46" t="s">
        <v>276</v>
      </c>
      <c r="B250" s="5">
        <v>84</v>
      </c>
      <c r="C250" s="2">
        <v>42</v>
      </c>
      <c r="D250" s="5">
        <v>649</v>
      </c>
      <c r="E250" s="2">
        <v>65</v>
      </c>
      <c r="F250" s="5">
        <v>146</v>
      </c>
      <c r="G250" s="2">
        <v>0</v>
      </c>
      <c r="H250" s="4">
        <f t="shared" si="3"/>
        <v>0</v>
      </c>
      <c r="I250" s="4">
        <f>Table1[[#This Row],[B]]+Table1[[#This Row],[Atomic Constraints]]+Table1[[#This Row],[Soft Atomic Constraints]]+Table1[[#This Row],[Disjunctive Constraints]]+Table1[[#This Row],[Direct Successors]]</f>
        <v>902</v>
      </c>
      <c r="J250" s="5" t="s">
        <v>26</v>
      </c>
      <c r="K250" s="2">
        <v>25026242</v>
      </c>
      <c r="L250" s="2">
        <v>304.61716510000002</v>
      </c>
      <c r="M250" s="2" t="str">
        <f>IF(AND(Table1[[#This Row],[Chuffed MZ1 Cost]]=Table1[[#This Row],[ORTools FZN2 Cost]],Table1[[#This Row],[ORTools FZN2 State]]="Optimal",Table1[[#This Row],[Chuffed MZ1 State]]="Suboptimal"),1,"")</f>
        <v/>
      </c>
      <c r="N250" s="5" t="s">
        <v>42</v>
      </c>
      <c r="O250" s="2">
        <v>-599845</v>
      </c>
      <c r="P250" s="2">
        <v>304.65271380000001</v>
      </c>
      <c r="Q250" s="2" t="str">
        <f>IF(AND(Table1[[#This Row],[Chuffed MZ2 Cost]]=Table1[[#This Row],[ORTools FZN2 Cost]],Table1[[#This Row],[ORTools FZN2 State]]="Optimal",Table1[[#This Row],[Chuffed MZ2 State]]="Suboptimal"),1,"")</f>
        <v/>
      </c>
      <c r="R250" s="6" t="s">
        <v>26</v>
      </c>
      <c r="S250" s="4">
        <v>1801738</v>
      </c>
      <c r="T250" s="4">
        <v>300.318000000003</v>
      </c>
      <c r="U250" s="4"/>
      <c r="V250" s="5" t="s">
        <v>26</v>
      </c>
      <c r="W250" s="2">
        <v>14350761</v>
      </c>
      <c r="X250" s="2">
        <v>301.76877860000002</v>
      </c>
      <c r="Y250" s="2" t="str">
        <f>IF(AND(Table1[[#This Row],[ORTools FZN1 Cost]]=Table1[[#This Row],[ORTools FZN2 Cost]],Table1[[#This Row],[ORTools FZN2 State]]="Optimal",Table1[[#This Row],[ORTools FZN1 State]]="Suboptimal"),1,"")</f>
        <v/>
      </c>
      <c r="Z250" s="5" t="s">
        <v>26</v>
      </c>
      <c r="AA250" s="2">
        <v>18471388</v>
      </c>
      <c r="AB250" s="2">
        <v>301.75263039999999</v>
      </c>
      <c r="AC250" s="39" t="s">
        <v>42</v>
      </c>
      <c r="AD250" s="39">
        <v>-599845</v>
      </c>
      <c r="AE250" s="2">
        <v>300.17774580000003</v>
      </c>
      <c r="AF250" s="2" t="str">
        <f>IF(AND(Table1[[#This Row],[Cplex MB Cost]]=Table1[[#This Row],[ORTools FZN2 Cost]],Table1[[#This Row],[ORTools FZN2 State]]="Optimal",Table1[[#This Row],[Cplex MB State]]="Suboptimal"),1,"")</f>
        <v/>
      </c>
      <c r="AG250" s="4">
        <f>IF(AND(AC250="Optimal",AD250&lt;&gt;AA250,Table1[[#This Row],[Example]]&lt;&gt;"R001",Table1[[#This Row],[Example]]&lt;&gt;"R002"),AD250-AA250,)</f>
        <v>0</v>
      </c>
      <c r="AH250" s="5" t="s">
        <v>42</v>
      </c>
      <c r="AI250" s="2">
        <v>-599845</v>
      </c>
      <c r="AJ250" s="2">
        <v>300.32670350000001</v>
      </c>
      <c r="AK250" s="2" t="str">
        <f>IF(AND(Table1[[#This Row],[Cplex MD Cost]]=Table1[[#This Row],[ORTools FZN2 Cost]],Table1[[#This Row],[ORTools FZN2 State]]="Optimal",Table1[[#This Row],[Cplex MD State]]="Suboptimal"),1,"")</f>
        <v/>
      </c>
      <c r="AL250" s="4">
        <f>IF(AND(AH250="Optimal",AI250&lt;&gt;AA250,Table1[[#This Row],[Example]]&lt;&gt;"R001",Table1[[#This Row],[Example]]&lt;&gt;"R002"),AI250-AA250,)</f>
        <v>0</v>
      </c>
      <c r="AM250" s="39" t="s">
        <v>26</v>
      </c>
      <c r="AN250" s="39">
        <v>13099074</v>
      </c>
      <c r="AO250" s="2">
        <v>300.20355790000002</v>
      </c>
      <c r="AP25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0" s="4" t="str">
        <f>IF(AND(Table1[[#This Row],[Cplex MI Cost]]=Table1[[#This Row],[ORTools FZN2 Cost]],Table1[[#This Row],[ORTools FZN2 State]]="Optimal",Table1[[#This Row],[Cplex MI State]]="Suboptimal"),1,"")</f>
        <v/>
      </c>
      <c r="AR250" s="5" t="s">
        <v>42</v>
      </c>
      <c r="AS250" s="2">
        <v>-599845</v>
      </c>
      <c r="AT250" s="2">
        <v>300.09107610000001</v>
      </c>
      <c r="AU250" s="2" t="str">
        <f>IF(AND(Table1[[#This Row],[Z3 SMT2-1 Maxres Cost]]=Table1[[#This Row],[ORTools FZN2 Cost]],Table1[[#This Row],[ORTools FZN2 State]]="Optimal"),1,"")</f>
        <v/>
      </c>
      <c r="AV250" s="39" t="s">
        <v>42</v>
      </c>
      <c r="AW250" s="39">
        <v>-599845</v>
      </c>
      <c r="AX250" s="2">
        <v>300.09634039999997</v>
      </c>
      <c r="AY250" s="2" t="str">
        <f>IF(AND(Table1[[#This Row],[Z3 SMT2-1 PdMaxres Cost]]=Table1[[#This Row],[ORTools FZN2 Cost]],Table1[[#This Row],[ORTools FZN2 State]]="Optimal"),1,"")</f>
        <v/>
      </c>
      <c r="AZ250" s="5" t="s">
        <v>42</v>
      </c>
      <c r="BA250" s="2">
        <v>-599845</v>
      </c>
      <c r="BB250" s="39">
        <v>300.09274210000001</v>
      </c>
      <c r="BC250" s="39" t="str">
        <f>IF(AND(Table1[[#This Row],[Z3 SMT2-1 WMax Cost]]=Table1[[#This Row],[ORTools FZN2 Cost]],Table1[[#This Row],[ORTools FZN2 State]]="Optimal"),1,"")</f>
        <v/>
      </c>
      <c r="BD250" s="39" t="s">
        <v>42</v>
      </c>
      <c r="BE250" s="39">
        <v>-599845</v>
      </c>
      <c r="BF250" s="2">
        <v>300.08446270000002</v>
      </c>
      <c r="BG250" s="2" t="str">
        <f>IF(AND(Table1[[#This Row],[Z3 SMT2-2 Maxres Cost]]=Table1[[#This Row],[ORTools FZN2 Cost]],Table1[[#This Row],[ORTools FZN2 State]]="Optimal"),1,"")</f>
        <v/>
      </c>
      <c r="BH250" s="5" t="s">
        <v>42</v>
      </c>
      <c r="BI250" s="2">
        <v>-599845</v>
      </c>
      <c r="BJ250" s="39">
        <v>300.08792060000002</v>
      </c>
      <c r="BK250" s="39" t="str">
        <f>IF(AND(Table1[[#This Row],[Z3 SMT2-2 PdMaxres Cost]]=Table1[[#This Row],[ORTools FZN2 Cost]],Table1[[#This Row],[ORTools FZN2 State]]="Optimal"),1,"")</f>
        <v/>
      </c>
      <c r="BL250" s="39" t="s">
        <v>42</v>
      </c>
      <c r="BM250" s="39">
        <v>-599845</v>
      </c>
      <c r="BN250" s="2">
        <v>300.0886615</v>
      </c>
      <c r="BO250" s="4" t="str">
        <f>IF(AND(Table1[[#This Row],[Z3 SMT2-2 PdMaxres Cost]]=Table1[[#This Row],[ORTools FZN2 Cost]],Table1[[#This Row],[ORTools FZN2 State]]="Optimal"),1,"")</f>
        <v/>
      </c>
      <c r="BP250" s="5" t="s">
        <v>42</v>
      </c>
      <c r="BQ250" s="2">
        <v>-599845</v>
      </c>
      <c r="BR250" s="2">
        <v>300.1553634</v>
      </c>
      <c r="BS250" s="2" t="str">
        <f>IF(AND(Table1[[#This Row],[Gurobi MB Cost]]=Table1[[#This Row],[ORTools FZN2 Cost]],Table1[[#This Row],[ORTools FZN2 State]]="Optimal",Table1[[#This Row],[Gurobi MB State]]="Suboptimal"),1,"")</f>
        <v/>
      </c>
      <c r="BT25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0" s="5" t="s">
        <v>42</v>
      </c>
      <c r="BV250" s="2">
        <v>-599845</v>
      </c>
      <c r="BW250" s="2">
        <v>300.2303728</v>
      </c>
      <c r="BX250" s="2" t="str">
        <f>IF(AND(Table1[[#This Row],[Gurobi MD Cost]]=Table1[[#This Row],[ORTools FZN2 Cost]],Table1[[#This Row],[ORTools FZN2 State]]="Optimal",Table1[[#This Row],[Gurobi MD State]]="Suboptimal"),1,"")</f>
        <v/>
      </c>
      <c r="BY25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0" s="5" t="s">
        <v>42</v>
      </c>
      <c r="CA250" s="2">
        <v>-599845</v>
      </c>
      <c r="CB250" s="2">
        <v>300.16940749999998</v>
      </c>
      <c r="CC250" s="2" t="str">
        <f>IF(AND(Table1[[#This Row],[Gurobi MI Cost]]=Table1[[#This Row],[ORTools FZN2 Cost]],Table1[[#This Row],[ORTools FZN2 State]]="Optimal",Table1[[#This Row],[Gurobi MI State]]="Suboptimal"),1,"")</f>
        <v/>
      </c>
      <c r="CD25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0" s="39" t="s">
        <v>42</v>
      </c>
      <c r="CF250" s="2">
        <v>-599845</v>
      </c>
      <c r="CG250" s="39">
        <v>306.29941550000001</v>
      </c>
      <c r="CH250" s="39" t="s">
        <v>42</v>
      </c>
      <c r="CI250" s="39">
        <v>-599845</v>
      </c>
      <c r="CJ250" s="2">
        <v>306.2830093</v>
      </c>
      <c r="CK250" s="5" t="s">
        <v>26</v>
      </c>
      <c r="CL250" s="2">
        <v>1801656</v>
      </c>
      <c r="CM250" s="2">
        <v>300.30899999999701</v>
      </c>
      <c r="CN250" s="5" t="s">
        <v>26</v>
      </c>
      <c r="CO250" s="2">
        <v>20885040</v>
      </c>
      <c r="CP250" s="2">
        <v>304.37115999999997</v>
      </c>
      <c r="CQ250" s="5" t="s">
        <v>26</v>
      </c>
      <c r="CR250" s="2">
        <v>9543781</v>
      </c>
      <c r="CS250" s="2">
        <v>302.44760780000001</v>
      </c>
      <c r="CT250" s="6" t="s">
        <v>25</v>
      </c>
      <c r="CU250" s="4">
        <v>1801654</v>
      </c>
      <c r="CV250" s="4">
        <v>56.734576799999999</v>
      </c>
      <c r="CW250" s="39" t="s">
        <v>42</v>
      </c>
      <c r="CX250" s="39"/>
      <c r="CY250" s="2">
        <v>300.01119999999997</v>
      </c>
      <c r="CZ250" s="2" t="str">
        <f>IF(AND(Table1[[#This Row],[Cplex MZ1 Cost]]=Table1[[#This Row],[ORTools FZN2 Cost]],Table1[[#This Row],[ORTools FZN2 State]]="Optimal",Table1[[#This Row],[Cplex MZ1 State]]="Suboptimal"),1,"")</f>
        <v/>
      </c>
      <c r="DA250" s="5" t="s">
        <v>42</v>
      </c>
      <c r="DB250" s="2"/>
      <c r="DC250" s="2">
        <v>300.03210000000001</v>
      </c>
      <c r="DD250" s="2" t="str">
        <f>IF(AND(Table1[[#This Row],[Cplex MZ2 Cost]]=Table1[[#This Row],[ORTools FZN2 Cost]],Table1[[#This Row],[ORTools FZN2 State]]="Optimal",Table1[[#This Row],[Cplex MZ2 State]]="Suboptimal"),1,"")</f>
        <v/>
      </c>
      <c r="DE250" s="39" t="s">
        <v>42</v>
      </c>
      <c r="DF250" s="39"/>
      <c r="DG250" s="2">
        <v>300.0138</v>
      </c>
      <c r="DH250" s="2" t="str">
        <f>IF(AND(Table1[[#This Row],[Gurobi MZ1 Cost]]=Table1[[#This Row],[ORTools FZN2 Cost]],Table1[[#This Row],[ORTools FZN2 State]]="Optimal",Table1[[#This Row],[Gurobi MZ1 State]]="Suboptimal"),1,"")</f>
        <v/>
      </c>
      <c r="DI250" s="5" t="s">
        <v>42</v>
      </c>
      <c r="DJ250" s="2"/>
      <c r="DK250" s="2">
        <v>300.16210000000001</v>
      </c>
      <c r="DL250" s="4" t="str">
        <f>IF(AND(Table1[[#This Row],[Gurobi MZ2 Cost]]=Table1[[#This Row],[ORTools FZN2 Cost]],Table1[[#This Row],[ORTools FZN2 State]]="Optimal",Table1[[#This Row],[Gurobi MZ2 State]]="Suboptimal"),1,"")</f>
        <v/>
      </c>
      <c r="DM250" s="39" t="s">
        <v>26</v>
      </c>
      <c r="DN250" s="39">
        <v>1801654</v>
      </c>
      <c r="DO250" s="65">
        <v>300.07799999999702</v>
      </c>
      <c r="DP250" s="4" t="str">
        <f>IF(AND(Table1[[#This Row],[Cplex MC nonDual Cost]]=Table1[[#This Row],[ORTools FZN2 Cost]],Table1[[#This Row],[ORTools FZN2 State]]="Optimal",Table1[[#This Row],[Cplex MC nonDual State]]="Suboptimal"),1,"")</f>
        <v/>
      </c>
      <c r="DQ250" s="5" t="s">
        <v>42</v>
      </c>
      <c r="DR250" s="2"/>
      <c r="DS250" s="2">
        <v>300.0523</v>
      </c>
      <c r="DT250" s="2" t="str">
        <f>IF(AND(Table1[[#This Row],[Cplex MIP DM''z Cost]]=Table1[[#This Row],[ORTools FZN2 Cost]],Table1[[#This Row],[ORTools FZN2 State]]="Optimal",Table1[[#This Row],[Cplex MIP DM''z  State]]="Suboptimal"),1,"")</f>
        <v/>
      </c>
      <c r="DU25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0" s="5" t="s">
        <v>42</v>
      </c>
      <c r="DW250" s="2"/>
      <c r="DX250" s="2">
        <v>300.03199999999998</v>
      </c>
      <c r="DY250" s="4" t="str">
        <f>IF(AND(Table1[[#This Row],[Gurobi DM''z  Cost]]=Table1[[#This Row],[ORTools FZN2 Cost]],Table1[[#This Row],[ORTools FZN2 State]]="Optimal",Table1[[#This Row],[Gurobi DM''z  State]]="Suboptimal"),1,"")</f>
        <v/>
      </c>
      <c r="DZ25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1" spans="1:130" ht="15.75" x14ac:dyDescent="0.25">
      <c r="A251" s="47" t="s">
        <v>277</v>
      </c>
      <c r="B251" s="5">
        <v>70</v>
      </c>
      <c r="C251" s="2">
        <v>35</v>
      </c>
      <c r="D251" s="5">
        <v>492</v>
      </c>
      <c r="E251" s="2">
        <v>51</v>
      </c>
      <c r="F251" s="5">
        <v>80</v>
      </c>
      <c r="G251" s="2">
        <v>0</v>
      </c>
      <c r="H251" s="4">
        <f t="shared" si="3"/>
        <v>0</v>
      </c>
      <c r="I251" s="4">
        <f>Table1[[#This Row],[B]]+Table1[[#This Row],[Atomic Constraints]]+Table1[[#This Row],[Soft Atomic Constraints]]+Table1[[#This Row],[Disjunctive Constraints]]+Table1[[#This Row],[Direct Successors]]</f>
        <v>658</v>
      </c>
      <c r="J251" s="5" t="s">
        <v>26</v>
      </c>
      <c r="K251" s="2">
        <v>12126832</v>
      </c>
      <c r="L251" s="2">
        <v>303.358383</v>
      </c>
      <c r="M251" s="2" t="str">
        <f>IF(AND(Table1[[#This Row],[Chuffed MZ1 Cost]]=Table1[[#This Row],[ORTools FZN2 Cost]],Table1[[#This Row],[ORTools FZN2 State]]="Optimal",Table1[[#This Row],[Chuffed MZ1 State]]="Suboptimal"),1,"")</f>
        <v/>
      </c>
      <c r="N251" s="5" t="s">
        <v>42</v>
      </c>
      <c r="O251" s="2">
        <v>-347971</v>
      </c>
      <c r="P251" s="2">
        <v>303.33657369999997</v>
      </c>
      <c r="Q251" s="2" t="str">
        <f>IF(AND(Table1[[#This Row],[Chuffed MZ2 Cost]]=Table1[[#This Row],[ORTools FZN2 Cost]],Table1[[#This Row],[ORTools FZN2 State]]="Optimal",Table1[[#This Row],[Chuffed MZ2 State]]="Suboptimal"),1,"")</f>
        <v/>
      </c>
      <c r="R251" s="6" t="s">
        <v>26</v>
      </c>
      <c r="S251" s="4">
        <v>1387402</v>
      </c>
      <c r="T251" s="4">
        <v>300.21700000000101</v>
      </c>
      <c r="U251" s="4"/>
      <c r="V251" s="5" t="s">
        <v>25</v>
      </c>
      <c r="W251" s="2">
        <v>1387400</v>
      </c>
      <c r="X251" s="2">
        <v>154.57362230000001</v>
      </c>
      <c r="Y251" s="2" t="str">
        <f>IF(AND(Table1[[#This Row],[ORTools FZN1 Cost]]=Table1[[#This Row],[ORTools FZN2 Cost]],Table1[[#This Row],[ORTools FZN2 State]]="Optimal",Table1[[#This Row],[ORTools FZN1 State]]="Suboptimal"),1,"")</f>
        <v/>
      </c>
      <c r="Z251" s="5" t="s">
        <v>25</v>
      </c>
      <c r="AA251" s="2">
        <v>1387400</v>
      </c>
      <c r="AB251" s="2">
        <v>180.61532779999999</v>
      </c>
      <c r="AC251" s="39" t="s">
        <v>42</v>
      </c>
      <c r="AD251" s="39">
        <v>-347971</v>
      </c>
      <c r="AE251" s="2">
        <v>300.18622690000001</v>
      </c>
      <c r="AF251" s="2" t="str">
        <f>IF(AND(Table1[[#This Row],[Cplex MB Cost]]=Table1[[#This Row],[ORTools FZN2 Cost]],Table1[[#This Row],[ORTools FZN2 State]]="Optimal",Table1[[#This Row],[Cplex MB State]]="Suboptimal"),1,"")</f>
        <v/>
      </c>
      <c r="AG251" s="4">
        <f>IF(AND(AC251="Optimal",AD251&lt;&gt;AA251,Table1[[#This Row],[Example]]&lt;&gt;"R001",Table1[[#This Row],[Example]]&lt;&gt;"R002"),AD251-AA251,)</f>
        <v>0</v>
      </c>
      <c r="AH251" s="5" t="s">
        <v>42</v>
      </c>
      <c r="AI251" s="2">
        <v>-347971</v>
      </c>
      <c r="AJ251" s="2">
        <v>300.52044549999999</v>
      </c>
      <c r="AK251" s="2" t="str">
        <f>IF(AND(Table1[[#This Row],[Cplex MD Cost]]=Table1[[#This Row],[ORTools FZN2 Cost]],Table1[[#This Row],[ORTools FZN2 State]]="Optimal",Table1[[#This Row],[Cplex MD State]]="Suboptimal"),1,"")</f>
        <v/>
      </c>
      <c r="AL251" s="4">
        <f>IF(AND(AH251="Optimal",AI251&lt;&gt;AA251,Table1[[#This Row],[Example]]&lt;&gt;"R001",Table1[[#This Row],[Example]]&lt;&gt;"R002"),AI251-AA251,)</f>
        <v>0</v>
      </c>
      <c r="AM251" s="39" t="s">
        <v>26</v>
      </c>
      <c r="AN251" s="39">
        <v>5165452</v>
      </c>
      <c r="AO251" s="2">
        <v>300.16343610000001</v>
      </c>
      <c r="AP25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1" s="4" t="str">
        <f>IF(AND(Table1[[#This Row],[Cplex MI Cost]]=Table1[[#This Row],[ORTools FZN2 Cost]],Table1[[#This Row],[ORTools FZN2 State]]="Optimal",Table1[[#This Row],[Cplex MI State]]="Suboptimal"),1,"")</f>
        <v/>
      </c>
      <c r="AR251" s="5" t="s">
        <v>42</v>
      </c>
      <c r="AS251" s="2">
        <v>-347971</v>
      </c>
      <c r="AT251" s="2">
        <v>300.07481309999997</v>
      </c>
      <c r="AU251" s="2" t="str">
        <f>IF(AND(Table1[[#This Row],[Z3 SMT2-1 Maxres Cost]]=Table1[[#This Row],[ORTools FZN2 Cost]],Table1[[#This Row],[ORTools FZN2 State]]="Optimal"),1,"")</f>
        <v/>
      </c>
      <c r="AV251" s="39" t="s">
        <v>42</v>
      </c>
      <c r="AW251" s="39">
        <v>-347971</v>
      </c>
      <c r="AX251" s="2">
        <v>300.0726252</v>
      </c>
      <c r="AY251" s="2" t="str">
        <f>IF(AND(Table1[[#This Row],[Z3 SMT2-1 PdMaxres Cost]]=Table1[[#This Row],[ORTools FZN2 Cost]],Table1[[#This Row],[ORTools FZN2 State]]="Optimal"),1,"")</f>
        <v/>
      </c>
      <c r="AZ251" s="5" t="s">
        <v>42</v>
      </c>
      <c r="BA251" s="2">
        <v>-347971</v>
      </c>
      <c r="BB251" s="39">
        <v>300.08041889999998</v>
      </c>
      <c r="BC251" s="39" t="str">
        <f>IF(AND(Table1[[#This Row],[Z3 SMT2-1 WMax Cost]]=Table1[[#This Row],[ORTools FZN2 Cost]],Table1[[#This Row],[ORTools FZN2 State]]="Optimal"),1,"")</f>
        <v/>
      </c>
      <c r="BD251" s="39" t="s">
        <v>42</v>
      </c>
      <c r="BE251" s="39">
        <v>-347971</v>
      </c>
      <c r="BF251" s="2">
        <v>300.07073539999999</v>
      </c>
      <c r="BG251" s="2" t="str">
        <f>IF(AND(Table1[[#This Row],[Z3 SMT2-2 Maxres Cost]]=Table1[[#This Row],[ORTools FZN2 Cost]],Table1[[#This Row],[ORTools FZN2 State]]="Optimal"),1,"")</f>
        <v/>
      </c>
      <c r="BH251" s="5" t="s">
        <v>42</v>
      </c>
      <c r="BI251" s="2">
        <v>-347971</v>
      </c>
      <c r="BJ251" s="39">
        <v>300.0658651</v>
      </c>
      <c r="BK251" s="39" t="str">
        <f>IF(AND(Table1[[#This Row],[Z3 SMT2-2 PdMaxres Cost]]=Table1[[#This Row],[ORTools FZN2 Cost]],Table1[[#This Row],[ORTools FZN2 State]]="Optimal"),1,"")</f>
        <v/>
      </c>
      <c r="BL251" s="39" t="s">
        <v>42</v>
      </c>
      <c r="BM251" s="39">
        <v>-347971</v>
      </c>
      <c r="BN251" s="2">
        <v>300.07392700000003</v>
      </c>
      <c r="BO251" s="4" t="str">
        <f>IF(AND(Table1[[#This Row],[Z3 SMT2-2 PdMaxres Cost]]=Table1[[#This Row],[ORTools FZN2 Cost]],Table1[[#This Row],[ORTools FZN2 State]]="Optimal"),1,"")</f>
        <v/>
      </c>
      <c r="BP251" s="5" t="s">
        <v>42</v>
      </c>
      <c r="BQ251" s="2">
        <v>-347971</v>
      </c>
      <c r="BR251" s="2">
        <v>300.16894259999998</v>
      </c>
      <c r="BS251" s="2" t="str">
        <f>IF(AND(Table1[[#This Row],[Gurobi MB Cost]]=Table1[[#This Row],[ORTools FZN2 Cost]],Table1[[#This Row],[ORTools FZN2 State]]="Optimal",Table1[[#This Row],[Gurobi MB State]]="Suboptimal"),1,"")</f>
        <v/>
      </c>
      <c r="BT25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1" s="5" t="s">
        <v>42</v>
      </c>
      <c r="BV251" s="2">
        <v>-347971</v>
      </c>
      <c r="BW251" s="2">
        <v>300.36346900000001</v>
      </c>
      <c r="BX251" s="2" t="str">
        <f>IF(AND(Table1[[#This Row],[Gurobi MD Cost]]=Table1[[#This Row],[ORTools FZN2 Cost]],Table1[[#This Row],[ORTools FZN2 State]]="Optimal",Table1[[#This Row],[Gurobi MD State]]="Suboptimal"),1,"")</f>
        <v/>
      </c>
      <c r="BY25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1" s="5" t="s">
        <v>42</v>
      </c>
      <c r="CA251" s="2">
        <v>-347971</v>
      </c>
      <c r="CB251" s="2">
        <v>300.21103909999999</v>
      </c>
      <c r="CC251" s="2" t="str">
        <f>IF(AND(Table1[[#This Row],[Gurobi MI Cost]]=Table1[[#This Row],[ORTools FZN2 Cost]],Table1[[#This Row],[ORTools FZN2 State]]="Optimal",Table1[[#This Row],[Gurobi MI State]]="Suboptimal"),1,"")</f>
        <v/>
      </c>
      <c r="CD25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1" s="39" t="s">
        <v>42</v>
      </c>
      <c r="CF251" s="2">
        <v>-347971</v>
      </c>
      <c r="CG251" s="39">
        <v>306.23466869999999</v>
      </c>
      <c r="CH251" s="39" t="s">
        <v>42</v>
      </c>
      <c r="CI251" s="39">
        <v>-347971</v>
      </c>
      <c r="CJ251" s="2">
        <v>306.15462029999998</v>
      </c>
      <c r="CK251" s="5" t="s">
        <v>26</v>
      </c>
      <c r="CL251" s="2">
        <v>1387402</v>
      </c>
      <c r="CM251" s="2">
        <v>300.13200000000103</v>
      </c>
      <c r="CN251" s="5" t="s">
        <v>26</v>
      </c>
      <c r="CO251" s="2">
        <v>10734817</v>
      </c>
      <c r="CP251" s="2">
        <v>303.2695703</v>
      </c>
      <c r="CQ251" s="5" t="s">
        <v>25</v>
      </c>
      <c r="CR251" s="2">
        <v>1387400</v>
      </c>
      <c r="CS251" s="2">
        <v>243.836893</v>
      </c>
      <c r="CT251" s="6" t="s">
        <v>25</v>
      </c>
      <c r="CU251" s="4">
        <v>1387400</v>
      </c>
      <c r="CV251" s="4">
        <v>53.806564399999999</v>
      </c>
      <c r="CW251" s="39" t="s">
        <v>42</v>
      </c>
      <c r="CX251" s="39"/>
      <c r="CY251" s="2">
        <v>300.0247</v>
      </c>
      <c r="CZ251" s="2" t="str">
        <f>IF(AND(Table1[[#This Row],[Cplex MZ1 Cost]]=Table1[[#This Row],[ORTools FZN2 Cost]],Table1[[#This Row],[ORTools FZN2 State]]="Optimal",Table1[[#This Row],[Cplex MZ1 State]]="Suboptimal"),1,"")</f>
        <v/>
      </c>
      <c r="DA251" s="5" t="s">
        <v>42</v>
      </c>
      <c r="DB251" s="2"/>
      <c r="DC251" s="2">
        <v>300.0138</v>
      </c>
      <c r="DD251" s="2" t="str">
        <f>IF(AND(Table1[[#This Row],[Cplex MZ2 Cost]]=Table1[[#This Row],[ORTools FZN2 Cost]],Table1[[#This Row],[ORTools FZN2 State]]="Optimal",Table1[[#This Row],[Cplex MZ2 State]]="Suboptimal"),1,"")</f>
        <v/>
      </c>
      <c r="DE251" s="39" t="s">
        <v>42</v>
      </c>
      <c r="DF251" s="39"/>
      <c r="DG251" s="2">
        <v>300.01280000000003</v>
      </c>
      <c r="DH251" s="2" t="str">
        <f>IF(AND(Table1[[#This Row],[Gurobi MZ1 Cost]]=Table1[[#This Row],[ORTools FZN2 Cost]],Table1[[#This Row],[ORTools FZN2 State]]="Optimal",Table1[[#This Row],[Gurobi MZ1 State]]="Suboptimal"),1,"")</f>
        <v/>
      </c>
      <c r="DI251" s="5" t="s">
        <v>42</v>
      </c>
      <c r="DJ251" s="2"/>
      <c r="DK251" s="2">
        <v>300.8415</v>
      </c>
      <c r="DL251" s="4" t="str">
        <f>IF(AND(Table1[[#This Row],[Gurobi MZ2 Cost]]=Table1[[#This Row],[ORTools FZN2 Cost]],Table1[[#This Row],[ORTools FZN2 State]]="Optimal",Table1[[#This Row],[Gurobi MZ2 State]]="Suboptimal"),1,"")</f>
        <v/>
      </c>
      <c r="DM251" s="39" t="s">
        <v>26</v>
      </c>
      <c r="DN251" s="12">
        <v>1387400</v>
      </c>
      <c r="DO251" s="69">
        <v>300.04499999999803</v>
      </c>
      <c r="DP251" s="11">
        <f>IF(AND(Table1[[#This Row],[Cplex MC nonDual Cost]]=Table1[[#This Row],[ORTools FZN2 Cost]],Table1[[#This Row],[ORTools FZN2 State]]="Optimal",Table1[[#This Row],[Cplex MC nonDual State]]="Suboptimal"),1,"")</f>
        <v>1</v>
      </c>
      <c r="DQ251" s="5" t="s">
        <v>42</v>
      </c>
      <c r="DR251" s="2"/>
      <c r="DS251" s="2">
        <v>300.02120000000002</v>
      </c>
      <c r="DT251" s="2" t="str">
        <f>IF(AND(Table1[[#This Row],[Cplex MIP DM''z Cost]]=Table1[[#This Row],[ORTools FZN2 Cost]],Table1[[#This Row],[ORTools FZN2 State]]="Optimal",Table1[[#This Row],[Cplex MIP DM''z  State]]="Suboptimal"),1,"")</f>
        <v/>
      </c>
      <c r="DU25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1" s="5" t="s">
        <v>42</v>
      </c>
      <c r="DW251" s="2"/>
      <c r="DX251" s="2">
        <v>300.01420000000002</v>
      </c>
      <c r="DY251" s="4" t="str">
        <f>IF(AND(Table1[[#This Row],[Gurobi DM''z  Cost]]=Table1[[#This Row],[ORTools FZN2 Cost]],Table1[[#This Row],[ORTools FZN2 State]]="Optimal",Table1[[#This Row],[Gurobi DM''z  State]]="Suboptimal"),1,"")</f>
        <v/>
      </c>
      <c r="DZ25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2" spans="1:130" ht="15.75" x14ac:dyDescent="0.25">
      <c r="A252" s="46" t="s">
        <v>278</v>
      </c>
      <c r="B252" s="5">
        <v>70</v>
      </c>
      <c r="C252" s="2">
        <v>35</v>
      </c>
      <c r="D252" s="5">
        <v>545</v>
      </c>
      <c r="E252" s="2">
        <v>50</v>
      </c>
      <c r="F252" s="5">
        <v>116</v>
      </c>
      <c r="G252" s="2">
        <v>0</v>
      </c>
      <c r="H252" s="4">
        <f t="shared" si="3"/>
        <v>0</v>
      </c>
      <c r="I252" s="4">
        <f>Table1[[#This Row],[B]]+Table1[[#This Row],[Atomic Constraints]]+Table1[[#This Row],[Soft Atomic Constraints]]+Table1[[#This Row],[Disjunctive Constraints]]+Table1[[#This Row],[Direct Successors]]</f>
        <v>746</v>
      </c>
      <c r="J252" s="5" t="s">
        <v>26</v>
      </c>
      <c r="K252" s="2">
        <v>11764360</v>
      </c>
      <c r="L252" s="2">
        <v>303.32061499999998</v>
      </c>
      <c r="M252" s="2" t="str">
        <f>IF(AND(Table1[[#This Row],[Chuffed MZ1 Cost]]=Table1[[#This Row],[ORTools FZN2 Cost]],Table1[[#This Row],[ORTools FZN2 State]]="Optimal",Table1[[#This Row],[Chuffed MZ1 State]]="Suboptimal"),1,"")</f>
        <v/>
      </c>
      <c r="N252" s="5" t="s">
        <v>26</v>
      </c>
      <c r="O252" s="2">
        <v>11460424</v>
      </c>
      <c r="P252" s="2">
        <v>303.39103770000003</v>
      </c>
      <c r="Q252" s="2" t="str">
        <f>IF(AND(Table1[[#This Row],[Chuffed MZ2 Cost]]=Table1[[#This Row],[ORTools FZN2 Cost]],Table1[[#This Row],[ORTools FZN2 State]]="Optimal",Table1[[#This Row],[Chuffed MZ2 State]]="Suboptimal"),1,"")</f>
        <v/>
      </c>
      <c r="R252" s="5" t="s">
        <v>26</v>
      </c>
      <c r="S252" s="2">
        <v>1387412</v>
      </c>
      <c r="T252" s="2">
        <v>300.08699999999999</v>
      </c>
      <c r="U252" s="2"/>
      <c r="V252" s="5" t="s">
        <v>25</v>
      </c>
      <c r="W252" s="2">
        <v>1387400</v>
      </c>
      <c r="X252" s="2">
        <v>111.9036279</v>
      </c>
      <c r="Y252" s="2" t="str">
        <f>IF(AND(Table1[[#This Row],[ORTools FZN1 Cost]]=Table1[[#This Row],[ORTools FZN2 Cost]],Table1[[#This Row],[ORTools FZN2 State]]="Optimal",Table1[[#This Row],[ORTools FZN1 State]]="Suboptimal"),1,"")</f>
        <v/>
      </c>
      <c r="Z252" s="5" t="s">
        <v>25</v>
      </c>
      <c r="AA252" s="2">
        <v>1387400</v>
      </c>
      <c r="AB252" s="2">
        <v>163.0572727</v>
      </c>
      <c r="AC252" s="39" t="s">
        <v>42</v>
      </c>
      <c r="AD252" s="39">
        <v>-347971</v>
      </c>
      <c r="AE252" s="2">
        <v>300.19446199999999</v>
      </c>
      <c r="AF252" s="2" t="str">
        <f>IF(AND(Table1[[#This Row],[Cplex MB Cost]]=Table1[[#This Row],[ORTools FZN2 Cost]],Table1[[#This Row],[ORTools FZN2 State]]="Optimal",Table1[[#This Row],[Cplex MB State]]="Suboptimal"),1,"")</f>
        <v/>
      </c>
      <c r="AG252" s="4">
        <f>IF(AND(AC252="Optimal",AD252&lt;&gt;AA252,Table1[[#This Row],[Example]]&lt;&gt;"R001",Table1[[#This Row],[Example]]&lt;&gt;"R002"),AD252-AA252,)</f>
        <v>0</v>
      </c>
      <c r="AH252" s="5" t="s">
        <v>42</v>
      </c>
      <c r="AI252" s="2">
        <v>-347971</v>
      </c>
      <c r="AJ252" s="2">
        <v>316.66855129999999</v>
      </c>
      <c r="AK252" s="2" t="str">
        <f>IF(AND(Table1[[#This Row],[Cplex MD Cost]]=Table1[[#This Row],[ORTools FZN2 Cost]],Table1[[#This Row],[ORTools FZN2 State]]="Optimal",Table1[[#This Row],[Cplex MD State]]="Suboptimal"),1,"")</f>
        <v/>
      </c>
      <c r="AL252" s="2">
        <f>IF(AND(AH252="Optimal",AI252&lt;&gt;AA252,Table1[[#This Row],[Example]]&lt;&gt;"R001",Table1[[#This Row],[Example]]&lt;&gt;"R002"),AI252-AA252,)</f>
        <v>0</v>
      </c>
      <c r="AM252" s="39" t="s">
        <v>42</v>
      </c>
      <c r="AN252" s="39">
        <v>-347971</v>
      </c>
      <c r="AO252" s="2">
        <v>300.13540649999999</v>
      </c>
      <c r="AP25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2" s="4" t="str">
        <f>IF(AND(Table1[[#This Row],[Cplex MI Cost]]=Table1[[#This Row],[ORTools FZN2 Cost]],Table1[[#This Row],[ORTools FZN2 State]]="Optimal",Table1[[#This Row],[Cplex MI State]]="Suboptimal"),1,"")</f>
        <v/>
      </c>
      <c r="AR252" s="5" t="s">
        <v>42</v>
      </c>
      <c r="AS252" s="2">
        <v>-347971</v>
      </c>
      <c r="AT252" s="2">
        <v>300.08373499999999</v>
      </c>
      <c r="AU252" s="2" t="str">
        <f>IF(AND(Table1[[#This Row],[Z3 SMT2-1 Maxres Cost]]=Table1[[#This Row],[ORTools FZN2 Cost]],Table1[[#This Row],[ORTools FZN2 State]]="Optimal"),1,"")</f>
        <v/>
      </c>
      <c r="AV252" s="39" t="s">
        <v>42</v>
      </c>
      <c r="AW252" s="39">
        <v>-347971</v>
      </c>
      <c r="AX252" s="2">
        <v>300.0719861</v>
      </c>
      <c r="AY252" s="2" t="str">
        <f>IF(AND(Table1[[#This Row],[Z3 SMT2-1 PdMaxres Cost]]=Table1[[#This Row],[ORTools FZN2 Cost]],Table1[[#This Row],[ORTools FZN2 State]]="Optimal"),1,"")</f>
        <v/>
      </c>
      <c r="AZ252" s="5" t="s">
        <v>42</v>
      </c>
      <c r="BA252" s="2">
        <v>-347971</v>
      </c>
      <c r="BB252" s="39">
        <v>300.07758469999999</v>
      </c>
      <c r="BC252" s="39" t="str">
        <f>IF(AND(Table1[[#This Row],[Z3 SMT2-1 WMax Cost]]=Table1[[#This Row],[ORTools FZN2 Cost]],Table1[[#This Row],[ORTools FZN2 State]]="Optimal"),1,"")</f>
        <v/>
      </c>
      <c r="BD252" s="39" t="s">
        <v>42</v>
      </c>
      <c r="BE252" s="39">
        <v>-347971</v>
      </c>
      <c r="BF252" s="2">
        <v>300.06088670000003</v>
      </c>
      <c r="BG252" s="2" t="str">
        <f>IF(AND(Table1[[#This Row],[Z3 SMT2-2 Maxres Cost]]=Table1[[#This Row],[ORTools FZN2 Cost]],Table1[[#This Row],[ORTools FZN2 State]]="Optimal"),1,"")</f>
        <v/>
      </c>
      <c r="BH252" s="5" t="s">
        <v>42</v>
      </c>
      <c r="BI252" s="2">
        <v>-347971</v>
      </c>
      <c r="BJ252" s="39">
        <v>300.0805823</v>
      </c>
      <c r="BK252" s="39" t="str">
        <f>IF(AND(Table1[[#This Row],[Z3 SMT2-2 PdMaxres Cost]]=Table1[[#This Row],[ORTools FZN2 Cost]],Table1[[#This Row],[ORTools FZN2 State]]="Optimal"),1,"")</f>
        <v/>
      </c>
      <c r="BL252" s="39" t="s">
        <v>42</v>
      </c>
      <c r="BM252" s="39">
        <v>-347971</v>
      </c>
      <c r="BN252" s="2">
        <v>300.07208709999998</v>
      </c>
      <c r="BO252" s="4" t="str">
        <f>IF(AND(Table1[[#This Row],[Z3 SMT2-2 PdMaxres Cost]]=Table1[[#This Row],[ORTools FZN2 Cost]],Table1[[#This Row],[ORTools FZN2 State]]="Optimal"),1,"")</f>
        <v/>
      </c>
      <c r="BP252" s="5" t="s">
        <v>26</v>
      </c>
      <c r="BQ252" s="2">
        <v>9666874</v>
      </c>
      <c r="BR252" s="2">
        <v>300.20619349999998</v>
      </c>
      <c r="BS252" s="2" t="str">
        <f>IF(AND(Table1[[#This Row],[Gurobi MB Cost]]=Table1[[#This Row],[ORTools FZN2 Cost]],Table1[[#This Row],[ORTools FZN2 State]]="Optimal",Table1[[#This Row],[Gurobi MB State]]="Suboptimal"),1,"")</f>
        <v/>
      </c>
      <c r="BT25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2" s="5" t="s">
        <v>42</v>
      </c>
      <c r="BV252" s="2">
        <v>-347971</v>
      </c>
      <c r="BW252" s="2">
        <v>300.24151560000001</v>
      </c>
      <c r="BX252" s="2" t="str">
        <f>IF(AND(Table1[[#This Row],[Gurobi MD Cost]]=Table1[[#This Row],[ORTools FZN2 Cost]],Table1[[#This Row],[ORTools FZN2 State]]="Optimal",Table1[[#This Row],[Gurobi MD State]]="Suboptimal"),1,"")</f>
        <v/>
      </c>
      <c r="BY25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2" s="5" t="s">
        <v>42</v>
      </c>
      <c r="CA252" s="2">
        <v>-347971</v>
      </c>
      <c r="CB252" s="2">
        <v>300.26973220000002</v>
      </c>
      <c r="CC252" s="2" t="str">
        <f>IF(AND(Table1[[#This Row],[Gurobi MI Cost]]=Table1[[#This Row],[ORTools FZN2 Cost]],Table1[[#This Row],[ORTools FZN2 State]]="Optimal",Table1[[#This Row],[Gurobi MI State]]="Suboptimal"),1,"")</f>
        <v/>
      </c>
      <c r="CD25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2" s="39" t="s">
        <v>42</v>
      </c>
      <c r="CF252" s="2">
        <v>-347971</v>
      </c>
      <c r="CG252" s="39">
        <v>306.30023899999998</v>
      </c>
      <c r="CH252" s="39" t="s">
        <v>42</v>
      </c>
      <c r="CI252" s="39">
        <v>-347971</v>
      </c>
      <c r="CJ252" s="2">
        <v>306.223027</v>
      </c>
      <c r="CK252" s="5" t="s">
        <v>26</v>
      </c>
      <c r="CL252" s="2">
        <v>1387400</v>
      </c>
      <c r="CM252" s="2">
        <v>300.01900000000001</v>
      </c>
      <c r="CN252" s="5" t="s">
        <v>26</v>
      </c>
      <c r="CO252" s="2">
        <v>8985005</v>
      </c>
      <c r="CP252" s="2">
        <v>303.32070590000001</v>
      </c>
      <c r="CQ252" s="5" t="s">
        <v>25</v>
      </c>
      <c r="CR252" s="2">
        <v>1387400</v>
      </c>
      <c r="CS252" s="2">
        <v>156.03994839999999</v>
      </c>
      <c r="CT252" s="6" t="s">
        <v>25</v>
      </c>
      <c r="CU252" s="4">
        <v>1387400</v>
      </c>
      <c r="CV252" s="4">
        <v>55.276231299999999</v>
      </c>
      <c r="CW252" s="39" t="s">
        <v>42</v>
      </c>
      <c r="CX252" s="39"/>
      <c r="CY252" s="2">
        <v>300.0247</v>
      </c>
      <c r="CZ252" s="2" t="str">
        <f>IF(AND(Table1[[#This Row],[Cplex MZ1 Cost]]=Table1[[#This Row],[ORTools FZN2 Cost]],Table1[[#This Row],[ORTools FZN2 State]]="Optimal",Table1[[#This Row],[Cplex MZ1 State]]="Suboptimal"),1,"")</f>
        <v/>
      </c>
      <c r="DA252" s="5" t="s">
        <v>42</v>
      </c>
      <c r="DB252" s="2"/>
      <c r="DC252" s="2">
        <v>300.01179999999999</v>
      </c>
      <c r="DD252" s="2" t="str">
        <f>IF(AND(Table1[[#This Row],[Cplex MZ2 Cost]]=Table1[[#This Row],[ORTools FZN2 Cost]],Table1[[#This Row],[ORTools FZN2 State]]="Optimal",Table1[[#This Row],[Cplex MZ2 State]]="Suboptimal"),1,"")</f>
        <v/>
      </c>
      <c r="DE252" s="39" t="s">
        <v>42</v>
      </c>
      <c r="DF252" s="39"/>
      <c r="DG252" s="2">
        <v>300.03660000000002</v>
      </c>
      <c r="DH252" s="2" t="str">
        <f>IF(AND(Table1[[#This Row],[Gurobi MZ1 Cost]]=Table1[[#This Row],[ORTools FZN2 Cost]],Table1[[#This Row],[ORTools FZN2 State]]="Optimal",Table1[[#This Row],[Gurobi MZ1 State]]="Suboptimal"),1,"")</f>
        <v/>
      </c>
      <c r="DI252" s="5" t="s">
        <v>42</v>
      </c>
      <c r="DJ252" s="2"/>
      <c r="DK252" s="2">
        <v>300.46539999999999</v>
      </c>
      <c r="DL252" s="4" t="str">
        <f>IF(AND(Table1[[#This Row],[Gurobi MZ2 Cost]]=Table1[[#This Row],[ORTools FZN2 Cost]],Table1[[#This Row],[ORTools FZN2 State]]="Optimal",Table1[[#This Row],[Gurobi MZ2 State]]="Suboptimal"),1,"")</f>
        <v/>
      </c>
      <c r="DM252" s="39" t="s">
        <v>26</v>
      </c>
      <c r="DN252" s="39">
        <v>1387402</v>
      </c>
      <c r="DO252" s="65">
        <v>300.23899999999702</v>
      </c>
      <c r="DP252" s="4" t="str">
        <f>IF(AND(Table1[[#This Row],[Cplex MC nonDual Cost]]=Table1[[#This Row],[ORTools FZN2 Cost]],Table1[[#This Row],[ORTools FZN2 State]]="Optimal",Table1[[#This Row],[Cplex MC nonDual State]]="Suboptimal"),1,"")</f>
        <v/>
      </c>
      <c r="DQ252" s="5" t="s">
        <v>26</v>
      </c>
      <c r="DR252" s="2">
        <v>7233465</v>
      </c>
      <c r="DS252" s="2">
        <v>300.03660000000002</v>
      </c>
      <c r="DT252" s="2" t="str">
        <f>IF(AND(Table1[[#This Row],[Cplex MIP DM''z Cost]]=Table1[[#This Row],[ORTools FZN2 Cost]],Table1[[#This Row],[ORTools FZN2 State]]="Optimal",Table1[[#This Row],[Cplex MIP DM''z  State]]="Suboptimal"),1,"")</f>
        <v/>
      </c>
      <c r="DU25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2" s="5" t="s">
        <v>42</v>
      </c>
      <c r="DW252" s="2"/>
      <c r="DX252" s="2">
        <v>300.01190000000003</v>
      </c>
      <c r="DY252" s="4" t="str">
        <f>IF(AND(Table1[[#This Row],[Gurobi DM''z  Cost]]=Table1[[#This Row],[ORTools FZN2 Cost]],Table1[[#This Row],[ORTools FZN2 State]]="Optimal",Table1[[#This Row],[Gurobi DM''z  State]]="Suboptimal"),1,"")</f>
        <v/>
      </c>
      <c r="DZ25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3" spans="1:130" ht="15.75" x14ac:dyDescent="0.25">
      <c r="A253" s="47" t="s">
        <v>279</v>
      </c>
      <c r="B253" s="5">
        <v>70</v>
      </c>
      <c r="C253" s="2">
        <v>35</v>
      </c>
      <c r="D253" s="5">
        <v>545</v>
      </c>
      <c r="E253" s="2">
        <v>50</v>
      </c>
      <c r="F253" s="5">
        <v>116</v>
      </c>
      <c r="G253" s="2">
        <v>0</v>
      </c>
      <c r="H253" s="4">
        <f t="shared" si="3"/>
        <v>0</v>
      </c>
      <c r="I253" s="4">
        <f>Table1[[#This Row],[B]]+Table1[[#This Row],[Atomic Constraints]]+Table1[[#This Row],[Soft Atomic Constraints]]+Table1[[#This Row],[Disjunctive Constraints]]+Table1[[#This Row],[Direct Successors]]</f>
        <v>746</v>
      </c>
      <c r="J253" s="5" t="s">
        <v>26</v>
      </c>
      <c r="K253" s="2">
        <v>11764360</v>
      </c>
      <c r="L253" s="2">
        <v>303.79725880000001</v>
      </c>
      <c r="M253" s="2" t="str">
        <f>IF(AND(Table1[[#This Row],[Chuffed MZ1 Cost]]=Table1[[#This Row],[ORTools FZN2 Cost]],Table1[[#This Row],[ORTools FZN2 State]]="Optimal",Table1[[#This Row],[Chuffed MZ1 State]]="Suboptimal"),1,"")</f>
        <v/>
      </c>
      <c r="N253" s="5" t="s">
        <v>26</v>
      </c>
      <c r="O253" s="2">
        <v>11415351</v>
      </c>
      <c r="P253" s="2">
        <v>303.35843749999998</v>
      </c>
      <c r="Q253" s="2" t="str">
        <f>IF(AND(Table1[[#This Row],[Chuffed MZ2 Cost]]=Table1[[#This Row],[ORTools FZN2 Cost]],Table1[[#This Row],[ORTools FZN2 State]]="Optimal",Table1[[#This Row],[Chuffed MZ2 State]]="Suboptimal"),1,"")</f>
        <v/>
      </c>
      <c r="R253" s="6" t="s">
        <v>26</v>
      </c>
      <c r="S253" s="4">
        <v>1387412</v>
      </c>
      <c r="T253" s="4">
        <v>300.178</v>
      </c>
      <c r="U253" s="4"/>
      <c r="V253" s="5" t="s">
        <v>25</v>
      </c>
      <c r="W253" s="2">
        <v>1387400</v>
      </c>
      <c r="X253" s="2">
        <v>110.5405042</v>
      </c>
      <c r="Y253" s="2" t="str">
        <f>IF(AND(Table1[[#This Row],[ORTools FZN1 Cost]]=Table1[[#This Row],[ORTools FZN2 Cost]],Table1[[#This Row],[ORTools FZN2 State]]="Optimal",Table1[[#This Row],[ORTools FZN1 State]]="Suboptimal"),1,"")</f>
        <v/>
      </c>
      <c r="Z253" s="5" t="s">
        <v>25</v>
      </c>
      <c r="AA253" s="2">
        <v>1387400</v>
      </c>
      <c r="AB253" s="2">
        <v>104.95653900000001</v>
      </c>
      <c r="AC253" s="39" t="s">
        <v>42</v>
      </c>
      <c r="AD253" s="39">
        <v>-347971</v>
      </c>
      <c r="AE253" s="2">
        <v>300.18525649999998</v>
      </c>
      <c r="AF253" s="2" t="str">
        <f>IF(AND(Table1[[#This Row],[Cplex MB Cost]]=Table1[[#This Row],[ORTools FZN2 Cost]],Table1[[#This Row],[ORTools FZN2 State]]="Optimal",Table1[[#This Row],[Cplex MB State]]="Suboptimal"),1,"")</f>
        <v/>
      </c>
      <c r="AG253" s="4">
        <f>IF(AND(AC253="Optimal",AD253&lt;&gt;AA253,Table1[[#This Row],[Example]]&lt;&gt;"R001",Table1[[#This Row],[Example]]&lt;&gt;"R002"),AD253-AA253,)</f>
        <v>0</v>
      </c>
      <c r="AH253" s="5" t="s">
        <v>42</v>
      </c>
      <c r="AI253" s="2">
        <v>-347971</v>
      </c>
      <c r="AJ253" s="2">
        <v>300.34088059999999</v>
      </c>
      <c r="AK253" s="2" t="str">
        <f>IF(AND(Table1[[#This Row],[Cplex MD Cost]]=Table1[[#This Row],[ORTools FZN2 Cost]],Table1[[#This Row],[ORTools FZN2 State]]="Optimal",Table1[[#This Row],[Cplex MD State]]="Suboptimal"),1,"")</f>
        <v/>
      </c>
      <c r="AL253" s="4">
        <f>IF(AND(AH253="Optimal",AI253&lt;&gt;AA253,Table1[[#This Row],[Example]]&lt;&gt;"R001",Table1[[#This Row],[Example]]&lt;&gt;"R002"),AI253-AA253,)</f>
        <v>0</v>
      </c>
      <c r="AM253" s="39" t="s">
        <v>26</v>
      </c>
      <c r="AN253" s="39">
        <v>10342015</v>
      </c>
      <c r="AO253" s="2">
        <v>300.13198319999998</v>
      </c>
      <c r="AP253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3" s="4" t="str">
        <f>IF(AND(Table1[[#This Row],[Cplex MI Cost]]=Table1[[#This Row],[ORTools FZN2 Cost]],Table1[[#This Row],[ORTools FZN2 State]]="Optimal",Table1[[#This Row],[Cplex MI State]]="Suboptimal"),1,"")</f>
        <v/>
      </c>
      <c r="AR253" s="5" t="s">
        <v>42</v>
      </c>
      <c r="AS253" s="2">
        <v>-347971</v>
      </c>
      <c r="AT253" s="2">
        <v>300.06933720000001</v>
      </c>
      <c r="AU253" s="2" t="str">
        <f>IF(AND(Table1[[#This Row],[Z3 SMT2-1 Maxres Cost]]=Table1[[#This Row],[ORTools FZN2 Cost]],Table1[[#This Row],[ORTools FZN2 State]]="Optimal"),1,"")</f>
        <v/>
      </c>
      <c r="AV253" s="39" t="s">
        <v>42</v>
      </c>
      <c r="AW253" s="39">
        <v>-347971</v>
      </c>
      <c r="AX253" s="2">
        <v>300.07113709999999</v>
      </c>
      <c r="AY253" s="2" t="str">
        <f>IF(AND(Table1[[#This Row],[Z3 SMT2-1 PdMaxres Cost]]=Table1[[#This Row],[ORTools FZN2 Cost]],Table1[[#This Row],[ORTools FZN2 State]]="Optimal"),1,"")</f>
        <v/>
      </c>
      <c r="AZ253" s="5" t="s">
        <v>42</v>
      </c>
      <c r="BA253" s="2">
        <v>-347971</v>
      </c>
      <c r="BB253" s="39">
        <v>300.0828965</v>
      </c>
      <c r="BC253" s="39" t="str">
        <f>IF(AND(Table1[[#This Row],[Z3 SMT2-1 WMax Cost]]=Table1[[#This Row],[ORTools FZN2 Cost]],Table1[[#This Row],[ORTools FZN2 State]]="Optimal"),1,"")</f>
        <v/>
      </c>
      <c r="BD253" s="39" t="s">
        <v>42</v>
      </c>
      <c r="BE253" s="39">
        <v>-347971</v>
      </c>
      <c r="BF253" s="2">
        <v>300.07483869999999</v>
      </c>
      <c r="BG253" s="2" t="str">
        <f>IF(AND(Table1[[#This Row],[Z3 SMT2-2 Maxres Cost]]=Table1[[#This Row],[ORTools FZN2 Cost]],Table1[[#This Row],[ORTools FZN2 State]]="Optimal"),1,"")</f>
        <v/>
      </c>
      <c r="BH253" s="5" t="s">
        <v>42</v>
      </c>
      <c r="BI253" s="2">
        <v>-347971</v>
      </c>
      <c r="BJ253" s="39">
        <v>300.07261210000001</v>
      </c>
      <c r="BK253" s="39" t="str">
        <f>IF(AND(Table1[[#This Row],[Z3 SMT2-2 PdMaxres Cost]]=Table1[[#This Row],[ORTools FZN2 Cost]],Table1[[#This Row],[ORTools FZN2 State]]="Optimal"),1,"")</f>
        <v/>
      </c>
      <c r="BL253" s="39" t="s">
        <v>42</v>
      </c>
      <c r="BM253" s="39">
        <v>-347971</v>
      </c>
      <c r="BN253" s="2">
        <v>300.07421900000003</v>
      </c>
      <c r="BO253" s="4" t="str">
        <f>IF(AND(Table1[[#This Row],[Z3 SMT2-2 PdMaxres Cost]]=Table1[[#This Row],[ORTools FZN2 Cost]],Table1[[#This Row],[ORTools FZN2 State]]="Optimal"),1,"")</f>
        <v/>
      </c>
      <c r="BP253" s="5" t="s">
        <v>26</v>
      </c>
      <c r="BQ253" s="2">
        <v>9666874</v>
      </c>
      <c r="BR253" s="2">
        <v>300.1445908</v>
      </c>
      <c r="BS253" s="2" t="str">
        <f>IF(AND(Table1[[#This Row],[Gurobi MB Cost]]=Table1[[#This Row],[ORTools FZN2 Cost]],Table1[[#This Row],[ORTools FZN2 State]]="Optimal",Table1[[#This Row],[Gurobi MB State]]="Suboptimal"),1,"")</f>
        <v/>
      </c>
      <c r="BT25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3" s="5" t="s">
        <v>42</v>
      </c>
      <c r="BV253" s="2">
        <v>-347971</v>
      </c>
      <c r="BW253" s="2">
        <v>300.13954719999998</v>
      </c>
      <c r="BX253" s="2" t="str">
        <f>IF(AND(Table1[[#This Row],[Gurobi MD Cost]]=Table1[[#This Row],[ORTools FZN2 Cost]],Table1[[#This Row],[ORTools FZN2 State]]="Optimal",Table1[[#This Row],[Gurobi MD State]]="Suboptimal"),1,"")</f>
        <v/>
      </c>
      <c r="BY25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3" s="5" t="s">
        <v>42</v>
      </c>
      <c r="CA253" s="2">
        <v>-347971</v>
      </c>
      <c r="CB253" s="2">
        <v>300.16085770000001</v>
      </c>
      <c r="CC253" s="2" t="str">
        <f>IF(AND(Table1[[#This Row],[Gurobi MI Cost]]=Table1[[#This Row],[ORTools FZN2 Cost]],Table1[[#This Row],[ORTools FZN2 State]]="Optimal",Table1[[#This Row],[Gurobi MI State]]="Suboptimal"),1,"")</f>
        <v/>
      </c>
      <c r="CD25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3" s="39" t="s">
        <v>42</v>
      </c>
      <c r="CF253" s="2">
        <v>-347971</v>
      </c>
      <c r="CG253" s="39">
        <v>306.15833709999998</v>
      </c>
      <c r="CH253" s="39" t="s">
        <v>42</v>
      </c>
      <c r="CI253" s="39">
        <v>-347971</v>
      </c>
      <c r="CJ253" s="2">
        <v>306.15283419999997</v>
      </c>
      <c r="CK253" s="5" t="s">
        <v>26</v>
      </c>
      <c r="CL253" s="2">
        <v>1387400</v>
      </c>
      <c r="CM253" s="2">
        <v>300.25399999999701</v>
      </c>
      <c r="CN253" s="5" t="s">
        <v>26</v>
      </c>
      <c r="CO253" s="2">
        <v>8647618</v>
      </c>
      <c r="CP253" s="2">
        <v>303.3098099</v>
      </c>
      <c r="CQ253" s="5" t="s">
        <v>25</v>
      </c>
      <c r="CR253" s="2">
        <v>1387400</v>
      </c>
      <c r="CS253" s="2">
        <v>112.57966709999999</v>
      </c>
      <c r="CT253" s="6" t="s">
        <v>25</v>
      </c>
      <c r="CU253" s="4">
        <v>1387400</v>
      </c>
      <c r="CV253" s="4">
        <v>56.183970899999998</v>
      </c>
      <c r="CW253" s="39" t="s">
        <v>42</v>
      </c>
      <c r="CX253" s="39"/>
      <c r="CY253" s="2">
        <v>300.01459999999997</v>
      </c>
      <c r="CZ253" s="2" t="str">
        <f>IF(AND(Table1[[#This Row],[Cplex MZ1 Cost]]=Table1[[#This Row],[ORTools FZN2 Cost]],Table1[[#This Row],[ORTools FZN2 State]]="Optimal",Table1[[#This Row],[Cplex MZ1 State]]="Suboptimal"),1,"")</f>
        <v/>
      </c>
      <c r="DA253" s="5" t="s">
        <v>42</v>
      </c>
      <c r="DB253" s="2"/>
      <c r="DC253" s="2">
        <v>300.00970000000001</v>
      </c>
      <c r="DD253" s="2" t="str">
        <f>IF(AND(Table1[[#This Row],[Cplex MZ2 Cost]]=Table1[[#This Row],[ORTools FZN2 Cost]],Table1[[#This Row],[ORTools FZN2 State]]="Optimal",Table1[[#This Row],[Cplex MZ2 State]]="Suboptimal"),1,"")</f>
        <v/>
      </c>
      <c r="DE253" s="39" t="s">
        <v>42</v>
      </c>
      <c r="DF253" s="39"/>
      <c r="DG253" s="2">
        <v>300.0136</v>
      </c>
      <c r="DH253" s="2" t="str">
        <f>IF(AND(Table1[[#This Row],[Gurobi MZ1 Cost]]=Table1[[#This Row],[ORTools FZN2 Cost]],Table1[[#This Row],[ORTools FZN2 State]]="Optimal",Table1[[#This Row],[Gurobi MZ1 State]]="Suboptimal"),1,"")</f>
        <v/>
      </c>
      <c r="DI253" s="5" t="s">
        <v>42</v>
      </c>
      <c r="DJ253" s="2"/>
      <c r="DK253" s="2">
        <v>300.21980000000002</v>
      </c>
      <c r="DL253" s="4" t="str">
        <f>IF(AND(Table1[[#This Row],[Gurobi MZ2 Cost]]=Table1[[#This Row],[ORTools FZN2 Cost]],Table1[[#This Row],[ORTools FZN2 State]]="Optimal",Table1[[#This Row],[Gurobi MZ2 State]]="Suboptimal"),1,"")</f>
        <v/>
      </c>
      <c r="DM253" s="39" t="s">
        <v>26</v>
      </c>
      <c r="DN253" s="39">
        <v>1387402</v>
      </c>
      <c r="DO253" s="65">
        <v>300.23599999999698</v>
      </c>
      <c r="DP253" s="4" t="str">
        <f>IF(AND(Table1[[#This Row],[Cplex MC nonDual Cost]]=Table1[[#This Row],[ORTools FZN2 Cost]],Table1[[#This Row],[ORTools FZN2 State]]="Optimal",Table1[[#This Row],[Cplex MC nonDual State]]="Suboptimal"),1,"")</f>
        <v/>
      </c>
      <c r="DQ253" s="5" t="s">
        <v>42</v>
      </c>
      <c r="DR253" s="2"/>
      <c r="DS253" s="2">
        <v>300.0643</v>
      </c>
      <c r="DT253" s="2" t="str">
        <f>IF(AND(Table1[[#This Row],[Cplex MIP DM''z Cost]]=Table1[[#This Row],[ORTools FZN2 Cost]],Table1[[#This Row],[ORTools FZN2 State]]="Optimal",Table1[[#This Row],[Cplex MIP DM''z  State]]="Suboptimal"),1,"")</f>
        <v/>
      </c>
      <c r="DU25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3" s="5" t="s">
        <v>42</v>
      </c>
      <c r="DW253" s="2"/>
      <c r="DX253" s="2">
        <v>300.01569999999998</v>
      </c>
      <c r="DY253" s="4" t="str">
        <f>IF(AND(Table1[[#This Row],[Gurobi DM''z  Cost]]=Table1[[#This Row],[ORTools FZN2 Cost]],Table1[[#This Row],[ORTools FZN2 State]]="Optimal",Table1[[#This Row],[Gurobi DM''z  State]]="Suboptimal"),1,"")</f>
        <v/>
      </c>
      <c r="DZ25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4" spans="1:130" ht="15.75" x14ac:dyDescent="0.25">
      <c r="A254" s="46" t="s">
        <v>280</v>
      </c>
      <c r="B254" s="5">
        <v>70</v>
      </c>
      <c r="C254" s="2">
        <v>35</v>
      </c>
      <c r="D254" s="5">
        <v>514</v>
      </c>
      <c r="E254" s="2">
        <v>49</v>
      </c>
      <c r="F254" s="5">
        <v>116</v>
      </c>
      <c r="G254" s="2">
        <v>0</v>
      </c>
      <c r="H254" s="4">
        <f t="shared" si="3"/>
        <v>0</v>
      </c>
      <c r="I254" s="4">
        <f>Table1[[#This Row],[B]]+Table1[[#This Row],[Atomic Constraints]]+Table1[[#This Row],[Soft Atomic Constraints]]+Table1[[#This Row],[Disjunctive Constraints]]+Table1[[#This Row],[Direct Successors]]</f>
        <v>714</v>
      </c>
      <c r="J254" s="5" t="s">
        <v>26</v>
      </c>
      <c r="K254" s="2">
        <v>11112025</v>
      </c>
      <c r="L254" s="2">
        <v>305.29786330000002</v>
      </c>
      <c r="M254" s="2" t="str">
        <f>IF(AND(Table1[[#This Row],[Chuffed MZ1 Cost]]=Table1[[#This Row],[ORTools FZN2 Cost]],Table1[[#This Row],[ORTools FZN2 State]]="Optimal",Table1[[#This Row],[Chuffed MZ1 State]]="Suboptimal"),1,"")</f>
        <v/>
      </c>
      <c r="N254" s="5" t="s">
        <v>26</v>
      </c>
      <c r="O254" s="2">
        <v>11410174</v>
      </c>
      <c r="P254" s="2">
        <v>303.31908809999999</v>
      </c>
      <c r="Q254" s="2" t="str">
        <f>IF(AND(Table1[[#This Row],[Chuffed MZ2 Cost]]=Table1[[#This Row],[ORTools FZN2 Cost]],Table1[[#This Row],[ORTools FZN2 State]]="Optimal",Table1[[#This Row],[Chuffed MZ2 State]]="Suboptimal"),1,"")</f>
        <v/>
      </c>
      <c r="R254" s="11" t="s">
        <v>26</v>
      </c>
      <c r="S254" s="11">
        <v>1387400</v>
      </c>
      <c r="T254" s="11">
        <v>300.21799999999701</v>
      </c>
      <c r="U254" s="11">
        <v>1</v>
      </c>
      <c r="V254" s="5" t="s">
        <v>25</v>
      </c>
      <c r="W254" s="2">
        <v>1387400</v>
      </c>
      <c r="X254" s="2">
        <v>110.6069741</v>
      </c>
      <c r="Y254" s="2" t="str">
        <f>IF(AND(Table1[[#This Row],[ORTools FZN1 Cost]]=Table1[[#This Row],[ORTools FZN2 Cost]],Table1[[#This Row],[ORTools FZN2 State]]="Optimal",Table1[[#This Row],[ORTools FZN1 State]]="Suboptimal"),1,"")</f>
        <v/>
      </c>
      <c r="Z254" s="5" t="s">
        <v>25</v>
      </c>
      <c r="AA254" s="2">
        <v>1387400</v>
      </c>
      <c r="AB254" s="2">
        <v>114.05052670000001</v>
      </c>
      <c r="AC254" s="39" t="s">
        <v>42</v>
      </c>
      <c r="AD254" s="39">
        <v>-347971</v>
      </c>
      <c r="AE254" s="2">
        <v>300.1821162</v>
      </c>
      <c r="AF254" s="2" t="str">
        <f>IF(AND(Table1[[#This Row],[Cplex MB Cost]]=Table1[[#This Row],[ORTools FZN2 Cost]],Table1[[#This Row],[ORTools FZN2 State]]="Optimal",Table1[[#This Row],[Cplex MB State]]="Suboptimal"),1,"")</f>
        <v/>
      </c>
      <c r="AG254" s="4">
        <f>IF(AND(AC254="Optimal",AD254&lt;&gt;AA254,Table1[[#This Row],[Example]]&lt;&gt;"R001",Table1[[#This Row],[Example]]&lt;&gt;"R002"),AD254-AA254,)</f>
        <v>0</v>
      </c>
      <c r="AH254" s="5" t="s">
        <v>42</v>
      </c>
      <c r="AI254" s="2">
        <v>-347971</v>
      </c>
      <c r="AJ254" s="2">
        <v>300.41765090000001</v>
      </c>
      <c r="AK254" s="2" t="str">
        <f>IF(AND(Table1[[#This Row],[Cplex MD Cost]]=Table1[[#This Row],[ORTools FZN2 Cost]],Table1[[#This Row],[ORTools FZN2 State]]="Optimal",Table1[[#This Row],[Cplex MD State]]="Suboptimal"),1,"")</f>
        <v/>
      </c>
      <c r="AL254" s="4">
        <f>IF(AND(AH254="Optimal",AI254&lt;&gt;AA254,Table1[[#This Row],[Example]]&lt;&gt;"R001",Table1[[#This Row],[Example]]&lt;&gt;"R002"),AI254-AA254,)</f>
        <v>0</v>
      </c>
      <c r="AM254" s="39" t="s">
        <v>42</v>
      </c>
      <c r="AN254" s="39">
        <v>-347971</v>
      </c>
      <c r="AO254" s="2">
        <v>300.2636048</v>
      </c>
      <c r="AP25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4" s="4" t="str">
        <f>IF(AND(Table1[[#This Row],[Cplex MI Cost]]=Table1[[#This Row],[ORTools FZN2 Cost]],Table1[[#This Row],[ORTools FZN2 State]]="Optimal",Table1[[#This Row],[Cplex MI State]]="Suboptimal"),1,"")</f>
        <v/>
      </c>
      <c r="AR254" s="5" t="s">
        <v>42</v>
      </c>
      <c r="AS254" s="2">
        <v>-347971</v>
      </c>
      <c r="AT254" s="2">
        <v>300.0776333</v>
      </c>
      <c r="AU254" s="2" t="str">
        <f>IF(AND(Table1[[#This Row],[Z3 SMT2-1 Maxres Cost]]=Table1[[#This Row],[ORTools FZN2 Cost]],Table1[[#This Row],[ORTools FZN2 State]]="Optimal"),1,"")</f>
        <v/>
      </c>
      <c r="AV254" s="39" t="s">
        <v>42</v>
      </c>
      <c r="AW254" s="39">
        <v>-347971</v>
      </c>
      <c r="AX254" s="2">
        <v>300.07473720000002</v>
      </c>
      <c r="AY254" s="2" t="str">
        <f>IF(AND(Table1[[#This Row],[Z3 SMT2-1 PdMaxres Cost]]=Table1[[#This Row],[ORTools FZN2 Cost]],Table1[[#This Row],[ORTools FZN2 State]]="Optimal"),1,"")</f>
        <v/>
      </c>
      <c r="AZ254" s="5" t="s">
        <v>42</v>
      </c>
      <c r="BA254" s="2">
        <v>-347971</v>
      </c>
      <c r="BB254" s="39">
        <v>300.0754632</v>
      </c>
      <c r="BC254" s="39" t="str">
        <f>IF(AND(Table1[[#This Row],[Z3 SMT2-1 WMax Cost]]=Table1[[#This Row],[ORTools FZN2 Cost]],Table1[[#This Row],[ORTools FZN2 State]]="Optimal"),1,"")</f>
        <v/>
      </c>
      <c r="BD254" s="39" t="s">
        <v>42</v>
      </c>
      <c r="BE254" s="39">
        <v>-347971</v>
      </c>
      <c r="BF254" s="2">
        <v>300.065133</v>
      </c>
      <c r="BG254" s="2" t="str">
        <f>IF(AND(Table1[[#This Row],[Z3 SMT2-2 Maxres Cost]]=Table1[[#This Row],[ORTools FZN2 Cost]],Table1[[#This Row],[ORTools FZN2 State]]="Optimal"),1,"")</f>
        <v/>
      </c>
      <c r="BH254" s="5" t="s">
        <v>42</v>
      </c>
      <c r="BI254" s="2">
        <v>-347971</v>
      </c>
      <c r="BJ254" s="39">
        <v>300.06719629999998</v>
      </c>
      <c r="BK254" s="39" t="str">
        <f>IF(AND(Table1[[#This Row],[Z3 SMT2-2 PdMaxres Cost]]=Table1[[#This Row],[ORTools FZN2 Cost]],Table1[[#This Row],[ORTools FZN2 State]]="Optimal"),1,"")</f>
        <v/>
      </c>
      <c r="BL254" s="39" t="s">
        <v>42</v>
      </c>
      <c r="BM254" s="39">
        <v>-347971</v>
      </c>
      <c r="BN254" s="2">
        <v>300.07612940000001</v>
      </c>
      <c r="BO254" s="4" t="str">
        <f>IF(AND(Table1[[#This Row],[Z3 SMT2-2 PdMaxres Cost]]=Table1[[#This Row],[ORTools FZN2 Cost]],Table1[[#This Row],[ORTools FZN2 State]]="Optimal"),1,"")</f>
        <v/>
      </c>
      <c r="BP254" s="5" t="s">
        <v>42</v>
      </c>
      <c r="BQ254" s="2">
        <v>-347971</v>
      </c>
      <c r="BR254" s="2">
        <v>300.17048970000002</v>
      </c>
      <c r="BS254" s="2" t="str">
        <f>IF(AND(Table1[[#This Row],[Gurobi MB Cost]]=Table1[[#This Row],[ORTools FZN2 Cost]],Table1[[#This Row],[ORTools FZN2 State]]="Optimal",Table1[[#This Row],[Gurobi MB State]]="Suboptimal"),1,"")</f>
        <v/>
      </c>
      <c r="BT25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4" s="5" t="s">
        <v>42</v>
      </c>
      <c r="BV254" s="2">
        <v>-347971</v>
      </c>
      <c r="BW254" s="2">
        <v>300.17556880000001</v>
      </c>
      <c r="BX254" s="2" t="str">
        <f>IF(AND(Table1[[#This Row],[Gurobi MD Cost]]=Table1[[#This Row],[ORTools FZN2 Cost]],Table1[[#This Row],[ORTools FZN2 State]]="Optimal",Table1[[#This Row],[Gurobi MD State]]="Suboptimal"),1,"")</f>
        <v/>
      </c>
      <c r="BY25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4" s="5" t="s">
        <v>42</v>
      </c>
      <c r="CA254" s="2">
        <v>-347971</v>
      </c>
      <c r="CB254" s="2">
        <v>300.1850604</v>
      </c>
      <c r="CC254" s="2" t="str">
        <f>IF(AND(Table1[[#This Row],[Gurobi MI Cost]]=Table1[[#This Row],[ORTools FZN2 Cost]],Table1[[#This Row],[ORTools FZN2 State]]="Optimal",Table1[[#This Row],[Gurobi MI State]]="Suboptimal"),1,"")</f>
        <v/>
      </c>
      <c r="CD25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4" s="39" t="s">
        <v>42</v>
      </c>
      <c r="CF254" s="2">
        <v>-347971</v>
      </c>
      <c r="CG254" s="39">
        <v>306.26389410000002</v>
      </c>
      <c r="CH254" s="39" t="s">
        <v>42</v>
      </c>
      <c r="CI254" s="39">
        <v>-347971</v>
      </c>
      <c r="CJ254" s="2">
        <v>306.29882450000002</v>
      </c>
      <c r="CK254" s="5" t="s">
        <v>26</v>
      </c>
      <c r="CL254" s="2">
        <v>1387402</v>
      </c>
      <c r="CM254" s="2">
        <v>300.25500000000102</v>
      </c>
      <c r="CN254" s="5" t="s">
        <v>26</v>
      </c>
      <c r="CO254" s="2">
        <v>11062200</v>
      </c>
      <c r="CP254" s="2">
        <v>303.29199369999998</v>
      </c>
      <c r="CQ254" s="5" t="s">
        <v>25</v>
      </c>
      <c r="CR254" s="2">
        <v>1387400</v>
      </c>
      <c r="CS254" s="2">
        <v>165.5773648</v>
      </c>
      <c r="CT254" s="6" t="s">
        <v>25</v>
      </c>
      <c r="CU254" s="4">
        <v>1387400</v>
      </c>
      <c r="CV254" s="4">
        <v>58.149591000000001</v>
      </c>
      <c r="CW254" s="39" t="s">
        <v>42</v>
      </c>
      <c r="CX254" s="39"/>
      <c r="CY254" s="2">
        <v>300.01249999999999</v>
      </c>
      <c r="CZ254" s="2" t="str">
        <f>IF(AND(Table1[[#This Row],[Cplex MZ1 Cost]]=Table1[[#This Row],[ORTools FZN2 Cost]],Table1[[#This Row],[ORTools FZN2 State]]="Optimal",Table1[[#This Row],[Cplex MZ1 State]]="Suboptimal"),1,"")</f>
        <v/>
      </c>
      <c r="DA254" s="5" t="s">
        <v>42</v>
      </c>
      <c r="DB254" s="2"/>
      <c r="DC254" s="2">
        <v>300.01440000000002</v>
      </c>
      <c r="DD254" s="2" t="str">
        <f>IF(AND(Table1[[#This Row],[Cplex MZ2 Cost]]=Table1[[#This Row],[ORTools FZN2 Cost]],Table1[[#This Row],[ORTools FZN2 State]]="Optimal",Table1[[#This Row],[Cplex MZ2 State]]="Suboptimal"),1,"")</f>
        <v/>
      </c>
      <c r="DE254" s="39" t="s">
        <v>42</v>
      </c>
      <c r="DF254" s="39"/>
      <c r="DG254" s="2">
        <v>300.03820000000002</v>
      </c>
      <c r="DH254" s="2" t="str">
        <f>IF(AND(Table1[[#This Row],[Gurobi MZ1 Cost]]=Table1[[#This Row],[ORTools FZN2 Cost]],Table1[[#This Row],[ORTools FZN2 State]]="Optimal",Table1[[#This Row],[Gurobi MZ1 State]]="Suboptimal"),1,"")</f>
        <v/>
      </c>
      <c r="DI254" s="5" t="s">
        <v>42</v>
      </c>
      <c r="DJ254" s="2"/>
      <c r="DK254" s="2">
        <v>300.0093</v>
      </c>
      <c r="DL254" s="4" t="str">
        <f>IF(AND(Table1[[#This Row],[Gurobi MZ2 Cost]]=Table1[[#This Row],[ORTools FZN2 Cost]],Table1[[#This Row],[ORTools FZN2 State]]="Optimal",Table1[[#This Row],[Gurobi MZ2 State]]="Suboptimal"),1,"")</f>
        <v/>
      </c>
      <c r="DM254" s="39" t="s">
        <v>26</v>
      </c>
      <c r="DN254" s="12">
        <v>1387400</v>
      </c>
      <c r="DO254" s="69">
        <v>300.22000000000099</v>
      </c>
      <c r="DP254" s="11">
        <f>IF(AND(Table1[[#This Row],[Cplex MC nonDual Cost]]=Table1[[#This Row],[ORTools FZN2 Cost]],Table1[[#This Row],[ORTools FZN2 State]]="Optimal",Table1[[#This Row],[Cplex MC nonDual State]]="Suboptimal"),1,"")</f>
        <v>1</v>
      </c>
      <c r="DQ254" s="5" t="s">
        <v>26</v>
      </c>
      <c r="DR254" s="2">
        <v>8615749</v>
      </c>
      <c r="DS254" s="2">
        <v>300.02409999999998</v>
      </c>
      <c r="DT254" s="2" t="str">
        <f>IF(AND(Table1[[#This Row],[Cplex MIP DM''z Cost]]=Table1[[#This Row],[ORTools FZN2 Cost]],Table1[[#This Row],[ORTools FZN2 State]]="Optimal",Table1[[#This Row],[Cplex MIP DM''z  State]]="Suboptimal"),1,"")</f>
        <v/>
      </c>
      <c r="DU25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4" s="5" t="s">
        <v>42</v>
      </c>
      <c r="DW254" s="2"/>
      <c r="DX254" s="2">
        <v>300.01600000000002</v>
      </c>
      <c r="DY254" s="4" t="str">
        <f>IF(AND(Table1[[#This Row],[Gurobi DM''z  Cost]]=Table1[[#This Row],[ORTools FZN2 Cost]],Table1[[#This Row],[ORTools FZN2 State]]="Optimal",Table1[[#This Row],[Gurobi DM''z  State]]="Suboptimal"),1,"")</f>
        <v/>
      </c>
      <c r="DZ25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5" spans="1:130" ht="15.75" x14ac:dyDescent="0.25">
      <c r="A255" s="47" t="s">
        <v>281</v>
      </c>
      <c r="B255" s="5">
        <v>70</v>
      </c>
      <c r="C255" s="2">
        <v>35</v>
      </c>
      <c r="D255" s="5">
        <v>507</v>
      </c>
      <c r="E255" s="2">
        <v>53</v>
      </c>
      <c r="F255" s="5">
        <v>122</v>
      </c>
      <c r="G255" s="2">
        <v>0</v>
      </c>
      <c r="H255" s="4">
        <f t="shared" si="3"/>
        <v>0</v>
      </c>
      <c r="I255" s="4">
        <f>Table1[[#This Row],[B]]+Table1[[#This Row],[Atomic Constraints]]+Table1[[#This Row],[Soft Atomic Constraints]]+Table1[[#This Row],[Disjunctive Constraints]]+Table1[[#This Row],[Direct Successors]]</f>
        <v>717</v>
      </c>
      <c r="J255" s="5" t="s">
        <v>26</v>
      </c>
      <c r="K255" s="2">
        <v>8293972</v>
      </c>
      <c r="L255" s="2">
        <v>303.44487340000001</v>
      </c>
      <c r="M255" s="2" t="str">
        <f>IF(AND(Table1[[#This Row],[Chuffed MZ1 Cost]]=Table1[[#This Row],[ORTools FZN2 Cost]],Table1[[#This Row],[ORTools FZN2 State]]="Optimal",Table1[[#This Row],[Chuffed MZ1 State]]="Suboptimal"),1,"")</f>
        <v/>
      </c>
      <c r="N255" s="5" t="s">
        <v>26</v>
      </c>
      <c r="O255" s="2">
        <v>9647220</v>
      </c>
      <c r="P255" s="2">
        <v>303.43370979999997</v>
      </c>
      <c r="Q255" s="2" t="str">
        <f>IF(AND(Table1[[#This Row],[Chuffed MZ2 Cost]]=Table1[[#This Row],[ORTools FZN2 Cost]],Table1[[#This Row],[ORTools FZN2 State]]="Optimal",Table1[[#This Row],[Chuffed MZ2 State]]="Suboptimal"),1,"")</f>
        <v/>
      </c>
      <c r="R255" s="6" t="s">
        <v>26</v>
      </c>
      <c r="S255" s="4">
        <v>11</v>
      </c>
      <c r="T255" s="4">
        <v>300.14700000000101</v>
      </c>
      <c r="U255" s="4"/>
      <c r="V255" s="5" t="s">
        <v>25</v>
      </c>
      <c r="W255" s="2">
        <v>11</v>
      </c>
      <c r="X255" s="2">
        <v>94.618876099999994</v>
      </c>
      <c r="Y255" s="2" t="str">
        <f>IF(AND(Table1[[#This Row],[ORTools FZN1 Cost]]=Table1[[#This Row],[ORTools FZN2 Cost]],Table1[[#This Row],[ORTools FZN2 State]]="Optimal",Table1[[#This Row],[ORTools FZN1 State]]="Suboptimal"),1,"")</f>
        <v/>
      </c>
      <c r="Z255" s="5" t="s">
        <v>25</v>
      </c>
      <c r="AA255" s="2">
        <v>11</v>
      </c>
      <c r="AB255" s="2">
        <v>123.62686239999999</v>
      </c>
      <c r="AC255" s="39" t="s">
        <v>42</v>
      </c>
      <c r="AD255" s="39">
        <v>-347971</v>
      </c>
      <c r="AE255" s="2">
        <v>300.17277530000001</v>
      </c>
      <c r="AF255" s="2" t="str">
        <f>IF(AND(Table1[[#This Row],[Cplex MB Cost]]=Table1[[#This Row],[ORTools FZN2 Cost]],Table1[[#This Row],[ORTools FZN2 State]]="Optimal",Table1[[#This Row],[Cplex MB State]]="Suboptimal"),1,"")</f>
        <v/>
      </c>
      <c r="AG255" s="4">
        <f>IF(AND(AC255="Optimal",AD255&lt;&gt;AA255,Table1[[#This Row],[Example]]&lt;&gt;"R001",Table1[[#This Row],[Example]]&lt;&gt;"R002"),AD255-AA255,)</f>
        <v>0</v>
      </c>
      <c r="AH255" s="5" t="s">
        <v>42</v>
      </c>
      <c r="AI255" s="2">
        <v>-347971</v>
      </c>
      <c r="AJ255" s="2">
        <v>300.30096070000002</v>
      </c>
      <c r="AK255" s="2" t="str">
        <f>IF(AND(Table1[[#This Row],[Cplex MD Cost]]=Table1[[#This Row],[ORTools FZN2 Cost]],Table1[[#This Row],[ORTools FZN2 State]]="Optimal",Table1[[#This Row],[Cplex MD State]]="Suboptimal"),1,"")</f>
        <v/>
      </c>
      <c r="AL255" s="2">
        <f>IF(AND(AH255="Optimal",AI255&lt;&gt;AA255,Table1[[#This Row],[Example]]&lt;&gt;"R001",Table1[[#This Row],[Example]]&lt;&gt;"R002"),AI255-AA255,)</f>
        <v>0</v>
      </c>
      <c r="AM255" s="39" t="s">
        <v>25</v>
      </c>
      <c r="AN255" s="39">
        <v>11</v>
      </c>
      <c r="AO255" s="2">
        <v>44.6167941</v>
      </c>
      <c r="AP25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5" s="4" t="str">
        <f>IF(AND(Table1[[#This Row],[Cplex MI Cost]]=Table1[[#This Row],[ORTools FZN2 Cost]],Table1[[#This Row],[ORTools FZN2 State]]="Optimal",Table1[[#This Row],[Cplex MI State]]="Suboptimal"),1,"")</f>
        <v/>
      </c>
      <c r="AR255" s="5" t="s">
        <v>42</v>
      </c>
      <c r="AS255" s="2">
        <v>-347971</v>
      </c>
      <c r="AT255" s="2">
        <v>300.08121110000002</v>
      </c>
      <c r="AU255" s="2" t="str">
        <f>IF(AND(Table1[[#This Row],[Z3 SMT2-1 Maxres Cost]]=Table1[[#This Row],[ORTools FZN2 Cost]],Table1[[#This Row],[ORTools FZN2 State]]="Optimal"),1,"")</f>
        <v/>
      </c>
      <c r="AV255" s="39" t="s">
        <v>42</v>
      </c>
      <c r="AW255" s="39">
        <v>-347971</v>
      </c>
      <c r="AX255" s="2">
        <v>300.07550529999997</v>
      </c>
      <c r="AY255" s="2" t="str">
        <f>IF(AND(Table1[[#This Row],[Z3 SMT2-1 PdMaxres Cost]]=Table1[[#This Row],[ORTools FZN2 Cost]],Table1[[#This Row],[ORTools FZN2 State]]="Optimal"),1,"")</f>
        <v/>
      </c>
      <c r="AZ255" s="5" t="s">
        <v>42</v>
      </c>
      <c r="BA255" s="2">
        <v>-347971</v>
      </c>
      <c r="BB255" s="39">
        <v>300.0706816</v>
      </c>
      <c r="BC255" s="39" t="str">
        <f>IF(AND(Table1[[#This Row],[Z3 SMT2-1 WMax Cost]]=Table1[[#This Row],[ORTools FZN2 Cost]],Table1[[#This Row],[ORTools FZN2 State]]="Optimal"),1,"")</f>
        <v/>
      </c>
      <c r="BD255" s="39" t="s">
        <v>42</v>
      </c>
      <c r="BE255" s="39">
        <v>-347971</v>
      </c>
      <c r="BF255" s="2">
        <v>300.0679781</v>
      </c>
      <c r="BG255" s="2" t="str">
        <f>IF(AND(Table1[[#This Row],[Z3 SMT2-2 Maxres Cost]]=Table1[[#This Row],[ORTools FZN2 Cost]],Table1[[#This Row],[ORTools FZN2 State]]="Optimal"),1,"")</f>
        <v/>
      </c>
      <c r="BH255" s="5" t="s">
        <v>42</v>
      </c>
      <c r="BI255" s="2">
        <v>-347971</v>
      </c>
      <c r="BJ255" s="39">
        <v>300.08156050000002</v>
      </c>
      <c r="BK255" s="39" t="str">
        <f>IF(AND(Table1[[#This Row],[Z3 SMT2-2 PdMaxres Cost]]=Table1[[#This Row],[ORTools FZN2 Cost]],Table1[[#This Row],[ORTools FZN2 State]]="Optimal"),1,"")</f>
        <v/>
      </c>
      <c r="BL255" s="39" t="s">
        <v>42</v>
      </c>
      <c r="BM255" s="39">
        <v>-347971</v>
      </c>
      <c r="BN255" s="2">
        <v>300.07367740000001</v>
      </c>
      <c r="BO255" s="4" t="str">
        <f>IF(AND(Table1[[#This Row],[Z3 SMT2-2 PdMaxres Cost]]=Table1[[#This Row],[ORTools FZN2 Cost]],Table1[[#This Row],[ORTools FZN2 State]]="Optimal"),1,"")</f>
        <v/>
      </c>
      <c r="BP255" s="5" t="s">
        <v>42</v>
      </c>
      <c r="BQ255" s="2">
        <v>-347971</v>
      </c>
      <c r="BR255" s="2">
        <v>300.42126250000001</v>
      </c>
      <c r="BS255" s="2" t="str">
        <f>IF(AND(Table1[[#This Row],[Gurobi MB Cost]]=Table1[[#This Row],[ORTools FZN2 Cost]],Table1[[#This Row],[ORTools FZN2 State]]="Optimal",Table1[[#This Row],[Gurobi MB State]]="Suboptimal"),1,"")</f>
        <v/>
      </c>
      <c r="BT25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5" s="5" t="s">
        <v>42</v>
      </c>
      <c r="BV255" s="2">
        <v>-347971</v>
      </c>
      <c r="BW255" s="2">
        <v>300.16675290000001</v>
      </c>
      <c r="BX255" s="2" t="str">
        <f>IF(AND(Table1[[#This Row],[Gurobi MD Cost]]=Table1[[#This Row],[ORTools FZN2 Cost]],Table1[[#This Row],[ORTools FZN2 State]]="Optimal",Table1[[#This Row],[Gurobi MD State]]="Suboptimal"),1,"")</f>
        <v/>
      </c>
      <c r="BY25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5" s="5" t="s">
        <v>42</v>
      </c>
      <c r="CA255" s="2">
        <v>-347971</v>
      </c>
      <c r="CB255" s="2">
        <v>300.12820349999998</v>
      </c>
      <c r="CC255" s="2" t="str">
        <f>IF(AND(Table1[[#This Row],[Gurobi MI Cost]]=Table1[[#This Row],[ORTools FZN2 Cost]],Table1[[#This Row],[ORTools FZN2 State]]="Optimal",Table1[[#This Row],[Gurobi MI State]]="Suboptimal"),1,"")</f>
        <v/>
      </c>
      <c r="CD25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5" s="39" t="s">
        <v>42</v>
      </c>
      <c r="CF255" s="2">
        <v>-347971</v>
      </c>
      <c r="CG255" s="39">
        <v>306.18645600000002</v>
      </c>
      <c r="CH255" s="39" t="s">
        <v>42</v>
      </c>
      <c r="CI255" s="39">
        <v>-347971</v>
      </c>
      <c r="CJ255" s="2">
        <v>306.2096391</v>
      </c>
      <c r="CK255" s="5" t="s">
        <v>26</v>
      </c>
      <c r="CL255" s="2">
        <v>11</v>
      </c>
      <c r="CM255" s="2">
        <v>300.04500000000201</v>
      </c>
      <c r="CN255" s="5" t="s">
        <v>26</v>
      </c>
      <c r="CO255" s="2">
        <v>10410781</v>
      </c>
      <c r="CP255" s="2">
        <v>303.32085999999998</v>
      </c>
      <c r="CQ255" s="5" t="s">
        <v>25</v>
      </c>
      <c r="CR255" s="2">
        <v>11</v>
      </c>
      <c r="CS255" s="2">
        <v>141.3926328</v>
      </c>
      <c r="CT255" s="6" t="s">
        <v>25</v>
      </c>
      <c r="CU255" s="4">
        <v>11</v>
      </c>
      <c r="CV255" s="4">
        <v>43.453238200000001</v>
      </c>
      <c r="CW255" s="39" t="s">
        <v>42</v>
      </c>
      <c r="CX255" s="39"/>
      <c r="CY255" s="2">
        <v>300.03730000000002</v>
      </c>
      <c r="CZ255" s="2" t="str">
        <f>IF(AND(Table1[[#This Row],[Cplex MZ1 Cost]]=Table1[[#This Row],[ORTools FZN2 Cost]],Table1[[#This Row],[ORTools FZN2 State]]="Optimal",Table1[[#This Row],[Cplex MZ1 State]]="Suboptimal"),1,"")</f>
        <v/>
      </c>
      <c r="DA255" s="5" t="s">
        <v>42</v>
      </c>
      <c r="DB255" s="2"/>
      <c r="DC255" s="2">
        <v>300.0179</v>
      </c>
      <c r="DD255" s="2" t="str">
        <f>IF(AND(Table1[[#This Row],[Cplex MZ2 Cost]]=Table1[[#This Row],[ORTools FZN2 Cost]],Table1[[#This Row],[ORTools FZN2 State]]="Optimal",Table1[[#This Row],[Cplex MZ2 State]]="Suboptimal"),1,"")</f>
        <v/>
      </c>
      <c r="DE255" s="39" t="s">
        <v>42</v>
      </c>
      <c r="DF255" s="39"/>
      <c r="DG255" s="2">
        <v>300.47980000000001</v>
      </c>
      <c r="DH255" s="2" t="str">
        <f>IF(AND(Table1[[#This Row],[Gurobi MZ1 Cost]]=Table1[[#This Row],[ORTools FZN2 Cost]],Table1[[#This Row],[ORTools FZN2 State]]="Optimal",Table1[[#This Row],[Gurobi MZ1 State]]="Suboptimal"),1,"")</f>
        <v/>
      </c>
      <c r="DI255" s="5" t="s">
        <v>42</v>
      </c>
      <c r="DJ255" s="2"/>
      <c r="DK255" s="2">
        <v>300.0086</v>
      </c>
      <c r="DL255" s="4" t="str">
        <f>IF(AND(Table1[[#This Row],[Gurobi MZ2 Cost]]=Table1[[#This Row],[ORTools FZN2 Cost]],Table1[[#This Row],[ORTools FZN2 State]]="Optimal",Table1[[#This Row],[Gurobi MZ2 State]]="Suboptimal"),1,"")</f>
        <v/>
      </c>
      <c r="DM255" s="39" t="s">
        <v>26</v>
      </c>
      <c r="DN255" s="12">
        <v>11</v>
      </c>
      <c r="DO255" s="69">
        <v>300.11699999999797</v>
      </c>
      <c r="DP255" s="11">
        <f>IF(AND(Table1[[#This Row],[Cplex MC nonDual Cost]]=Table1[[#This Row],[ORTools FZN2 Cost]],Table1[[#This Row],[ORTools FZN2 State]]="Optimal",Table1[[#This Row],[Cplex MC nonDual State]]="Suboptimal"),1,"")</f>
        <v>1</v>
      </c>
      <c r="DQ255" s="5" t="s">
        <v>42</v>
      </c>
      <c r="DR255" s="2"/>
      <c r="DS255" s="2">
        <v>300.02330000000001</v>
      </c>
      <c r="DT255" s="2" t="str">
        <f>IF(AND(Table1[[#This Row],[Cplex MIP DM''z Cost]]=Table1[[#This Row],[ORTools FZN2 Cost]],Table1[[#This Row],[ORTools FZN2 State]]="Optimal",Table1[[#This Row],[Cplex MIP DM''z  State]]="Suboptimal"),1,"")</f>
        <v/>
      </c>
      <c r="DU25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5" s="5" t="s">
        <v>42</v>
      </c>
      <c r="DW255" s="2"/>
      <c r="DX255" s="2">
        <v>300.0077</v>
      </c>
      <c r="DY255" s="4" t="str">
        <f>IF(AND(Table1[[#This Row],[Gurobi DM''z  Cost]]=Table1[[#This Row],[ORTools FZN2 Cost]],Table1[[#This Row],[ORTools FZN2 State]]="Optimal",Table1[[#This Row],[Gurobi DM''z  State]]="Suboptimal"),1,"")</f>
        <v/>
      </c>
      <c r="DZ25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6" spans="1:130" ht="15.75" x14ac:dyDescent="0.25">
      <c r="A256" s="46" t="s">
        <v>282</v>
      </c>
      <c r="B256" s="5">
        <v>78</v>
      </c>
      <c r="C256" s="2">
        <v>39</v>
      </c>
      <c r="D256" s="5">
        <v>574</v>
      </c>
      <c r="E256" s="2">
        <v>59</v>
      </c>
      <c r="F256" s="5">
        <v>136</v>
      </c>
      <c r="G256" s="2">
        <v>0</v>
      </c>
      <c r="H256" s="4">
        <f t="shared" si="3"/>
        <v>0</v>
      </c>
      <c r="I256" s="4">
        <f>Table1[[#This Row],[B]]+Table1[[#This Row],[Atomic Constraints]]+Table1[[#This Row],[Soft Atomic Constraints]]+Table1[[#This Row],[Disjunctive Constraints]]+Table1[[#This Row],[Direct Successors]]</f>
        <v>808</v>
      </c>
      <c r="J256" s="5" t="s">
        <v>26</v>
      </c>
      <c r="K256" s="2">
        <v>16235505</v>
      </c>
      <c r="L256" s="2">
        <v>304.20987589999999</v>
      </c>
      <c r="M256" s="2" t="str">
        <f>IF(AND(Table1[[#This Row],[Chuffed MZ1 Cost]]=Table1[[#This Row],[ORTools FZN2 Cost]],Table1[[#This Row],[ORTools FZN2 State]]="Optimal",Table1[[#This Row],[Chuffed MZ1 State]]="Suboptimal"),1,"")</f>
        <v/>
      </c>
      <c r="N256" s="5" t="s">
        <v>26</v>
      </c>
      <c r="O256" s="2">
        <v>16237133</v>
      </c>
      <c r="P256" s="2">
        <v>304.14163669999999</v>
      </c>
      <c r="Q256" s="2" t="str">
        <f>IF(AND(Table1[[#This Row],[Chuffed MZ2 Cost]]=Table1[[#This Row],[ORTools FZN2 Cost]],Table1[[#This Row],[ORTools FZN2 State]]="Optimal",Table1[[#This Row],[Chuffed MZ2 State]]="Suboptimal"),1,"")</f>
        <v/>
      </c>
      <c r="R256" s="5" t="s">
        <v>26</v>
      </c>
      <c r="S256" s="2">
        <v>16</v>
      </c>
      <c r="T256" s="2">
        <v>300.15799999999899</v>
      </c>
      <c r="U256" s="2"/>
      <c r="V256" s="5" t="s">
        <v>25</v>
      </c>
      <c r="W256" s="2">
        <v>16</v>
      </c>
      <c r="X256" s="2">
        <v>175.08090799999999</v>
      </c>
      <c r="Y256" s="2" t="str">
        <f>IF(AND(Table1[[#This Row],[ORTools FZN1 Cost]]=Table1[[#This Row],[ORTools FZN2 Cost]],Table1[[#This Row],[ORTools FZN2 State]]="Optimal",Table1[[#This Row],[ORTools FZN1 State]]="Suboptimal"),1,"")</f>
        <v/>
      </c>
      <c r="Z256" s="5" t="s">
        <v>25</v>
      </c>
      <c r="AA256" s="2">
        <v>16</v>
      </c>
      <c r="AB256" s="2">
        <v>186.34609810000001</v>
      </c>
      <c r="AC256" s="39" t="s">
        <v>42</v>
      </c>
      <c r="AD256" s="39">
        <v>-480715</v>
      </c>
      <c r="AE256" s="2">
        <v>300.25319839999997</v>
      </c>
      <c r="AF256" s="2" t="str">
        <f>IF(AND(Table1[[#This Row],[Cplex MB Cost]]=Table1[[#This Row],[ORTools FZN2 Cost]],Table1[[#This Row],[ORTools FZN2 State]]="Optimal",Table1[[#This Row],[Cplex MB State]]="Suboptimal"),1,"")</f>
        <v/>
      </c>
      <c r="AG256" s="4">
        <f>IF(AND(AC256="Optimal",AD256&lt;&gt;AA256,Table1[[#This Row],[Example]]&lt;&gt;"R001",Table1[[#This Row],[Example]]&lt;&gt;"R002"),AD256-AA256,)</f>
        <v>0</v>
      </c>
      <c r="AH256" s="5" t="s">
        <v>42</v>
      </c>
      <c r="AI256" s="2">
        <v>-480715</v>
      </c>
      <c r="AJ256" s="2">
        <v>300.33035660000002</v>
      </c>
      <c r="AK256" s="2" t="str">
        <f>IF(AND(Table1[[#This Row],[Cplex MD Cost]]=Table1[[#This Row],[ORTools FZN2 Cost]],Table1[[#This Row],[ORTools FZN2 State]]="Optimal",Table1[[#This Row],[Cplex MD State]]="Suboptimal"),1,"")</f>
        <v/>
      </c>
      <c r="AL256" s="2">
        <f>IF(AND(AH256="Optimal",AI256&lt;&gt;AA256,Table1[[#This Row],[Example]]&lt;&gt;"R001",Table1[[#This Row],[Example]]&lt;&gt;"R002"),AI256-AA256,)</f>
        <v>0</v>
      </c>
      <c r="AM256" s="39" t="s">
        <v>25</v>
      </c>
      <c r="AN256" s="39">
        <v>16</v>
      </c>
      <c r="AO256" s="2">
        <v>213.33645749999999</v>
      </c>
      <c r="AP25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6" s="4" t="str">
        <f>IF(AND(Table1[[#This Row],[Cplex MI Cost]]=Table1[[#This Row],[ORTools FZN2 Cost]],Table1[[#This Row],[ORTools FZN2 State]]="Optimal",Table1[[#This Row],[Cplex MI State]]="Suboptimal"),1,"")</f>
        <v/>
      </c>
      <c r="AR256" s="5" t="s">
        <v>42</v>
      </c>
      <c r="AS256" s="2">
        <v>-480715</v>
      </c>
      <c r="AT256" s="2">
        <v>300.0824326</v>
      </c>
      <c r="AU256" s="2" t="str">
        <f>IF(AND(Table1[[#This Row],[Z3 SMT2-1 Maxres Cost]]=Table1[[#This Row],[ORTools FZN2 Cost]],Table1[[#This Row],[ORTools FZN2 State]]="Optimal"),1,"")</f>
        <v/>
      </c>
      <c r="AV256" s="39" t="s">
        <v>42</v>
      </c>
      <c r="AW256" s="39">
        <v>-480715</v>
      </c>
      <c r="AX256" s="2">
        <v>300.08281770000002</v>
      </c>
      <c r="AY256" s="2" t="str">
        <f>IF(AND(Table1[[#This Row],[Z3 SMT2-1 PdMaxres Cost]]=Table1[[#This Row],[ORTools FZN2 Cost]],Table1[[#This Row],[ORTools FZN2 State]]="Optimal"),1,"")</f>
        <v/>
      </c>
      <c r="AZ256" s="5" t="s">
        <v>42</v>
      </c>
      <c r="BA256" s="2">
        <v>-480715</v>
      </c>
      <c r="BB256" s="39">
        <v>300.07959140000003</v>
      </c>
      <c r="BC256" s="39" t="str">
        <f>IF(AND(Table1[[#This Row],[Z3 SMT2-1 WMax Cost]]=Table1[[#This Row],[ORTools FZN2 Cost]],Table1[[#This Row],[ORTools FZN2 State]]="Optimal"),1,"")</f>
        <v/>
      </c>
      <c r="BD256" s="39" t="s">
        <v>42</v>
      </c>
      <c r="BE256" s="39">
        <v>-480715</v>
      </c>
      <c r="BF256" s="2">
        <v>300.08541430000002</v>
      </c>
      <c r="BG256" s="2" t="str">
        <f>IF(AND(Table1[[#This Row],[Z3 SMT2-2 Maxres Cost]]=Table1[[#This Row],[ORTools FZN2 Cost]],Table1[[#This Row],[ORTools FZN2 State]]="Optimal"),1,"")</f>
        <v/>
      </c>
      <c r="BH256" s="5" t="s">
        <v>42</v>
      </c>
      <c r="BI256" s="2">
        <v>-480715</v>
      </c>
      <c r="BJ256" s="39">
        <v>300.0907062</v>
      </c>
      <c r="BK256" s="39" t="str">
        <f>IF(AND(Table1[[#This Row],[Z3 SMT2-2 PdMaxres Cost]]=Table1[[#This Row],[ORTools FZN2 Cost]],Table1[[#This Row],[ORTools FZN2 State]]="Optimal"),1,"")</f>
        <v/>
      </c>
      <c r="BL256" s="39" t="s">
        <v>42</v>
      </c>
      <c r="BM256" s="39">
        <v>-480715</v>
      </c>
      <c r="BN256" s="2">
        <v>300.07153690000001</v>
      </c>
      <c r="BO256" s="4" t="str">
        <f>IF(AND(Table1[[#This Row],[Z3 SMT2-2 PdMaxres Cost]]=Table1[[#This Row],[ORTools FZN2 Cost]],Table1[[#This Row],[ORTools FZN2 State]]="Optimal"),1,"")</f>
        <v/>
      </c>
      <c r="BP256" s="5" t="s">
        <v>42</v>
      </c>
      <c r="BQ256" s="2">
        <v>-480715</v>
      </c>
      <c r="BR256" s="2">
        <v>301.001757</v>
      </c>
      <c r="BS256" s="2" t="str">
        <f>IF(AND(Table1[[#This Row],[Gurobi MB Cost]]=Table1[[#This Row],[ORTools FZN2 Cost]],Table1[[#This Row],[ORTools FZN2 State]]="Optimal",Table1[[#This Row],[Gurobi MB State]]="Suboptimal"),1,"")</f>
        <v/>
      </c>
      <c r="BT25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6" s="5" t="s">
        <v>42</v>
      </c>
      <c r="BV256" s="2">
        <v>-480715</v>
      </c>
      <c r="BW256" s="2">
        <v>300.140424</v>
      </c>
      <c r="BX256" s="2" t="str">
        <f>IF(AND(Table1[[#This Row],[Gurobi MD Cost]]=Table1[[#This Row],[ORTools FZN2 Cost]],Table1[[#This Row],[ORTools FZN2 State]]="Optimal",Table1[[#This Row],[Gurobi MD State]]="Suboptimal"),1,"")</f>
        <v/>
      </c>
      <c r="BY25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6" s="5" t="s">
        <v>42</v>
      </c>
      <c r="CA256" s="2">
        <v>-480715</v>
      </c>
      <c r="CB256" s="2">
        <v>300.18359220000002</v>
      </c>
      <c r="CC256" s="2" t="str">
        <f>IF(AND(Table1[[#This Row],[Gurobi MI Cost]]=Table1[[#This Row],[ORTools FZN2 Cost]],Table1[[#This Row],[ORTools FZN2 State]]="Optimal",Table1[[#This Row],[Gurobi MI State]]="Suboptimal"),1,"")</f>
        <v/>
      </c>
      <c r="CD25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6" s="39" t="s">
        <v>42</v>
      </c>
      <c r="CF256" s="2">
        <v>-480715</v>
      </c>
      <c r="CG256" s="39">
        <v>306.2585138</v>
      </c>
      <c r="CH256" s="39" t="s">
        <v>42</v>
      </c>
      <c r="CI256" s="39">
        <v>-480715</v>
      </c>
      <c r="CJ256" s="2">
        <v>306.44801080000002</v>
      </c>
      <c r="CK256" s="5" t="s">
        <v>26</v>
      </c>
      <c r="CL256" s="2">
        <v>16</v>
      </c>
      <c r="CM256" s="2">
        <v>300.03900000000101</v>
      </c>
      <c r="CN256" s="5" t="s">
        <v>26</v>
      </c>
      <c r="CO256" s="2">
        <v>18170752</v>
      </c>
      <c r="CP256" s="2">
        <v>304.05952180000003</v>
      </c>
      <c r="CQ256" s="5" t="s">
        <v>26</v>
      </c>
      <c r="CR256" s="2">
        <v>6731823</v>
      </c>
      <c r="CS256" s="2">
        <v>302.2210614</v>
      </c>
      <c r="CT256" s="6" t="s">
        <v>25</v>
      </c>
      <c r="CU256" s="4">
        <v>16</v>
      </c>
      <c r="CV256" s="4">
        <v>48.187101300000002</v>
      </c>
      <c r="CW256" s="39" t="s">
        <v>42</v>
      </c>
      <c r="CX256" s="39"/>
      <c r="CY256" s="2">
        <v>300.07909999999998</v>
      </c>
      <c r="CZ256" s="2" t="str">
        <f>IF(AND(Table1[[#This Row],[Cplex MZ1 Cost]]=Table1[[#This Row],[ORTools FZN2 Cost]],Table1[[#This Row],[ORTools FZN2 State]]="Optimal",Table1[[#This Row],[Cplex MZ1 State]]="Suboptimal"),1,"")</f>
        <v/>
      </c>
      <c r="DA256" s="5" t="s">
        <v>42</v>
      </c>
      <c r="DB256" s="2"/>
      <c r="DC256" s="2">
        <v>300.02949999999998</v>
      </c>
      <c r="DD256" s="2" t="str">
        <f>IF(AND(Table1[[#This Row],[Cplex MZ2 Cost]]=Table1[[#This Row],[ORTools FZN2 Cost]],Table1[[#This Row],[ORTools FZN2 State]]="Optimal",Table1[[#This Row],[Cplex MZ2 State]]="Suboptimal"),1,"")</f>
        <v/>
      </c>
      <c r="DE256" s="39" t="s">
        <v>42</v>
      </c>
      <c r="DF256" s="39"/>
      <c r="DG256" s="2">
        <v>300.0093</v>
      </c>
      <c r="DH256" s="2" t="str">
        <f>IF(AND(Table1[[#This Row],[Gurobi MZ1 Cost]]=Table1[[#This Row],[ORTools FZN2 Cost]],Table1[[#This Row],[ORTools FZN2 State]]="Optimal",Table1[[#This Row],[Gurobi MZ1 State]]="Suboptimal"),1,"")</f>
        <v/>
      </c>
      <c r="DI256" s="5" t="s">
        <v>42</v>
      </c>
      <c r="DJ256" s="2"/>
      <c r="DK256" s="2">
        <v>300.00549999999998</v>
      </c>
      <c r="DL256" s="4" t="str">
        <f>IF(AND(Table1[[#This Row],[Gurobi MZ2 Cost]]=Table1[[#This Row],[ORTools FZN2 Cost]],Table1[[#This Row],[ORTools FZN2 State]]="Optimal",Table1[[#This Row],[Gurobi MZ2 State]]="Suboptimal"),1,"")</f>
        <v/>
      </c>
      <c r="DM256" s="39" t="s">
        <v>26</v>
      </c>
      <c r="DN256" s="12">
        <v>16</v>
      </c>
      <c r="DO256" s="69">
        <v>300.06200000000501</v>
      </c>
      <c r="DP256" s="11">
        <f>IF(AND(Table1[[#This Row],[Cplex MC nonDual Cost]]=Table1[[#This Row],[ORTools FZN2 Cost]],Table1[[#This Row],[ORTools FZN2 State]]="Optimal",Table1[[#This Row],[Cplex MC nonDual State]]="Suboptimal"),1,"")</f>
        <v>1</v>
      </c>
      <c r="DQ256" s="5" t="s">
        <v>42</v>
      </c>
      <c r="DR256" s="2"/>
      <c r="DS256" s="2">
        <v>300.01130000000001</v>
      </c>
      <c r="DT256" s="2" t="str">
        <f>IF(AND(Table1[[#This Row],[Cplex MIP DM''z Cost]]=Table1[[#This Row],[ORTools FZN2 Cost]],Table1[[#This Row],[ORTools FZN2 State]]="Optimal",Table1[[#This Row],[Cplex MIP DM''z  State]]="Suboptimal"),1,"")</f>
        <v/>
      </c>
      <c r="DU25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6" s="5" t="s">
        <v>42</v>
      </c>
      <c r="DW256" s="2"/>
      <c r="DX256" s="2">
        <v>300.02859999999998</v>
      </c>
      <c r="DY256" s="4" t="str">
        <f>IF(AND(Table1[[#This Row],[Gurobi DM''z  Cost]]=Table1[[#This Row],[ORTools FZN2 Cost]],Table1[[#This Row],[ORTools FZN2 State]]="Optimal",Table1[[#This Row],[Gurobi DM''z  State]]="Suboptimal"),1,"")</f>
        <v/>
      </c>
      <c r="DZ25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7" spans="1:130" ht="15.75" x14ac:dyDescent="0.25">
      <c r="A257" s="47" t="s">
        <v>283</v>
      </c>
      <c r="B257" s="5">
        <v>70</v>
      </c>
      <c r="C257" s="2">
        <v>35</v>
      </c>
      <c r="D257" s="5">
        <v>597</v>
      </c>
      <c r="E257" s="2">
        <v>50</v>
      </c>
      <c r="F257" s="5">
        <v>114</v>
      </c>
      <c r="G257" s="2">
        <v>0</v>
      </c>
      <c r="H257" s="4">
        <f t="shared" si="3"/>
        <v>0</v>
      </c>
      <c r="I257" s="4">
        <f>Table1[[#This Row],[B]]+Table1[[#This Row],[Atomic Constraints]]+Table1[[#This Row],[Soft Atomic Constraints]]+Table1[[#This Row],[Disjunctive Constraints]]+Table1[[#This Row],[Direct Successors]]</f>
        <v>796</v>
      </c>
      <c r="J257" s="5" t="s">
        <v>26</v>
      </c>
      <c r="K257" s="2">
        <v>11390909</v>
      </c>
      <c r="L257" s="2">
        <v>303.46381359999998</v>
      </c>
      <c r="M257" s="2" t="str">
        <f>IF(AND(Table1[[#This Row],[Chuffed MZ1 Cost]]=Table1[[#This Row],[ORTools FZN2 Cost]],Table1[[#This Row],[ORTools FZN2 State]]="Optimal",Table1[[#This Row],[Chuffed MZ1 State]]="Suboptimal"),1,"")</f>
        <v/>
      </c>
      <c r="N257" s="5" t="s">
        <v>26</v>
      </c>
      <c r="O257" s="2">
        <v>11739522</v>
      </c>
      <c r="P257" s="2">
        <v>303.40744480000001</v>
      </c>
      <c r="Q257" s="2" t="str">
        <f>IF(AND(Table1[[#This Row],[Chuffed MZ2 Cost]]=Table1[[#This Row],[ORTools FZN2 Cost]],Table1[[#This Row],[ORTools FZN2 State]]="Optimal",Table1[[#This Row],[Chuffed MZ2 State]]="Suboptimal"),1,"")</f>
        <v/>
      </c>
      <c r="R257" s="6" t="s">
        <v>26</v>
      </c>
      <c r="S257" s="4">
        <v>2073610</v>
      </c>
      <c r="T257" s="4">
        <v>300.21600000000001</v>
      </c>
      <c r="U257" s="4"/>
      <c r="V257" s="5" t="s">
        <v>25</v>
      </c>
      <c r="W257" s="2">
        <v>2073470</v>
      </c>
      <c r="X257" s="2">
        <v>106.8708341</v>
      </c>
      <c r="Y257" s="2" t="str">
        <f>IF(AND(Table1[[#This Row],[ORTools FZN1 Cost]]=Table1[[#This Row],[ORTools FZN2 Cost]],Table1[[#This Row],[ORTools FZN2 State]]="Optimal",Table1[[#This Row],[ORTools FZN1 State]]="Suboptimal"),1,"")</f>
        <v/>
      </c>
      <c r="Z257" s="5" t="s">
        <v>25</v>
      </c>
      <c r="AA257" s="2">
        <v>2073470</v>
      </c>
      <c r="AB257" s="2">
        <v>166.82583489999999</v>
      </c>
      <c r="AC257" s="39" t="s">
        <v>42</v>
      </c>
      <c r="AD257" s="39">
        <v>-347971</v>
      </c>
      <c r="AE257" s="2">
        <v>300.16245320000002</v>
      </c>
      <c r="AF257" s="2" t="str">
        <f>IF(AND(Table1[[#This Row],[Cplex MB Cost]]=Table1[[#This Row],[ORTools FZN2 Cost]],Table1[[#This Row],[ORTools FZN2 State]]="Optimal",Table1[[#This Row],[Cplex MB State]]="Suboptimal"),1,"")</f>
        <v/>
      </c>
      <c r="AG257" s="4">
        <f>IF(AND(AC257="Optimal",AD257&lt;&gt;AA257,Table1[[#This Row],[Example]]&lt;&gt;"R001",Table1[[#This Row],[Example]]&lt;&gt;"R002"),AD257-AA257,)</f>
        <v>0</v>
      </c>
      <c r="AH257" s="5" t="s">
        <v>42</v>
      </c>
      <c r="AI257" s="2">
        <v>-347971</v>
      </c>
      <c r="AJ257" s="2">
        <v>300.5418828</v>
      </c>
      <c r="AK257" s="2" t="str">
        <f>IF(AND(Table1[[#This Row],[Cplex MD Cost]]=Table1[[#This Row],[ORTools FZN2 Cost]],Table1[[#This Row],[ORTools FZN2 State]]="Optimal",Table1[[#This Row],[Cplex MD State]]="Suboptimal"),1,"")</f>
        <v/>
      </c>
      <c r="AL257" s="2">
        <f>IF(AND(AH257="Optimal",AI257&lt;&gt;AA257,Table1[[#This Row],[Example]]&lt;&gt;"R001",Table1[[#This Row],[Example]]&lt;&gt;"R002"),AI257-AA257,)</f>
        <v>0</v>
      </c>
      <c r="AM257" s="39" t="s">
        <v>42</v>
      </c>
      <c r="AN257" s="39">
        <v>-347971</v>
      </c>
      <c r="AO257" s="2">
        <v>300.15877160000002</v>
      </c>
      <c r="AP25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7" s="2" t="str">
        <f>IF(AND(Table1[[#This Row],[Cplex MI Cost]]=Table1[[#This Row],[ORTools FZN2 Cost]],Table1[[#This Row],[ORTools FZN2 State]]="Optimal",Table1[[#This Row],[Cplex MI State]]="Suboptimal"),1,"")</f>
        <v/>
      </c>
      <c r="AR257" s="5" t="s">
        <v>42</v>
      </c>
      <c r="AS257" s="2">
        <v>-347971</v>
      </c>
      <c r="AT257" s="2">
        <v>300.06357980000001</v>
      </c>
      <c r="AU257" s="2" t="str">
        <f>IF(AND(Table1[[#This Row],[Z3 SMT2-1 Maxres Cost]]=Table1[[#This Row],[ORTools FZN2 Cost]],Table1[[#This Row],[ORTools FZN2 State]]="Optimal"),1,"")</f>
        <v/>
      </c>
      <c r="AV257" s="39" t="s">
        <v>42</v>
      </c>
      <c r="AW257" s="39">
        <v>-347971</v>
      </c>
      <c r="AX257" s="2">
        <v>300.08565429999999</v>
      </c>
      <c r="AY257" s="2" t="str">
        <f>IF(AND(Table1[[#This Row],[Z3 SMT2-1 PdMaxres Cost]]=Table1[[#This Row],[ORTools FZN2 Cost]],Table1[[#This Row],[ORTools FZN2 State]]="Optimal"),1,"")</f>
        <v/>
      </c>
      <c r="AZ257" s="5" t="s">
        <v>42</v>
      </c>
      <c r="BA257" s="2">
        <v>-347971</v>
      </c>
      <c r="BB257" s="39">
        <v>300.06841409999998</v>
      </c>
      <c r="BC257" s="39" t="str">
        <f>IF(AND(Table1[[#This Row],[Z3 SMT2-1 WMax Cost]]=Table1[[#This Row],[ORTools FZN2 Cost]],Table1[[#This Row],[ORTools FZN2 State]]="Optimal"),1,"")</f>
        <v/>
      </c>
      <c r="BD257" s="39" t="s">
        <v>42</v>
      </c>
      <c r="BE257" s="39">
        <v>-347971</v>
      </c>
      <c r="BF257" s="2">
        <v>300.07825539999999</v>
      </c>
      <c r="BG257" s="2" t="str">
        <f>IF(AND(Table1[[#This Row],[Z3 SMT2-2 Maxres Cost]]=Table1[[#This Row],[ORTools FZN2 Cost]],Table1[[#This Row],[ORTools FZN2 State]]="Optimal"),1,"")</f>
        <v/>
      </c>
      <c r="BH257" s="5" t="s">
        <v>42</v>
      </c>
      <c r="BI257" s="2">
        <v>-347971</v>
      </c>
      <c r="BJ257" s="39">
        <v>300.08274360000001</v>
      </c>
      <c r="BK257" s="39" t="str">
        <f>IF(AND(Table1[[#This Row],[Z3 SMT2-2 PdMaxres Cost]]=Table1[[#This Row],[ORTools FZN2 Cost]],Table1[[#This Row],[ORTools FZN2 State]]="Optimal"),1,"")</f>
        <v/>
      </c>
      <c r="BL257" s="39" t="s">
        <v>42</v>
      </c>
      <c r="BM257" s="39">
        <v>-347971</v>
      </c>
      <c r="BN257" s="2">
        <v>300.07230229999999</v>
      </c>
      <c r="BO257" s="4" t="str">
        <f>IF(AND(Table1[[#This Row],[Z3 SMT2-2 PdMaxres Cost]]=Table1[[#This Row],[ORTools FZN2 Cost]],Table1[[#This Row],[ORTools FZN2 State]]="Optimal"),1,"")</f>
        <v/>
      </c>
      <c r="BP257" s="5" t="s">
        <v>42</v>
      </c>
      <c r="BQ257" s="2">
        <v>-347971</v>
      </c>
      <c r="BR257" s="2">
        <v>300.45964570000001</v>
      </c>
      <c r="BS257" s="2" t="str">
        <f>IF(AND(Table1[[#This Row],[Gurobi MB Cost]]=Table1[[#This Row],[ORTools FZN2 Cost]],Table1[[#This Row],[ORTools FZN2 State]]="Optimal",Table1[[#This Row],[Gurobi MB State]]="Suboptimal"),1,"")</f>
        <v/>
      </c>
      <c r="BT25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7" s="5" t="s">
        <v>42</v>
      </c>
      <c r="BV257" s="2">
        <v>-347971</v>
      </c>
      <c r="BW257" s="2">
        <v>300.12830150000002</v>
      </c>
      <c r="BX257" s="2" t="str">
        <f>IF(AND(Table1[[#This Row],[Gurobi MD Cost]]=Table1[[#This Row],[ORTools FZN2 Cost]],Table1[[#This Row],[ORTools FZN2 State]]="Optimal",Table1[[#This Row],[Gurobi MD State]]="Suboptimal"),1,"")</f>
        <v/>
      </c>
      <c r="BY25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7" s="5" t="s">
        <v>42</v>
      </c>
      <c r="CA257" s="2">
        <v>-347971</v>
      </c>
      <c r="CB257" s="2">
        <v>300.12858349999999</v>
      </c>
      <c r="CC257" s="2" t="str">
        <f>IF(AND(Table1[[#This Row],[Gurobi MI Cost]]=Table1[[#This Row],[ORTools FZN2 Cost]],Table1[[#This Row],[ORTools FZN2 State]]="Optimal",Table1[[#This Row],[Gurobi MI State]]="Suboptimal"),1,"")</f>
        <v/>
      </c>
      <c r="CD25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7" s="39" t="s">
        <v>42</v>
      </c>
      <c r="CF257" s="2">
        <v>-347971</v>
      </c>
      <c r="CG257" s="39">
        <v>306.21595289999999</v>
      </c>
      <c r="CH257" s="39" t="s">
        <v>42</v>
      </c>
      <c r="CI257" s="39">
        <v>-347971</v>
      </c>
      <c r="CJ257" s="2">
        <v>306.24992580000003</v>
      </c>
      <c r="CK257" s="5" t="s">
        <v>26</v>
      </c>
      <c r="CL257" s="2">
        <v>2073470</v>
      </c>
      <c r="CM257" s="2">
        <v>300.214</v>
      </c>
      <c r="CN257" s="5" t="s">
        <v>26</v>
      </c>
      <c r="CO257" s="2">
        <v>10015071</v>
      </c>
      <c r="CP257" s="2">
        <v>303.2756359</v>
      </c>
      <c r="CQ257" s="5" t="s">
        <v>25</v>
      </c>
      <c r="CR257" s="2">
        <v>2073470</v>
      </c>
      <c r="CS257" s="2">
        <v>113.2668688</v>
      </c>
      <c r="CT257" s="6" t="s">
        <v>25</v>
      </c>
      <c r="CU257" s="4">
        <v>2073470</v>
      </c>
      <c r="CV257" s="4">
        <v>58.373841900000002</v>
      </c>
      <c r="CW257" s="39" t="s">
        <v>26</v>
      </c>
      <c r="CX257" s="39">
        <v>6906075</v>
      </c>
      <c r="CY257" s="2">
        <v>300.02690000000001</v>
      </c>
      <c r="CZ257" s="2" t="str">
        <f>IF(AND(Table1[[#This Row],[Cplex MZ1 Cost]]=Table1[[#This Row],[ORTools FZN2 Cost]],Table1[[#This Row],[ORTools FZN2 State]]="Optimal",Table1[[#This Row],[Cplex MZ1 State]]="Suboptimal"),1,"")</f>
        <v/>
      </c>
      <c r="DA257" s="5" t="s">
        <v>26</v>
      </c>
      <c r="DB257" s="2">
        <v>4489879</v>
      </c>
      <c r="DC257" s="2">
        <v>300.02300000000002</v>
      </c>
      <c r="DD257" s="2" t="str">
        <f>IF(AND(Table1[[#This Row],[Cplex MZ2 Cost]]=Table1[[#This Row],[ORTools FZN2 Cost]],Table1[[#This Row],[ORTools FZN2 State]]="Optimal",Table1[[#This Row],[Cplex MZ2 State]]="Suboptimal"),1,"")</f>
        <v/>
      </c>
      <c r="DE257" s="39" t="s">
        <v>42</v>
      </c>
      <c r="DF257" s="39"/>
      <c r="DG257" s="2">
        <v>300.0093</v>
      </c>
      <c r="DH257" s="2" t="str">
        <f>IF(AND(Table1[[#This Row],[Gurobi MZ1 Cost]]=Table1[[#This Row],[ORTools FZN2 Cost]],Table1[[#This Row],[ORTools FZN2 State]]="Optimal",Table1[[#This Row],[Gurobi MZ1 State]]="Suboptimal"),1,"")</f>
        <v/>
      </c>
      <c r="DI257" s="5" t="s">
        <v>42</v>
      </c>
      <c r="DJ257" s="2"/>
      <c r="DK257" s="2">
        <v>300.00900000000001</v>
      </c>
      <c r="DL257" s="4" t="str">
        <f>IF(AND(Table1[[#This Row],[Gurobi MZ2 Cost]]=Table1[[#This Row],[ORTools FZN2 Cost]],Table1[[#This Row],[ORTools FZN2 State]]="Optimal",Table1[[#This Row],[Gurobi MZ2 State]]="Suboptimal"),1,"")</f>
        <v/>
      </c>
      <c r="DM257" s="39" t="s">
        <v>26</v>
      </c>
      <c r="DN257" s="39">
        <v>2073474</v>
      </c>
      <c r="DO257" s="65">
        <v>300.14299999999599</v>
      </c>
      <c r="DP257" s="4" t="str">
        <f>IF(AND(Table1[[#This Row],[Cplex MC nonDual Cost]]=Table1[[#This Row],[ORTools FZN2 Cost]],Table1[[#This Row],[ORTools FZN2 State]]="Optimal",Table1[[#This Row],[Cplex MC nonDual State]]="Suboptimal"),1,"")</f>
        <v/>
      </c>
      <c r="DQ257" s="5" t="s">
        <v>42</v>
      </c>
      <c r="DR257" s="2"/>
      <c r="DS257" s="2">
        <v>300.0378</v>
      </c>
      <c r="DT257" s="2" t="str">
        <f>IF(AND(Table1[[#This Row],[Cplex MIP DM''z Cost]]=Table1[[#This Row],[ORTools FZN2 Cost]],Table1[[#This Row],[ORTools FZN2 State]]="Optimal",Table1[[#This Row],[Cplex MIP DM''z  State]]="Suboptimal"),1,"")</f>
        <v/>
      </c>
      <c r="DU25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7" s="5" t="s">
        <v>42</v>
      </c>
      <c r="DW257" s="2"/>
      <c r="DX257" s="2">
        <v>299.99900000000002</v>
      </c>
      <c r="DY257" s="4" t="str">
        <f>IF(AND(Table1[[#This Row],[Gurobi DM''z  Cost]]=Table1[[#This Row],[ORTools FZN2 Cost]],Table1[[#This Row],[ORTools FZN2 State]]="Optimal",Table1[[#This Row],[Gurobi DM''z  State]]="Suboptimal"),1,"")</f>
        <v/>
      </c>
      <c r="DZ25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8" spans="1:130" ht="15.75" x14ac:dyDescent="0.25">
      <c r="A258" s="46" t="s">
        <v>284</v>
      </c>
      <c r="B258" s="5">
        <v>70</v>
      </c>
      <c r="C258" s="2">
        <v>35</v>
      </c>
      <c r="D258" s="5">
        <v>565</v>
      </c>
      <c r="E258" s="2">
        <v>55</v>
      </c>
      <c r="F258" s="5">
        <v>157</v>
      </c>
      <c r="G258" s="2">
        <v>0</v>
      </c>
      <c r="H258" s="4">
        <f t="shared" si="3"/>
        <v>0</v>
      </c>
      <c r="I258" s="4">
        <f>Table1[[#This Row],[B]]+Table1[[#This Row],[Atomic Constraints]]+Table1[[#This Row],[Soft Atomic Constraints]]+Table1[[#This Row],[Disjunctive Constraints]]+Table1[[#This Row],[Direct Successors]]</f>
        <v>812</v>
      </c>
      <c r="J258" s="5" t="s">
        <v>26</v>
      </c>
      <c r="K258" s="2">
        <v>9656813</v>
      </c>
      <c r="L258" s="2">
        <v>303.46448750000002</v>
      </c>
      <c r="M258" s="2" t="str">
        <f>IF(AND(Table1[[#This Row],[Chuffed MZ1 Cost]]=Table1[[#This Row],[ORTools FZN2 Cost]],Table1[[#This Row],[ORTools FZN2 State]]="Optimal",Table1[[#This Row],[Chuffed MZ1 State]]="Suboptimal"),1,"")</f>
        <v/>
      </c>
      <c r="N258" s="5" t="s">
        <v>26</v>
      </c>
      <c r="O258" s="2">
        <v>10735090</v>
      </c>
      <c r="P258" s="2">
        <v>303.41134030000001</v>
      </c>
      <c r="Q258" s="2" t="str">
        <f>IF(AND(Table1[[#This Row],[Chuffed MZ2 Cost]]=Table1[[#This Row],[ORTools FZN2 Cost]],Table1[[#This Row],[ORTools FZN2 State]]="Optimal",Table1[[#This Row],[Chuffed MZ2 State]]="Suboptimal"),1,"")</f>
        <v/>
      </c>
      <c r="R258" s="12" t="s">
        <v>26</v>
      </c>
      <c r="S258" s="12">
        <v>12</v>
      </c>
      <c r="T258" s="12">
        <v>300.05800000000102</v>
      </c>
      <c r="U258" s="12">
        <v>1</v>
      </c>
      <c r="V258" s="5" t="s">
        <v>25</v>
      </c>
      <c r="W258" s="2">
        <v>12</v>
      </c>
      <c r="X258" s="2">
        <v>81.9557377</v>
      </c>
      <c r="Y258" s="2" t="str">
        <f>IF(AND(Table1[[#This Row],[ORTools FZN1 Cost]]=Table1[[#This Row],[ORTools FZN2 Cost]],Table1[[#This Row],[ORTools FZN2 State]]="Optimal",Table1[[#This Row],[ORTools FZN1 State]]="Suboptimal"),1,"")</f>
        <v/>
      </c>
      <c r="Z258" s="5" t="s">
        <v>25</v>
      </c>
      <c r="AA258" s="2">
        <v>12</v>
      </c>
      <c r="AB258" s="2">
        <v>92.259433999999999</v>
      </c>
      <c r="AC258" s="39" t="s">
        <v>42</v>
      </c>
      <c r="AD258" s="39">
        <v>-347971</v>
      </c>
      <c r="AE258" s="2">
        <v>300.1920566</v>
      </c>
      <c r="AF258" s="2" t="str">
        <f>IF(AND(Table1[[#This Row],[Cplex MB Cost]]=Table1[[#This Row],[ORTools FZN2 Cost]],Table1[[#This Row],[ORTools FZN2 State]]="Optimal",Table1[[#This Row],[Cplex MB State]]="Suboptimal"),1,"")</f>
        <v/>
      </c>
      <c r="AG258" s="4">
        <f>IF(AND(AC258="Optimal",AD258&lt;&gt;AA258,Table1[[#This Row],[Example]]&lt;&gt;"R001",Table1[[#This Row],[Example]]&lt;&gt;"R002"),AD258-AA258,)</f>
        <v>0</v>
      </c>
      <c r="AH258" s="5" t="s">
        <v>42</v>
      </c>
      <c r="AI258" s="2">
        <v>-347971</v>
      </c>
      <c r="AJ258" s="2">
        <v>300.02809459999997</v>
      </c>
      <c r="AK258" s="2" t="str">
        <f>IF(AND(Table1[[#This Row],[Cplex MD Cost]]=Table1[[#This Row],[ORTools FZN2 Cost]],Table1[[#This Row],[ORTools FZN2 State]]="Optimal",Table1[[#This Row],[Cplex MD State]]="Suboptimal"),1,"")</f>
        <v/>
      </c>
      <c r="AL258" s="4">
        <f>IF(AND(AH258="Optimal",AI258&lt;&gt;AA258,Table1[[#This Row],[Example]]&lt;&gt;"R001",Table1[[#This Row],[Example]]&lt;&gt;"R002"),AI258-AA258,)</f>
        <v>0</v>
      </c>
      <c r="AM258" s="39" t="s">
        <v>25</v>
      </c>
      <c r="AN258" s="39">
        <v>12</v>
      </c>
      <c r="AO258" s="2">
        <v>224.5031544</v>
      </c>
      <c r="AP25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8" s="4" t="str">
        <f>IF(AND(Table1[[#This Row],[Cplex MI Cost]]=Table1[[#This Row],[ORTools FZN2 Cost]],Table1[[#This Row],[ORTools FZN2 State]]="Optimal",Table1[[#This Row],[Cplex MI State]]="Suboptimal"),1,"")</f>
        <v/>
      </c>
      <c r="AR258" s="5" t="s">
        <v>42</v>
      </c>
      <c r="AS258" s="2">
        <v>-347971</v>
      </c>
      <c r="AT258" s="2">
        <v>300.06859919999999</v>
      </c>
      <c r="AU258" s="2" t="str">
        <f>IF(AND(Table1[[#This Row],[Z3 SMT2-1 Maxres Cost]]=Table1[[#This Row],[ORTools FZN2 Cost]],Table1[[#This Row],[ORTools FZN2 State]]="Optimal"),1,"")</f>
        <v/>
      </c>
      <c r="AV258" s="39" t="s">
        <v>42</v>
      </c>
      <c r="AW258" s="39">
        <v>-347971</v>
      </c>
      <c r="AX258" s="2">
        <v>300.07511140000003</v>
      </c>
      <c r="AY258" s="2" t="str">
        <f>IF(AND(Table1[[#This Row],[Z3 SMT2-1 PdMaxres Cost]]=Table1[[#This Row],[ORTools FZN2 Cost]],Table1[[#This Row],[ORTools FZN2 State]]="Optimal"),1,"")</f>
        <v/>
      </c>
      <c r="AZ258" s="5" t="s">
        <v>42</v>
      </c>
      <c r="BA258" s="2">
        <v>-347971</v>
      </c>
      <c r="BB258" s="39">
        <v>300.08091359999997</v>
      </c>
      <c r="BC258" s="39" t="str">
        <f>IF(AND(Table1[[#This Row],[Z3 SMT2-1 WMax Cost]]=Table1[[#This Row],[ORTools FZN2 Cost]],Table1[[#This Row],[ORTools FZN2 State]]="Optimal"),1,"")</f>
        <v/>
      </c>
      <c r="BD258" s="39" t="s">
        <v>42</v>
      </c>
      <c r="BE258" s="39">
        <v>-347971</v>
      </c>
      <c r="BF258" s="2">
        <v>300.08401889999999</v>
      </c>
      <c r="BG258" s="2" t="str">
        <f>IF(AND(Table1[[#This Row],[Z3 SMT2-2 Maxres Cost]]=Table1[[#This Row],[ORTools FZN2 Cost]],Table1[[#This Row],[ORTools FZN2 State]]="Optimal"),1,"")</f>
        <v/>
      </c>
      <c r="BH258" s="5" t="s">
        <v>42</v>
      </c>
      <c r="BI258" s="2">
        <v>-347971</v>
      </c>
      <c r="BJ258" s="39">
        <v>300.06961760000002</v>
      </c>
      <c r="BK258" s="39" t="str">
        <f>IF(AND(Table1[[#This Row],[Z3 SMT2-2 PdMaxres Cost]]=Table1[[#This Row],[ORTools FZN2 Cost]],Table1[[#This Row],[ORTools FZN2 State]]="Optimal"),1,"")</f>
        <v/>
      </c>
      <c r="BL258" s="39" t="s">
        <v>42</v>
      </c>
      <c r="BM258" s="39">
        <v>-347971</v>
      </c>
      <c r="BN258" s="2">
        <v>300.07027099999999</v>
      </c>
      <c r="BO258" s="4" t="str">
        <f>IF(AND(Table1[[#This Row],[Z3 SMT2-2 PdMaxres Cost]]=Table1[[#This Row],[ORTools FZN2 Cost]],Table1[[#This Row],[ORTools FZN2 State]]="Optimal"),1,"")</f>
        <v/>
      </c>
      <c r="BP258" s="5" t="s">
        <v>42</v>
      </c>
      <c r="BQ258" s="2">
        <v>-347971</v>
      </c>
      <c r="BR258" s="2">
        <v>300.18784490000002</v>
      </c>
      <c r="BS258" s="2" t="str">
        <f>IF(AND(Table1[[#This Row],[Gurobi MB Cost]]=Table1[[#This Row],[ORTools FZN2 Cost]],Table1[[#This Row],[ORTools FZN2 State]]="Optimal",Table1[[#This Row],[Gurobi MB State]]="Suboptimal"),1,"")</f>
        <v/>
      </c>
      <c r="BT25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8" s="5" t="s">
        <v>42</v>
      </c>
      <c r="BV258" s="2">
        <v>-347971</v>
      </c>
      <c r="BW258" s="2">
        <v>300.25789850000001</v>
      </c>
      <c r="BX258" s="2" t="str">
        <f>IF(AND(Table1[[#This Row],[Gurobi MD Cost]]=Table1[[#This Row],[ORTools FZN2 Cost]],Table1[[#This Row],[ORTools FZN2 State]]="Optimal",Table1[[#This Row],[Gurobi MD State]]="Suboptimal"),1,"")</f>
        <v/>
      </c>
      <c r="BY25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8" s="5" t="s">
        <v>42</v>
      </c>
      <c r="CA258" s="2">
        <v>-347971</v>
      </c>
      <c r="CB258" s="2">
        <v>305.49522080000003</v>
      </c>
      <c r="CC258" s="2" t="str">
        <f>IF(AND(Table1[[#This Row],[Gurobi MI Cost]]=Table1[[#This Row],[ORTools FZN2 Cost]],Table1[[#This Row],[ORTools FZN2 State]]="Optimal",Table1[[#This Row],[Gurobi MI State]]="Suboptimal"),1,"")</f>
        <v/>
      </c>
      <c r="CD25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8" s="39" t="s">
        <v>42</v>
      </c>
      <c r="CF258" s="2">
        <v>-347971</v>
      </c>
      <c r="CG258" s="39">
        <v>306.20986349999998</v>
      </c>
      <c r="CH258" s="39" t="s">
        <v>42</v>
      </c>
      <c r="CI258" s="39">
        <v>-347971</v>
      </c>
      <c r="CJ258" s="2">
        <v>306.27627439999998</v>
      </c>
      <c r="CK258" s="5" t="s">
        <v>26</v>
      </c>
      <c r="CL258" s="2">
        <v>12</v>
      </c>
      <c r="CM258" s="2">
        <v>300.14699999999698</v>
      </c>
      <c r="CN258" s="5" t="s">
        <v>26</v>
      </c>
      <c r="CO258" s="2">
        <v>11739241</v>
      </c>
      <c r="CP258" s="2">
        <v>303.28770400000002</v>
      </c>
      <c r="CQ258" s="5" t="s">
        <v>25</v>
      </c>
      <c r="CR258" s="2">
        <v>12</v>
      </c>
      <c r="CS258" s="2">
        <v>118.4240977</v>
      </c>
      <c r="CT258" s="6" t="s">
        <v>25</v>
      </c>
      <c r="CU258" s="4">
        <v>12</v>
      </c>
      <c r="CV258" s="4">
        <v>43.336687499999996</v>
      </c>
      <c r="CW258" s="39" t="s">
        <v>26</v>
      </c>
      <c r="CX258" s="39">
        <v>7577669</v>
      </c>
      <c r="CY258" s="2">
        <v>300.0256</v>
      </c>
      <c r="CZ258" s="2" t="str">
        <f>IF(AND(Table1[[#This Row],[Cplex MZ1 Cost]]=Table1[[#This Row],[ORTools FZN2 Cost]],Table1[[#This Row],[ORTools FZN2 State]]="Optimal",Table1[[#This Row],[Cplex MZ1 State]]="Suboptimal"),1,"")</f>
        <v/>
      </c>
      <c r="DA258" s="5" t="s">
        <v>42</v>
      </c>
      <c r="DB258" s="2"/>
      <c r="DC258" s="2">
        <v>300.01949999999999</v>
      </c>
      <c r="DD258" s="2" t="str">
        <f>IF(AND(Table1[[#This Row],[Cplex MZ2 Cost]]=Table1[[#This Row],[ORTools FZN2 Cost]],Table1[[#This Row],[ORTools FZN2 State]]="Optimal",Table1[[#This Row],[Cplex MZ2 State]]="Suboptimal"),1,"")</f>
        <v/>
      </c>
      <c r="DE258" s="39" t="s">
        <v>42</v>
      </c>
      <c r="DF258" s="39"/>
      <c r="DG258" s="2">
        <v>300.01510000000002</v>
      </c>
      <c r="DH258" s="2" t="str">
        <f>IF(AND(Table1[[#This Row],[Gurobi MZ1 Cost]]=Table1[[#This Row],[ORTools FZN2 Cost]],Table1[[#This Row],[ORTools FZN2 State]]="Optimal",Table1[[#This Row],[Gurobi MZ1 State]]="Suboptimal"),1,"")</f>
        <v/>
      </c>
      <c r="DI258" s="5" t="s">
        <v>42</v>
      </c>
      <c r="DJ258" s="2"/>
      <c r="DK258" s="2">
        <v>300.0093</v>
      </c>
      <c r="DL258" s="4" t="str">
        <f>IF(AND(Table1[[#This Row],[Gurobi MZ2 Cost]]=Table1[[#This Row],[ORTools FZN2 Cost]],Table1[[#This Row],[ORTools FZN2 State]]="Optimal",Table1[[#This Row],[Gurobi MZ2 State]]="Suboptimal"),1,"")</f>
        <v/>
      </c>
      <c r="DM258" s="39" t="s">
        <v>26</v>
      </c>
      <c r="DN258" s="12">
        <v>12</v>
      </c>
      <c r="DO258" s="69">
        <v>300.08000000000101</v>
      </c>
      <c r="DP258" s="11">
        <f>IF(AND(Table1[[#This Row],[Cplex MC nonDual Cost]]=Table1[[#This Row],[ORTools FZN2 Cost]],Table1[[#This Row],[ORTools FZN2 State]]="Optimal",Table1[[#This Row],[Cplex MC nonDual State]]="Suboptimal"),1,"")</f>
        <v>1</v>
      </c>
      <c r="DQ258" s="5" t="s">
        <v>42</v>
      </c>
      <c r="DR258" s="2"/>
      <c r="DS258" s="2">
        <v>300.02640000000002</v>
      </c>
      <c r="DT258" s="2" t="str">
        <f>IF(AND(Table1[[#This Row],[Cplex MIP DM''z Cost]]=Table1[[#This Row],[ORTools FZN2 Cost]],Table1[[#This Row],[ORTools FZN2 State]]="Optimal",Table1[[#This Row],[Cplex MIP DM''z  State]]="Suboptimal"),1,"")</f>
        <v/>
      </c>
      <c r="DU25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8" s="5" t="s">
        <v>42</v>
      </c>
      <c r="DW258" s="2"/>
      <c r="DX258" s="2">
        <v>300.00540000000001</v>
      </c>
      <c r="DY258" s="4" t="str">
        <f>IF(AND(Table1[[#This Row],[Gurobi DM''z  Cost]]=Table1[[#This Row],[ORTools FZN2 Cost]],Table1[[#This Row],[ORTools FZN2 State]]="Optimal",Table1[[#This Row],[Gurobi DM''z  State]]="Suboptimal"),1,"")</f>
        <v/>
      </c>
      <c r="DZ25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59" spans="1:130" ht="15.75" x14ac:dyDescent="0.25">
      <c r="A259" s="47" t="s">
        <v>285</v>
      </c>
      <c r="B259" s="5">
        <v>70</v>
      </c>
      <c r="C259" s="2">
        <v>35</v>
      </c>
      <c r="D259" s="5">
        <v>483</v>
      </c>
      <c r="E259" s="2">
        <v>50</v>
      </c>
      <c r="F259" s="5">
        <v>63</v>
      </c>
      <c r="G259" s="2">
        <v>0</v>
      </c>
      <c r="H259" s="4">
        <f t="shared" ref="H259:H280" si="4" xml:space="preserve"> B259-PRODUCT(2,C259)</f>
        <v>0</v>
      </c>
      <c r="I259" s="4">
        <f>Table1[[#This Row],[B]]+Table1[[#This Row],[Atomic Constraints]]+Table1[[#This Row],[Soft Atomic Constraints]]+Table1[[#This Row],[Disjunctive Constraints]]+Table1[[#This Row],[Direct Successors]]</f>
        <v>631</v>
      </c>
      <c r="J259" s="5" t="s">
        <v>26</v>
      </c>
      <c r="K259" s="2">
        <v>12096930</v>
      </c>
      <c r="L259" s="2">
        <v>303.45301419999998</v>
      </c>
      <c r="M259" s="2" t="str">
        <f>IF(AND(Table1[[#This Row],[Chuffed MZ1 Cost]]=Table1[[#This Row],[ORTools FZN2 Cost]],Table1[[#This Row],[ORTools FZN2 State]]="Optimal",Table1[[#This Row],[Chuffed MZ1 State]]="Suboptimal"),1,"")</f>
        <v/>
      </c>
      <c r="N259" s="5" t="s">
        <v>26</v>
      </c>
      <c r="O259" s="2">
        <v>11778009</v>
      </c>
      <c r="P259" s="2">
        <v>303.32333260000001</v>
      </c>
      <c r="Q259" s="2" t="str">
        <f>IF(AND(Table1[[#This Row],[Chuffed MZ2 Cost]]=Table1[[#This Row],[ORTools FZN2 Cost]],Table1[[#This Row],[ORTools FZN2 State]]="Optimal",Table1[[#This Row],[Chuffed MZ2 State]]="Suboptimal"),1,"")</f>
        <v/>
      </c>
      <c r="R259" s="11" t="s">
        <v>26</v>
      </c>
      <c r="S259" s="11">
        <v>1387400</v>
      </c>
      <c r="T259" s="11">
        <v>300.22299999999802</v>
      </c>
      <c r="U259" s="11">
        <v>1</v>
      </c>
      <c r="V259" s="5" t="s">
        <v>25</v>
      </c>
      <c r="W259" s="2">
        <v>1387400</v>
      </c>
      <c r="X259" s="2">
        <v>145.84795779999999</v>
      </c>
      <c r="Y259" s="2" t="str">
        <f>IF(AND(Table1[[#This Row],[ORTools FZN1 Cost]]=Table1[[#This Row],[ORTools FZN2 Cost]],Table1[[#This Row],[ORTools FZN2 State]]="Optimal",Table1[[#This Row],[ORTools FZN1 State]]="Suboptimal"),1,"")</f>
        <v/>
      </c>
      <c r="Z259" s="5" t="s">
        <v>25</v>
      </c>
      <c r="AA259" s="2">
        <v>1387400</v>
      </c>
      <c r="AB259" s="2">
        <v>127.42897360000001</v>
      </c>
      <c r="AC259" s="39" t="s">
        <v>42</v>
      </c>
      <c r="AD259" s="39">
        <v>-347971</v>
      </c>
      <c r="AE259" s="2">
        <v>300.16718659999998</v>
      </c>
      <c r="AF259" s="2" t="str">
        <f>IF(AND(Table1[[#This Row],[Cplex MB Cost]]=Table1[[#This Row],[ORTools FZN2 Cost]],Table1[[#This Row],[ORTools FZN2 State]]="Optimal",Table1[[#This Row],[Cplex MB State]]="Suboptimal"),1,"")</f>
        <v/>
      </c>
      <c r="AG259" s="4">
        <f>IF(AND(AC259="Optimal",AD259&lt;&gt;AA259,Table1[[#This Row],[Example]]&lt;&gt;"R001",Table1[[#This Row],[Example]]&lt;&gt;"R002"),AD259-AA259,)</f>
        <v>0</v>
      </c>
      <c r="AH259" s="5" t="s">
        <v>42</v>
      </c>
      <c r="AI259" s="2">
        <v>-347971</v>
      </c>
      <c r="AJ259" s="2">
        <v>300.34618330000001</v>
      </c>
      <c r="AK259" s="2" t="str">
        <f>IF(AND(Table1[[#This Row],[Cplex MD Cost]]=Table1[[#This Row],[ORTools FZN2 Cost]],Table1[[#This Row],[ORTools FZN2 State]]="Optimal",Table1[[#This Row],[Cplex MD State]]="Suboptimal"),1,"")</f>
        <v/>
      </c>
      <c r="AL259" s="2">
        <f>IF(AND(AH259="Optimal",AI259&lt;&gt;AA259,Table1[[#This Row],[Example]]&lt;&gt;"R001",Table1[[#This Row],[Example]]&lt;&gt;"R002"),AI259-AA259,)</f>
        <v>0</v>
      </c>
      <c r="AM259" s="39" t="s">
        <v>42</v>
      </c>
      <c r="AN259" s="39">
        <v>-347971</v>
      </c>
      <c r="AO259" s="2">
        <v>300.13078400000001</v>
      </c>
      <c r="AP25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59" s="2" t="str">
        <f>IF(AND(Table1[[#This Row],[Cplex MI Cost]]=Table1[[#This Row],[ORTools FZN2 Cost]],Table1[[#This Row],[ORTools FZN2 State]]="Optimal",Table1[[#This Row],[Cplex MI State]]="Suboptimal"),1,"")</f>
        <v/>
      </c>
      <c r="AR259" s="5" t="s">
        <v>42</v>
      </c>
      <c r="AS259" s="2">
        <v>-347971</v>
      </c>
      <c r="AT259" s="2">
        <v>300.07783849999998</v>
      </c>
      <c r="AU259" s="2" t="str">
        <f>IF(AND(Table1[[#This Row],[Z3 SMT2-1 Maxres Cost]]=Table1[[#This Row],[ORTools FZN2 Cost]],Table1[[#This Row],[ORTools FZN2 State]]="Optimal"),1,"")</f>
        <v/>
      </c>
      <c r="AV259" s="39" t="s">
        <v>42</v>
      </c>
      <c r="AW259" s="39">
        <v>-347971</v>
      </c>
      <c r="AX259" s="2">
        <v>300.06384100000002</v>
      </c>
      <c r="AY259" s="2" t="str">
        <f>IF(AND(Table1[[#This Row],[Z3 SMT2-1 PdMaxres Cost]]=Table1[[#This Row],[ORTools FZN2 Cost]],Table1[[#This Row],[ORTools FZN2 State]]="Optimal"),1,"")</f>
        <v/>
      </c>
      <c r="AZ259" s="5" t="s">
        <v>42</v>
      </c>
      <c r="BA259" s="2">
        <v>-347971</v>
      </c>
      <c r="BB259" s="39">
        <v>300.06381750000003</v>
      </c>
      <c r="BC259" s="39" t="str">
        <f>IF(AND(Table1[[#This Row],[Z3 SMT2-1 WMax Cost]]=Table1[[#This Row],[ORTools FZN2 Cost]],Table1[[#This Row],[ORTools FZN2 State]]="Optimal"),1,"")</f>
        <v/>
      </c>
      <c r="BD259" s="39" t="s">
        <v>42</v>
      </c>
      <c r="BE259" s="39">
        <v>-347971</v>
      </c>
      <c r="BF259" s="2">
        <v>300.0638553</v>
      </c>
      <c r="BG259" s="2" t="str">
        <f>IF(AND(Table1[[#This Row],[Z3 SMT2-2 Maxres Cost]]=Table1[[#This Row],[ORTools FZN2 Cost]],Table1[[#This Row],[ORTools FZN2 State]]="Optimal"),1,"")</f>
        <v/>
      </c>
      <c r="BH259" s="5" t="s">
        <v>42</v>
      </c>
      <c r="BI259" s="2">
        <v>-347971</v>
      </c>
      <c r="BJ259" s="39">
        <v>300.0772786</v>
      </c>
      <c r="BK259" s="39" t="str">
        <f>IF(AND(Table1[[#This Row],[Z3 SMT2-2 PdMaxres Cost]]=Table1[[#This Row],[ORTools FZN2 Cost]],Table1[[#This Row],[ORTools FZN2 State]]="Optimal"),1,"")</f>
        <v/>
      </c>
      <c r="BL259" s="39" t="s">
        <v>42</v>
      </c>
      <c r="BM259" s="39">
        <v>-347971</v>
      </c>
      <c r="BN259" s="2">
        <v>300.06884120000001</v>
      </c>
      <c r="BO259" s="4" t="str">
        <f>IF(AND(Table1[[#This Row],[Z3 SMT2-2 PdMaxres Cost]]=Table1[[#This Row],[ORTools FZN2 Cost]],Table1[[#This Row],[ORTools FZN2 State]]="Optimal"),1,"")</f>
        <v/>
      </c>
      <c r="BP259" s="5" t="s">
        <v>42</v>
      </c>
      <c r="BQ259" s="2">
        <v>-347971</v>
      </c>
      <c r="BR259" s="2">
        <v>300.16043680000001</v>
      </c>
      <c r="BS259" s="2" t="str">
        <f>IF(AND(Table1[[#This Row],[Gurobi MB Cost]]=Table1[[#This Row],[ORTools FZN2 Cost]],Table1[[#This Row],[ORTools FZN2 State]]="Optimal",Table1[[#This Row],[Gurobi MB State]]="Suboptimal"),1,"")</f>
        <v/>
      </c>
      <c r="BT25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59" s="5" t="s">
        <v>42</v>
      </c>
      <c r="BV259" s="2">
        <v>-347971</v>
      </c>
      <c r="BW259" s="2">
        <v>300.24775490000002</v>
      </c>
      <c r="BX259" s="2" t="str">
        <f>IF(AND(Table1[[#This Row],[Gurobi MD Cost]]=Table1[[#This Row],[ORTools FZN2 Cost]],Table1[[#This Row],[ORTools FZN2 State]]="Optimal",Table1[[#This Row],[Gurobi MD State]]="Suboptimal"),1,"")</f>
        <v/>
      </c>
      <c r="BY25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59" s="5" t="s">
        <v>42</v>
      </c>
      <c r="CA259" s="2">
        <v>-347971</v>
      </c>
      <c r="CB259" s="2">
        <v>300.22240390000002</v>
      </c>
      <c r="CC259" s="2" t="str">
        <f>IF(AND(Table1[[#This Row],[Gurobi MI Cost]]=Table1[[#This Row],[ORTools FZN2 Cost]],Table1[[#This Row],[ORTools FZN2 State]]="Optimal",Table1[[#This Row],[Gurobi MI State]]="Suboptimal"),1,"")</f>
        <v/>
      </c>
      <c r="CD25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59" s="39" t="s">
        <v>42</v>
      </c>
      <c r="CF259" s="2">
        <v>-347971</v>
      </c>
      <c r="CG259" s="39">
        <v>306.2757982</v>
      </c>
      <c r="CH259" s="39" t="s">
        <v>42</v>
      </c>
      <c r="CI259" s="39">
        <v>-347971</v>
      </c>
      <c r="CJ259" s="2">
        <v>306.2346369</v>
      </c>
      <c r="CK259" s="5" t="s">
        <v>26</v>
      </c>
      <c r="CL259" s="2">
        <v>1387400</v>
      </c>
      <c r="CM259" s="2">
        <v>300.229000000003</v>
      </c>
      <c r="CN259" s="5" t="s">
        <v>26</v>
      </c>
      <c r="CO259" s="2">
        <v>10396841</v>
      </c>
      <c r="CP259" s="2">
        <v>303.31159930000001</v>
      </c>
      <c r="CQ259" s="5" t="s">
        <v>25</v>
      </c>
      <c r="CR259" s="2">
        <v>1387400</v>
      </c>
      <c r="CS259" s="2">
        <v>164.37960960000001</v>
      </c>
      <c r="CT259" s="6" t="s">
        <v>25</v>
      </c>
      <c r="CU259" s="4">
        <v>1387400</v>
      </c>
      <c r="CV259" s="4">
        <v>68.434657900000005</v>
      </c>
      <c r="CW259" s="39" t="s">
        <v>42</v>
      </c>
      <c r="CX259" s="39"/>
      <c r="CY259" s="2">
        <v>300.0197</v>
      </c>
      <c r="CZ259" s="2" t="str">
        <f>IF(AND(Table1[[#This Row],[Cplex MZ1 Cost]]=Table1[[#This Row],[ORTools FZN2 Cost]],Table1[[#This Row],[ORTools FZN2 State]]="Optimal",Table1[[#This Row],[Cplex MZ1 State]]="Suboptimal"),1,"")</f>
        <v/>
      </c>
      <c r="DA259" s="5" t="s">
        <v>42</v>
      </c>
      <c r="DB259" s="2"/>
      <c r="DC259" s="2">
        <v>300.01850000000002</v>
      </c>
      <c r="DD259" s="2" t="str">
        <f>IF(AND(Table1[[#This Row],[Cplex MZ2 Cost]]=Table1[[#This Row],[ORTools FZN2 Cost]],Table1[[#This Row],[ORTools FZN2 State]]="Optimal",Table1[[#This Row],[Cplex MZ2 State]]="Suboptimal"),1,"")</f>
        <v/>
      </c>
      <c r="DE259" s="39" t="s">
        <v>42</v>
      </c>
      <c r="DF259" s="39"/>
      <c r="DG259" s="2">
        <v>300.01429999999999</v>
      </c>
      <c r="DH259" s="2" t="str">
        <f>IF(AND(Table1[[#This Row],[Gurobi MZ1 Cost]]=Table1[[#This Row],[ORTools FZN2 Cost]],Table1[[#This Row],[ORTools FZN2 State]]="Optimal",Table1[[#This Row],[Gurobi MZ1 State]]="Suboptimal"),1,"")</f>
        <v/>
      </c>
      <c r="DI259" s="5" t="s">
        <v>42</v>
      </c>
      <c r="DJ259" s="2"/>
      <c r="DK259" s="2">
        <v>301.1825</v>
      </c>
      <c r="DL259" s="4" t="str">
        <f>IF(AND(Table1[[#This Row],[Gurobi MZ2 Cost]]=Table1[[#This Row],[ORTools FZN2 Cost]],Table1[[#This Row],[ORTools FZN2 State]]="Optimal",Table1[[#This Row],[Gurobi MZ2 State]]="Suboptimal"),1,"")</f>
        <v/>
      </c>
      <c r="DM259" s="39" t="s">
        <v>26</v>
      </c>
      <c r="DN259" s="12">
        <v>1387400</v>
      </c>
      <c r="DO259" s="69">
        <v>300.133000000001</v>
      </c>
      <c r="DP259" s="11">
        <f>IF(AND(Table1[[#This Row],[Cplex MC nonDual Cost]]=Table1[[#This Row],[ORTools FZN2 Cost]],Table1[[#This Row],[ORTools FZN2 State]]="Optimal",Table1[[#This Row],[Cplex MC nonDual State]]="Suboptimal"),1,"")</f>
        <v>1</v>
      </c>
      <c r="DQ259" s="5" t="s">
        <v>26</v>
      </c>
      <c r="DR259" s="2">
        <v>7239838</v>
      </c>
      <c r="DS259" s="2">
        <v>300.0487</v>
      </c>
      <c r="DT259" s="2" t="str">
        <f>IF(AND(Table1[[#This Row],[Cplex MIP DM''z Cost]]=Table1[[#This Row],[ORTools FZN2 Cost]],Table1[[#This Row],[ORTools FZN2 State]]="Optimal",Table1[[#This Row],[Cplex MIP DM''z  State]]="Suboptimal"),1,"")</f>
        <v/>
      </c>
      <c r="DU25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59" s="5" t="s">
        <v>42</v>
      </c>
      <c r="DW259" s="2"/>
      <c r="DX259" s="2">
        <v>300.01049999999998</v>
      </c>
      <c r="DY259" s="4" t="str">
        <f>IF(AND(Table1[[#This Row],[Gurobi DM''z  Cost]]=Table1[[#This Row],[ORTools FZN2 Cost]],Table1[[#This Row],[ORTools FZN2 State]]="Optimal",Table1[[#This Row],[Gurobi DM''z  State]]="Suboptimal"),1,"")</f>
        <v/>
      </c>
      <c r="DZ25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0" spans="1:130" ht="15.75" x14ac:dyDescent="0.25">
      <c r="A260" s="46" t="s">
        <v>286</v>
      </c>
      <c r="B260" s="5">
        <v>70</v>
      </c>
      <c r="C260" s="2">
        <v>35</v>
      </c>
      <c r="D260" s="5">
        <v>800</v>
      </c>
      <c r="E260" s="2">
        <v>38</v>
      </c>
      <c r="F260" s="5">
        <v>117</v>
      </c>
      <c r="G260" s="2">
        <v>0</v>
      </c>
      <c r="H260" s="4">
        <f t="shared" si="4"/>
        <v>0</v>
      </c>
      <c r="I260" s="4">
        <f>Table1[[#This Row],[B]]+Table1[[#This Row],[Atomic Constraints]]+Table1[[#This Row],[Soft Atomic Constraints]]+Table1[[#This Row],[Disjunctive Constraints]]+Table1[[#This Row],[Direct Successors]]</f>
        <v>990</v>
      </c>
      <c r="J260" s="5" t="s">
        <v>26</v>
      </c>
      <c r="K260" s="2">
        <v>10690757</v>
      </c>
      <c r="L260" s="2">
        <v>303.27258979999999</v>
      </c>
      <c r="M260" s="2" t="str">
        <f>IF(AND(Table1[[#This Row],[Chuffed MZ1 Cost]]=Table1[[#This Row],[ORTools FZN2 Cost]],Table1[[#This Row],[ORTools FZN2 State]]="Optimal",Table1[[#This Row],[Chuffed MZ1 State]]="Suboptimal"),1,"")</f>
        <v/>
      </c>
      <c r="N260" s="5" t="s">
        <v>26</v>
      </c>
      <c r="O260" s="2">
        <v>11117548</v>
      </c>
      <c r="P260" s="2">
        <v>303.2584008</v>
      </c>
      <c r="Q260" s="2" t="str">
        <f>IF(AND(Table1[[#This Row],[Chuffed MZ2 Cost]]=Table1[[#This Row],[ORTools FZN2 Cost]],Table1[[#This Row],[ORTools FZN2 State]]="Optimal",Table1[[#This Row],[Chuffed MZ2 State]]="Suboptimal"),1,"")</f>
        <v/>
      </c>
      <c r="R260" s="11" t="s">
        <v>26</v>
      </c>
      <c r="S260" s="11">
        <v>1388803</v>
      </c>
      <c r="T260" s="11">
        <v>300.218000000004</v>
      </c>
      <c r="U260" s="11">
        <v>1</v>
      </c>
      <c r="V260" s="5" t="s">
        <v>25</v>
      </c>
      <c r="W260" s="2">
        <v>1388803</v>
      </c>
      <c r="X260" s="2">
        <v>72.207849300000007</v>
      </c>
      <c r="Y260" s="2" t="str">
        <f>IF(AND(Table1[[#This Row],[ORTools FZN1 Cost]]=Table1[[#This Row],[ORTools FZN2 Cost]],Table1[[#This Row],[ORTools FZN2 State]]="Optimal",Table1[[#This Row],[ORTools FZN1 State]]="Suboptimal"),1,"")</f>
        <v/>
      </c>
      <c r="Z260" s="5" t="s">
        <v>25</v>
      </c>
      <c r="AA260" s="2">
        <v>1388803</v>
      </c>
      <c r="AB260" s="2">
        <v>80.068058500000006</v>
      </c>
      <c r="AC260" s="39" t="s">
        <v>42</v>
      </c>
      <c r="AD260" s="39">
        <v>-347971</v>
      </c>
      <c r="AE260" s="2">
        <v>300.19138270000002</v>
      </c>
      <c r="AF260" s="2" t="str">
        <f>IF(AND(Table1[[#This Row],[Cplex MB Cost]]=Table1[[#This Row],[ORTools FZN2 Cost]],Table1[[#This Row],[ORTools FZN2 State]]="Optimal",Table1[[#This Row],[Cplex MB State]]="Suboptimal"),1,"")</f>
        <v/>
      </c>
      <c r="AG260" s="4">
        <f>IF(AND(AC260="Optimal",AD260&lt;&gt;AA260,Table1[[#This Row],[Example]]&lt;&gt;"R001",Table1[[#This Row],[Example]]&lt;&gt;"R002"),AD260-AA260,)</f>
        <v>0</v>
      </c>
      <c r="AH260" s="5" t="s">
        <v>42</v>
      </c>
      <c r="AI260" s="2">
        <v>-347971</v>
      </c>
      <c r="AJ260" s="2">
        <v>300.45861830000001</v>
      </c>
      <c r="AK260" s="2" t="str">
        <f>IF(AND(Table1[[#This Row],[Cplex MD Cost]]=Table1[[#This Row],[ORTools FZN2 Cost]],Table1[[#This Row],[ORTools FZN2 State]]="Optimal",Table1[[#This Row],[Cplex MD State]]="Suboptimal"),1,"")</f>
        <v/>
      </c>
      <c r="AL260" s="4">
        <f>IF(AND(AH260="Optimal",AI260&lt;&gt;AA260,Table1[[#This Row],[Example]]&lt;&gt;"R001",Table1[[#This Row],[Example]]&lt;&gt;"R002"),AI260-AA260,)</f>
        <v>0</v>
      </c>
      <c r="AM260" s="39" t="s">
        <v>42</v>
      </c>
      <c r="AN260" s="39">
        <v>-347971</v>
      </c>
      <c r="AO260" s="2">
        <v>300.12791170000003</v>
      </c>
      <c r="AP26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0" s="4" t="str">
        <f>IF(AND(Table1[[#This Row],[Cplex MI Cost]]=Table1[[#This Row],[ORTools FZN2 Cost]],Table1[[#This Row],[ORTools FZN2 State]]="Optimal",Table1[[#This Row],[Cplex MI State]]="Suboptimal"),1,"")</f>
        <v/>
      </c>
      <c r="AR260" s="5" t="s">
        <v>42</v>
      </c>
      <c r="AS260" s="2">
        <v>-347971</v>
      </c>
      <c r="AT260" s="2">
        <v>300.06867790000001</v>
      </c>
      <c r="AU260" s="2" t="str">
        <f>IF(AND(Table1[[#This Row],[Z3 SMT2-1 Maxres Cost]]=Table1[[#This Row],[ORTools FZN2 Cost]],Table1[[#This Row],[ORTools FZN2 State]]="Optimal"),1,"")</f>
        <v/>
      </c>
      <c r="AV260" s="39" t="s">
        <v>42</v>
      </c>
      <c r="AW260" s="39">
        <v>-347971</v>
      </c>
      <c r="AX260" s="2">
        <v>300.07568470000001</v>
      </c>
      <c r="AY260" s="2" t="str">
        <f>IF(AND(Table1[[#This Row],[Z3 SMT2-1 PdMaxres Cost]]=Table1[[#This Row],[ORTools FZN2 Cost]],Table1[[#This Row],[ORTools FZN2 State]]="Optimal"),1,"")</f>
        <v/>
      </c>
      <c r="AZ260" s="5" t="s">
        <v>42</v>
      </c>
      <c r="BA260" s="2">
        <v>-347971</v>
      </c>
      <c r="BB260" s="39">
        <v>300.06641459999997</v>
      </c>
      <c r="BC260" s="39" t="str">
        <f>IF(AND(Table1[[#This Row],[Z3 SMT2-1 WMax Cost]]=Table1[[#This Row],[ORTools FZN2 Cost]],Table1[[#This Row],[ORTools FZN2 State]]="Optimal"),1,"")</f>
        <v/>
      </c>
      <c r="BD260" s="39" t="s">
        <v>42</v>
      </c>
      <c r="BE260" s="39">
        <v>-347971</v>
      </c>
      <c r="BF260" s="2">
        <v>300.06739959999999</v>
      </c>
      <c r="BG260" s="2" t="str">
        <f>IF(AND(Table1[[#This Row],[Z3 SMT2-2 Maxres Cost]]=Table1[[#This Row],[ORTools FZN2 Cost]],Table1[[#This Row],[ORTools FZN2 State]]="Optimal"),1,"")</f>
        <v/>
      </c>
      <c r="BH260" s="5" t="s">
        <v>42</v>
      </c>
      <c r="BI260" s="2">
        <v>-347971</v>
      </c>
      <c r="BJ260" s="39">
        <v>300.06600850000001</v>
      </c>
      <c r="BK260" s="39" t="str">
        <f>IF(AND(Table1[[#This Row],[Z3 SMT2-2 PdMaxres Cost]]=Table1[[#This Row],[ORTools FZN2 Cost]],Table1[[#This Row],[ORTools FZN2 State]]="Optimal"),1,"")</f>
        <v/>
      </c>
      <c r="BL260" s="39" t="s">
        <v>42</v>
      </c>
      <c r="BM260" s="39">
        <v>-347971</v>
      </c>
      <c r="BN260" s="2">
        <v>300.05954150000002</v>
      </c>
      <c r="BO260" s="4" t="str">
        <f>IF(AND(Table1[[#This Row],[Z3 SMT2-2 PdMaxres Cost]]=Table1[[#This Row],[ORTools FZN2 Cost]],Table1[[#This Row],[ORTools FZN2 State]]="Optimal"),1,"")</f>
        <v/>
      </c>
      <c r="BP260" s="5" t="s">
        <v>42</v>
      </c>
      <c r="BQ260" s="2">
        <v>-347971</v>
      </c>
      <c r="BR260" s="2">
        <v>300.22207969999999</v>
      </c>
      <c r="BS260" s="2" t="str">
        <f>IF(AND(Table1[[#This Row],[Gurobi MB Cost]]=Table1[[#This Row],[ORTools FZN2 Cost]],Table1[[#This Row],[ORTools FZN2 State]]="Optimal",Table1[[#This Row],[Gurobi MB State]]="Suboptimal"),1,"")</f>
        <v/>
      </c>
      <c r="BT26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0" s="5" t="s">
        <v>42</v>
      </c>
      <c r="BV260" s="2">
        <v>-347971</v>
      </c>
      <c r="BW260" s="2">
        <v>300.18260550000002</v>
      </c>
      <c r="BX260" s="2" t="str">
        <f>IF(AND(Table1[[#This Row],[Gurobi MD Cost]]=Table1[[#This Row],[ORTools FZN2 Cost]],Table1[[#This Row],[ORTools FZN2 State]]="Optimal",Table1[[#This Row],[Gurobi MD State]]="Suboptimal"),1,"")</f>
        <v/>
      </c>
      <c r="BY26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0" s="5" t="s">
        <v>42</v>
      </c>
      <c r="CA260" s="2">
        <v>-347971</v>
      </c>
      <c r="CB260" s="2">
        <v>300.13692200000003</v>
      </c>
      <c r="CC260" s="2" t="str">
        <f>IF(AND(Table1[[#This Row],[Gurobi MI Cost]]=Table1[[#This Row],[ORTools FZN2 Cost]],Table1[[#This Row],[ORTools FZN2 State]]="Optimal",Table1[[#This Row],[Gurobi MI State]]="Suboptimal"),1,"")</f>
        <v/>
      </c>
      <c r="CD26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0" s="39" t="s">
        <v>42</v>
      </c>
      <c r="CF260" s="2">
        <v>-347971</v>
      </c>
      <c r="CG260" s="39">
        <v>306.24841900000001</v>
      </c>
      <c r="CH260" s="39" t="s">
        <v>42</v>
      </c>
      <c r="CI260" s="39">
        <v>-347971</v>
      </c>
      <c r="CJ260" s="2">
        <v>306.21942059999998</v>
      </c>
      <c r="CK260" s="5" t="s">
        <v>26</v>
      </c>
      <c r="CL260" s="2">
        <v>1388803</v>
      </c>
      <c r="CM260" s="2">
        <v>300.07400000000098</v>
      </c>
      <c r="CN260" s="5" t="s">
        <v>26</v>
      </c>
      <c r="CO260" s="2">
        <v>11057849</v>
      </c>
      <c r="CP260" s="2">
        <v>303.24689960000001</v>
      </c>
      <c r="CQ260" s="5" t="s">
        <v>25</v>
      </c>
      <c r="CR260" s="2">
        <v>1388803</v>
      </c>
      <c r="CS260" s="2">
        <v>79.183406199999993</v>
      </c>
      <c r="CT260" s="6" t="s">
        <v>25</v>
      </c>
      <c r="CU260" s="4">
        <v>1388803</v>
      </c>
      <c r="CV260" s="4">
        <v>38.630201700000001</v>
      </c>
      <c r="CW260" s="39" t="s">
        <v>42</v>
      </c>
      <c r="CX260" s="39"/>
      <c r="CY260" s="2">
        <v>300.02699999999999</v>
      </c>
      <c r="CZ260" s="2" t="str">
        <f>IF(AND(Table1[[#This Row],[Cplex MZ1 Cost]]=Table1[[#This Row],[ORTools FZN2 Cost]],Table1[[#This Row],[ORTools FZN2 State]]="Optimal",Table1[[#This Row],[Cplex MZ1 State]]="Suboptimal"),1,"")</f>
        <v/>
      </c>
      <c r="DA260" s="5" t="s">
        <v>26</v>
      </c>
      <c r="DB260" s="2">
        <v>5867544</v>
      </c>
      <c r="DC260" s="2">
        <v>300.02499999999998</v>
      </c>
      <c r="DD260" s="2" t="str">
        <f>IF(AND(Table1[[#This Row],[Cplex MZ2 Cost]]=Table1[[#This Row],[ORTools FZN2 Cost]],Table1[[#This Row],[ORTools FZN2 State]]="Optimal",Table1[[#This Row],[Cplex MZ2 State]]="Suboptimal"),1,"")</f>
        <v/>
      </c>
      <c r="DE260" s="39" t="s">
        <v>42</v>
      </c>
      <c r="DF260" s="39"/>
      <c r="DG260" s="2">
        <v>300.00970000000001</v>
      </c>
      <c r="DH260" s="2" t="str">
        <f>IF(AND(Table1[[#This Row],[Gurobi MZ1 Cost]]=Table1[[#This Row],[ORTools FZN2 Cost]],Table1[[#This Row],[ORTools FZN2 State]]="Optimal",Table1[[#This Row],[Gurobi MZ1 State]]="Suboptimal"),1,"")</f>
        <v/>
      </c>
      <c r="DI260" s="5" t="s">
        <v>42</v>
      </c>
      <c r="DJ260" s="2"/>
      <c r="DK260" s="2">
        <v>300.01</v>
      </c>
      <c r="DL260" s="4" t="str">
        <f>IF(AND(Table1[[#This Row],[Gurobi MZ2 Cost]]=Table1[[#This Row],[ORTools FZN2 Cost]],Table1[[#This Row],[ORTools FZN2 State]]="Optimal",Table1[[#This Row],[Gurobi MZ2 State]]="Suboptimal"),1,"")</f>
        <v/>
      </c>
      <c r="DM260" s="39" t="s">
        <v>26</v>
      </c>
      <c r="DN260" s="12">
        <v>1388803</v>
      </c>
      <c r="DO260" s="69">
        <v>300.05900000000099</v>
      </c>
      <c r="DP260" s="11">
        <f>IF(AND(Table1[[#This Row],[Cplex MC nonDual Cost]]=Table1[[#This Row],[ORTools FZN2 Cost]],Table1[[#This Row],[ORTools FZN2 State]]="Optimal",Table1[[#This Row],[Cplex MC nonDual State]]="Suboptimal"),1,"")</f>
        <v>1</v>
      </c>
      <c r="DQ260" s="5" t="s">
        <v>26</v>
      </c>
      <c r="DR260" s="2">
        <v>8964348</v>
      </c>
      <c r="DS260" s="2">
        <v>300.03309999999999</v>
      </c>
      <c r="DT260" s="2" t="str">
        <f>IF(AND(Table1[[#This Row],[Cplex MIP DM''z Cost]]=Table1[[#This Row],[ORTools FZN2 Cost]],Table1[[#This Row],[ORTools FZN2 State]]="Optimal",Table1[[#This Row],[Cplex MIP DM''z  State]]="Suboptimal"),1,"")</f>
        <v/>
      </c>
      <c r="DU26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0" s="5" t="s">
        <v>42</v>
      </c>
      <c r="DW260" s="2"/>
      <c r="DX260" s="2">
        <v>300.1463</v>
      </c>
      <c r="DY260" s="4" t="str">
        <f>IF(AND(Table1[[#This Row],[Gurobi DM''z  Cost]]=Table1[[#This Row],[ORTools FZN2 Cost]],Table1[[#This Row],[ORTools FZN2 State]]="Optimal",Table1[[#This Row],[Gurobi DM''z  State]]="Suboptimal"),1,"")</f>
        <v/>
      </c>
      <c r="DZ26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1" spans="1:130" ht="15.75" x14ac:dyDescent="0.25">
      <c r="A261" s="47" t="s">
        <v>287</v>
      </c>
      <c r="B261" s="5">
        <v>69</v>
      </c>
      <c r="C261" s="2">
        <v>31</v>
      </c>
      <c r="D261" s="5">
        <v>662</v>
      </c>
      <c r="E261" s="2">
        <v>40</v>
      </c>
      <c r="F261" s="5">
        <v>39</v>
      </c>
      <c r="G261" s="2">
        <v>0</v>
      </c>
      <c r="H261" s="4">
        <f t="shared" si="4"/>
        <v>7</v>
      </c>
      <c r="I261" s="4">
        <f>Table1[[#This Row],[B]]+Table1[[#This Row],[Atomic Constraints]]+Table1[[#This Row],[Soft Atomic Constraints]]+Table1[[#This Row],[Disjunctive Constraints]]+Table1[[#This Row],[Direct Successors]]</f>
        <v>772</v>
      </c>
      <c r="J261" s="5" t="s">
        <v>26</v>
      </c>
      <c r="K261" s="2">
        <v>9625792</v>
      </c>
      <c r="L261" s="2">
        <v>302.74777610000001</v>
      </c>
      <c r="M261" s="2" t="str">
        <f>IF(AND(Table1[[#This Row],[Chuffed MZ1 Cost]]=Table1[[#This Row],[ORTools FZN2 Cost]],Table1[[#This Row],[ORTools FZN2 State]]="Optimal",Table1[[#This Row],[Chuffed MZ1 State]]="Suboptimal"),1,"")</f>
        <v/>
      </c>
      <c r="N261" s="5" t="s">
        <v>26</v>
      </c>
      <c r="O261" s="2">
        <v>7293108</v>
      </c>
      <c r="P261" s="2">
        <v>302.80857479999997</v>
      </c>
      <c r="Q261" s="2" t="str">
        <f>IF(AND(Table1[[#This Row],[Chuffed MZ2 Cost]]=Table1[[#This Row],[ORTools FZN2 Cost]],Table1[[#This Row],[ORTools FZN2 State]]="Optimal",Table1[[#This Row],[Chuffed MZ2 State]]="Suboptimal"),1,"")</f>
        <v/>
      </c>
      <c r="R261" s="6" t="s">
        <v>26</v>
      </c>
      <c r="S261" s="4">
        <v>4321006</v>
      </c>
      <c r="T261" s="4">
        <v>300.17599999999902</v>
      </c>
      <c r="U261" s="4"/>
      <c r="V261" s="5" t="s">
        <v>25</v>
      </c>
      <c r="W261" s="2">
        <v>4311755</v>
      </c>
      <c r="X261" s="2">
        <v>133.3045812</v>
      </c>
      <c r="Y261" s="2" t="str">
        <f>IF(AND(Table1[[#This Row],[ORTools FZN1 Cost]]=Table1[[#This Row],[ORTools FZN2 Cost]],Table1[[#This Row],[ORTools FZN2 State]]="Optimal",Table1[[#This Row],[ORTools FZN1 State]]="Suboptimal"),1,"")</f>
        <v/>
      </c>
      <c r="Z261" s="5" t="s">
        <v>25</v>
      </c>
      <c r="AA261" s="2">
        <v>4311755</v>
      </c>
      <c r="AB261" s="2">
        <v>143.45363209999999</v>
      </c>
      <c r="AC261" s="39" t="s">
        <v>42</v>
      </c>
      <c r="AD261" s="39">
        <v>-333340</v>
      </c>
      <c r="AE261" s="2">
        <v>300.14678470000001</v>
      </c>
      <c r="AF261" s="2" t="str">
        <f>IF(AND(Table1[[#This Row],[Cplex MB Cost]]=Table1[[#This Row],[ORTools FZN2 Cost]],Table1[[#This Row],[ORTools FZN2 State]]="Optimal",Table1[[#This Row],[Cplex MB State]]="Suboptimal"),1,"")</f>
        <v/>
      </c>
      <c r="AG261" s="4">
        <f>IF(AND(AC261="Optimal",AD261&lt;&gt;AA261,Table1[[#This Row],[Example]]&lt;&gt;"R001",Table1[[#This Row],[Example]]&lt;&gt;"R002"),AD261-AA261,)</f>
        <v>0</v>
      </c>
      <c r="AH261" s="5" t="s">
        <v>42</v>
      </c>
      <c r="AI261" s="2">
        <v>-333340</v>
      </c>
      <c r="AJ261" s="2">
        <v>300.32708589999999</v>
      </c>
      <c r="AK261" s="2" t="str">
        <f>IF(AND(Table1[[#This Row],[Cplex MD Cost]]=Table1[[#This Row],[ORTools FZN2 Cost]],Table1[[#This Row],[ORTools FZN2 State]]="Optimal",Table1[[#This Row],[Cplex MD State]]="Suboptimal"),1,"")</f>
        <v/>
      </c>
      <c r="AL261" s="2">
        <f>IF(AND(AH261="Optimal",AI261&lt;&gt;AA261,Table1[[#This Row],[Example]]&lt;&gt;"R001",Table1[[#This Row],[Example]]&lt;&gt;"R002"),AI261-AA261,)</f>
        <v>0</v>
      </c>
      <c r="AM261" s="39" t="s">
        <v>42</v>
      </c>
      <c r="AN261" s="39">
        <v>-333340</v>
      </c>
      <c r="AO261" s="2">
        <v>300.12412979999999</v>
      </c>
      <c r="AP261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1" s="2" t="str">
        <f>IF(AND(Table1[[#This Row],[Cplex MI Cost]]=Table1[[#This Row],[ORTools FZN2 Cost]],Table1[[#This Row],[ORTools FZN2 State]]="Optimal",Table1[[#This Row],[Cplex MI State]]="Suboptimal"),1,"")</f>
        <v/>
      </c>
      <c r="AR261" s="5" t="s">
        <v>42</v>
      </c>
      <c r="AS261" s="2">
        <v>-333340</v>
      </c>
      <c r="AT261" s="2">
        <v>300.06491440000002</v>
      </c>
      <c r="AU261" s="2" t="str">
        <f>IF(AND(Table1[[#This Row],[Z3 SMT2-1 Maxres Cost]]=Table1[[#This Row],[ORTools FZN2 Cost]],Table1[[#This Row],[ORTools FZN2 State]]="Optimal"),1,"")</f>
        <v/>
      </c>
      <c r="AV261" s="39" t="s">
        <v>42</v>
      </c>
      <c r="AW261" s="39">
        <v>-333340</v>
      </c>
      <c r="AX261" s="2">
        <v>300.07432390000002</v>
      </c>
      <c r="AY261" s="2" t="str">
        <f>IF(AND(Table1[[#This Row],[Z3 SMT2-1 PdMaxres Cost]]=Table1[[#This Row],[ORTools FZN2 Cost]],Table1[[#This Row],[ORTools FZN2 State]]="Optimal"),1,"")</f>
        <v/>
      </c>
      <c r="AZ261" s="5" t="s">
        <v>42</v>
      </c>
      <c r="BA261" s="2">
        <v>-333340</v>
      </c>
      <c r="BB261" s="39">
        <v>300.06719340000001</v>
      </c>
      <c r="BC261" s="39" t="str">
        <f>IF(AND(Table1[[#This Row],[Z3 SMT2-1 WMax Cost]]=Table1[[#This Row],[ORTools FZN2 Cost]],Table1[[#This Row],[ORTools FZN2 State]]="Optimal"),1,"")</f>
        <v/>
      </c>
      <c r="BD261" s="39" t="s">
        <v>42</v>
      </c>
      <c r="BE261" s="39">
        <v>-333340</v>
      </c>
      <c r="BF261" s="2">
        <v>300.06953049999998</v>
      </c>
      <c r="BG261" s="2" t="str">
        <f>IF(AND(Table1[[#This Row],[Z3 SMT2-2 Maxres Cost]]=Table1[[#This Row],[ORTools FZN2 Cost]],Table1[[#This Row],[ORTools FZN2 State]]="Optimal"),1,"")</f>
        <v/>
      </c>
      <c r="BH261" s="5" t="s">
        <v>42</v>
      </c>
      <c r="BI261" s="2">
        <v>-333340</v>
      </c>
      <c r="BJ261" s="39">
        <v>300.0666185</v>
      </c>
      <c r="BK261" s="39" t="str">
        <f>IF(AND(Table1[[#This Row],[Z3 SMT2-2 PdMaxres Cost]]=Table1[[#This Row],[ORTools FZN2 Cost]],Table1[[#This Row],[ORTools FZN2 State]]="Optimal"),1,"")</f>
        <v/>
      </c>
      <c r="BL261" s="39" t="s">
        <v>42</v>
      </c>
      <c r="BM261" s="39">
        <v>-333340</v>
      </c>
      <c r="BN261" s="2">
        <v>300.05833369999999</v>
      </c>
      <c r="BO261" s="4" t="str">
        <f>IF(AND(Table1[[#This Row],[Z3 SMT2-2 PdMaxres Cost]]=Table1[[#This Row],[ORTools FZN2 Cost]],Table1[[#This Row],[ORTools FZN2 State]]="Optimal"),1,"")</f>
        <v/>
      </c>
      <c r="BP261" s="5" t="s">
        <v>42</v>
      </c>
      <c r="BQ261" s="2">
        <v>-333340</v>
      </c>
      <c r="BR261" s="2">
        <v>300.27062849999999</v>
      </c>
      <c r="BS261" s="2" t="str">
        <f>IF(AND(Table1[[#This Row],[Gurobi MB Cost]]=Table1[[#This Row],[ORTools FZN2 Cost]],Table1[[#This Row],[ORTools FZN2 State]]="Optimal",Table1[[#This Row],[Gurobi MB State]]="Suboptimal"),1,"")</f>
        <v/>
      </c>
      <c r="BT26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1" s="5" t="s">
        <v>42</v>
      </c>
      <c r="BV261" s="2">
        <v>-333340</v>
      </c>
      <c r="BW261" s="2">
        <v>300.15977789999999</v>
      </c>
      <c r="BX261" s="2" t="str">
        <f>IF(AND(Table1[[#This Row],[Gurobi MD Cost]]=Table1[[#This Row],[ORTools FZN2 Cost]],Table1[[#This Row],[ORTools FZN2 State]]="Optimal",Table1[[#This Row],[Gurobi MD State]]="Suboptimal"),1,"")</f>
        <v/>
      </c>
      <c r="BY26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1" s="5" t="s">
        <v>42</v>
      </c>
      <c r="CA261" s="2">
        <v>-333340</v>
      </c>
      <c r="CB261" s="2">
        <v>300.10626619999999</v>
      </c>
      <c r="CC261" s="2" t="str">
        <f>IF(AND(Table1[[#This Row],[Gurobi MI Cost]]=Table1[[#This Row],[ORTools FZN2 Cost]],Table1[[#This Row],[ORTools FZN2 State]]="Optimal",Table1[[#This Row],[Gurobi MI State]]="Suboptimal"),1,"")</f>
        <v/>
      </c>
      <c r="CD26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1" s="39" t="s">
        <v>42</v>
      </c>
      <c r="CF261" s="2">
        <v>-333340</v>
      </c>
      <c r="CG261" s="39">
        <v>306.14577450000002</v>
      </c>
      <c r="CH261" s="39" t="s">
        <v>42</v>
      </c>
      <c r="CI261" s="39">
        <v>-333340</v>
      </c>
      <c r="CJ261" s="2">
        <v>306.1169941</v>
      </c>
      <c r="CK261" s="5" t="s">
        <v>26</v>
      </c>
      <c r="CL261" s="2">
        <v>4321005</v>
      </c>
      <c r="CM261" s="2">
        <v>300.01499999999902</v>
      </c>
      <c r="CN261" s="5" t="s">
        <v>26</v>
      </c>
      <c r="CO261" s="2">
        <v>9644911</v>
      </c>
      <c r="CP261" s="2">
        <v>302.74194069999999</v>
      </c>
      <c r="CQ261" s="5" t="s">
        <v>25</v>
      </c>
      <c r="CR261" s="2">
        <v>4311755</v>
      </c>
      <c r="CS261" s="2">
        <v>147.14770870000001</v>
      </c>
      <c r="CT261" s="6" t="s">
        <v>25</v>
      </c>
      <c r="CU261" s="4">
        <v>4311755</v>
      </c>
      <c r="CV261" s="4">
        <v>63.079658600000002</v>
      </c>
      <c r="CW261" s="39" t="s">
        <v>26</v>
      </c>
      <c r="CX261" s="39">
        <v>9602050</v>
      </c>
      <c r="CY261" s="2">
        <v>300.05860000000001</v>
      </c>
      <c r="CZ261" s="2" t="str">
        <f>IF(AND(Table1[[#This Row],[Cplex MZ1 Cost]]=Table1[[#This Row],[ORTools FZN2 Cost]],Table1[[#This Row],[ORTools FZN2 State]]="Optimal",Table1[[#This Row],[Cplex MZ1 State]]="Suboptimal"),1,"")</f>
        <v/>
      </c>
      <c r="DA261" s="5" t="s">
        <v>26</v>
      </c>
      <c r="DB261" s="2">
        <v>6963845</v>
      </c>
      <c r="DC261" s="2">
        <v>300.0197</v>
      </c>
      <c r="DD261" s="2" t="str">
        <f>IF(AND(Table1[[#This Row],[Cplex MZ2 Cost]]=Table1[[#This Row],[ORTools FZN2 Cost]],Table1[[#This Row],[ORTools FZN2 State]]="Optimal",Table1[[#This Row],[Cplex MZ2 State]]="Suboptimal"),1,"")</f>
        <v/>
      </c>
      <c r="DE261" s="39" t="s">
        <v>42</v>
      </c>
      <c r="DF261" s="39"/>
      <c r="DG261" s="2">
        <v>300.00990000000002</v>
      </c>
      <c r="DH261" s="2" t="str">
        <f>IF(AND(Table1[[#This Row],[Gurobi MZ1 Cost]]=Table1[[#This Row],[ORTools FZN2 Cost]],Table1[[#This Row],[ORTools FZN2 State]]="Optimal",Table1[[#This Row],[Gurobi MZ1 State]]="Suboptimal"),1,"")</f>
        <v/>
      </c>
      <c r="DI261" s="5" t="s">
        <v>42</v>
      </c>
      <c r="DJ261" s="2"/>
      <c r="DK261" s="2">
        <v>300.01580000000001</v>
      </c>
      <c r="DL261" s="4" t="str">
        <f>IF(AND(Table1[[#This Row],[Gurobi MZ2 Cost]]=Table1[[#This Row],[ORTools FZN2 Cost]],Table1[[#This Row],[ORTools FZN2 State]]="Optimal",Table1[[#This Row],[Gurobi MZ2 State]]="Suboptimal"),1,"")</f>
        <v/>
      </c>
      <c r="DM261" s="39" t="s">
        <v>26</v>
      </c>
      <c r="DN261" s="39">
        <v>4320937</v>
      </c>
      <c r="DO261" s="65">
        <v>300.02699999999402</v>
      </c>
      <c r="DP261" s="4" t="str">
        <f>IF(AND(Table1[[#This Row],[Cplex MC nonDual Cost]]=Table1[[#This Row],[ORTools FZN2 Cost]],Table1[[#This Row],[ORTools FZN2 State]]="Optimal",Table1[[#This Row],[Cplex MC nonDual State]]="Suboptimal"),1,"")</f>
        <v/>
      </c>
      <c r="DQ261" s="5" t="s">
        <v>26</v>
      </c>
      <c r="DR261" s="2">
        <v>7953721</v>
      </c>
      <c r="DS261" s="2">
        <v>300.02940000000001</v>
      </c>
      <c r="DT261" s="2" t="str">
        <f>IF(AND(Table1[[#This Row],[Cplex MIP DM''z Cost]]=Table1[[#This Row],[ORTools FZN2 Cost]],Table1[[#This Row],[ORTools FZN2 State]]="Optimal",Table1[[#This Row],[Cplex MIP DM''z  State]]="Suboptimal"),1,"")</f>
        <v/>
      </c>
      <c r="DU26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1" s="5" t="s">
        <v>42</v>
      </c>
      <c r="DW261" s="2"/>
      <c r="DX261" s="2">
        <v>300.07029999999997</v>
      </c>
      <c r="DY261" s="4" t="str">
        <f>IF(AND(Table1[[#This Row],[Gurobi DM''z  Cost]]=Table1[[#This Row],[ORTools FZN2 Cost]],Table1[[#This Row],[ORTools FZN2 State]]="Optimal",Table1[[#This Row],[Gurobi DM''z  State]]="Suboptimal"),1,"")</f>
        <v/>
      </c>
      <c r="DZ26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2" spans="1:130" ht="15.75" x14ac:dyDescent="0.25">
      <c r="A262" s="46" t="s">
        <v>288</v>
      </c>
      <c r="B262" s="5">
        <v>69</v>
      </c>
      <c r="C262" s="2">
        <v>31</v>
      </c>
      <c r="D262" s="5">
        <v>662</v>
      </c>
      <c r="E262" s="2">
        <v>40</v>
      </c>
      <c r="F262" s="5">
        <v>37</v>
      </c>
      <c r="G262" s="2">
        <v>0</v>
      </c>
      <c r="H262" s="4">
        <f t="shared" si="4"/>
        <v>7</v>
      </c>
      <c r="I262" s="4">
        <f>Table1[[#This Row],[B]]+Table1[[#This Row],[Atomic Constraints]]+Table1[[#This Row],[Soft Atomic Constraints]]+Table1[[#This Row],[Disjunctive Constraints]]+Table1[[#This Row],[Direct Successors]]</f>
        <v>770</v>
      </c>
      <c r="J262" s="5" t="s">
        <v>26</v>
      </c>
      <c r="K262" s="2">
        <v>9625792</v>
      </c>
      <c r="L262" s="2">
        <v>302.7598256</v>
      </c>
      <c r="M262" s="2" t="str">
        <f>IF(AND(Table1[[#This Row],[Chuffed MZ1 Cost]]=Table1[[#This Row],[ORTools FZN2 Cost]],Table1[[#This Row],[ORTools FZN2 State]]="Optimal",Table1[[#This Row],[Chuffed MZ1 State]]="Suboptimal"),1,"")</f>
        <v/>
      </c>
      <c r="N262" s="5" t="s">
        <v>26</v>
      </c>
      <c r="O262" s="2">
        <v>7659298</v>
      </c>
      <c r="P262" s="2">
        <v>302.80578539999999</v>
      </c>
      <c r="Q262" s="2" t="str">
        <f>IF(AND(Table1[[#This Row],[Chuffed MZ2 Cost]]=Table1[[#This Row],[ORTools FZN2 Cost]],Table1[[#This Row],[ORTools FZN2 State]]="Optimal",Table1[[#This Row],[Chuffed MZ2 State]]="Suboptimal"),1,"")</f>
        <v/>
      </c>
      <c r="R262" s="6" t="s">
        <v>26</v>
      </c>
      <c r="S262" s="4">
        <v>4321006</v>
      </c>
      <c r="T262" s="4">
        <v>300.167000000001</v>
      </c>
      <c r="U262" s="4"/>
      <c r="V262" s="5" t="s">
        <v>25</v>
      </c>
      <c r="W262" s="2">
        <v>4311755</v>
      </c>
      <c r="X262" s="2">
        <v>132.1991189</v>
      </c>
      <c r="Y262" s="2" t="str">
        <f>IF(AND(Table1[[#This Row],[ORTools FZN1 Cost]]=Table1[[#This Row],[ORTools FZN2 Cost]],Table1[[#This Row],[ORTools FZN2 State]]="Optimal",Table1[[#This Row],[ORTools FZN1 State]]="Suboptimal"),1,"")</f>
        <v/>
      </c>
      <c r="Z262" s="5" t="s">
        <v>25</v>
      </c>
      <c r="AA262" s="2">
        <v>4311755</v>
      </c>
      <c r="AB262" s="2">
        <v>109.04866579999999</v>
      </c>
      <c r="AC262" s="39" t="s">
        <v>42</v>
      </c>
      <c r="AD262" s="39">
        <v>-333340</v>
      </c>
      <c r="AE262" s="2">
        <v>300.17657029999998</v>
      </c>
      <c r="AF262" s="2" t="str">
        <f>IF(AND(Table1[[#This Row],[Cplex MB Cost]]=Table1[[#This Row],[ORTools FZN2 Cost]],Table1[[#This Row],[ORTools FZN2 State]]="Optimal",Table1[[#This Row],[Cplex MB State]]="Suboptimal"),1,"")</f>
        <v/>
      </c>
      <c r="AG262" s="4">
        <f>IF(AND(AC262="Optimal",AD262&lt;&gt;AA262,Table1[[#This Row],[Example]]&lt;&gt;"R001",Table1[[#This Row],[Example]]&lt;&gt;"R002"),AD262-AA262,)</f>
        <v>0</v>
      </c>
      <c r="AH262" s="5" t="s">
        <v>42</v>
      </c>
      <c r="AI262" s="2">
        <v>-333340</v>
      </c>
      <c r="AJ262" s="2">
        <v>300.60022759999998</v>
      </c>
      <c r="AK262" s="2" t="str">
        <f>IF(AND(Table1[[#This Row],[Cplex MD Cost]]=Table1[[#This Row],[ORTools FZN2 Cost]],Table1[[#This Row],[ORTools FZN2 State]]="Optimal",Table1[[#This Row],[Cplex MD State]]="Suboptimal"),1,"")</f>
        <v/>
      </c>
      <c r="AL262" s="4">
        <f>IF(AND(AH262="Optimal",AI262&lt;&gt;AA262,Table1[[#This Row],[Example]]&lt;&gt;"R001",Table1[[#This Row],[Example]]&lt;&gt;"R002"),AI262-AA262,)</f>
        <v>0</v>
      </c>
      <c r="AM262" s="39" t="s">
        <v>26</v>
      </c>
      <c r="AN262" s="39">
        <v>8620803</v>
      </c>
      <c r="AO262" s="2">
        <v>300.2211605</v>
      </c>
      <c r="AP262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2" s="4" t="str">
        <f>IF(AND(Table1[[#This Row],[Cplex MI Cost]]=Table1[[#This Row],[ORTools FZN2 Cost]],Table1[[#This Row],[ORTools FZN2 State]]="Optimal",Table1[[#This Row],[Cplex MI State]]="Suboptimal"),1,"")</f>
        <v/>
      </c>
      <c r="AR262" s="5" t="s">
        <v>42</v>
      </c>
      <c r="AS262" s="2">
        <v>-333340</v>
      </c>
      <c r="AT262" s="2">
        <v>300.06946649999998</v>
      </c>
      <c r="AU262" s="2" t="str">
        <f>IF(AND(Table1[[#This Row],[Z3 SMT2-1 Maxres Cost]]=Table1[[#This Row],[ORTools FZN2 Cost]],Table1[[#This Row],[ORTools FZN2 State]]="Optimal"),1,"")</f>
        <v/>
      </c>
      <c r="AV262" s="39" t="s">
        <v>42</v>
      </c>
      <c r="AW262" s="39">
        <v>-333340</v>
      </c>
      <c r="AX262" s="2">
        <v>300.07504949999998</v>
      </c>
      <c r="AY262" s="2" t="str">
        <f>IF(AND(Table1[[#This Row],[Z3 SMT2-1 PdMaxres Cost]]=Table1[[#This Row],[ORTools FZN2 Cost]],Table1[[#This Row],[ORTools FZN2 State]]="Optimal"),1,"")</f>
        <v/>
      </c>
      <c r="AZ262" s="5" t="s">
        <v>42</v>
      </c>
      <c r="BA262" s="2">
        <v>-333340</v>
      </c>
      <c r="BB262" s="39">
        <v>300.07392019999998</v>
      </c>
      <c r="BC262" s="39" t="str">
        <f>IF(AND(Table1[[#This Row],[Z3 SMT2-1 WMax Cost]]=Table1[[#This Row],[ORTools FZN2 Cost]],Table1[[#This Row],[ORTools FZN2 State]]="Optimal"),1,"")</f>
        <v/>
      </c>
      <c r="BD262" s="39" t="s">
        <v>42</v>
      </c>
      <c r="BE262" s="39">
        <v>-333340</v>
      </c>
      <c r="BF262" s="2">
        <v>300.06298070000003</v>
      </c>
      <c r="BG262" s="2" t="str">
        <f>IF(AND(Table1[[#This Row],[Z3 SMT2-2 Maxres Cost]]=Table1[[#This Row],[ORTools FZN2 Cost]],Table1[[#This Row],[ORTools FZN2 State]]="Optimal"),1,"")</f>
        <v/>
      </c>
      <c r="BH262" s="5" t="s">
        <v>42</v>
      </c>
      <c r="BI262" s="2">
        <v>-333340</v>
      </c>
      <c r="BJ262" s="39">
        <v>300.06876770000002</v>
      </c>
      <c r="BK262" s="39" t="str">
        <f>IF(AND(Table1[[#This Row],[Z3 SMT2-2 PdMaxres Cost]]=Table1[[#This Row],[ORTools FZN2 Cost]],Table1[[#This Row],[ORTools FZN2 State]]="Optimal"),1,"")</f>
        <v/>
      </c>
      <c r="BL262" s="39" t="s">
        <v>42</v>
      </c>
      <c r="BM262" s="39">
        <v>-333340</v>
      </c>
      <c r="BN262" s="2">
        <v>300.06137869999998</v>
      </c>
      <c r="BO262" s="4" t="str">
        <f>IF(AND(Table1[[#This Row],[Z3 SMT2-2 PdMaxres Cost]]=Table1[[#This Row],[ORTools FZN2 Cost]],Table1[[#This Row],[ORTools FZN2 State]]="Optimal"),1,"")</f>
        <v/>
      </c>
      <c r="BP262" s="5" t="s">
        <v>42</v>
      </c>
      <c r="BQ262" s="2">
        <v>-333340</v>
      </c>
      <c r="BR262" s="2">
        <v>300.43593900000002</v>
      </c>
      <c r="BS262" s="2" t="str">
        <f>IF(AND(Table1[[#This Row],[Gurobi MB Cost]]=Table1[[#This Row],[ORTools FZN2 Cost]],Table1[[#This Row],[ORTools FZN2 State]]="Optimal",Table1[[#This Row],[Gurobi MB State]]="Suboptimal"),1,"")</f>
        <v/>
      </c>
      <c r="BT26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2" s="5" t="s">
        <v>42</v>
      </c>
      <c r="BV262" s="2">
        <v>-333340</v>
      </c>
      <c r="BW262" s="2">
        <v>300.15042519999997</v>
      </c>
      <c r="BX262" s="2" t="str">
        <f>IF(AND(Table1[[#This Row],[Gurobi MD Cost]]=Table1[[#This Row],[ORTools FZN2 Cost]],Table1[[#This Row],[ORTools FZN2 State]]="Optimal",Table1[[#This Row],[Gurobi MD State]]="Suboptimal"),1,"")</f>
        <v/>
      </c>
      <c r="BY26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2" s="5" t="s">
        <v>42</v>
      </c>
      <c r="CA262" s="2">
        <v>-333340</v>
      </c>
      <c r="CB262" s="2">
        <v>300.13251170000001</v>
      </c>
      <c r="CC262" s="2" t="str">
        <f>IF(AND(Table1[[#This Row],[Gurobi MI Cost]]=Table1[[#This Row],[ORTools FZN2 Cost]],Table1[[#This Row],[ORTools FZN2 State]]="Optimal",Table1[[#This Row],[Gurobi MI State]]="Suboptimal"),1,"")</f>
        <v/>
      </c>
      <c r="CD26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2" s="39" t="s">
        <v>42</v>
      </c>
      <c r="CF262" s="2">
        <v>-333340</v>
      </c>
      <c r="CG262" s="39">
        <v>306.15371579999999</v>
      </c>
      <c r="CH262" s="39" t="s">
        <v>42</v>
      </c>
      <c r="CI262" s="39">
        <v>-333340</v>
      </c>
      <c r="CJ262" s="2">
        <v>306.10912980000001</v>
      </c>
      <c r="CK262" s="5" t="s">
        <v>26</v>
      </c>
      <c r="CL262" s="2">
        <v>4321005</v>
      </c>
      <c r="CM262" s="2">
        <v>300.17899999999599</v>
      </c>
      <c r="CN262" s="5" t="s">
        <v>26</v>
      </c>
      <c r="CO262" s="2">
        <v>8659514</v>
      </c>
      <c r="CP262" s="2">
        <v>302.74394439999998</v>
      </c>
      <c r="CQ262" s="5" t="s">
        <v>25</v>
      </c>
      <c r="CR262" s="2">
        <v>4311755</v>
      </c>
      <c r="CS262" s="2">
        <v>144.7080733</v>
      </c>
      <c r="CT262" s="6" t="s">
        <v>25</v>
      </c>
      <c r="CU262" s="4">
        <v>4311755</v>
      </c>
      <c r="CV262" s="4">
        <v>53.107314500000001</v>
      </c>
      <c r="CW262" s="39" t="s">
        <v>26</v>
      </c>
      <c r="CX262" s="39">
        <v>9602050</v>
      </c>
      <c r="CY262" s="2">
        <v>300.06650000000002</v>
      </c>
      <c r="CZ262" s="2" t="str">
        <f>IF(AND(Table1[[#This Row],[Cplex MZ1 Cost]]=Table1[[#This Row],[ORTools FZN2 Cost]],Table1[[#This Row],[ORTools FZN2 State]]="Optimal",Table1[[#This Row],[Cplex MZ1 State]]="Suboptimal"),1,"")</f>
        <v/>
      </c>
      <c r="DA262" s="5" t="s">
        <v>26</v>
      </c>
      <c r="DB262" s="2">
        <v>9601642</v>
      </c>
      <c r="DC262" s="2">
        <v>300.02850000000001</v>
      </c>
      <c r="DD262" s="2" t="str">
        <f>IF(AND(Table1[[#This Row],[Cplex MZ2 Cost]]=Table1[[#This Row],[ORTools FZN2 Cost]],Table1[[#This Row],[ORTools FZN2 State]]="Optimal",Table1[[#This Row],[Cplex MZ2 State]]="Suboptimal"),1,"")</f>
        <v/>
      </c>
      <c r="DE262" s="39" t="s">
        <v>42</v>
      </c>
      <c r="DF262" s="39"/>
      <c r="DG262" s="2">
        <v>300.00850000000003</v>
      </c>
      <c r="DH262" s="2" t="str">
        <f>IF(AND(Table1[[#This Row],[Gurobi MZ1 Cost]]=Table1[[#This Row],[ORTools FZN2 Cost]],Table1[[#This Row],[ORTools FZN2 State]]="Optimal",Table1[[#This Row],[Gurobi MZ1 State]]="Suboptimal"),1,"")</f>
        <v/>
      </c>
      <c r="DI262" s="5" t="s">
        <v>42</v>
      </c>
      <c r="DJ262" s="2"/>
      <c r="DK262" s="2">
        <v>300.00790000000001</v>
      </c>
      <c r="DL262" s="4" t="str">
        <f>IF(AND(Table1[[#This Row],[Gurobi MZ2 Cost]]=Table1[[#This Row],[ORTools FZN2 Cost]],Table1[[#This Row],[ORTools FZN2 State]]="Optimal",Table1[[#This Row],[Gurobi MZ2 State]]="Suboptimal"),1,"")</f>
        <v/>
      </c>
      <c r="DM262" s="39" t="s">
        <v>26</v>
      </c>
      <c r="DN262" s="39">
        <v>4320937</v>
      </c>
      <c r="DO262" s="65">
        <v>300.02499999999401</v>
      </c>
      <c r="DP262" s="4" t="str">
        <f>IF(AND(Table1[[#This Row],[Cplex MC nonDual Cost]]=Table1[[#This Row],[ORTools FZN2 Cost]],Table1[[#This Row],[ORTools FZN2 State]]="Optimal",Table1[[#This Row],[Cplex MC nonDual State]]="Suboptimal"),1,"")</f>
        <v/>
      </c>
      <c r="DQ262" s="5" t="s">
        <v>26</v>
      </c>
      <c r="DR262" s="2">
        <v>7953721</v>
      </c>
      <c r="DS262" s="2">
        <v>300.02999999999997</v>
      </c>
      <c r="DT262" s="2" t="str">
        <f>IF(AND(Table1[[#This Row],[Cplex MIP DM''z Cost]]=Table1[[#This Row],[ORTools FZN2 Cost]],Table1[[#This Row],[ORTools FZN2 State]]="Optimal",Table1[[#This Row],[Cplex MIP DM''z  State]]="Suboptimal"),1,"")</f>
        <v/>
      </c>
      <c r="DU26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2" s="5" t="s">
        <v>42</v>
      </c>
      <c r="DW262" s="2"/>
      <c r="DX262" s="2">
        <v>300.06099999999998</v>
      </c>
      <c r="DY262" s="4" t="str">
        <f>IF(AND(Table1[[#This Row],[Gurobi DM''z  Cost]]=Table1[[#This Row],[ORTools FZN2 Cost]],Table1[[#This Row],[ORTools FZN2 State]]="Optimal",Table1[[#This Row],[Gurobi DM''z  State]]="Suboptimal"),1,"")</f>
        <v/>
      </c>
      <c r="DZ26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3" spans="1:130" ht="15.75" x14ac:dyDescent="0.25">
      <c r="A263" s="47" t="s">
        <v>289</v>
      </c>
      <c r="B263" s="5">
        <v>69</v>
      </c>
      <c r="C263" s="2">
        <v>31</v>
      </c>
      <c r="D263" s="5">
        <v>662</v>
      </c>
      <c r="E263" s="2">
        <v>40</v>
      </c>
      <c r="F263" s="5">
        <v>44</v>
      </c>
      <c r="G263" s="2">
        <v>0</v>
      </c>
      <c r="H263" s="4">
        <f t="shared" si="4"/>
        <v>7</v>
      </c>
      <c r="I263" s="4">
        <f>Table1[[#This Row],[B]]+Table1[[#This Row],[Atomic Constraints]]+Table1[[#This Row],[Soft Atomic Constraints]]+Table1[[#This Row],[Disjunctive Constraints]]+Table1[[#This Row],[Direct Successors]]</f>
        <v>777</v>
      </c>
      <c r="J263" s="5" t="s">
        <v>26</v>
      </c>
      <c r="K263" s="2">
        <v>8978305</v>
      </c>
      <c r="L263" s="2">
        <v>302.75182160000003</v>
      </c>
      <c r="M263" s="2" t="str">
        <f>IF(AND(Table1[[#This Row],[Chuffed MZ1 Cost]]=Table1[[#This Row],[ORTools FZN2 Cost]],Table1[[#This Row],[ORTools FZN2 State]]="Optimal",Table1[[#This Row],[Chuffed MZ1 State]]="Suboptimal"),1,"")</f>
        <v/>
      </c>
      <c r="N263" s="5" t="s">
        <v>26</v>
      </c>
      <c r="O263" s="2">
        <v>7331404</v>
      </c>
      <c r="P263" s="2">
        <v>302.80488029999998</v>
      </c>
      <c r="Q263" s="2" t="str">
        <f>IF(AND(Table1[[#This Row],[Chuffed MZ2 Cost]]=Table1[[#This Row],[ORTools FZN2 Cost]],Table1[[#This Row],[ORTools FZN2 State]]="Optimal",Table1[[#This Row],[Chuffed MZ2 State]]="Suboptimal"),1,"")</f>
        <v/>
      </c>
      <c r="R263" s="6" t="s">
        <v>26</v>
      </c>
      <c r="S263" s="4">
        <v>4320937</v>
      </c>
      <c r="T263" s="4">
        <v>300.01900000000001</v>
      </c>
      <c r="U263" s="4"/>
      <c r="V263" s="5" t="s">
        <v>25</v>
      </c>
      <c r="W263" s="2">
        <v>4311755</v>
      </c>
      <c r="X263" s="2">
        <v>120.5073508</v>
      </c>
      <c r="Y263" s="2" t="str">
        <f>IF(AND(Table1[[#This Row],[ORTools FZN1 Cost]]=Table1[[#This Row],[ORTools FZN2 Cost]],Table1[[#This Row],[ORTools FZN2 State]]="Optimal",Table1[[#This Row],[ORTools FZN1 State]]="Suboptimal"),1,"")</f>
        <v/>
      </c>
      <c r="Z263" s="5" t="s">
        <v>25</v>
      </c>
      <c r="AA263" s="2">
        <v>4311755</v>
      </c>
      <c r="AB263" s="2">
        <v>120.0852912</v>
      </c>
      <c r="AC263" s="39" t="s">
        <v>42</v>
      </c>
      <c r="AD263" s="39">
        <v>-333340</v>
      </c>
      <c r="AE263" s="2">
        <v>300.1972978</v>
      </c>
      <c r="AF263" s="2" t="str">
        <f>IF(AND(Table1[[#This Row],[Cplex MB Cost]]=Table1[[#This Row],[ORTools FZN2 Cost]],Table1[[#This Row],[ORTools FZN2 State]]="Optimal",Table1[[#This Row],[Cplex MB State]]="Suboptimal"),1,"")</f>
        <v/>
      </c>
      <c r="AG263" s="4">
        <f>IF(AND(AC263="Optimal",AD263&lt;&gt;AA263,Table1[[#This Row],[Example]]&lt;&gt;"R001",Table1[[#This Row],[Example]]&lt;&gt;"R002"),AD263-AA263,)</f>
        <v>0</v>
      </c>
      <c r="AH263" s="5" t="s">
        <v>42</v>
      </c>
      <c r="AI263" s="2">
        <v>-333340</v>
      </c>
      <c r="AJ263" s="2">
        <v>300.50961840000002</v>
      </c>
      <c r="AK263" s="2" t="str">
        <f>IF(AND(Table1[[#This Row],[Cplex MD Cost]]=Table1[[#This Row],[ORTools FZN2 Cost]],Table1[[#This Row],[ORTools FZN2 State]]="Optimal",Table1[[#This Row],[Cplex MD State]]="Suboptimal"),1,"")</f>
        <v/>
      </c>
      <c r="AL263" s="2">
        <f>IF(AND(AH263="Optimal",AI263&lt;&gt;AA263,Table1[[#This Row],[Example]]&lt;&gt;"R001",Table1[[#This Row],[Example]]&lt;&gt;"R002"),AI263-AA263,)</f>
        <v>0</v>
      </c>
      <c r="AM263" s="39" t="s">
        <v>26</v>
      </c>
      <c r="AN263" s="39">
        <v>10268528</v>
      </c>
      <c r="AO263" s="2">
        <v>300.4385398</v>
      </c>
      <c r="AP26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3" s="2" t="str">
        <f>IF(AND(Table1[[#This Row],[Cplex MI Cost]]=Table1[[#This Row],[ORTools FZN2 Cost]],Table1[[#This Row],[ORTools FZN2 State]]="Optimal",Table1[[#This Row],[Cplex MI State]]="Suboptimal"),1,"")</f>
        <v/>
      </c>
      <c r="AR263" s="5" t="s">
        <v>42</v>
      </c>
      <c r="AS263" s="2">
        <v>-333340</v>
      </c>
      <c r="AT263" s="2">
        <v>300.07472130000002</v>
      </c>
      <c r="AU263" s="2" t="str">
        <f>IF(AND(Table1[[#This Row],[Z3 SMT2-1 Maxres Cost]]=Table1[[#This Row],[ORTools FZN2 Cost]],Table1[[#This Row],[ORTools FZN2 State]]="Optimal"),1,"")</f>
        <v/>
      </c>
      <c r="AV263" s="39" t="s">
        <v>42</v>
      </c>
      <c r="AW263" s="39">
        <v>-333340</v>
      </c>
      <c r="AX263" s="2">
        <v>300.07065699999998</v>
      </c>
      <c r="AY263" s="2" t="str">
        <f>IF(AND(Table1[[#This Row],[Z3 SMT2-1 PdMaxres Cost]]=Table1[[#This Row],[ORTools FZN2 Cost]],Table1[[#This Row],[ORTools FZN2 State]]="Optimal"),1,"")</f>
        <v/>
      </c>
      <c r="AZ263" s="5" t="s">
        <v>42</v>
      </c>
      <c r="BA263" s="2">
        <v>-333340</v>
      </c>
      <c r="BB263" s="39">
        <v>300.06796989999998</v>
      </c>
      <c r="BC263" s="39" t="str">
        <f>IF(AND(Table1[[#This Row],[Z3 SMT2-1 WMax Cost]]=Table1[[#This Row],[ORTools FZN2 Cost]],Table1[[#This Row],[ORTools FZN2 State]]="Optimal"),1,"")</f>
        <v/>
      </c>
      <c r="BD263" s="39" t="s">
        <v>42</v>
      </c>
      <c r="BE263" s="39">
        <v>-333340</v>
      </c>
      <c r="BF263" s="2">
        <v>300.06668680000001</v>
      </c>
      <c r="BG263" s="2" t="str">
        <f>IF(AND(Table1[[#This Row],[Z3 SMT2-2 Maxres Cost]]=Table1[[#This Row],[ORTools FZN2 Cost]],Table1[[#This Row],[ORTools FZN2 State]]="Optimal"),1,"")</f>
        <v/>
      </c>
      <c r="BH263" s="5" t="s">
        <v>42</v>
      </c>
      <c r="BI263" s="2">
        <v>-333340</v>
      </c>
      <c r="BJ263" s="39">
        <v>300.06934430000001</v>
      </c>
      <c r="BK263" s="39" t="str">
        <f>IF(AND(Table1[[#This Row],[Z3 SMT2-2 PdMaxres Cost]]=Table1[[#This Row],[ORTools FZN2 Cost]],Table1[[#This Row],[ORTools FZN2 State]]="Optimal"),1,"")</f>
        <v/>
      </c>
      <c r="BL263" s="39" t="s">
        <v>42</v>
      </c>
      <c r="BM263" s="39">
        <v>-333340</v>
      </c>
      <c r="BN263" s="2">
        <v>300.07241199999999</v>
      </c>
      <c r="BO263" s="4" t="str">
        <f>IF(AND(Table1[[#This Row],[Z3 SMT2-2 PdMaxres Cost]]=Table1[[#This Row],[ORTools FZN2 Cost]],Table1[[#This Row],[ORTools FZN2 State]]="Optimal"),1,"")</f>
        <v/>
      </c>
      <c r="BP263" s="5" t="s">
        <v>42</v>
      </c>
      <c r="BQ263" s="2">
        <v>-333340</v>
      </c>
      <c r="BR263" s="2">
        <v>300.26305389999999</v>
      </c>
      <c r="BS263" s="2" t="str">
        <f>IF(AND(Table1[[#This Row],[Gurobi MB Cost]]=Table1[[#This Row],[ORTools FZN2 Cost]],Table1[[#This Row],[ORTools FZN2 State]]="Optimal",Table1[[#This Row],[Gurobi MB State]]="Suboptimal"),1,"")</f>
        <v/>
      </c>
      <c r="BT26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3" s="5" t="s">
        <v>42</v>
      </c>
      <c r="BV263" s="2">
        <v>-333340</v>
      </c>
      <c r="BW263" s="2">
        <v>300.07195039999999</v>
      </c>
      <c r="BX263" s="2" t="str">
        <f>IF(AND(Table1[[#This Row],[Gurobi MD Cost]]=Table1[[#This Row],[ORTools FZN2 Cost]],Table1[[#This Row],[ORTools FZN2 State]]="Optimal",Table1[[#This Row],[Gurobi MD State]]="Suboptimal"),1,"")</f>
        <v/>
      </c>
      <c r="BY26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3" s="5" t="s">
        <v>42</v>
      </c>
      <c r="CA263" s="2">
        <v>-333340</v>
      </c>
      <c r="CB263" s="2">
        <v>300.12452689999998</v>
      </c>
      <c r="CC263" s="2" t="str">
        <f>IF(AND(Table1[[#This Row],[Gurobi MI Cost]]=Table1[[#This Row],[ORTools FZN2 Cost]],Table1[[#This Row],[ORTools FZN2 State]]="Optimal",Table1[[#This Row],[Gurobi MI State]]="Suboptimal"),1,"")</f>
        <v/>
      </c>
      <c r="CD26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3" s="39" t="s">
        <v>42</v>
      </c>
      <c r="CF263" s="2">
        <v>-333340</v>
      </c>
      <c r="CG263" s="39">
        <v>306.19210479999998</v>
      </c>
      <c r="CH263" s="39" t="s">
        <v>42</v>
      </c>
      <c r="CI263" s="39">
        <v>-333340</v>
      </c>
      <c r="CJ263" s="2">
        <v>306.1532694</v>
      </c>
      <c r="CK263" s="5" t="s">
        <v>26</v>
      </c>
      <c r="CL263" s="2">
        <v>4321005</v>
      </c>
      <c r="CM263" s="2">
        <v>300.21900000000102</v>
      </c>
      <c r="CN263" s="5" t="s">
        <v>26</v>
      </c>
      <c r="CO263" s="2">
        <v>8297754</v>
      </c>
      <c r="CP263" s="2">
        <v>302.6839185</v>
      </c>
      <c r="CQ263" s="5" t="s">
        <v>25</v>
      </c>
      <c r="CR263" s="2">
        <v>4311755</v>
      </c>
      <c r="CS263" s="2">
        <v>136.9145379</v>
      </c>
      <c r="CT263" s="6" t="s">
        <v>25</v>
      </c>
      <c r="CU263" s="4">
        <v>4311755</v>
      </c>
      <c r="CV263" s="4">
        <v>66.586602799999994</v>
      </c>
      <c r="CW263" s="39" t="s">
        <v>26</v>
      </c>
      <c r="CX263" s="39">
        <v>6958394</v>
      </c>
      <c r="CY263" s="2">
        <v>300.02960000000002</v>
      </c>
      <c r="CZ263" s="2" t="str">
        <f>IF(AND(Table1[[#This Row],[Cplex MZ1 Cost]]=Table1[[#This Row],[ORTools FZN2 Cost]],Table1[[#This Row],[ORTools FZN2 State]]="Optimal",Table1[[#This Row],[Cplex MZ1 State]]="Suboptimal"),1,"")</f>
        <v/>
      </c>
      <c r="DA263" s="5" t="s">
        <v>26</v>
      </c>
      <c r="DB263" s="2">
        <v>7620446</v>
      </c>
      <c r="DC263" s="2">
        <v>300.01069999999999</v>
      </c>
      <c r="DD263" s="2" t="str">
        <f>IF(AND(Table1[[#This Row],[Cplex MZ2 Cost]]=Table1[[#This Row],[ORTools FZN2 Cost]],Table1[[#This Row],[ORTools FZN2 State]]="Optimal",Table1[[#This Row],[Cplex MZ2 State]]="Suboptimal"),1,"")</f>
        <v/>
      </c>
      <c r="DE263" s="39" t="s">
        <v>42</v>
      </c>
      <c r="DF263" s="39"/>
      <c r="DG263" s="2">
        <v>300.00540000000001</v>
      </c>
      <c r="DH263" s="2" t="str">
        <f>IF(AND(Table1[[#This Row],[Gurobi MZ1 Cost]]=Table1[[#This Row],[ORTools FZN2 Cost]],Table1[[#This Row],[ORTools FZN2 State]]="Optimal",Table1[[#This Row],[Gurobi MZ1 State]]="Suboptimal"),1,"")</f>
        <v/>
      </c>
      <c r="DI263" s="5" t="s">
        <v>42</v>
      </c>
      <c r="DJ263" s="2"/>
      <c r="DK263" s="2">
        <v>300.0043</v>
      </c>
      <c r="DL263" s="4" t="str">
        <f>IF(AND(Table1[[#This Row],[Gurobi MZ2 Cost]]=Table1[[#This Row],[ORTools FZN2 Cost]],Table1[[#This Row],[ORTools FZN2 State]]="Optimal",Table1[[#This Row],[Gurobi MZ2 State]]="Suboptimal"),1,"")</f>
        <v/>
      </c>
      <c r="DM263" s="39" t="s">
        <v>26</v>
      </c>
      <c r="DN263" s="39">
        <v>4321005</v>
      </c>
      <c r="DO263" s="65">
        <v>300.02299999999298</v>
      </c>
      <c r="DP263" s="4" t="str">
        <f>IF(AND(Table1[[#This Row],[Cplex MC nonDual Cost]]=Table1[[#This Row],[ORTools FZN2 Cost]],Table1[[#This Row],[ORTools FZN2 State]]="Optimal",Table1[[#This Row],[Cplex MC nonDual State]]="Suboptimal"),1,"")</f>
        <v/>
      </c>
      <c r="DQ263" s="5" t="s">
        <v>26</v>
      </c>
      <c r="DR263" s="2">
        <v>7958270</v>
      </c>
      <c r="DS263" s="2">
        <v>300.01049999999998</v>
      </c>
      <c r="DT263" s="2" t="str">
        <f>IF(AND(Table1[[#This Row],[Cplex MIP DM''z Cost]]=Table1[[#This Row],[ORTools FZN2 Cost]],Table1[[#This Row],[ORTools FZN2 State]]="Optimal",Table1[[#This Row],[Cplex MIP DM''z  State]]="Suboptimal"),1,"")</f>
        <v/>
      </c>
      <c r="DU26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3" s="5" t="s">
        <v>42</v>
      </c>
      <c r="DW263" s="2"/>
      <c r="DX263" s="2">
        <v>300.03859999999997</v>
      </c>
      <c r="DY263" s="4" t="str">
        <f>IF(AND(Table1[[#This Row],[Gurobi DM''z  Cost]]=Table1[[#This Row],[ORTools FZN2 Cost]],Table1[[#This Row],[ORTools FZN2 State]]="Optimal",Table1[[#This Row],[Gurobi DM''z  State]]="Suboptimal"),1,"")</f>
        <v/>
      </c>
      <c r="DZ26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4" spans="1:130" ht="15.75" x14ac:dyDescent="0.25">
      <c r="A264" s="46" t="s">
        <v>290</v>
      </c>
      <c r="B264" s="5">
        <v>100</v>
      </c>
      <c r="C264" s="2">
        <v>44</v>
      </c>
      <c r="D264" s="5">
        <v>1305</v>
      </c>
      <c r="E264" s="2">
        <v>62</v>
      </c>
      <c r="F264" s="5">
        <v>133</v>
      </c>
      <c r="G264" s="2">
        <v>0</v>
      </c>
      <c r="H264" s="4">
        <f t="shared" si="4"/>
        <v>12</v>
      </c>
      <c r="I264" s="4">
        <f>Table1[[#This Row],[B]]+Table1[[#This Row],[Atomic Constraints]]+Table1[[#This Row],[Soft Atomic Constraints]]+Table1[[#This Row],[Disjunctive Constraints]]+Table1[[#This Row],[Direct Successors]]</f>
        <v>1544</v>
      </c>
      <c r="J264" s="5" t="s">
        <v>26</v>
      </c>
      <c r="K264" s="2">
        <v>44327625</v>
      </c>
      <c r="L264" s="2">
        <v>305.05590030000002</v>
      </c>
      <c r="M264" s="2" t="str">
        <f>IF(AND(Table1[[#This Row],[Chuffed MZ1 Cost]]=Table1[[#This Row],[ORTools FZN2 Cost]],Table1[[#This Row],[ORTools FZN2 State]]="Optimal",Table1[[#This Row],[Chuffed MZ1 State]]="Suboptimal"),1,"")</f>
        <v/>
      </c>
      <c r="N264" s="5" t="s">
        <v>26</v>
      </c>
      <c r="O264" s="2">
        <v>44287834</v>
      </c>
      <c r="P264" s="2">
        <v>305.04622430000001</v>
      </c>
      <c r="Q264" s="2" t="str">
        <f>IF(AND(Table1[[#This Row],[Chuffed MZ2 Cost]]=Table1[[#This Row],[ORTools FZN2 Cost]],Table1[[#This Row],[ORTools FZN2 State]]="Optimal",Table1[[#This Row],[Chuffed MZ2 State]]="Suboptimal"),1,"")</f>
        <v/>
      </c>
      <c r="R264" s="6" t="s">
        <v>26</v>
      </c>
      <c r="S264" s="4">
        <v>20157823</v>
      </c>
      <c r="T264" s="4">
        <v>300.36099999999698</v>
      </c>
      <c r="U264" s="4"/>
      <c r="V264" s="5" t="s">
        <v>26</v>
      </c>
      <c r="W264" s="2">
        <v>42227828</v>
      </c>
      <c r="X264" s="2">
        <v>301.89965000000001</v>
      </c>
      <c r="Y264" s="2" t="str">
        <f>IF(AND(Table1[[#This Row],[ORTools FZN1 Cost]]=Table1[[#This Row],[ORTools FZN2 Cost]],Table1[[#This Row],[ORTools FZN2 State]]="Optimal",Table1[[#This Row],[ORTools FZN1 State]]="Suboptimal"),1,"")</f>
        <v/>
      </c>
      <c r="Z264" s="5" t="s">
        <v>26</v>
      </c>
      <c r="AA264" s="2">
        <v>23178029</v>
      </c>
      <c r="AB264" s="2">
        <v>301.91035790000001</v>
      </c>
      <c r="AC264" s="39" t="s">
        <v>42</v>
      </c>
      <c r="AD264" s="39">
        <v>-1010101</v>
      </c>
      <c r="AE264" s="2">
        <v>300.63865959999998</v>
      </c>
      <c r="AF264" s="2" t="str">
        <f>IF(AND(Table1[[#This Row],[Cplex MB Cost]]=Table1[[#This Row],[ORTools FZN2 Cost]],Table1[[#This Row],[ORTools FZN2 State]]="Optimal",Table1[[#This Row],[Cplex MB State]]="Suboptimal"),1,"")</f>
        <v/>
      </c>
      <c r="AG264" s="4">
        <f>IF(AND(AC264="Optimal",AD264&lt;&gt;AA264,Table1[[#This Row],[Example]]&lt;&gt;"R001",Table1[[#This Row],[Example]]&lt;&gt;"R002"),AD264-AA264,)</f>
        <v>0</v>
      </c>
      <c r="AH264" s="5" t="s">
        <v>42</v>
      </c>
      <c r="AI264" s="2">
        <v>-1010101</v>
      </c>
      <c r="AJ264" s="2">
        <v>300.24492659999999</v>
      </c>
      <c r="AK264" s="2" t="str">
        <f>IF(AND(Table1[[#This Row],[Cplex MD Cost]]=Table1[[#This Row],[ORTools FZN2 Cost]],Table1[[#This Row],[ORTools FZN2 State]]="Optimal",Table1[[#This Row],[Cplex MD State]]="Suboptimal"),1,"")</f>
        <v/>
      </c>
      <c r="AL264" s="4">
        <f>IF(AND(AH264="Optimal",AI264&lt;&gt;AA264,Table1[[#This Row],[Example]]&lt;&gt;"R001",Table1[[#This Row],[Example]]&lt;&gt;"R002"),AI264-AA264,)</f>
        <v>0</v>
      </c>
      <c r="AM264" s="39" t="s">
        <v>42</v>
      </c>
      <c r="AN264" s="39">
        <v>-1010101</v>
      </c>
      <c r="AO264" s="2">
        <v>300.17553349999997</v>
      </c>
      <c r="AP264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4" s="4" t="str">
        <f>IF(AND(Table1[[#This Row],[Cplex MI Cost]]=Table1[[#This Row],[ORTools FZN2 Cost]],Table1[[#This Row],[ORTools FZN2 State]]="Optimal",Table1[[#This Row],[Cplex MI State]]="Suboptimal"),1,"")</f>
        <v/>
      </c>
      <c r="AR264" s="5" t="s">
        <v>42</v>
      </c>
      <c r="AS264" s="2">
        <v>-1010101</v>
      </c>
      <c r="AT264" s="2">
        <v>300.10728499999999</v>
      </c>
      <c r="AU264" s="2" t="str">
        <f>IF(AND(Table1[[#This Row],[Z3 SMT2-1 Maxres Cost]]=Table1[[#This Row],[ORTools FZN2 Cost]],Table1[[#This Row],[ORTools FZN2 State]]="Optimal"),1,"")</f>
        <v/>
      </c>
      <c r="AV264" s="39" t="s">
        <v>42</v>
      </c>
      <c r="AW264" s="39">
        <v>-1010101</v>
      </c>
      <c r="AX264" s="2">
        <v>300.10991810000002</v>
      </c>
      <c r="AY264" s="2" t="str">
        <f>IF(AND(Table1[[#This Row],[Z3 SMT2-1 PdMaxres Cost]]=Table1[[#This Row],[ORTools FZN2 Cost]],Table1[[#This Row],[ORTools FZN2 State]]="Optimal"),1,"")</f>
        <v/>
      </c>
      <c r="AZ264" s="5" t="s">
        <v>42</v>
      </c>
      <c r="BA264" s="2">
        <v>-1010101</v>
      </c>
      <c r="BB264" s="39">
        <v>300.10188629999999</v>
      </c>
      <c r="BC264" s="39" t="str">
        <f>IF(AND(Table1[[#This Row],[Z3 SMT2-1 WMax Cost]]=Table1[[#This Row],[ORTools FZN2 Cost]],Table1[[#This Row],[ORTools FZN2 State]]="Optimal"),1,"")</f>
        <v/>
      </c>
      <c r="BD264" s="39" t="s">
        <v>42</v>
      </c>
      <c r="BE264" s="39">
        <v>-1010101</v>
      </c>
      <c r="BF264" s="2">
        <v>300.1174398</v>
      </c>
      <c r="BG264" s="2" t="str">
        <f>IF(AND(Table1[[#This Row],[Z3 SMT2-2 Maxres Cost]]=Table1[[#This Row],[ORTools FZN2 Cost]],Table1[[#This Row],[ORTools FZN2 State]]="Optimal"),1,"")</f>
        <v/>
      </c>
      <c r="BH264" s="5" t="s">
        <v>42</v>
      </c>
      <c r="BI264" s="2">
        <v>-1010101</v>
      </c>
      <c r="BJ264" s="39">
        <v>300.10689880000001</v>
      </c>
      <c r="BK264" s="39" t="str">
        <f>IF(AND(Table1[[#This Row],[Z3 SMT2-2 PdMaxres Cost]]=Table1[[#This Row],[ORTools FZN2 Cost]],Table1[[#This Row],[ORTools FZN2 State]]="Optimal"),1,"")</f>
        <v/>
      </c>
      <c r="BL264" s="39" t="s">
        <v>42</v>
      </c>
      <c r="BM264" s="39">
        <v>-1010101</v>
      </c>
      <c r="BN264" s="2">
        <v>300.10607049999999</v>
      </c>
      <c r="BO264" s="4" t="str">
        <f>IF(AND(Table1[[#This Row],[Z3 SMT2-2 PdMaxres Cost]]=Table1[[#This Row],[ORTools FZN2 Cost]],Table1[[#This Row],[ORTools FZN2 State]]="Optimal"),1,"")</f>
        <v/>
      </c>
      <c r="BP264" s="5" t="s">
        <v>42</v>
      </c>
      <c r="BQ264" s="2">
        <v>-1010101</v>
      </c>
      <c r="BR264" s="2">
        <v>300.208775</v>
      </c>
      <c r="BS264" s="2" t="str">
        <f>IF(AND(Table1[[#This Row],[Gurobi MB Cost]]=Table1[[#This Row],[ORTools FZN2 Cost]],Table1[[#This Row],[ORTools FZN2 State]]="Optimal",Table1[[#This Row],[Gurobi MB State]]="Suboptimal"),1,"")</f>
        <v/>
      </c>
      <c r="BT26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4" s="5" t="s">
        <v>42</v>
      </c>
      <c r="BV264" s="2">
        <v>-1010101</v>
      </c>
      <c r="BW264" s="2">
        <v>300.10352390000003</v>
      </c>
      <c r="BX264" s="2" t="str">
        <f>IF(AND(Table1[[#This Row],[Gurobi MD Cost]]=Table1[[#This Row],[ORTools FZN2 Cost]],Table1[[#This Row],[ORTools FZN2 State]]="Optimal",Table1[[#This Row],[Gurobi MD State]]="Suboptimal"),1,"")</f>
        <v/>
      </c>
      <c r="BY26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4" s="5" t="s">
        <v>42</v>
      </c>
      <c r="CA264" s="2">
        <v>-1010101</v>
      </c>
      <c r="CB264" s="2">
        <v>300.18711510000003</v>
      </c>
      <c r="CC264" s="2" t="str">
        <f>IF(AND(Table1[[#This Row],[Gurobi MI Cost]]=Table1[[#This Row],[ORTools FZN2 Cost]],Table1[[#This Row],[ORTools FZN2 State]]="Optimal",Table1[[#This Row],[Gurobi MI State]]="Suboptimal"),1,"")</f>
        <v/>
      </c>
      <c r="CD26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4" s="39" t="s">
        <v>42</v>
      </c>
      <c r="CF264" s="2">
        <v>-1010101</v>
      </c>
      <c r="CG264" s="39">
        <v>306.27263870000002</v>
      </c>
      <c r="CH264" s="39" t="s">
        <v>42</v>
      </c>
      <c r="CI264" s="39">
        <v>-1010101</v>
      </c>
      <c r="CJ264" s="2">
        <v>306.31027210000002</v>
      </c>
      <c r="CK264" s="5" t="s">
        <v>26</v>
      </c>
      <c r="CL264" s="2">
        <v>20157622</v>
      </c>
      <c r="CM264" s="2">
        <v>300.08999999999997</v>
      </c>
      <c r="CN264" s="5" t="s">
        <v>26</v>
      </c>
      <c r="CO264" s="2">
        <v>39329213</v>
      </c>
      <c r="CP264" s="2">
        <v>304.92689109999998</v>
      </c>
      <c r="CQ264" s="5" t="s">
        <v>26</v>
      </c>
      <c r="CR264" s="2">
        <v>28198030</v>
      </c>
      <c r="CS264" s="2">
        <v>302.97231670000002</v>
      </c>
      <c r="CT264" s="6" t="s">
        <v>25</v>
      </c>
      <c r="CU264" s="4">
        <v>18137625</v>
      </c>
      <c r="CV264" s="4">
        <v>98.275427800000003</v>
      </c>
      <c r="CW264" s="39" t="s">
        <v>42</v>
      </c>
      <c r="CX264" s="39"/>
      <c r="CY264" s="2">
        <v>300.0274</v>
      </c>
      <c r="CZ264" s="2" t="str">
        <f>IF(AND(Table1[[#This Row],[Cplex MZ1 Cost]]=Table1[[#This Row],[ORTools FZN2 Cost]],Table1[[#This Row],[ORTools FZN2 State]]="Optimal",Table1[[#This Row],[Cplex MZ1 State]]="Suboptimal"),1,"")</f>
        <v/>
      </c>
      <c r="DA264" s="5" t="s">
        <v>42</v>
      </c>
      <c r="DB264" s="2"/>
      <c r="DC264" s="2">
        <v>300.04790000000003</v>
      </c>
      <c r="DD264" s="2" t="str">
        <f>IF(AND(Table1[[#This Row],[Cplex MZ2 Cost]]=Table1[[#This Row],[ORTools FZN2 Cost]],Table1[[#This Row],[ORTools FZN2 State]]="Optimal",Table1[[#This Row],[Cplex MZ2 State]]="Suboptimal"),1,"")</f>
        <v/>
      </c>
      <c r="DE264" s="39" t="s">
        <v>42</v>
      </c>
      <c r="DF264" s="39"/>
      <c r="DG264" s="2">
        <v>300.0052</v>
      </c>
      <c r="DH264" s="2" t="str">
        <f>IF(AND(Table1[[#This Row],[Gurobi MZ1 Cost]]=Table1[[#This Row],[ORTools FZN2 Cost]],Table1[[#This Row],[ORTools FZN2 State]]="Optimal",Table1[[#This Row],[Gurobi MZ1 State]]="Suboptimal"),1,"")</f>
        <v/>
      </c>
      <c r="DI264" s="5" t="s">
        <v>42</v>
      </c>
      <c r="DJ264" s="2"/>
      <c r="DK264" s="2">
        <v>300.00869999999998</v>
      </c>
      <c r="DL264" s="4" t="str">
        <f>IF(AND(Table1[[#This Row],[Gurobi MZ2 Cost]]=Table1[[#This Row],[ORTools FZN2 Cost]],Table1[[#This Row],[ORTools FZN2 State]]="Optimal",Table1[[#This Row],[Gurobi MZ2 State]]="Suboptimal"),1,"")</f>
        <v/>
      </c>
      <c r="DM264" s="39" t="s">
        <v>26</v>
      </c>
      <c r="DN264" s="39">
        <v>20158417</v>
      </c>
      <c r="DO264" s="65">
        <v>300.07900000000501</v>
      </c>
      <c r="DP264" s="4" t="str">
        <f>IF(AND(Table1[[#This Row],[Cplex MC nonDual Cost]]=Table1[[#This Row],[ORTools FZN2 Cost]],Table1[[#This Row],[ORTools FZN2 State]]="Optimal",Table1[[#This Row],[Cplex MC nonDual State]]="Suboptimal"),1,"")</f>
        <v/>
      </c>
      <c r="DQ264" s="5" t="s">
        <v>42</v>
      </c>
      <c r="DR264" s="2"/>
      <c r="DS264" s="2">
        <v>300.01220000000001</v>
      </c>
      <c r="DT264" s="2" t="str">
        <f>IF(AND(Table1[[#This Row],[Cplex MIP DM''z Cost]]=Table1[[#This Row],[ORTools FZN2 Cost]],Table1[[#This Row],[ORTools FZN2 State]]="Optimal",Table1[[#This Row],[Cplex MIP DM''z  State]]="Suboptimal"),1,"")</f>
        <v/>
      </c>
      <c r="DU26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4" s="5" t="s">
        <v>42</v>
      </c>
      <c r="DW264" s="2"/>
      <c r="DX264" s="2">
        <v>300.0224</v>
      </c>
      <c r="DY264" s="4" t="str">
        <f>IF(AND(Table1[[#This Row],[Gurobi DM''z  Cost]]=Table1[[#This Row],[ORTools FZN2 Cost]],Table1[[#This Row],[ORTools FZN2 State]]="Optimal",Table1[[#This Row],[Gurobi DM''z  State]]="Suboptimal"),1,"")</f>
        <v/>
      </c>
      <c r="DZ26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5" spans="1:130" ht="15.75" x14ac:dyDescent="0.25">
      <c r="A265" s="47" t="s">
        <v>291</v>
      </c>
      <c r="B265" s="5">
        <v>100</v>
      </c>
      <c r="C265" s="2">
        <v>44</v>
      </c>
      <c r="D265" s="5">
        <v>1291</v>
      </c>
      <c r="E265" s="2">
        <v>62</v>
      </c>
      <c r="F265" s="5">
        <v>141</v>
      </c>
      <c r="G265" s="2">
        <v>0</v>
      </c>
      <c r="H265" s="4">
        <f t="shared" si="4"/>
        <v>12</v>
      </c>
      <c r="I265" s="4">
        <f>Table1[[#This Row],[B]]+Table1[[#This Row],[Atomic Constraints]]+Table1[[#This Row],[Soft Atomic Constraints]]+Table1[[#This Row],[Disjunctive Constraints]]+Table1[[#This Row],[Direct Successors]]</f>
        <v>1538</v>
      </c>
      <c r="J265" s="5" t="s">
        <v>42</v>
      </c>
      <c r="K265" s="2">
        <v>-1010101</v>
      </c>
      <c r="L265" s="2">
        <v>305.09904460000001</v>
      </c>
      <c r="M265" s="2" t="str">
        <f>IF(AND(Table1[[#This Row],[Chuffed MZ1 Cost]]=Table1[[#This Row],[ORTools FZN2 Cost]],Table1[[#This Row],[ORTools FZN2 State]]="Optimal",Table1[[#This Row],[Chuffed MZ1 State]]="Suboptimal"),1,"")</f>
        <v/>
      </c>
      <c r="N265" s="5" t="s">
        <v>26</v>
      </c>
      <c r="O265" s="2">
        <v>43286736</v>
      </c>
      <c r="P265" s="2">
        <v>305.02103010000002</v>
      </c>
      <c r="Q265" s="2" t="str">
        <f>IF(AND(Table1[[#This Row],[Chuffed MZ2 Cost]]=Table1[[#This Row],[ORTools FZN2 Cost]],Table1[[#This Row],[ORTools FZN2 State]]="Optimal",Table1[[#This Row],[Chuffed MZ2 State]]="Suboptimal"),1,"")</f>
        <v/>
      </c>
      <c r="R265" s="6" t="s">
        <v>26</v>
      </c>
      <c r="S265" s="4">
        <v>19147323</v>
      </c>
      <c r="T265" s="4">
        <v>300.40800000000303</v>
      </c>
      <c r="U265" s="4"/>
      <c r="V265" s="5" t="s">
        <v>26</v>
      </c>
      <c r="W265" s="2">
        <v>39338826</v>
      </c>
      <c r="X265" s="2">
        <v>301.90116319999998</v>
      </c>
      <c r="Y265" s="2" t="str">
        <f>IF(AND(Table1[[#This Row],[ORTools FZN1 Cost]]=Table1[[#This Row],[ORTools FZN2 Cost]],Table1[[#This Row],[ORTools FZN2 State]]="Optimal",Table1[[#This Row],[ORTools FZN1 State]]="Suboptimal"),1,"")</f>
        <v/>
      </c>
      <c r="Z265" s="5" t="s">
        <v>26</v>
      </c>
      <c r="AA265" s="2">
        <v>33197332</v>
      </c>
      <c r="AB265" s="2">
        <v>301.86613929999999</v>
      </c>
      <c r="AC265" s="39" t="s">
        <v>42</v>
      </c>
      <c r="AD265" s="39">
        <v>-1010101</v>
      </c>
      <c r="AE265" s="2">
        <v>300.27082080000002</v>
      </c>
      <c r="AF265" s="2" t="str">
        <f>IF(AND(Table1[[#This Row],[Cplex MB Cost]]=Table1[[#This Row],[ORTools FZN2 Cost]],Table1[[#This Row],[ORTools FZN2 State]]="Optimal",Table1[[#This Row],[Cplex MB State]]="Suboptimal"),1,"")</f>
        <v/>
      </c>
      <c r="AG265" s="4">
        <f>IF(AND(AC265="Optimal",AD265&lt;&gt;AA265,Table1[[#This Row],[Example]]&lt;&gt;"R001",Table1[[#This Row],[Example]]&lt;&gt;"R002"),AD265-AA265,)</f>
        <v>0</v>
      </c>
      <c r="AH265" s="5" t="s">
        <v>42</v>
      </c>
      <c r="AI265" s="2">
        <v>-1010101</v>
      </c>
      <c r="AJ265" s="2">
        <v>300.77008499999999</v>
      </c>
      <c r="AK265" s="2" t="str">
        <f>IF(AND(Table1[[#This Row],[Cplex MD Cost]]=Table1[[#This Row],[ORTools FZN2 Cost]],Table1[[#This Row],[ORTools FZN2 State]]="Optimal",Table1[[#This Row],[Cplex MD State]]="Suboptimal"),1,"")</f>
        <v/>
      </c>
      <c r="AL265" s="4">
        <f>IF(AND(AH265="Optimal",AI265&lt;&gt;AA265,Table1[[#This Row],[Example]]&lt;&gt;"R001",Table1[[#This Row],[Example]]&lt;&gt;"R002"),AI265-AA265,)</f>
        <v>0</v>
      </c>
      <c r="AM265" s="39" t="s">
        <v>42</v>
      </c>
      <c r="AN265" s="39">
        <v>-1010101</v>
      </c>
      <c r="AO265" s="2">
        <v>300.26457499999998</v>
      </c>
      <c r="AP265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5" s="4" t="str">
        <f>IF(AND(Table1[[#This Row],[Cplex MI Cost]]=Table1[[#This Row],[ORTools FZN2 Cost]],Table1[[#This Row],[ORTools FZN2 State]]="Optimal",Table1[[#This Row],[Cplex MI State]]="Suboptimal"),1,"")</f>
        <v/>
      </c>
      <c r="AR265" s="5" t="s">
        <v>42</v>
      </c>
      <c r="AS265" s="2">
        <v>-1010101</v>
      </c>
      <c r="AT265" s="2">
        <v>300.10197549999998</v>
      </c>
      <c r="AU265" s="2" t="str">
        <f>IF(AND(Table1[[#This Row],[Z3 SMT2-1 Maxres Cost]]=Table1[[#This Row],[ORTools FZN2 Cost]],Table1[[#This Row],[ORTools FZN2 State]]="Optimal"),1,"")</f>
        <v/>
      </c>
      <c r="AV265" s="39" t="s">
        <v>42</v>
      </c>
      <c r="AW265" s="39">
        <v>-1010101</v>
      </c>
      <c r="AX265" s="2">
        <v>300.10853680000002</v>
      </c>
      <c r="AY265" s="2" t="str">
        <f>IF(AND(Table1[[#This Row],[Z3 SMT2-1 PdMaxres Cost]]=Table1[[#This Row],[ORTools FZN2 Cost]],Table1[[#This Row],[ORTools FZN2 State]]="Optimal"),1,"")</f>
        <v/>
      </c>
      <c r="AZ265" s="5" t="s">
        <v>42</v>
      </c>
      <c r="BA265" s="2">
        <v>-1010101</v>
      </c>
      <c r="BB265" s="39">
        <v>300.10752819999999</v>
      </c>
      <c r="BC265" s="39" t="str">
        <f>IF(AND(Table1[[#This Row],[Z3 SMT2-1 WMax Cost]]=Table1[[#This Row],[ORTools FZN2 Cost]],Table1[[#This Row],[ORTools FZN2 State]]="Optimal"),1,"")</f>
        <v/>
      </c>
      <c r="BD265" s="39" t="s">
        <v>42</v>
      </c>
      <c r="BE265" s="39">
        <v>-1010101</v>
      </c>
      <c r="BF265" s="2">
        <v>300.10586139999998</v>
      </c>
      <c r="BG265" s="2" t="str">
        <f>IF(AND(Table1[[#This Row],[Z3 SMT2-2 Maxres Cost]]=Table1[[#This Row],[ORTools FZN2 Cost]],Table1[[#This Row],[ORTools FZN2 State]]="Optimal"),1,"")</f>
        <v/>
      </c>
      <c r="BH265" s="5" t="s">
        <v>42</v>
      </c>
      <c r="BI265" s="2">
        <v>-1010101</v>
      </c>
      <c r="BJ265" s="39">
        <v>300.11558330000003</v>
      </c>
      <c r="BK265" s="39" t="str">
        <f>IF(AND(Table1[[#This Row],[Z3 SMT2-2 PdMaxres Cost]]=Table1[[#This Row],[ORTools FZN2 Cost]],Table1[[#This Row],[ORTools FZN2 State]]="Optimal"),1,"")</f>
        <v/>
      </c>
      <c r="BL265" s="39" t="s">
        <v>42</v>
      </c>
      <c r="BM265" s="39">
        <v>-1010101</v>
      </c>
      <c r="BN265" s="2">
        <v>300.10682750000001</v>
      </c>
      <c r="BO265" s="4" t="str">
        <f>IF(AND(Table1[[#This Row],[Z3 SMT2-2 PdMaxres Cost]]=Table1[[#This Row],[ORTools FZN2 Cost]],Table1[[#This Row],[ORTools FZN2 State]]="Optimal"),1,"")</f>
        <v/>
      </c>
      <c r="BP265" s="5" t="s">
        <v>42</v>
      </c>
      <c r="BQ265" s="2">
        <v>-1010101</v>
      </c>
      <c r="BR265" s="2">
        <v>300.14868910000001</v>
      </c>
      <c r="BS265" s="2" t="str">
        <f>IF(AND(Table1[[#This Row],[Gurobi MB Cost]]=Table1[[#This Row],[ORTools FZN2 Cost]],Table1[[#This Row],[ORTools FZN2 State]]="Optimal",Table1[[#This Row],[Gurobi MB State]]="Suboptimal"),1,"")</f>
        <v/>
      </c>
      <c r="BT26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5" s="5" t="s">
        <v>42</v>
      </c>
      <c r="BV265" s="2">
        <v>-1010101</v>
      </c>
      <c r="BW265" s="2">
        <v>300.30264729999999</v>
      </c>
      <c r="BX265" s="2" t="str">
        <f>IF(AND(Table1[[#This Row],[Gurobi MD Cost]]=Table1[[#This Row],[ORTools FZN2 Cost]],Table1[[#This Row],[ORTools FZN2 State]]="Optimal",Table1[[#This Row],[Gurobi MD State]]="Suboptimal"),1,"")</f>
        <v/>
      </c>
      <c r="BY26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5" s="5" t="s">
        <v>42</v>
      </c>
      <c r="CA265" s="2">
        <v>-1010101</v>
      </c>
      <c r="CB265" s="2">
        <v>300.79088139999999</v>
      </c>
      <c r="CC265" s="2" t="str">
        <f>IF(AND(Table1[[#This Row],[Gurobi MI Cost]]=Table1[[#This Row],[ORTools FZN2 Cost]],Table1[[#This Row],[ORTools FZN2 State]]="Optimal",Table1[[#This Row],[Gurobi MI State]]="Suboptimal"),1,"")</f>
        <v/>
      </c>
      <c r="CD26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5" s="39" t="s">
        <v>42</v>
      </c>
      <c r="CF265" s="2">
        <v>-1010101</v>
      </c>
      <c r="CG265" s="39">
        <v>306.36387189999999</v>
      </c>
      <c r="CH265" s="39" t="s">
        <v>42</v>
      </c>
      <c r="CI265" s="39">
        <v>-1010101</v>
      </c>
      <c r="CJ265" s="2">
        <v>306.35434609999999</v>
      </c>
      <c r="CK265" s="5" t="s">
        <v>26</v>
      </c>
      <c r="CL265" s="2">
        <v>19147625</v>
      </c>
      <c r="CM265" s="2">
        <v>300.364000000001</v>
      </c>
      <c r="CN265" s="5" t="s">
        <v>42</v>
      </c>
      <c r="CO265" s="2">
        <v>-1010101</v>
      </c>
      <c r="CP265" s="2">
        <v>304.97312740000001</v>
      </c>
      <c r="CQ265" s="5" t="s">
        <v>26</v>
      </c>
      <c r="CR265" s="2">
        <v>28158737</v>
      </c>
      <c r="CS265" s="2">
        <v>302.9327748</v>
      </c>
      <c r="CT265" s="6" t="s">
        <v>25</v>
      </c>
      <c r="CU265" s="4">
        <v>18127126</v>
      </c>
      <c r="CV265" s="4">
        <v>118.7718931</v>
      </c>
      <c r="CW265" s="39" t="s">
        <v>42</v>
      </c>
      <c r="CX265" s="39"/>
      <c r="CY265" s="2">
        <v>300.02730000000003</v>
      </c>
      <c r="CZ265" s="2" t="str">
        <f>IF(AND(Table1[[#This Row],[Cplex MZ1 Cost]]=Table1[[#This Row],[ORTools FZN2 Cost]],Table1[[#This Row],[ORTools FZN2 State]]="Optimal",Table1[[#This Row],[Cplex MZ1 State]]="Suboptimal"),1,"")</f>
        <v/>
      </c>
      <c r="DA265" s="5" t="s">
        <v>42</v>
      </c>
      <c r="DB265" s="2"/>
      <c r="DC265" s="2">
        <v>300.05099999999999</v>
      </c>
      <c r="DD265" s="2" t="str">
        <f>IF(AND(Table1[[#This Row],[Cplex MZ2 Cost]]=Table1[[#This Row],[ORTools FZN2 Cost]],Table1[[#This Row],[ORTools FZN2 State]]="Optimal",Table1[[#This Row],[Cplex MZ2 State]]="Suboptimal"),1,"")</f>
        <v/>
      </c>
      <c r="DE265" s="39" t="s">
        <v>42</v>
      </c>
      <c r="DF265" s="39"/>
      <c r="DG265" s="2">
        <v>300.00490000000002</v>
      </c>
      <c r="DH265" s="2" t="str">
        <f>IF(AND(Table1[[#This Row],[Gurobi MZ1 Cost]]=Table1[[#This Row],[ORTools FZN2 Cost]],Table1[[#This Row],[ORTools FZN2 State]]="Optimal",Table1[[#This Row],[Gurobi MZ1 State]]="Suboptimal"),1,"")</f>
        <v/>
      </c>
      <c r="DI265" s="5" t="s">
        <v>42</v>
      </c>
      <c r="DJ265" s="2"/>
      <c r="DK265" s="2">
        <v>300.01420000000002</v>
      </c>
      <c r="DL265" s="4" t="str">
        <f>IF(AND(Table1[[#This Row],[Gurobi MZ2 Cost]]=Table1[[#This Row],[ORTools FZN2 Cost]],Table1[[#This Row],[ORTools FZN2 State]]="Optimal",Table1[[#This Row],[Gurobi MZ2 State]]="Suboptimal"),1,"")</f>
        <v/>
      </c>
      <c r="DM265" s="39" t="s">
        <v>26</v>
      </c>
      <c r="DN265" s="39">
        <v>19147625</v>
      </c>
      <c r="DO265" s="65">
        <v>300.35399999999902</v>
      </c>
      <c r="DP265" s="4" t="str">
        <f>IF(AND(Table1[[#This Row],[Cplex MC nonDual Cost]]=Table1[[#This Row],[ORTools FZN2 Cost]],Table1[[#This Row],[ORTools FZN2 State]]="Optimal",Table1[[#This Row],[Cplex MC nonDual State]]="Suboptimal"),1,"")</f>
        <v/>
      </c>
      <c r="DQ265" s="5" t="s">
        <v>26</v>
      </c>
      <c r="DR265" s="2">
        <v>32157735</v>
      </c>
      <c r="DS265" s="2">
        <v>300.0179</v>
      </c>
      <c r="DT265" s="2" t="str">
        <f>IF(AND(Table1[[#This Row],[Cplex MIP DM''z Cost]]=Table1[[#This Row],[ORTools FZN2 Cost]],Table1[[#This Row],[ORTools FZN2 State]]="Optimal",Table1[[#This Row],[Cplex MIP DM''z  State]]="Suboptimal"),1,"")</f>
        <v/>
      </c>
      <c r="DU26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5" s="5" t="s">
        <v>42</v>
      </c>
      <c r="DW265" s="2"/>
      <c r="DX265" s="2">
        <v>300.01589999999999</v>
      </c>
      <c r="DY265" s="4" t="str">
        <f>IF(AND(Table1[[#This Row],[Gurobi DM''z  Cost]]=Table1[[#This Row],[ORTools FZN2 Cost]],Table1[[#This Row],[ORTools FZN2 State]]="Optimal",Table1[[#This Row],[Gurobi DM''z  State]]="Suboptimal"),1,"")</f>
        <v/>
      </c>
      <c r="DZ26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6" spans="1:130" ht="15.75" x14ac:dyDescent="0.25">
      <c r="A266" s="46" t="s">
        <v>292</v>
      </c>
      <c r="B266" s="5">
        <v>69</v>
      </c>
      <c r="C266" s="2">
        <v>31</v>
      </c>
      <c r="D266" s="5">
        <v>844</v>
      </c>
      <c r="E266" s="2">
        <v>34</v>
      </c>
      <c r="F266" s="5">
        <v>55</v>
      </c>
      <c r="G266" s="2">
        <v>0</v>
      </c>
      <c r="H266" s="4">
        <f t="shared" si="4"/>
        <v>7</v>
      </c>
      <c r="I266" s="4">
        <f>Table1[[#This Row],[B]]+Table1[[#This Row],[Atomic Constraints]]+Table1[[#This Row],[Soft Atomic Constraints]]+Table1[[#This Row],[Disjunctive Constraints]]+Table1[[#This Row],[Direct Successors]]</f>
        <v>964</v>
      </c>
      <c r="J266" s="5" t="s">
        <v>26</v>
      </c>
      <c r="K266" s="2">
        <v>7605547</v>
      </c>
      <c r="L266" s="2">
        <v>302.75361700000002</v>
      </c>
      <c r="M266" s="2" t="str">
        <f>IF(AND(Table1[[#This Row],[Chuffed MZ1 Cost]]=Table1[[#This Row],[ORTools FZN2 Cost]],Table1[[#This Row],[ORTools FZN2 State]]="Optimal",Table1[[#This Row],[Chuffed MZ1 State]]="Suboptimal"),1,"")</f>
        <v/>
      </c>
      <c r="N266" s="5" t="s">
        <v>26</v>
      </c>
      <c r="O266" s="2">
        <v>5629863</v>
      </c>
      <c r="P266" s="2">
        <v>302.76978960000002</v>
      </c>
      <c r="Q266" s="2" t="str">
        <f>IF(AND(Table1[[#This Row],[Chuffed MZ2 Cost]]=Table1[[#This Row],[ORTools FZN2 Cost]],Table1[[#This Row],[ORTools FZN2 State]]="Optimal",Table1[[#This Row],[Chuffed MZ2 State]]="Suboptimal"),1,"")</f>
        <v/>
      </c>
      <c r="R266" s="12" t="s">
        <v>26</v>
      </c>
      <c r="S266" s="12">
        <v>661921</v>
      </c>
      <c r="T266" s="12">
        <v>300.00800000000203</v>
      </c>
      <c r="U266" s="12">
        <v>1</v>
      </c>
      <c r="V266" s="5" t="s">
        <v>25</v>
      </c>
      <c r="W266" s="2">
        <v>661921</v>
      </c>
      <c r="X266" s="2">
        <v>38.161944200000001</v>
      </c>
      <c r="Y266" s="2" t="str">
        <f>IF(AND(Table1[[#This Row],[ORTools FZN1 Cost]]=Table1[[#This Row],[ORTools FZN2 Cost]],Table1[[#This Row],[ORTools FZN2 State]]="Optimal",Table1[[#This Row],[ORTools FZN1 State]]="Suboptimal"),1,"")</f>
        <v/>
      </c>
      <c r="Z266" s="5" t="s">
        <v>25</v>
      </c>
      <c r="AA266" s="2">
        <v>661921</v>
      </c>
      <c r="AB266" s="2">
        <v>46.489379700000001</v>
      </c>
      <c r="AC266" s="39" t="s">
        <v>42</v>
      </c>
      <c r="AD266" s="39">
        <v>-333340</v>
      </c>
      <c r="AE266" s="2">
        <v>300.17047559999997</v>
      </c>
      <c r="AF266" s="2" t="str">
        <f>IF(AND(Table1[[#This Row],[Cplex MB Cost]]=Table1[[#This Row],[ORTools FZN2 Cost]],Table1[[#This Row],[ORTools FZN2 State]]="Optimal",Table1[[#This Row],[Cplex MB State]]="Suboptimal"),1,"")</f>
        <v/>
      </c>
      <c r="AG266" s="4">
        <f>IF(AND(AC266="Optimal",AD266&lt;&gt;AA266,Table1[[#This Row],[Example]]&lt;&gt;"R001",Table1[[#This Row],[Example]]&lt;&gt;"R002"),AD266-AA266,)</f>
        <v>0</v>
      </c>
      <c r="AH266" s="5" t="s">
        <v>42</v>
      </c>
      <c r="AI266" s="2">
        <v>-333340</v>
      </c>
      <c r="AJ266" s="2">
        <v>300.69484890000001</v>
      </c>
      <c r="AK266" s="2" t="str">
        <f>IF(AND(Table1[[#This Row],[Cplex MD Cost]]=Table1[[#This Row],[ORTools FZN2 Cost]],Table1[[#This Row],[ORTools FZN2 State]]="Optimal",Table1[[#This Row],[Cplex MD State]]="Suboptimal"),1,"")</f>
        <v/>
      </c>
      <c r="AL266" s="2">
        <f>IF(AND(AH266="Optimal",AI266&lt;&gt;AA266,Table1[[#This Row],[Example]]&lt;&gt;"R001",Table1[[#This Row],[Example]]&lt;&gt;"R002"),AI266-AA266,)</f>
        <v>0</v>
      </c>
      <c r="AM266" s="39" t="s">
        <v>42</v>
      </c>
      <c r="AN266" s="39">
        <v>-333340</v>
      </c>
      <c r="AO266" s="2">
        <v>300.15435480000002</v>
      </c>
      <c r="AP26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6" s="4" t="str">
        <f>IF(AND(Table1[[#This Row],[Cplex MI Cost]]=Table1[[#This Row],[ORTools FZN2 Cost]],Table1[[#This Row],[ORTools FZN2 State]]="Optimal",Table1[[#This Row],[Cplex MI State]]="Suboptimal"),1,"")</f>
        <v/>
      </c>
      <c r="AR266" s="5" t="s">
        <v>42</v>
      </c>
      <c r="AS266" s="2">
        <v>-333340</v>
      </c>
      <c r="AT266" s="2">
        <v>300.06120779999998</v>
      </c>
      <c r="AU266" s="2" t="str">
        <f>IF(AND(Table1[[#This Row],[Z3 SMT2-1 Maxres Cost]]=Table1[[#This Row],[ORTools FZN2 Cost]],Table1[[#This Row],[ORTools FZN2 State]]="Optimal"),1,"")</f>
        <v/>
      </c>
      <c r="AV266" s="39" t="s">
        <v>42</v>
      </c>
      <c r="AW266" s="39">
        <v>-333340</v>
      </c>
      <c r="AX266" s="2">
        <v>300.06066870000001</v>
      </c>
      <c r="AY266" s="2" t="str">
        <f>IF(AND(Table1[[#This Row],[Z3 SMT2-1 PdMaxres Cost]]=Table1[[#This Row],[ORTools FZN2 Cost]],Table1[[#This Row],[ORTools FZN2 State]]="Optimal"),1,"")</f>
        <v/>
      </c>
      <c r="AZ266" s="5" t="s">
        <v>42</v>
      </c>
      <c r="BA266" s="2">
        <v>-333340</v>
      </c>
      <c r="BB266" s="39">
        <v>300.0605319</v>
      </c>
      <c r="BC266" s="39" t="str">
        <f>IF(AND(Table1[[#This Row],[Z3 SMT2-1 WMax Cost]]=Table1[[#This Row],[ORTools FZN2 Cost]],Table1[[#This Row],[ORTools FZN2 State]]="Optimal"),1,"")</f>
        <v/>
      </c>
      <c r="BD266" s="39" t="s">
        <v>42</v>
      </c>
      <c r="BE266" s="39">
        <v>-333340</v>
      </c>
      <c r="BF266" s="2">
        <v>300.0645576</v>
      </c>
      <c r="BG266" s="2" t="str">
        <f>IF(AND(Table1[[#This Row],[Z3 SMT2-2 Maxres Cost]]=Table1[[#This Row],[ORTools FZN2 Cost]],Table1[[#This Row],[ORTools FZN2 State]]="Optimal"),1,"")</f>
        <v/>
      </c>
      <c r="BH266" s="5" t="s">
        <v>42</v>
      </c>
      <c r="BI266" s="2">
        <v>-333340</v>
      </c>
      <c r="BJ266" s="39">
        <v>300.0663404</v>
      </c>
      <c r="BK266" s="39" t="str">
        <f>IF(AND(Table1[[#This Row],[Z3 SMT2-2 PdMaxres Cost]]=Table1[[#This Row],[ORTools FZN2 Cost]],Table1[[#This Row],[ORTools FZN2 State]]="Optimal"),1,"")</f>
        <v/>
      </c>
      <c r="BL266" s="39" t="s">
        <v>42</v>
      </c>
      <c r="BM266" s="39">
        <v>-333340</v>
      </c>
      <c r="BN266" s="2">
        <v>300.06866359999998</v>
      </c>
      <c r="BO266" s="4" t="str">
        <f>IF(AND(Table1[[#This Row],[Z3 SMT2-2 PdMaxres Cost]]=Table1[[#This Row],[ORTools FZN2 Cost]],Table1[[#This Row],[ORTools FZN2 State]]="Optimal"),1,"")</f>
        <v/>
      </c>
      <c r="BP266" s="5" t="s">
        <v>42</v>
      </c>
      <c r="BQ266" s="2">
        <v>-333340</v>
      </c>
      <c r="BR266" s="2">
        <v>300.12539120000002</v>
      </c>
      <c r="BS266" s="2" t="str">
        <f>IF(AND(Table1[[#This Row],[Gurobi MB Cost]]=Table1[[#This Row],[ORTools FZN2 Cost]],Table1[[#This Row],[ORTools FZN2 State]]="Optimal",Table1[[#This Row],[Gurobi MB State]]="Suboptimal"),1,"")</f>
        <v/>
      </c>
      <c r="BT26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6" s="5" t="s">
        <v>42</v>
      </c>
      <c r="BV266" s="2">
        <v>-333340</v>
      </c>
      <c r="BW266" s="2">
        <v>300.10218700000001</v>
      </c>
      <c r="BX266" s="2" t="str">
        <f>IF(AND(Table1[[#This Row],[Gurobi MD Cost]]=Table1[[#This Row],[ORTools FZN2 Cost]],Table1[[#This Row],[ORTools FZN2 State]]="Optimal",Table1[[#This Row],[Gurobi MD State]]="Suboptimal"),1,"")</f>
        <v/>
      </c>
      <c r="BY26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6" s="5" t="s">
        <v>42</v>
      </c>
      <c r="CA266" s="2">
        <v>-333340</v>
      </c>
      <c r="CB266" s="2">
        <v>300.51759499999997</v>
      </c>
      <c r="CC266" s="2" t="str">
        <f>IF(AND(Table1[[#This Row],[Gurobi MI Cost]]=Table1[[#This Row],[ORTools FZN2 Cost]],Table1[[#This Row],[ORTools FZN2 State]]="Optimal",Table1[[#This Row],[Gurobi MI State]]="Suboptimal"),1,"")</f>
        <v/>
      </c>
      <c r="CD26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6" s="39" t="s">
        <v>42</v>
      </c>
      <c r="CF266" s="2">
        <v>-333340</v>
      </c>
      <c r="CG266" s="39">
        <v>306.16612459999999</v>
      </c>
      <c r="CH266" s="39" t="s">
        <v>42</v>
      </c>
      <c r="CI266" s="39">
        <v>-333340</v>
      </c>
      <c r="CJ266" s="2">
        <v>306.15944880000001</v>
      </c>
      <c r="CK266" s="5" t="s">
        <v>26</v>
      </c>
      <c r="CL266" s="2">
        <v>661921</v>
      </c>
      <c r="CM266" s="2">
        <v>300.178</v>
      </c>
      <c r="CN266" s="5" t="s">
        <v>26</v>
      </c>
      <c r="CO266" s="2">
        <v>8653715</v>
      </c>
      <c r="CP266" s="2">
        <v>302.70381689999999</v>
      </c>
      <c r="CQ266" s="5" t="s">
        <v>25</v>
      </c>
      <c r="CR266" s="2">
        <v>661921</v>
      </c>
      <c r="CS266" s="2">
        <v>57.928183400000002</v>
      </c>
      <c r="CT266" s="6" t="s">
        <v>25</v>
      </c>
      <c r="CU266" s="4">
        <v>661921</v>
      </c>
      <c r="CV266" s="4">
        <v>40.466270999999999</v>
      </c>
      <c r="CW266" s="39" t="s">
        <v>26</v>
      </c>
      <c r="CX266" s="39">
        <v>1981339</v>
      </c>
      <c r="CY266" s="2">
        <v>300.01499999999999</v>
      </c>
      <c r="CZ266" s="2" t="str">
        <f>IF(AND(Table1[[#This Row],[Cplex MZ1 Cost]]=Table1[[#This Row],[ORTools FZN2 Cost]],Table1[[#This Row],[ORTools FZN2 State]]="Optimal",Table1[[#This Row],[Cplex MZ1 State]]="Suboptimal"),1,"")</f>
        <v/>
      </c>
      <c r="DA266" s="5" t="s">
        <v>26</v>
      </c>
      <c r="DB266" s="2">
        <v>1652691</v>
      </c>
      <c r="DC266" s="2">
        <v>300.01209999999998</v>
      </c>
      <c r="DD266" s="2" t="str">
        <f>IF(AND(Table1[[#This Row],[Cplex MZ2 Cost]]=Table1[[#This Row],[ORTools FZN2 Cost]],Table1[[#This Row],[ORTools FZN2 State]]="Optimal",Table1[[#This Row],[Cplex MZ2 State]]="Suboptimal"),1,"")</f>
        <v/>
      </c>
      <c r="DE266" s="39" t="s">
        <v>42</v>
      </c>
      <c r="DF266" s="39"/>
      <c r="DG266" s="2">
        <v>300.02050000000003</v>
      </c>
      <c r="DH266" s="2" t="str">
        <f>IF(AND(Table1[[#This Row],[Gurobi MZ1 Cost]]=Table1[[#This Row],[ORTools FZN2 Cost]],Table1[[#This Row],[ORTools FZN2 State]]="Optimal",Table1[[#This Row],[Gurobi MZ1 State]]="Suboptimal"),1,"")</f>
        <v/>
      </c>
      <c r="DI266" s="5" t="s">
        <v>42</v>
      </c>
      <c r="DJ266" s="2"/>
      <c r="DK266" s="2">
        <v>300.03980000000001</v>
      </c>
      <c r="DL266" s="4" t="str">
        <f>IF(AND(Table1[[#This Row],[Gurobi MZ2 Cost]]=Table1[[#This Row],[ORTools FZN2 Cost]],Table1[[#This Row],[ORTools FZN2 State]]="Optimal",Table1[[#This Row],[Gurobi MZ2 State]]="Suboptimal"),1,"")</f>
        <v/>
      </c>
      <c r="DM266" s="39" t="s">
        <v>26</v>
      </c>
      <c r="DN266" s="12">
        <v>661921</v>
      </c>
      <c r="DO266" s="69">
        <v>300.00899999999803</v>
      </c>
      <c r="DP266" s="11">
        <f>IF(AND(Table1[[#This Row],[Cplex MC nonDual Cost]]=Table1[[#This Row],[ORTools FZN2 Cost]],Table1[[#This Row],[ORTools FZN2 State]]="Optimal",Table1[[#This Row],[Cplex MC nonDual State]]="Suboptimal"),1,"")</f>
        <v>1</v>
      </c>
      <c r="DQ266" s="5" t="s">
        <v>26</v>
      </c>
      <c r="DR266" s="2">
        <v>6629325</v>
      </c>
      <c r="DS266" s="2">
        <v>300.03379999999999</v>
      </c>
      <c r="DT266" s="2" t="str">
        <f>IF(AND(Table1[[#This Row],[Cplex MIP DM''z Cost]]=Table1[[#This Row],[ORTools FZN2 Cost]],Table1[[#This Row],[ORTools FZN2 State]]="Optimal",Table1[[#This Row],[Cplex MIP DM''z  State]]="Suboptimal"),1,"")</f>
        <v/>
      </c>
      <c r="DU26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6" s="5" t="s">
        <v>42</v>
      </c>
      <c r="DW266" s="2"/>
      <c r="DX266" s="2">
        <v>300.0059</v>
      </c>
      <c r="DY266" s="4" t="str">
        <f>IF(AND(Table1[[#This Row],[Gurobi DM''z  Cost]]=Table1[[#This Row],[ORTools FZN2 Cost]],Table1[[#This Row],[ORTools FZN2 State]]="Optimal",Table1[[#This Row],[Gurobi DM''z  State]]="Suboptimal"),1,"")</f>
        <v/>
      </c>
      <c r="DZ26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7" spans="1:130" ht="15.75" x14ac:dyDescent="0.25">
      <c r="A267" s="47" t="s">
        <v>293</v>
      </c>
      <c r="B267" s="5">
        <v>104</v>
      </c>
      <c r="C267" s="2">
        <v>52</v>
      </c>
      <c r="D267" s="5">
        <v>1270</v>
      </c>
      <c r="E267" s="2">
        <v>74</v>
      </c>
      <c r="F267" s="5">
        <v>197</v>
      </c>
      <c r="G267" s="2">
        <v>0</v>
      </c>
      <c r="H267" s="4">
        <f t="shared" si="4"/>
        <v>0</v>
      </c>
      <c r="I267" s="4">
        <f>Table1[[#This Row],[B]]+Table1[[#This Row],[Atomic Constraints]]+Table1[[#This Row],[Soft Atomic Constraints]]+Table1[[#This Row],[Disjunctive Constraints]]+Table1[[#This Row],[Direct Successors]]</f>
        <v>1593</v>
      </c>
      <c r="J267" s="5" t="s">
        <v>42</v>
      </c>
      <c r="K267" s="2">
        <v>-1135785</v>
      </c>
      <c r="L267" s="2">
        <v>306.58216750000003</v>
      </c>
      <c r="M267" s="2" t="str">
        <f>IF(AND(Table1[[#This Row],[Chuffed MZ1 Cost]]=Table1[[#This Row],[ORTools FZN2 Cost]],Table1[[#This Row],[ORTools FZN2 State]]="Optimal",Table1[[#This Row],[Chuffed MZ1 State]]="Suboptimal"),1,"")</f>
        <v/>
      </c>
      <c r="N267" s="5" t="s">
        <v>42</v>
      </c>
      <c r="O267" s="2">
        <v>-1135785</v>
      </c>
      <c r="P267" s="2">
        <v>306.51854420000001</v>
      </c>
      <c r="Q267" s="2" t="str">
        <f>IF(AND(Table1[[#This Row],[Chuffed MZ2 Cost]]=Table1[[#This Row],[ORTools FZN2 Cost]],Table1[[#This Row],[ORTools FZN2 State]]="Optimal",Table1[[#This Row],[Chuffed MZ2 State]]="Suboptimal"),1,"")</f>
        <v/>
      </c>
      <c r="R267" s="6" t="s">
        <v>26</v>
      </c>
      <c r="S267" s="4">
        <v>22587155</v>
      </c>
      <c r="T267" s="4">
        <v>300.23600000000403</v>
      </c>
      <c r="U267" s="4"/>
      <c r="V267" s="5" t="s">
        <v>42</v>
      </c>
      <c r="W267" s="2">
        <v>-1135785</v>
      </c>
      <c r="X267" s="2">
        <v>302.21486770000001</v>
      </c>
      <c r="Y267" s="2" t="str">
        <f>IF(AND(Table1[[#This Row],[ORTools FZN1 Cost]]=Table1[[#This Row],[ORTools FZN2 Cost]],Table1[[#This Row],[ORTools FZN2 State]]="Optimal",Table1[[#This Row],[ORTools FZN1 State]]="Suboptimal"),1,"")</f>
        <v/>
      </c>
      <c r="Z267" s="5" t="s">
        <v>42</v>
      </c>
      <c r="AA267" s="2">
        <v>-1135785</v>
      </c>
      <c r="AB267" s="2">
        <v>302.16488149999998</v>
      </c>
      <c r="AC267" s="39" t="s">
        <v>42</v>
      </c>
      <c r="AD267" s="39">
        <v>-1135785</v>
      </c>
      <c r="AE267" s="2">
        <v>300.3181333</v>
      </c>
      <c r="AF267" s="2" t="str">
        <f>IF(AND(Table1[[#This Row],[Cplex MB Cost]]=Table1[[#This Row],[ORTools FZN2 Cost]],Table1[[#This Row],[ORTools FZN2 State]]="Optimal",Table1[[#This Row],[Cplex MB State]]="Suboptimal"),1,"")</f>
        <v/>
      </c>
      <c r="AG267" s="4">
        <f>IF(AND(AC267="Optimal",AD267&lt;&gt;AA267,Table1[[#This Row],[Example]]&lt;&gt;"R001",Table1[[#This Row],[Example]]&lt;&gt;"R002"),AD267-AA267,)</f>
        <v>0</v>
      </c>
      <c r="AH267" s="5" t="s">
        <v>42</v>
      </c>
      <c r="AI267" s="2">
        <v>-1135785</v>
      </c>
      <c r="AJ267" s="2">
        <v>302.32981489999997</v>
      </c>
      <c r="AK267" s="2" t="str">
        <f>IF(AND(Table1[[#This Row],[Cplex MD Cost]]=Table1[[#This Row],[ORTools FZN2 Cost]],Table1[[#This Row],[ORTools FZN2 State]]="Optimal",Table1[[#This Row],[Cplex MD State]]="Suboptimal"),1,"")</f>
        <v/>
      </c>
      <c r="AL267" s="4">
        <f>IF(AND(AH267="Optimal",AI267&lt;&gt;AA267,Table1[[#This Row],[Example]]&lt;&gt;"R001",Table1[[#This Row],[Example]]&lt;&gt;"R002"),AI267-AA267,)</f>
        <v>0</v>
      </c>
      <c r="AM267" s="39" t="s">
        <v>42</v>
      </c>
      <c r="AN267" s="39">
        <v>-1135785</v>
      </c>
      <c r="AO267" s="2">
        <v>300.21677899999997</v>
      </c>
      <c r="AP267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7" s="4" t="str">
        <f>IF(AND(Table1[[#This Row],[Cplex MI Cost]]=Table1[[#This Row],[ORTools FZN2 Cost]],Table1[[#This Row],[ORTools FZN2 State]]="Optimal",Table1[[#This Row],[Cplex MI State]]="Suboptimal"),1,"")</f>
        <v/>
      </c>
      <c r="AR267" s="5" t="s">
        <v>42</v>
      </c>
      <c r="AS267" s="2">
        <v>-1135785</v>
      </c>
      <c r="AT267" s="2">
        <v>300.1749777</v>
      </c>
      <c r="AU267" s="2" t="str">
        <f>IF(AND(Table1[[#This Row],[Z3 SMT2-1 Maxres Cost]]=Table1[[#This Row],[ORTools FZN2 Cost]],Table1[[#This Row],[ORTools FZN2 State]]="Optimal"),1,"")</f>
        <v/>
      </c>
      <c r="AV267" s="39" t="s">
        <v>42</v>
      </c>
      <c r="AW267" s="39">
        <v>-1135785</v>
      </c>
      <c r="AX267" s="2">
        <v>300.19830899999999</v>
      </c>
      <c r="AY267" s="2" t="str">
        <f>IF(AND(Table1[[#This Row],[Z3 SMT2-1 PdMaxres Cost]]=Table1[[#This Row],[ORTools FZN2 Cost]],Table1[[#This Row],[ORTools FZN2 State]]="Optimal"),1,"")</f>
        <v/>
      </c>
      <c r="AZ267" s="5" t="s">
        <v>42</v>
      </c>
      <c r="BA267" s="2">
        <v>-1135785</v>
      </c>
      <c r="BB267" s="39">
        <v>300.19037700000001</v>
      </c>
      <c r="BC267" s="39" t="str">
        <f>IF(AND(Table1[[#This Row],[Z3 SMT2-1 WMax Cost]]=Table1[[#This Row],[ORTools FZN2 Cost]],Table1[[#This Row],[ORTools FZN2 State]]="Optimal"),1,"")</f>
        <v/>
      </c>
      <c r="BD267" s="39" t="s">
        <v>42</v>
      </c>
      <c r="BE267" s="39">
        <v>-1135785</v>
      </c>
      <c r="BF267" s="2">
        <v>300.20943290000002</v>
      </c>
      <c r="BG267" s="2" t="str">
        <f>IF(AND(Table1[[#This Row],[Z3 SMT2-2 Maxres Cost]]=Table1[[#This Row],[ORTools FZN2 Cost]],Table1[[#This Row],[ORTools FZN2 State]]="Optimal"),1,"")</f>
        <v/>
      </c>
      <c r="BH267" s="5" t="s">
        <v>42</v>
      </c>
      <c r="BI267" s="2">
        <v>-1135785</v>
      </c>
      <c r="BJ267" s="39">
        <v>300.20655920000002</v>
      </c>
      <c r="BK267" s="39" t="str">
        <f>IF(AND(Table1[[#This Row],[Z3 SMT2-2 PdMaxres Cost]]=Table1[[#This Row],[ORTools FZN2 Cost]],Table1[[#This Row],[ORTools FZN2 State]]="Optimal"),1,"")</f>
        <v/>
      </c>
      <c r="BL267" s="39" t="s">
        <v>42</v>
      </c>
      <c r="BM267" s="39">
        <v>-1135785</v>
      </c>
      <c r="BN267" s="2">
        <v>300.2028143</v>
      </c>
      <c r="BO267" s="4" t="str">
        <f>IF(AND(Table1[[#This Row],[Z3 SMT2-2 PdMaxres Cost]]=Table1[[#This Row],[ORTools FZN2 Cost]],Table1[[#This Row],[ORTools FZN2 State]]="Optimal"),1,"")</f>
        <v/>
      </c>
      <c r="BP267" s="5" t="s">
        <v>42</v>
      </c>
      <c r="BQ267" s="2">
        <v>-1135785</v>
      </c>
      <c r="BR267" s="2">
        <v>301.37272719999999</v>
      </c>
      <c r="BS267" s="2" t="str">
        <f>IF(AND(Table1[[#This Row],[Gurobi MB Cost]]=Table1[[#This Row],[ORTools FZN2 Cost]],Table1[[#This Row],[ORTools FZN2 State]]="Optimal",Table1[[#This Row],[Gurobi MB State]]="Suboptimal"),1,"")</f>
        <v/>
      </c>
      <c r="BT26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7" s="5" t="s">
        <v>42</v>
      </c>
      <c r="BV267" s="2">
        <v>-1135785</v>
      </c>
      <c r="BW267" s="2">
        <v>300.12209030000002</v>
      </c>
      <c r="BX267" s="2" t="str">
        <f>IF(AND(Table1[[#This Row],[Gurobi MD Cost]]=Table1[[#This Row],[ORTools FZN2 Cost]],Table1[[#This Row],[ORTools FZN2 State]]="Optimal",Table1[[#This Row],[Gurobi MD State]]="Suboptimal"),1,"")</f>
        <v/>
      </c>
      <c r="BY26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7" s="5" t="s">
        <v>42</v>
      </c>
      <c r="CA267" s="2">
        <v>-1135785</v>
      </c>
      <c r="CB267" s="2">
        <v>302.15215910000001</v>
      </c>
      <c r="CC267" s="2" t="str">
        <f>IF(AND(Table1[[#This Row],[Gurobi MI Cost]]=Table1[[#This Row],[ORTools FZN2 Cost]],Table1[[#This Row],[ORTools FZN2 State]]="Optimal",Table1[[#This Row],[Gurobi MI State]]="Suboptimal"),1,"")</f>
        <v/>
      </c>
      <c r="CD26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7" s="39" t="s">
        <v>42</v>
      </c>
      <c r="CF267" s="2">
        <v>-1135785</v>
      </c>
      <c r="CG267" s="39">
        <v>306.71628870000001</v>
      </c>
      <c r="CH267" s="39" t="s">
        <v>42</v>
      </c>
      <c r="CI267" s="39">
        <v>-1135785</v>
      </c>
      <c r="CJ267" s="2">
        <v>307.67334679999999</v>
      </c>
      <c r="CK267" s="5" t="s">
        <v>26</v>
      </c>
      <c r="CL267" s="2">
        <v>16931431</v>
      </c>
      <c r="CM267" s="2">
        <v>300.49599999999901</v>
      </c>
      <c r="CN267" s="5" t="s">
        <v>26</v>
      </c>
      <c r="CO267" s="2">
        <v>55341860</v>
      </c>
      <c r="CP267" s="2">
        <v>306.2735308</v>
      </c>
      <c r="CQ267" s="5" t="s">
        <v>26</v>
      </c>
      <c r="CR267" s="2">
        <v>35015796</v>
      </c>
      <c r="CS267" s="2">
        <v>303.45399029999999</v>
      </c>
      <c r="CT267" s="6" t="s">
        <v>26</v>
      </c>
      <c r="CU267" s="4">
        <v>12420433</v>
      </c>
      <c r="CV267" s="4">
        <v>309.65657920000001</v>
      </c>
      <c r="CW267" s="39" t="s">
        <v>42</v>
      </c>
      <c r="CX267" s="39"/>
      <c r="CY267" s="2">
        <v>300.04289999999997</v>
      </c>
      <c r="CZ267" s="2" t="str">
        <f>IF(AND(Table1[[#This Row],[Cplex MZ1 Cost]]=Table1[[#This Row],[ORTools FZN2 Cost]],Table1[[#This Row],[ORTools FZN2 State]]="Optimal",Table1[[#This Row],[Cplex MZ1 State]]="Suboptimal"),1,"")</f>
        <v/>
      </c>
      <c r="DA267" s="5" t="s">
        <v>42</v>
      </c>
      <c r="DB267" s="2"/>
      <c r="DC267" s="2">
        <v>300.07040000000001</v>
      </c>
      <c r="DD267" s="2" t="str">
        <f>IF(AND(Table1[[#This Row],[Cplex MZ2 Cost]]=Table1[[#This Row],[ORTools FZN2 Cost]],Table1[[#This Row],[ORTools FZN2 State]]="Optimal",Table1[[#This Row],[Cplex MZ2 State]]="Suboptimal"),1,"")</f>
        <v/>
      </c>
      <c r="DE267" s="39" t="s">
        <v>42</v>
      </c>
      <c r="DF267" s="39"/>
      <c r="DG267" s="2">
        <v>300.16840000000002</v>
      </c>
      <c r="DH267" s="2" t="str">
        <f>IF(AND(Table1[[#This Row],[Gurobi MZ1 Cost]]=Table1[[#This Row],[ORTools FZN2 Cost]],Table1[[#This Row],[ORTools FZN2 State]]="Optimal",Table1[[#This Row],[Gurobi MZ1 State]]="Suboptimal"),1,"")</f>
        <v/>
      </c>
      <c r="DI267" s="5" t="s">
        <v>42</v>
      </c>
      <c r="DJ267" s="2"/>
      <c r="DK267" s="2">
        <v>300.0872</v>
      </c>
      <c r="DL267" s="4" t="str">
        <f>IF(AND(Table1[[#This Row],[Gurobi MZ2 Cost]]=Table1[[#This Row],[ORTools FZN2 Cost]],Table1[[#This Row],[ORTools FZN2 State]]="Optimal",Table1[[#This Row],[Gurobi MZ2 State]]="Suboptimal"),1,"")</f>
        <v/>
      </c>
      <c r="DM267" s="39" t="s">
        <v>26</v>
      </c>
      <c r="DN267" s="39">
        <v>22600253</v>
      </c>
      <c r="DO267" s="65">
        <v>300.51200000000199</v>
      </c>
      <c r="DP267" s="4" t="str">
        <f>IF(AND(Table1[[#This Row],[Cplex MC nonDual Cost]]=Table1[[#This Row],[ORTools FZN2 Cost]],Table1[[#This Row],[ORTools FZN2 State]]="Optimal",Table1[[#This Row],[Cplex MC nonDual State]]="Suboptimal"),1,"")</f>
        <v/>
      </c>
      <c r="DQ267" s="5" t="s">
        <v>42</v>
      </c>
      <c r="DR267" s="2"/>
      <c r="DS267" s="2">
        <v>300.03570000000002</v>
      </c>
      <c r="DT267" s="2" t="str">
        <f>IF(AND(Table1[[#This Row],[Cplex MIP DM''z Cost]]=Table1[[#This Row],[ORTools FZN2 Cost]],Table1[[#This Row],[ORTools FZN2 State]]="Optimal",Table1[[#This Row],[Cplex MIP DM''z  State]]="Suboptimal"),1,"")</f>
        <v/>
      </c>
      <c r="DU26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7" s="5" t="s">
        <v>42</v>
      </c>
      <c r="DW267" s="2"/>
      <c r="DX267" s="2">
        <v>300.02269999999999</v>
      </c>
      <c r="DY267" s="4" t="str">
        <f>IF(AND(Table1[[#This Row],[Gurobi DM''z  Cost]]=Table1[[#This Row],[ORTools FZN2 Cost]],Table1[[#This Row],[ORTools FZN2 State]]="Optimal",Table1[[#This Row],[Gurobi DM''z  State]]="Suboptimal"),1,"")</f>
        <v/>
      </c>
      <c r="DZ26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8" spans="1:130" ht="15.75" x14ac:dyDescent="0.25">
      <c r="A268" s="46" t="s">
        <v>294</v>
      </c>
      <c r="B268" s="5">
        <v>104</v>
      </c>
      <c r="C268" s="2">
        <v>52</v>
      </c>
      <c r="D268" s="5">
        <v>1056</v>
      </c>
      <c r="E268" s="2">
        <v>86</v>
      </c>
      <c r="F268" s="5">
        <v>99</v>
      </c>
      <c r="G268" s="2">
        <v>0</v>
      </c>
      <c r="H268" s="4">
        <f t="shared" si="4"/>
        <v>0</v>
      </c>
      <c r="I268" s="4">
        <f>Table1[[#This Row],[B]]+Table1[[#This Row],[Atomic Constraints]]+Table1[[#This Row],[Soft Atomic Constraints]]+Table1[[#This Row],[Disjunctive Constraints]]+Table1[[#This Row],[Direct Successors]]</f>
        <v>1293</v>
      </c>
      <c r="J268" s="5" t="s">
        <v>42</v>
      </c>
      <c r="K268" s="2">
        <v>-1135785</v>
      </c>
      <c r="L268" s="2">
        <v>306.6050161</v>
      </c>
      <c r="M268" s="2" t="str">
        <f>IF(AND(Table1[[#This Row],[Chuffed MZ1 Cost]]=Table1[[#This Row],[ORTools FZN2 Cost]],Table1[[#This Row],[ORTools FZN2 State]]="Optimal",Table1[[#This Row],[Chuffed MZ1 State]]="Suboptimal"),1,"")</f>
        <v/>
      </c>
      <c r="N268" s="5" t="s">
        <v>42</v>
      </c>
      <c r="O268" s="2">
        <v>-1135785</v>
      </c>
      <c r="P268" s="2">
        <v>306.43011030000002</v>
      </c>
      <c r="Q268" s="2" t="str">
        <f>IF(AND(Table1[[#This Row],[Chuffed MZ2 Cost]]=Table1[[#This Row],[ORTools FZN2 Cost]],Table1[[#This Row],[ORTools FZN2 State]]="Optimal",Table1[[#This Row],[Chuffed MZ2 State]]="Suboptimal"),1,"")</f>
        <v/>
      </c>
      <c r="R268" s="5" t="s">
        <v>26</v>
      </c>
      <c r="S268" s="2">
        <v>10191827</v>
      </c>
      <c r="T268" s="2">
        <v>300.48999999999802</v>
      </c>
      <c r="U268" s="2"/>
      <c r="V268" s="5" t="s">
        <v>42</v>
      </c>
      <c r="W268" s="2">
        <v>-1135785</v>
      </c>
      <c r="X268" s="2">
        <v>302.24546950000001</v>
      </c>
      <c r="Y268" s="2" t="str">
        <f>IF(AND(Table1[[#This Row],[ORTools FZN1 Cost]]=Table1[[#This Row],[ORTools FZN2 Cost]],Table1[[#This Row],[ORTools FZN2 State]]="Optimal",Table1[[#This Row],[ORTools FZN1 State]]="Suboptimal"),1,"")</f>
        <v/>
      </c>
      <c r="Z268" s="5" t="s">
        <v>42</v>
      </c>
      <c r="AA268" s="2">
        <v>-1135785</v>
      </c>
      <c r="AB268" s="2">
        <v>302.2188779</v>
      </c>
      <c r="AC268" s="39" t="s">
        <v>42</v>
      </c>
      <c r="AD268" s="39">
        <v>-1135785</v>
      </c>
      <c r="AE268" s="2">
        <v>300.19205799999997</v>
      </c>
      <c r="AF268" s="2" t="str">
        <f>IF(AND(Table1[[#This Row],[Cplex MB Cost]]=Table1[[#This Row],[ORTools FZN2 Cost]],Table1[[#This Row],[ORTools FZN2 State]]="Optimal",Table1[[#This Row],[Cplex MB State]]="Suboptimal"),1,"")</f>
        <v/>
      </c>
      <c r="AG268" s="4">
        <f>IF(AND(AC268="Optimal",AD268&lt;&gt;AA268,Table1[[#This Row],[Example]]&lt;&gt;"R001",Table1[[#This Row],[Example]]&lt;&gt;"R002"),AD268-AA268,)</f>
        <v>0</v>
      </c>
      <c r="AH268" s="5" t="s">
        <v>42</v>
      </c>
      <c r="AI268" s="2">
        <v>-1135785</v>
      </c>
      <c r="AJ268" s="2">
        <v>301.85487569999998</v>
      </c>
      <c r="AK268" s="2" t="str">
        <f>IF(AND(Table1[[#This Row],[Cplex MD Cost]]=Table1[[#This Row],[ORTools FZN2 Cost]],Table1[[#This Row],[ORTools FZN2 State]]="Optimal",Table1[[#This Row],[Cplex MD State]]="Suboptimal"),1,"")</f>
        <v/>
      </c>
      <c r="AL268" s="4">
        <f>IF(AND(AH268="Optimal",AI268&lt;&gt;AA268,Table1[[#This Row],[Example]]&lt;&gt;"R001",Table1[[#This Row],[Example]]&lt;&gt;"R002"),AI268-AA268,)</f>
        <v>0</v>
      </c>
      <c r="AM268" s="39" t="s">
        <v>42</v>
      </c>
      <c r="AN268" s="39">
        <v>-1135785</v>
      </c>
      <c r="AO268" s="2">
        <v>300.16982990000002</v>
      </c>
      <c r="AP26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8" s="4" t="str">
        <f>IF(AND(Table1[[#This Row],[Cplex MI Cost]]=Table1[[#This Row],[ORTools FZN2 Cost]],Table1[[#This Row],[ORTools FZN2 State]]="Optimal",Table1[[#This Row],[Cplex MI State]]="Suboptimal"),1,"")</f>
        <v/>
      </c>
      <c r="AR268" s="5" t="s">
        <v>42</v>
      </c>
      <c r="AS268" s="2">
        <v>-1135785</v>
      </c>
      <c r="AT268" s="2">
        <v>300.19852409999999</v>
      </c>
      <c r="AU268" s="2" t="str">
        <f>IF(AND(Table1[[#This Row],[Z3 SMT2-1 Maxres Cost]]=Table1[[#This Row],[ORTools FZN2 Cost]],Table1[[#This Row],[ORTools FZN2 State]]="Optimal"),1,"")</f>
        <v/>
      </c>
      <c r="AV268" s="39" t="s">
        <v>42</v>
      </c>
      <c r="AW268" s="39">
        <v>-1135785</v>
      </c>
      <c r="AX268" s="2">
        <v>300.21051929999999</v>
      </c>
      <c r="AY268" s="2" t="str">
        <f>IF(AND(Table1[[#This Row],[Z3 SMT2-1 PdMaxres Cost]]=Table1[[#This Row],[ORTools FZN2 Cost]],Table1[[#This Row],[ORTools FZN2 State]]="Optimal"),1,"")</f>
        <v/>
      </c>
      <c r="AZ268" s="5" t="s">
        <v>42</v>
      </c>
      <c r="BA268" s="2">
        <v>-1135785</v>
      </c>
      <c r="BB268" s="39">
        <v>300.1985651</v>
      </c>
      <c r="BC268" s="39" t="str">
        <f>IF(AND(Table1[[#This Row],[Z3 SMT2-1 WMax Cost]]=Table1[[#This Row],[ORTools FZN2 Cost]],Table1[[#This Row],[ORTools FZN2 State]]="Optimal"),1,"")</f>
        <v/>
      </c>
      <c r="BD268" s="39" t="s">
        <v>42</v>
      </c>
      <c r="BE268" s="39">
        <v>-1135785</v>
      </c>
      <c r="BF268" s="2">
        <v>300.19893519999999</v>
      </c>
      <c r="BG268" s="2" t="str">
        <f>IF(AND(Table1[[#This Row],[Z3 SMT2-2 Maxres Cost]]=Table1[[#This Row],[ORTools FZN2 Cost]],Table1[[#This Row],[ORTools FZN2 State]]="Optimal"),1,"")</f>
        <v/>
      </c>
      <c r="BH268" s="5" t="s">
        <v>42</v>
      </c>
      <c r="BI268" s="2">
        <v>-1135785</v>
      </c>
      <c r="BJ268" s="39">
        <v>300.19995180000001</v>
      </c>
      <c r="BK268" s="39" t="str">
        <f>IF(AND(Table1[[#This Row],[Z3 SMT2-2 PdMaxres Cost]]=Table1[[#This Row],[ORTools FZN2 Cost]],Table1[[#This Row],[ORTools FZN2 State]]="Optimal"),1,"")</f>
        <v/>
      </c>
      <c r="BL268" s="39" t="s">
        <v>42</v>
      </c>
      <c r="BM268" s="39">
        <v>-1135785</v>
      </c>
      <c r="BN268" s="2">
        <v>300.20726880000001</v>
      </c>
      <c r="BO268" s="4" t="str">
        <f>IF(AND(Table1[[#This Row],[Z3 SMT2-2 PdMaxres Cost]]=Table1[[#This Row],[ORTools FZN2 Cost]],Table1[[#This Row],[ORTools FZN2 State]]="Optimal"),1,"")</f>
        <v/>
      </c>
      <c r="BP268" s="5" t="s">
        <v>42</v>
      </c>
      <c r="BQ268" s="2">
        <v>-1135785</v>
      </c>
      <c r="BR268" s="2">
        <v>306.83718759999999</v>
      </c>
      <c r="BS268" s="2" t="str">
        <f>IF(AND(Table1[[#This Row],[Gurobi MB Cost]]=Table1[[#This Row],[ORTools FZN2 Cost]],Table1[[#This Row],[ORTools FZN2 State]]="Optimal",Table1[[#This Row],[Gurobi MB State]]="Suboptimal"),1,"")</f>
        <v/>
      </c>
      <c r="BT26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8" s="5" t="s">
        <v>42</v>
      </c>
      <c r="BV268" s="2">
        <v>-1135785</v>
      </c>
      <c r="BW268" s="2">
        <v>300.16613990000002</v>
      </c>
      <c r="BX268" s="2" t="str">
        <f>IF(AND(Table1[[#This Row],[Gurobi MD Cost]]=Table1[[#This Row],[ORTools FZN2 Cost]],Table1[[#This Row],[ORTools FZN2 State]]="Optimal",Table1[[#This Row],[Gurobi MD State]]="Suboptimal"),1,"")</f>
        <v/>
      </c>
      <c r="BY26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8" s="5" t="s">
        <v>42</v>
      </c>
      <c r="CA268" s="2">
        <v>-1135785</v>
      </c>
      <c r="CB268" s="2">
        <v>300.16856159999998</v>
      </c>
      <c r="CC268" s="2" t="str">
        <f>IF(AND(Table1[[#This Row],[Gurobi MI Cost]]=Table1[[#This Row],[ORTools FZN2 Cost]],Table1[[#This Row],[ORTools FZN2 State]]="Optimal",Table1[[#This Row],[Gurobi MI State]]="Suboptimal"),1,"")</f>
        <v/>
      </c>
      <c r="CD26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8" s="39" t="s">
        <v>42</v>
      </c>
      <c r="CF268" s="2">
        <v>-1135785</v>
      </c>
      <c r="CG268" s="39">
        <v>306.51105319999999</v>
      </c>
      <c r="CH268" s="39" t="s">
        <v>42</v>
      </c>
      <c r="CI268" s="39">
        <v>-1135785</v>
      </c>
      <c r="CJ268" s="2">
        <v>307.43977189999998</v>
      </c>
      <c r="CK268" s="5" t="s">
        <v>26</v>
      </c>
      <c r="CL268" s="2">
        <v>9045537</v>
      </c>
      <c r="CM268" s="2">
        <v>300.50099999999702</v>
      </c>
      <c r="CN268" s="5" t="s">
        <v>26</v>
      </c>
      <c r="CO268" s="2">
        <v>55319104</v>
      </c>
      <c r="CP268" s="2">
        <v>306.2488821</v>
      </c>
      <c r="CQ268" s="5" t="s">
        <v>26</v>
      </c>
      <c r="CR268" s="2">
        <v>39493929</v>
      </c>
      <c r="CS268" s="2">
        <v>303.4927836</v>
      </c>
      <c r="CT268" s="6" t="s">
        <v>25</v>
      </c>
      <c r="CU268" s="4">
        <v>6783950</v>
      </c>
      <c r="CV268" s="4">
        <v>256.83304029999999</v>
      </c>
      <c r="CW268" s="39" t="s">
        <v>42</v>
      </c>
      <c r="CX268" s="39"/>
      <c r="CY268" s="2">
        <v>300.03969999999998</v>
      </c>
      <c r="CZ268" s="2" t="str">
        <f>IF(AND(Table1[[#This Row],[Cplex MZ1 Cost]]=Table1[[#This Row],[ORTools FZN2 Cost]],Table1[[#This Row],[ORTools FZN2 State]]="Optimal",Table1[[#This Row],[Cplex MZ1 State]]="Suboptimal"),1,"")</f>
        <v/>
      </c>
      <c r="DA268" s="5" t="s">
        <v>42</v>
      </c>
      <c r="DB268" s="2"/>
      <c r="DC268" s="2">
        <v>300.10520000000002</v>
      </c>
      <c r="DD268" s="2" t="str">
        <f>IF(AND(Table1[[#This Row],[Cplex MZ2 Cost]]=Table1[[#This Row],[ORTools FZN2 Cost]],Table1[[#This Row],[ORTools FZN2 State]]="Optimal",Table1[[#This Row],[Cplex MZ2 State]]="Suboptimal"),1,"")</f>
        <v/>
      </c>
      <c r="DE268" s="39" t="s">
        <v>42</v>
      </c>
      <c r="DF268" s="39"/>
      <c r="DG268" s="2">
        <v>300.01549999999997</v>
      </c>
      <c r="DH268" s="2" t="str">
        <f>IF(AND(Table1[[#This Row],[Gurobi MZ1 Cost]]=Table1[[#This Row],[ORTools FZN2 Cost]],Table1[[#This Row],[ORTools FZN2 State]]="Optimal",Table1[[#This Row],[Gurobi MZ1 State]]="Suboptimal"),1,"")</f>
        <v/>
      </c>
      <c r="DI268" s="5" t="s">
        <v>42</v>
      </c>
      <c r="DJ268" s="2"/>
      <c r="DK268" s="2">
        <v>300.0652</v>
      </c>
      <c r="DL268" s="4" t="str">
        <f>IF(AND(Table1[[#This Row],[Gurobi MZ2 Cost]]=Table1[[#This Row],[ORTools FZN2 Cost]],Table1[[#This Row],[ORTools FZN2 State]]="Optimal",Table1[[#This Row],[Gurobi MZ2 State]]="Suboptimal"),1,"")</f>
        <v/>
      </c>
      <c r="DM268" s="39" t="s">
        <v>26</v>
      </c>
      <c r="DN268" s="39">
        <v>10192136</v>
      </c>
      <c r="DO268" s="65">
        <v>300.49599999999901</v>
      </c>
      <c r="DP268" s="4" t="str">
        <f>IF(AND(Table1[[#This Row],[Cplex MC nonDual Cost]]=Table1[[#This Row],[ORTools FZN2 Cost]],Table1[[#This Row],[ORTools FZN2 State]]="Optimal",Table1[[#This Row],[Cplex MC nonDual State]]="Suboptimal"),1,"")</f>
        <v/>
      </c>
      <c r="DQ268" s="5" t="s">
        <v>42</v>
      </c>
      <c r="DR268" s="2"/>
      <c r="DS268" s="2">
        <v>300.0403</v>
      </c>
      <c r="DT268" s="2" t="str">
        <f>IF(AND(Table1[[#This Row],[Cplex MIP DM''z Cost]]=Table1[[#This Row],[ORTools FZN2 Cost]],Table1[[#This Row],[ORTools FZN2 State]]="Optimal",Table1[[#This Row],[Cplex MIP DM''z  State]]="Suboptimal"),1,"")</f>
        <v/>
      </c>
      <c r="DU26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8" s="5" t="s">
        <v>42</v>
      </c>
      <c r="DW268" s="2"/>
      <c r="DX268" s="2">
        <v>300.06959999999998</v>
      </c>
      <c r="DY268" s="4" t="str">
        <f>IF(AND(Table1[[#This Row],[Gurobi DM''z  Cost]]=Table1[[#This Row],[ORTools FZN2 Cost]],Table1[[#This Row],[ORTools FZN2 State]]="Optimal",Table1[[#This Row],[Gurobi DM''z  State]]="Suboptimal"),1,"")</f>
        <v/>
      </c>
      <c r="DZ26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69" spans="1:130" ht="15.75" x14ac:dyDescent="0.25">
      <c r="A269" s="47" t="s">
        <v>295</v>
      </c>
      <c r="B269" s="5">
        <v>112</v>
      </c>
      <c r="C269" s="2">
        <v>56</v>
      </c>
      <c r="D269" s="5">
        <v>1471</v>
      </c>
      <c r="E269" s="2">
        <v>81</v>
      </c>
      <c r="F269" s="5">
        <v>204</v>
      </c>
      <c r="G269" s="2">
        <v>0</v>
      </c>
      <c r="H269" s="4">
        <f t="shared" si="4"/>
        <v>0</v>
      </c>
      <c r="I269" s="4">
        <f>Table1[[#This Row],[B]]+Table1[[#This Row],[Atomic Constraints]]+Table1[[#This Row],[Soft Atomic Constraints]]+Table1[[#This Row],[Disjunctive Constraints]]+Table1[[#This Row],[Direct Successors]]</f>
        <v>1812</v>
      </c>
      <c r="J269" s="5" t="s">
        <v>42</v>
      </c>
      <c r="K269" s="2">
        <v>-1417585</v>
      </c>
      <c r="L269" s="2">
        <v>307.48585659999998</v>
      </c>
      <c r="M269" s="2" t="str">
        <f>IF(AND(Table1[[#This Row],[Chuffed MZ1 Cost]]=Table1[[#This Row],[ORTools FZN2 Cost]],Table1[[#This Row],[ORTools FZN2 State]]="Optimal",Table1[[#This Row],[Chuffed MZ1 State]]="Suboptimal"),1,"")</f>
        <v/>
      </c>
      <c r="N269" s="5" t="s">
        <v>42</v>
      </c>
      <c r="O269" s="2">
        <v>-1417585</v>
      </c>
      <c r="P269" s="2">
        <v>307.2581629</v>
      </c>
      <c r="Q269" s="2" t="str">
        <f>IF(AND(Table1[[#This Row],[Chuffed MZ2 Cost]]=Table1[[#This Row],[ORTools FZN2 Cost]],Table1[[#This Row],[ORTools FZN2 State]]="Optimal",Table1[[#This Row],[Chuffed MZ2 State]]="Suboptimal"),1,"")</f>
        <v/>
      </c>
      <c r="R269" s="6" t="s">
        <v>26</v>
      </c>
      <c r="S269" s="4">
        <v>28205090</v>
      </c>
      <c r="T269" s="4">
        <v>300.60900000000402</v>
      </c>
      <c r="U269" s="4"/>
      <c r="V269" s="5" t="s">
        <v>42</v>
      </c>
      <c r="W269" s="2">
        <v>-1417585</v>
      </c>
      <c r="X269" s="2">
        <v>302.41716930000001</v>
      </c>
      <c r="Y269" s="2" t="str">
        <f>IF(AND(Table1[[#This Row],[ORTools FZN1 Cost]]=Table1[[#This Row],[ORTools FZN2 Cost]],Table1[[#This Row],[ORTools FZN2 State]]="Optimal",Table1[[#This Row],[ORTools FZN1 State]]="Suboptimal"),1,"")</f>
        <v/>
      </c>
      <c r="Z269" s="5" t="s">
        <v>42</v>
      </c>
      <c r="AA269" s="2">
        <v>-1417585</v>
      </c>
      <c r="AB269" s="2">
        <v>302.42577669999997</v>
      </c>
      <c r="AC269" s="39" t="s">
        <v>42</v>
      </c>
      <c r="AD269" s="39">
        <v>-1417585</v>
      </c>
      <c r="AE269" s="2">
        <v>300.8830117</v>
      </c>
      <c r="AF269" s="2" t="str">
        <f>IF(AND(Table1[[#This Row],[Cplex MB Cost]]=Table1[[#This Row],[ORTools FZN2 Cost]],Table1[[#This Row],[ORTools FZN2 State]]="Optimal",Table1[[#This Row],[Cplex MB State]]="Suboptimal"),1,"")</f>
        <v/>
      </c>
      <c r="AG269" s="4">
        <f>IF(AND(AC269="Optimal",AD269&lt;&gt;AA269,Table1[[#This Row],[Example]]&lt;&gt;"R001",Table1[[#This Row],[Example]]&lt;&gt;"R002"),AD269-AA269,)</f>
        <v>0</v>
      </c>
      <c r="AH269" s="5" t="s">
        <v>42</v>
      </c>
      <c r="AI269" s="2">
        <v>-1417585</v>
      </c>
      <c r="AJ269" s="2">
        <v>301.96801449999998</v>
      </c>
      <c r="AK269" s="2" t="str">
        <f>IF(AND(Table1[[#This Row],[Cplex MD Cost]]=Table1[[#This Row],[ORTools FZN2 Cost]],Table1[[#This Row],[ORTools FZN2 State]]="Optimal",Table1[[#This Row],[Cplex MD State]]="Suboptimal"),1,"")</f>
        <v/>
      </c>
      <c r="AL269" s="4">
        <f>IF(AND(AH269="Optimal",AI269&lt;&gt;AA269,Table1[[#This Row],[Example]]&lt;&gt;"R001",Table1[[#This Row],[Example]]&lt;&gt;"R002"),AI269-AA269,)</f>
        <v>0</v>
      </c>
      <c r="AM269" s="39" t="s">
        <v>42</v>
      </c>
      <c r="AN269" s="39">
        <v>-1417585</v>
      </c>
      <c r="AO269" s="2">
        <v>300.26130039999998</v>
      </c>
      <c r="AP269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69" s="4" t="str">
        <f>IF(AND(Table1[[#This Row],[Cplex MI Cost]]=Table1[[#This Row],[ORTools FZN2 Cost]],Table1[[#This Row],[ORTools FZN2 State]]="Optimal",Table1[[#This Row],[Cplex MI State]]="Suboptimal"),1,"")</f>
        <v/>
      </c>
      <c r="AR269" s="5" t="s">
        <v>42</v>
      </c>
      <c r="AS269" s="2">
        <v>-1417585</v>
      </c>
      <c r="AT269" s="2">
        <v>300.175364</v>
      </c>
      <c r="AU269" s="2" t="str">
        <f>IF(AND(Table1[[#This Row],[Z3 SMT2-1 Maxres Cost]]=Table1[[#This Row],[ORTools FZN2 Cost]],Table1[[#This Row],[ORTools FZN2 State]]="Optimal"),1,"")</f>
        <v/>
      </c>
      <c r="AV269" s="39" t="s">
        <v>42</v>
      </c>
      <c r="AW269" s="39">
        <v>-1417585</v>
      </c>
      <c r="AX269" s="2">
        <v>300.19437629999999</v>
      </c>
      <c r="AY269" s="2" t="str">
        <f>IF(AND(Table1[[#This Row],[Z3 SMT2-1 PdMaxres Cost]]=Table1[[#This Row],[ORTools FZN2 Cost]],Table1[[#This Row],[ORTools FZN2 State]]="Optimal"),1,"")</f>
        <v/>
      </c>
      <c r="AZ269" s="5" t="s">
        <v>42</v>
      </c>
      <c r="BA269" s="2">
        <v>-1417585</v>
      </c>
      <c r="BB269" s="39">
        <v>300.18551179999997</v>
      </c>
      <c r="BC269" s="39" t="str">
        <f>IF(AND(Table1[[#This Row],[Z3 SMT2-1 WMax Cost]]=Table1[[#This Row],[ORTools FZN2 Cost]],Table1[[#This Row],[ORTools FZN2 State]]="Optimal"),1,"")</f>
        <v/>
      </c>
      <c r="BD269" s="39" t="s">
        <v>42</v>
      </c>
      <c r="BE269" s="39">
        <v>-1417585</v>
      </c>
      <c r="BF269" s="2">
        <v>300.18187189999998</v>
      </c>
      <c r="BG269" s="2" t="str">
        <f>IF(AND(Table1[[#This Row],[Z3 SMT2-2 Maxres Cost]]=Table1[[#This Row],[ORTools FZN2 Cost]],Table1[[#This Row],[ORTools FZN2 State]]="Optimal"),1,"")</f>
        <v/>
      </c>
      <c r="BH269" s="5" t="s">
        <v>42</v>
      </c>
      <c r="BI269" s="2">
        <v>-1417585</v>
      </c>
      <c r="BJ269" s="39">
        <v>300.17165030000001</v>
      </c>
      <c r="BK269" s="39" t="str">
        <f>IF(AND(Table1[[#This Row],[Z3 SMT2-2 PdMaxres Cost]]=Table1[[#This Row],[ORTools FZN2 Cost]],Table1[[#This Row],[ORTools FZN2 State]]="Optimal"),1,"")</f>
        <v/>
      </c>
      <c r="BL269" s="39" t="s">
        <v>42</v>
      </c>
      <c r="BM269" s="39">
        <v>-1417585</v>
      </c>
      <c r="BN269" s="2">
        <v>300.18117690000003</v>
      </c>
      <c r="BO269" s="4" t="str">
        <f>IF(AND(Table1[[#This Row],[Z3 SMT2-2 PdMaxres Cost]]=Table1[[#This Row],[ORTools FZN2 Cost]],Table1[[#This Row],[ORTools FZN2 State]]="Optimal"),1,"")</f>
        <v/>
      </c>
      <c r="BP269" s="5" t="s">
        <v>42</v>
      </c>
      <c r="BQ269" s="2">
        <v>-1417585</v>
      </c>
      <c r="BR269" s="2">
        <v>300.34727729999997</v>
      </c>
      <c r="BS269" s="2" t="str">
        <f>IF(AND(Table1[[#This Row],[Gurobi MB Cost]]=Table1[[#This Row],[ORTools FZN2 Cost]],Table1[[#This Row],[ORTools FZN2 State]]="Optimal",Table1[[#This Row],[Gurobi MB State]]="Suboptimal"),1,"")</f>
        <v/>
      </c>
      <c r="BT26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69" s="5" t="s">
        <v>42</v>
      </c>
      <c r="BV269" s="2">
        <v>-1417585</v>
      </c>
      <c r="BW269" s="2">
        <v>300.14619269999997</v>
      </c>
      <c r="BX269" s="2" t="str">
        <f>IF(AND(Table1[[#This Row],[Gurobi MD Cost]]=Table1[[#This Row],[ORTools FZN2 Cost]],Table1[[#This Row],[ORTools FZN2 State]]="Optimal",Table1[[#This Row],[Gurobi MD State]]="Suboptimal"),1,"")</f>
        <v/>
      </c>
      <c r="BY26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69" s="5" t="s">
        <v>42</v>
      </c>
      <c r="CA269" s="2">
        <v>-1417585</v>
      </c>
      <c r="CB269" s="2">
        <v>300.12365240000003</v>
      </c>
      <c r="CC269" s="2" t="str">
        <f>IF(AND(Table1[[#This Row],[Gurobi MI Cost]]=Table1[[#This Row],[ORTools FZN2 Cost]],Table1[[#This Row],[ORTools FZN2 State]]="Optimal",Table1[[#This Row],[Gurobi MI State]]="Suboptimal"),1,"")</f>
        <v/>
      </c>
      <c r="CD26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69" s="39" t="s">
        <v>42</v>
      </c>
      <c r="CF269" s="2">
        <v>-1417585</v>
      </c>
      <c r="CG269" s="39">
        <v>306.63752269999998</v>
      </c>
      <c r="CH269" s="39" t="s">
        <v>42</v>
      </c>
      <c r="CI269" s="39">
        <v>-1417585</v>
      </c>
      <c r="CJ269" s="2">
        <v>307.4405362</v>
      </c>
      <c r="CK269" s="5" t="s">
        <v>26</v>
      </c>
      <c r="CL269" s="2">
        <v>23950444</v>
      </c>
      <c r="CM269" s="2">
        <v>300.45100000000099</v>
      </c>
      <c r="CN269" s="5" t="s">
        <v>26</v>
      </c>
      <c r="CO269" s="2">
        <v>78972246</v>
      </c>
      <c r="CP269" s="2">
        <v>307.24191969999998</v>
      </c>
      <c r="CQ269" s="5" t="s">
        <v>26</v>
      </c>
      <c r="CR269" s="2">
        <v>67670432</v>
      </c>
      <c r="CS269" s="2">
        <v>303.90839999999997</v>
      </c>
      <c r="CT269" s="6" t="s">
        <v>26</v>
      </c>
      <c r="CU269" s="4">
        <v>40875429</v>
      </c>
      <c r="CV269" s="4">
        <v>313.44586029999999</v>
      </c>
      <c r="CW269" s="39" t="s">
        <v>42</v>
      </c>
      <c r="CX269" s="39"/>
      <c r="CY269" s="2">
        <v>300.0625</v>
      </c>
      <c r="CZ269" s="2" t="str">
        <f>IF(AND(Table1[[#This Row],[Cplex MZ1 Cost]]=Table1[[#This Row],[ORTools FZN2 Cost]],Table1[[#This Row],[ORTools FZN2 State]]="Optimal",Table1[[#This Row],[Cplex MZ1 State]]="Suboptimal"),1,"")</f>
        <v/>
      </c>
      <c r="DA269" s="5" t="s">
        <v>42</v>
      </c>
      <c r="DB269" s="2"/>
      <c r="DC269" s="2">
        <v>300.11619999999999</v>
      </c>
      <c r="DD269" s="2" t="str">
        <f>IF(AND(Table1[[#This Row],[Cplex MZ2 Cost]]=Table1[[#This Row],[ORTools FZN2 Cost]],Table1[[#This Row],[ORTools FZN2 State]]="Optimal",Table1[[#This Row],[Cplex MZ2 State]]="Suboptimal"),1,"")</f>
        <v/>
      </c>
      <c r="DE269" s="39" t="s">
        <v>42</v>
      </c>
      <c r="DF269" s="39"/>
      <c r="DG269" s="2">
        <v>300.01</v>
      </c>
      <c r="DH269" s="2" t="str">
        <f>IF(AND(Table1[[#This Row],[Gurobi MZ1 Cost]]=Table1[[#This Row],[ORTools FZN2 Cost]],Table1[[#This Row],[ORTools FZN2 State]]="Optimal",Table1[[#This Row],[Gurobi MZ1 State]]="Suboptimal"),1,"")</f>
        <v/>
      </c>
      <c r="DI269" s="5" t="s">
        <v>42</v>
      </c>
      <c r="DJ269" s="2"/>
      <c r="DK269" s="2">
        <v>300.01179999999999</v>
      </c>
      <c r="DL269" s="4" t="str">
        <f>IF(AND(Table1[[#This Row],[Gurobi MZ2 Cost]]=Table1[[#This Row],[ORTools FZN2 Cost]],Table1[[#This Row],[ORTools FZN2 State]]="Optimal",Table1[[#This Row],[Gurobi MZ2 State]]="Suboptimal"),1,"")</f>
        <v/>
      </c>
      <c r="DM269" s="39" t="s">
        <v>26</v>
      </c>
      <c r="DN269" s="39">
        <v>31040932</v>
      </c>
      <c r="DO269" s="65">
        <v>300.19999999999698</v>
      </c>
      <c r="DP269" s="4" t="str">
        <f>IF(AND(Table1[[#This Row],[Cplex MC nonDual Cost]]=Table1[[#This Row],[ORTools FZN2 Cost]],Table1[[#This Row],[ORTools FZN2 State]]="Optimal",Table1[[#This Row],[Cplex MC nonDual State]]="Suboptimal"),1,"")</f>
        <v/>
      </c>
      <c r="DQ269" s="5" t="s">
        <v>42</v>
      </c>
      <c r="DR269" s="2"/>
      <c r="DS269" s="2">
        <v>300.08030000000002</v>
      </c>
      <c r="DT269" s="2" t="str">
        <f>IF(AND(Table1[[#This Row],[Cplex MIP DM''z Cost]]=Table1[[#This Row],[ORTools FZN2 Cost]],Table1[[#This Row],[ORTools FZN2 State]]="Optimal",Table1[[#This Row],[Cplex MIP DM''z  State]]="Suboptimal"),1,"")</f>
        <v/>
      </c>
      <c r="DU26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69" s="5" t="s">
        <v>42</v>
      </c>
      <c r="DW269" s="2"/>
      <c r="DX269" s="2">
        <v>300.01</v>
      </c>
      <c r="DY269" s="4" t="str">
        <f>IF(AND(Table1[[#This Row],[Gurobi DM''z  Cost]]=Table1[[#This Row],[ORTools FZN2 Cost]],Table1[[#This Row],[ORTools FZN2 State]]="Optimal",Table1[[#This Row],[Gurobi DM''z  State]]="Suboptimal"),1,"")</f>
        <v/>
      </c>
      <c r="DZ26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0" spans="1:130" ht="15.75" x14ac:dyDescent="0.25">
      <c r="A270" s="46" t="s">
        <v>296</v>
      </c>
      <c r="B270" s="5">
        <v>110</v>
      </c>
      <c r="C270" s="2">
        <v>55</v>
      </c>
      <c r="D270" s="5">
        <v>1525</v>
      </c>
      <c r="E270" s="2">
        <v>77</v>
      </c>
      <c r="F270" s="5">
        <v>243</v>
      </c>
      <c r="G270" s="2">
        <v>0</v>
      </c>
      <c r="H270" s="4">
        <f t="shared" si="4"/>
        <v>0</v>
      </c>
      <c r="I270" s="4">
        <f>Table1[[#This Row],[B]]+Table1[[#This Row],[Atomic Constraints]]+Table1[[#This Row],[Soft Atomic Constraints]]+Table1[[#This Row],[Disjunctive Constraints]]+Table1[[#This Row],[Direct Successors]]</f>
        <v>1900</v>
      </c>
      <c r="J270" s="5" t="s">
        <v>42</v>
      </c>
      <c r="K270" s="2">
        <v>-1343211</v>
      </c>
      <c r="L270" s="2">
        <v>307.20540110000002</v>
      </c>
      <c r="M270" s="2" t="str">
        <f>IF(AND(Table1[[#This Row],[Chuffed MZ1 Cost]]=Table1[[#This Row],[ORTools FZN2 Cost]],Table1[[#This Row],[ORTools FZN2 State]]="Optimal",Table1[[#This Row],[Chuffed MZ1 State]]="Suboptimal"),1,"")</f>
        <v/>
      </c>
      <c r="N270" s="5" t="s">
        <v>42</v>
      </c>
      <c r="O270" s="2">
        <v>-1343211</v>
      </c>
      <c r="P270" s="2">
        <v>307.0770776</v>
      </c>
      <c r="Q270" s="2" t="str">
        <f>IF(AND(Table1[[#This Row],[Chuffed MZ2 Cost]]=Table1[[#This Row],[ORTools FZN2 Cost]],Table1[[#This Row],[ORTools FZN2 State]]="Optimal",Table1[[#This Row],[Chuffed MZ2 State]]="Suboptimal"),1,"")</f>
        <v/>
      </c>
      <c r="R270" s="5" t="s">
        <v>26</v>
      </c>
      <c r="S270" s="2">
        <v>28069153</v>
      </c>
      <c r="T270" s="2">
        <v>300.49500000000302</v>
      </c>
      <c r="U270" s="2"/>
      <c r="V270" s="5" t="s">
        <v>42</v>
      </c>
      <c r="W270" s="2">
        <v>-1343211</v>
      </c>
      <c r="X270" s="2">
        <v>302.36696139999998</v>
      </c>
      <c r="Y270" s="2" t="str">
        <f>IF(AND(Table1[[#This Row],[ORTools FZN1 Cost]]=Table1[[#This Row],[ORTools FZN2 Cost]],Table1[[#This Row],[ORTools FZN2 State]]="Optimal",Table1[[#This Row],[ORTools FZN1 State]]="Suboptimal"),1,"")</f>
        <v/>
      </c>
      <c r="Z270" s="5" t="s">
        <v>42</v>
      </c>
      <c r="AA270" s="2">
        <v>-1343211</v>
      </c>
      <c r="AB270" s="2">
        <v>302.36929309999999</v>
      </c>
      <c r="AC270" s="39" t="s">
        <v>42</v>
      </c>
      <c r="AD270" s="39">
        <v>-1343211</v>
      </c>
      <c r="AE270" s="2">
        <v>300.18882029999997</v>
      </c>
      <c r="AF270" s="2" t="str">
        <f>IF(AND(Table1[[#This Row],[Cplex MB Cost]]=Table1[[#This Row],[ORTools FZN2 Cost]],Table1[[#This Row],[ORTools FZN2 State]]="Optimal",Table1[[#This Row],[Cplex MB State]]="Suboptimal"),1,"")</f>
        <v/>
      </c>
      <c r="AG270" s="4">
        <f>IF(AND(AC270="Optimal",AD270&lt;&gt;AA270,Table1[[#This Row],[Example]]&lt;&gt;"R001",Table1[[#This Row],[Example]]&lt;&gt;"R002"),AD270-AA270,)</f>
        <v>0</v>
      </c>
      <c r="AH270" s="5" t="s">
        <v>42</v>
      </c>
      <c r="AI270" s="2">
        <v>-1343211</v>
      </c>
      <c r="AJ270" s="2">
        <v>301.88337530000001</v>
      </c>
      <c r="AK270" s="2" t="str">
        <f>IF(AND(Table1[[#This Row],[Cplex MD Cost]]=Table1[[#This Row],[ORTools FZN2 Cost]],Table1[[#This Row],[ORTools FZN2 State]]="Optimal",Table1[[#This Row],[Cplex MD State]]="Suboptimal"),1,"")</f>
        <v/>
      </c>
      <c r="AL270" s="4">
        <f>IF(AND(AH270="Optimal",AI270&lt;&gt;AA270,Table1[[#This Row],[Example]]&lt;&gt;"R001",Table1[[#This Row],[Example]]&lt;&gt;"R002"),AI270-AA270,)</f>
        <v>0</v>
      </c>
      <c r="AM270" s="39" t="s">
        <v>42</v>
      </c>
      <c r="AN270" s="39">
        <v>-1343211</v>
      </c>
      <c r="AO270" s="2">
        <v>300.2718855</v>
      </c>
      <c r="AP27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0" s="4" t="str">
        <f>IF(AND(Table1[[#This Row],[Cplex MI Cost]]=Table1[[#This Row],[ORTools FZN2 Cost]],Table1[[#This Row],[ORTools FZN2 State]]="Optimal",Table1[[#This Row],[Cplex MI State]]="Suboptimal"),1,"")</f>
        <v/>
      </c>
      <c r="AR270" s="5" t="s">
        <v>42</v>
      </c>
      <c r="AS270" s="2">
        <v>-1343211</v>
      </c>
      <c r="AT270" s="2">
        <v>300.17909780000002</v>
      </c>
      <c r="AU270" s="2" t="str">
        <f>IF(AND(Table1[[#This Row],[Z3 SMT2-1 Maxres Cost]]=Table1[[#This Row],[ORTools FZN2 Cost]],Table1[[#This Row],[ORTools FZN2 State]]="Optimal"),1,"")</f>
        <v/>
      </c>
      <c r="AV270" s="39" t="s">
        <v>42</v>
      </c>
      <c r="AW270" s="39">
        <v>-1343211</v>
      </c>
      <c r="AX270" s="2">
        <v>300.19112159999997</v>
      </c>
      <c r="AY270" s="2" t="str">
        <f>IF(AND(Table1[[#This Row],[Z3 SMT2-1 PdMaxres Cost]]=Table1[[#This Row],[ORTools FZN2 Cost]],Table1[[#This Row],[ORTools FZN2 State]]="Optimal"),1,"")</f>
        <v/>
      </c>
      <c r="AZ270" s="5" t="s">
        <v>42</v>
      </c>
      <c r="BA270" s="2">
        <v>-1343211</v>
      </c>
      <c r="BB270" s="39">
        <v>300.18463439999999</v>
      </c>
      <c r="BC270" s="39" t="str">
        <f>IF(AND(Table1[[#This Row],[Z3 SMT2-1 WMax Cost]]=Table1[[#This Row],[ORTools FZN2 Cost]],Table1[[#This Row],[ORTools FZN2 State]]="Optimal"),1,"")</f>
        <v/>
      </c>
      <c r="BD270" s="39" t="s">
        <v>42</v>
      </c>
      <c r="BE270" s="39">
        <v>-1343211</v>
      </c>
      <c r="BF270" s="2">
        <v>300.1745282</v>
      </c>
      <c r="BG270" s="2" t="str">
        <f>IF(AND(Table1[[#This Row],[Z3 SMT2-2 Maxres Cost]]=Table1[[#This Row],[ORTools FZN2 Cost]],Table1[[#This Row],[ORTools FZN2 State]]="Optimal"),1,"")</f>
        <v/>
      </c>
      <c r="BH270" s="5" t="s">
        <v>42</v>
      </c>
      <c r="BI270" s="2">
        <v>-1343211</v>
      </c>
      <c r="BJ270" s="39">
        <v>300.18075060000001</v>
      </c>
      <c r="BK270" s="39" t="str">
        <f>IF(AND(Table1[[#This Row],[Z3 SMT2-2 PdMaxres Cost]]=Table1[[#This Row],[ORTools FZN2 Cost]],Table1[[#This Row],[ORTools FZN2 State]]="Optimal"),1,"")</f>
        <v/>
      </c>
      <c r="BL270" s="39" t="s">
        <v>42</v>
      </c>
      <c r="BM270" s="39">
        <v>-1343211</v>
      </c>
      <c r="BN270" s="2">
        <v>300.18273900000003</v>
      </c>
      <c r="BO270" s="4" t="str">
        <f>IF(AND(Table1[[#This Row],[Z3 SMT2-2 PdMaxres Cost]]=Table1[[#This Row],[ORTools FZN2 Cost]],Table1[[#This Row],[ORTools FZN2 State]]="Optimal"),1,"")</f>
        <v/>
      </c>
      <c r="BP270" s="5" t="s">
        <v>42</v>
      </c>
      <c r="BQ270" s="2">
        <v>-1343211</v>
      </c>
      <c r="BR270" s="2">
        <v>305.78302930000001</v>
      </c>
      <c r="BS270" s="2" t="str">
        <f>IF(AND(Table1[[#This Row],[Gurobi MB Cost]]=Table1[[#This Row],[ORTools FZN2 Cost]],Table1[[#This Row],[ORTools FZN2 State]]="Optimal",Table1[[#This Row],[Gurobi MB State]]="Suboptimal"),1,"")</f>
        <v/>
      </c>
      <c r="BT27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0" s="5" t="s">
        <v>42</v>
      </c>
      <c r="BV270" s="2">
        <v>-1343211</v>
      </c>
      <c r="BW270" s="2">
        <v>300.29236209999999</v>
      </c>
      <c r="BX270" s="2" t="str">
        <f>IF(AND(Table1[[#This Row],[Gurobi MD Cost]]=Table1[[#This Row],[ORTools FZN2 Cost]],Table1[[#This Row],[ORTools FZN2 State]]="Optimal",Table1[[#This Row],[Gurobi MD State]]="Suboptimal"),1,"")</f>
        <v/>
      </c>
      <c r="BY27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0" s="5" t="s">
        <v>42</v>
      </c>
      <c r="CA270" s="2">
        <v>-1343211</v>
      </c>
      <c r="CB270" s="2">
        <v>300.12064770000001</v>
      </c>
      <c r="CC270" s="2" t="str">
        <f>IF(AND(Table1[[#This Row],[Gurobi MI Cost]]=Table1[[#This Row],[ORTools FZN2 Cost]],Table1[[#This Row],[ORTools FZN2 State]]="Optimal",Table1[[#This Row],[Gurobi MI State]]="Suboptimal"),1,"")</f>
        <v/>
      </c>
      <c r="CD27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0" s="39" t="s">
        <v>42</v>
      </c>
      <c r="CF270" s="2">
        <v>-1343211</v>
      </c>
      <c r="CG270" s="39">
        <v>306.49605359999998</v>
      </c>
      <c r="CH270" s="39" t="s">
        <v>42</v>
      </c>
      <c r="CI270" s="39">
        <v>-1343211</v>
      </c>
      <c r="CJ270" s="2">
        <v>307.61602649999998</v>
      </c>
      <c r="CK270" s="5" t="s">
        <v>26</v>
      </c>
      <c r="CL270" s="2">
        <v>32087135</v>
      </c>
      <c r="CM270" s="2">
        <v>300.15499999999901</v>
      </c>
      <c r="CN270" s="5" t="s">
        <v>26</v>
      </c>
      <c r="CO270" s="2">
        <v>70917822</v>
      </c>
      <c r="CP270" s="2">
        <v>306.91689380000003</v>
      </c>
      <c r="CQ270" s="5" t="s">
        <v>26</v>
      </c>
      <c r="CR270" s="2">
        <v>53565854</v>
      </c>
      <c r="CS270" s="2">
        <v>303.79438570000002</v>
      </c>
      <c r="CT270" s="6" t="s">
        <v>26</v>
      </c>
      <c r="CU270" s="4">
        <v>28070597</v>
      </c>
      <c r="CV270" s="4">
        <v>317.76260539999998</v>
      </c>
      <c r="CW270" s="39" t="s">
        <v>42</v>
      </c>
      <c r="CX270" s="39"/>
      <c r="CY270" s="2">
        <v>300.10129999999998</v>
      </c>
      <c r="CZ270" s="2" t="str">
        <f>IF(AND(Table1[[#This Row],[Cplex MZ1 Cost]]=Table1[[#This Row],[ORTools FZN2 Cost]],Table1[[#This Row],[ORTools FZN2 State]]="Optimal",Table1[[#This Row],[Cplex MZ1 State]]="Suboptimal"),1,"")</f>
        <v/>
      </c>
      <c r="DA270" s="5" t="s">
        <v>42</v>
      </c>
      <c r="DB270" s="2"/>
      <c r="DC270" s="2">
        <v>300.1739</v>
      </c>
      <c r="DD270" s="2" t="str">
        <f>IF(AND(Table1[[#This Row],[Cplex MZ2 Cost]]=Table1[[#This Row],[ORTools FZN2 Cost]],Table1[[#This Row],[ORTools FZN2 State]]="Optimal",Table1[[#This Row],[Cplex MZ2 State]]="Suboptimal"),1,"")</f>
        <v/>
      </c>
      <c r="DE270" s="39" t="s">
        <v>42</v>
      </c>
      <c r="DF270" s="39"/>
      <c r="DG270" s="2">
        <v>300.01089999999999</v>
      </c>
      <c r="DH270" s="2" t="str">
        <f>IF(AND(Table1[[#This Row],[Gurobi MZ1 Cost]]=Table1[[#This Row],[ORTools FZN2 Cost]],Table1[[#This Row],[ORTools FZN2 State]]="Optimal",Table1[[#This Row],[Gurobi MZ1 State]]="Suboptimal"),1,"")</f>
        <v/>
      </c>
      <c r="DI270" s="5" t="s">
        <v>42</v>
      </c>
      <c r="DJ270" s="2"/>
      <c r="DK270" s="2">
        <v>300.00450000000001</v>
      </c>
      <c r="DL270" s="4" t="str">
        <f>IF(AND(Table1[[#This Row],[Gurobi MZ2 Cost]]=Table1[[#This Row],[ORTools FZN2 Cost]],Table1[[#This Row],[ORTools FZN2 State]]="Optimal",Table1[[#This Row],[Gurobi MZ2 State]]="Suboptimal"),1,"")</f>
        <v/>
      </c>
      <c r="DM270" s="39" t="s">
        <v>26</v>
      </c>
      <c r="DN270" s="39">
        <v>29413358</v>
      </c>
      <c r="DO270" s="65">
        <v>300.17599999999902</v>
      </c>
      <c r="DP270" s="4" t="str">
        <f>IF(AND(Table1[[#This Row],[Cplex MC nonDual Cost]]=Table1[[#This Row],[ORTools FZN2 Cost]],Table1[[#This Row],[ORTools FZN2 State]]="Optimal",Table1[[#This Row],[Cplex MC nonDual State]]="Suboptimal"),1,"")</f>
        <v/>
      </c>
      <c r="DQ270" s="5" t="s">
        <v>42</v>
      </c>
      <c r="DR270" s="2"/>
      <c r="DS270" s="2">
        <v>300.04570000000001</v>
      </c>
      <c r="DT270" s="2" t="str">
        <f>IF(AND(Table1[[#This Row],[Cplex MIP DM''z Cost]]=Table1[[#This Row],[ORTools FZN2 Cost]],Table1[[#This Row],[ORTools FZN2 State]]="Optimal",Table1[[#This Row],[Cplex MIP DM''z  State]]="Suboptimal"),1,"")</f>
        <v/>
      </c>
      <c r="DU27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0" s="5" t="s">
        <v>42</v>
      </c>
      <c r="DW270" s="2"/>
      <c r="DX270" s="2">
        <v>300.00869999999998</v>
      </c>
      <c r="DY270" s="4" t="str">
        <f>IF(AND(Table1[[#This Row],[Gurobi DM''z  Cost]]=Table1[[#This Row],[ORTools FZN2 Cost]],Table1[[#This Row],[ORTools FZN2 State]]="Optimal",Table1[[#This Row],[Gurobi DM''z  State]]="Suboptimal"),1,"")</f>
        <v/>
      </c>
      <c r="DZ27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1" spans="1:130" ht="15.75" x14ac:dyDescent="0.25">
      <c r="A271" s="47" t="s">
        <v>297</v>
      </c>
      <c r="B271" s="5">
        <v>110</v>
      </c>
      <c r="C271" s="2">
        <v>55</v>
      </c>
      <c r="D271" s="5">
        <v>1416</v>
      </c>
      <c r="E271" s="2">
        <v>79</v>
      </c>
      <c r="F271" s="5">
        <v>201</v>
      </c>
      <c r="G271" s="2">
        <v>0</v>
      </c>
      <c r="H271" s="4">
        <f t="shared" si="4"/>
        <v>0</v>
      </c>
      <c r="I271" s="4">
        <f>Table1[[#This Row],[B]]+Table1[[#This Row],[Atomic Constraints]]+Table1[[#This Row],[Soft Atomic Constraints]]+Table1[[#This Row],[Disjunctive Constraints]]+Table1[[#This Row],[Direct Successors]]</f>
        <v>1751</v>
      </c>
      <c r="J271" s="5" t="s">
        <v>42</v>
      </c>
      <c r="K271" s="2">
        <v>-1343211</v>
      </c>
      <c r="L271" s="2">
        <v>307.11379399999998</v>
      </c>
      <c r="M271" s="2" t="str">
        <f>IF(AND(Table1[[#This Row],[Chuffed MZ1 Cost]]=Table1[[#This Row],[ORTools FZN2 Cost]],Table1[[#This Row],[ORTools FZN2 State]]="Optimal",Table1[[#This Row],[Chuffed MZ1 State]]="Suboptimal"),1,"")</f>
        <v/>
      </c>
      <c r="N271" s="5" t="s">
        <v>42</v>
      </c>
      <c r="O271" s="2">
        <v>-1343211</v>
      </c>
      <c r="P271" s="2">
        <v>307.06480010000001</v>
      </c>
      <c r="Q271" s="2" t="str">
        <f>IF(AND(Table1[[#This Row],[Chuffed MZ2 Cost]]=Table1[[#This Row],[ORTools FZN2 Cost]],Table1[[#This Row],[ORTools FZN2 State]]="Optimal",Table1[[#This Row],[Chuffed MZ2 State]]="Suboptimal"),1,"")</f>
        <v/>
      </c>
      <c r="R271" s="6" t="s">
        <v>26</v>
      </c>
      <c r="S271" s="4">
        <v>32105826</v>
      </c>
      <c r="T271" s="4">
        <v>300.11899999999901</v>
      </c>
      <c r="U271" s="4"/>
      <c r="V271" s="5" t="s">
        <v>42</v>
      </c>
      <c r="W271" s="2">
        <v>-1343211</v>
      </c>
      <c r="X271" s="2">
        <v>302.3768144</v>
      </c>
      <c r="Y271" s="2" t="str">
        <f>IF(AND(Table1[[#This Row],[ORTools FZN1 Cost]]=Table1[[#This Row],[ORTools FZN2 Cost]],Table1[[#This Row],[ORTools FZN2 State]]="Optimal",Table1[[#This Row],[ORTools FZN1 State]]="Suboptimal"),1,"")</f>
        <v/>
      </c>
      <c r="Z271" s="5" t="s">
        <v>26</v>
      </c>
      <c r="AA271" s="2">
        <v>61487932</v>
      </c>
      <c r="AB271" s="2">
        <v>302.48945209999999</v>
      </c>
      <c r="AC271" s="39" t="s">
        <v>42</v>
      </c>
      <c r="AD271" s="39">
        <v>-1343211</v>
      </c>
      <c r="AE271" s="2">
        <v>300.25983559999997</v>
      </c>
      <c r="AF271" s="2" t="str">
        <f>IF(AND(Table1[[#This Row],[Cplex MB Cost]]=Table1[[#This Row],[ORTools FZN2 Cost]],Table1[[#This Row],[ORTools FZN2 State]]="Optimal",Table1[[#This Row],[Cplex MB State]]="Suboptimal"),1,"")</f>
        <v/>
      </c>
      <c r="AG271" s="4">
        <f>IF(AND(AC271="Optimal",AD271&lt;&gt;AA271,Table1[[#This Row],[Example]]&lt;&gt;"R001",Table1[[#This Row],[Example]]&lt;&gt;"R002"),AD271-AA271,)</f>
        <v>0</v>
      </c>
      <c r="AH271" s="5" t="s">
        <v>42</v>
      </c>
      <c r="AI271" s="2">
        <v>-1343211</v>
      </c>
      <c r="AJ271" s="2">
        <v>302.435315</v>
      </c>
      <c r="AK271" s="2" t="str">
        <f>IF(AND(Table1[[#This Row],[Cplex MD Cost]]=Table1[[#This Row],[ORTools FZN2 Cost]],Table1[[#This Row],[ORTools FZN2 State]]="Optimal",Table1[[#This Row],[Cplex MD State]]="Suboptimal"),1,"")</f>
        <v/>
      </c>
      <c r="AL271" s="4">
        <f>IF(AND(AH271="Optimal",AI271&lt;&gt;AA271,Table1[[#This Row],[Example]]&lt;&gt;"R001",Table1[[#This Row],[Example]]&lt;&gt;"R002"),AI271-AA271,)</f>
        <v>0</v>
      </c>
      <c r="AM271" s="39" t="s">
        <v>42</v>
      </c>
      <c r="AN271" s="39">
        <v>-1343211</v>
      </c>
      <c r="AO271" s="2">
        <v>300.21740039999997</v>
      </c>
      <c r="AP271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1" s="4" t="str">
        <f>IF(AND(Table1[[#This Row],[Cplex MI Cost]]=Table1[[#This Row],[ORTools FZN2 Cost]],Table1[[#This Row],[ORTools FZN2 State]]="Optimal",Table1[[#This Row],[Cplex MI State]]="Suboptimal"),1,"")</f>
        <v/>
      </c>
      <c r="AR271" s="5" t="s">
        <v>42</v>
      </c>
      <c r="AS271" s="2">
        <v>-1343211</v>
      </c>
      <c r="AT271" s="2">
        <v>300.16844420000001</v>
      </c>
      <c r="AU271" s="2" t="str">
        <f>IF(AND(Table1[[#This Row],[Z3 SMT2-1 Maxres Cost]]=Table1[[#This Row],[ORTools FZN2 Cost]],Table1[[#This Row],[ORTools FZN2 State]]="Optimal"),1,"")</f>
        <v/>
      </c>
      <c r="AV271" s="39" t="s">
        <v>42</v>
      </c>
      <c r="AW271" s="39">
        <v>-1343211</v>
      </c>
      <c r="AX271" s="2">
        <v>300.17342500000001</v>
      </c>
      <c r="AY271" s="2" t="str">
        <f>IF(AND(Table1[[#This Row],[Z3 SMT2-1 PdMaxres Cost]]=Table1[[#This Row],[ORTools FZN2 Cost]],Table1[[#This Row],[ORTools FZN2 State]]="Optimal"),1,"")</f>
        <v/>
      </c>
      <c r="AZ271" s="5" t="s">
        <v>42</v>
      </c>
      <c r="BA271" s="2">
        <v>-1343211</v>
      </c>
      <c r="BB271" s="39">
        <v>300.17804009999998</v>
      </c>
      <c r="BC271" s="39" t="str">
        <f>IF(AND(Table1[[#This Row],[Z3 SMT2-1 WMax Cost]]=Table1[[#This Row],[ORTools FZN2 Cost]],Table1[[#This Row],[ORTools FZN2 State]]="Optimal"),1,"")</f>
        <v/>
      </c>
      <c r="BD271" s="39" t="s">
        <v>42</v>
      </c>
      <c r="BE271" s="39">
        <v>-1343211</v>
      </c>
      <c r="BF271" s="2">
        <v>300.13885379999999</v>
      </c>
      <c r="BG271" s="2" t="str">
        <f>IF(AND(Table1[[#This Row],[Z3 SMT2-2 Maxres Cost]]=Table1[[#This Row],[ORTools FZN2 Cost]],Table1[[#This Row],[ORTools FZN2 State]]="Optimal"),1,"")</f>
        <v/>
      </c>
      <c r="BH271" s="5" t="s">
        <v>42</v>
      </c>
      <c r="BI271" s="2">
        <v>-1343211</v>
      </c>
      <c r="BJ271" s="39">
        <v>300.14846790000001</v>
      </c>
      <c r="BK271" s="39" t="str">
        <f>IF(AND(Table1[[#This Row],[Z3 SMT2-2 PdMaxres Cost]]=Table1[[#This Row],[ORTools FZN2 Cost]],Table1[[#This Row],[ORTools FZN2 State]]="Optimal"),1,"")</f>
        <v/>
      </c>
      <c r="BL271" s="39" t="s">
        <v>42</v>
      </c>
      <c r="BM271" s="39">
        <v>-1343211</v>
      </c>
      <c r="BN271" s="2">
        <v>300.13661619999999</v>
      </c>
      <c r="BO271" s="4" t="str">
        <f>IF(AND(Table1[[#This Row],[Z3 SMT2-2 PdMaxres Cost]]=Table1[[#This Row],[ORTools FZN2 Cost]],Table1[[#This Row],[ORTools FZN2 State]]="Optimal"),1,"")</f>
        <v/>
      </c>
      <c r="BP271" s="5" t="s">
        <v>42</v>
      </c>
      <c r="BQ271" s="2">
        <v>-1343211</v>
      </c>
      <c r="BR271" s="2">
        <v>300.21102960000002</v>
      </c>
      <c r="BS271" s="2" t="str">
        <f>IF(AND(Table1[[#This Row],[Gurobi MB Cost]]=Table1[[#This Row],[ORTools FZN2 Cost]],Table1[[#This Row],[ORTools FZN2 State]]="Optimal",Table1[[#This Row],[Gurobi MB State]]="Suboptimal"),1,"")</f>
        <v/>
      </c>
      <c r="BT271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1" s="5" t="s">
        <v>42</v>
      </c>
      <c r="BV271" s="2">
        <v>-1343211</v>
      </c>
      <c r="BW271" s="2">
        <v>300.12486310000003</v>
      </c>
      <c r="BX271" s="2" t="str">
        <f>IF(AND(Table1[[#This Row],[Gurobi MD Cost]]=Table1[[#This Row],[ORTools FZN2 Cost]],Table1[[#This Row],[ORTools FZN2 State]]="Optimal",Table1[[#This Row],[Gurobi MD State]]="Suboptimal"),1,"")</f>
        <v/>
      </c>
      <c r="BY271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1" s="5" t="s">
        <v>42</v>
      </c>
      <c r="CA271" s="2">
        <v>-1343211</v>
      </c>
      <c r="CB271" s="2">
        <v>300.32311490000001</v>
      </c>
      <c r="CC271" s="2" t="str">
        <f>IF(AND(Table1[[#This Row],[Gurobi MI Cost]]=Table1[[#This Row],[ORTools FZN2 Cost]],Table1[[#This Row],[ORTools FZN2 State]]="Optimal",Table1[[#This Row],[Gurobi MI State]]="Suboptimal"),1,"")</f>
        <v/>
      </c>
      <c r="CD271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1" s="39" t="s">
        <v>42</v>
      </c>
      <c r="CF271" s="2">
        <v>-1343211</v>
      </c>
      <c r="CG271" s="39">
        <v>306.3969591</v>
      </c>
      <c r="CH271" s="39" t="s">
        <v>42</v>
      </c>
      <c r="CI271" s="39">
        <v>-1343211</v>
      </c>
      <c r="CJ271" s="2">
        <v>307.30125459999999</v>
      </c>
      <c r="CK271" s="5" t="s">
        <v>26</v>
      </c>
      <c r="CL271" s="2">
        <v>25401441</v>
      </c>
      <c r="CM271" s="2">
        <v>300.55200000000298</v>
      </c>
      <c r="CN271" s="5" t="s">
        <v>26</v>
      </c>
      <c r="CO271" s="2">
        <v>73637122</v>
      </c>
      <c r="CP271" s="2">
        <v>306.97811369999999</v>
      </c>
      <c r="CQ271" s="5" t="s">
        <v>26</v>
      </c>
      <c r="CR271" s="2">
        <v>38727515</v>
      </c>
      <c r="CS271" s="2">
        <v>303.8305684</v>
      </c>
      <c r="CT271" s="6" t="s">
        <v>26</v>
      </c>
      <c r="CU271" s="4">
        <v>14696021</v>
      </c>
      <c r="CV271" s="4">
        <v>312.84948279999998</v>
      </c>
      <c r="CW271" s="39" t="s">
        <v>42</v>
      </c>
      <c r="CX271" s="39"/>
      <c r="CY271" s="2">
        <v>300.04730000000001</v>
      </c>
      <c r="CZ271" s="2" t="str">
        <f>IF(AND(Table1[[#This Row],[Cplex MZ1 Cost]]=Table1[[#This Row],[ORTools FZN2 Cost]],Table1[[#This Row],[ORTools FZN2 State]]="Optimal",Table1[[#This Row],[Cplex MZ1 State]]="Suboptimal"),1,"")</f>
        <v/>
      </c>
      <c r="DA271" s="5" t="s">
        <v>42</v>
      </c>
      <c r="DB271" s="2"/>
      <c r="DC271" s="2">
        <v>300.04599999999999</v>
      </c>
      <c r="DD271" s="2" t="str">
        <f>IF(AND(Table1[[#This Row],[Cplex MZ2 Cost]]=Table1[[#This Row],[ORTools FZN2 Cost]],Table1[[#This Row],[ORTools FZN2 State]]="Optimal",Table1[[#This Row],[Cplex MZ2 State]]="Suboptimal"),1,"")</f>
        <v/>
      </c>
      <c r="DE271" s="39" t="s">
        <v>42</v>
      </c>
      <c r="DF271" s="39"/>
      <c r="DG271" s="2">
        <v>300.00839999999999</v>
      </c>
      <c r="DH271" s="2" t="str">
        <f>IF(AND(Table1[[#This Row],[Gurobi MZ1 Cost]]=Table1[[#This Row],[ORTools FZN2 Cost]],Table1[[#This Row],[ORTools FZN2 State]]="Optimal",Table1[[#This Row],[Gurobi MZ1 State]]="Suboptimal"),1,"")</f>
        <v/>
      </c>
      <c r="DI271" s="5" t="s">
        <v>42</v>
      </c>
      <c r="DJ271" s="2"/>
      <c r="DK271" s="2">
        <v>300.04770000000002</v>
      </c>
      <c r="DL271" s="4" t="str">
        <f>IF(AND(Table1[[#This Row],[Gurobi MZ2 Cost]]=Table1[[#This Row],[ORTools FZN2 Cost]],Table1[[#This Row],[ORTools FZN2 State]]="Optimal",Table1[[#This Row],[Gurobi MZ2 State]]="Suboptimal"),1,"")</f>
        <v/>
      </c>
      <c r="DM271" s="39" t="s">
        <v>26</v>
      </c>
      <c r="DN271" s="39">
        <v>30727312</v>
      </c>
      <c r="DO271" s="65">
        <v>300.567000000002</v>
      </c>
      <c r="DP271" s="4" t="str">
        <f>IF(AND(Table1[[#This Row],[Cplex MC nonDual Cost]]=Table1[[#This Row],[ORTools FZN2 Cost]],Table1[[#This Row],[ORTools FZN2 State]]="Optimal",Table1[[#This Row],[Cplex MC nonDual State]]="Suboptimal"),1,"")</f>
        <v/>
      </c>
      <c r="DQ271" s="5" t="s">
        <v>42</v>
      </c>
      <c r="DR271" s="2"/>
      <c r="DS271" s="2">
        <v>300.03019999999998</v>
      </c>
      <c r="DT271" s="2" t="str">
        <f>IF(AND(Table1[[#This Row],[Cplex MIP DM''z Cost]]=Table1[[#This Row],[ORTools FZN2 Cost]],Table1[[#This Row],[ORTools FZN2 State]]="Optimal",Table1[[#This Row],[Cplex MIP DM''z  State]]="Suboptimal"),1,"")</f>
        <v/>
      </c>
      <c r="DU271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1" s="5" t="s">
        <v>42</v>
      </c>
      <c r="DW271" s="2"/>
      <c r="DX271" s="2">
        <v>300.01639999999998</v>
      </c>
      <c r="DY271" s="4" t="str">
        <f>IF(AND(Table1[[#This Row],[Gurobi DM''z  Cost]]=Table1[[#This Row],[ORTools FZN2 Cost]],Table1[[#This Row],[ORTools FZN2 State]]="Optimal",Table1[[#This Row],[Gurobi DM''z  State]]="Suboptimal"),1,"")</f>
        <v/>
      </c>
      <c r="DZ271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2" spans="1:130" ht="15.75" x14ac:dyDescent="0.25">
      <c r="A272" s="46" t="s">
        <v>298</v>
      </c>
      <c r="B272" s="5">
        <v>49</v>
      </c>
      <c r="C272" s="2">
        <v>24</v>
      </c>
      <c r="D272" s="5">
        <v>343</v>
      </c>
      <c r="E272" s="2">
        <v>31</v>
      </c>
      <c r="F272" s="5">
        <v>31</v>
      </c>
      <c r="G272" s="2">
        <v>3</v>
      </c>
      <c r="H272" s="4">
        <f t="shared" si="4"/>
        <v>1</v>
      </c>
      <c r="I272" s="4">
        <f>Table1[[#This Row],[B]]+Table1[[#This Row],[Atomic Constraints]]+Table1[[#This Row],[Soft Atomic Constraints]]+Table1[[#This Row],[Disjunctive Constraints]]+Table1[[#This Row],[Direct Successors]]</f>
        <v>432</v>
      </c>
      <c r="J272" s="5" t="s">
        <v>25</v>
      </c>
      <c r="K272" s="2">
        <v>6</v>
      </c>
      <c r="L272" s="2">
        <v>26.298353899999999</v>
      </c>
      <c r="M272" s="2" t="str">
        <f>IF(AND(Table1[[#This Row],[Chuffed MZ1 Cost]]=Table1[[#This Row],[ORTools FZN2 Cost]],Table1[[#This Row],[ORTools FZN2 State]]="Optimal",Table1[[#This Row],[Chuffed MZ1 State]]="Suboptimal"),1,"")</f>
        <v/>
      </c>
      <c r="N272" s="5" t="s">
        <v>25</v>
      </c>
      <c r="O272" s="2">
        <v>6</v>
      </c>
      <c r="P272" s="2">
        <v>280.73040209999999</v>
      </c>
      <c r="Q272" s="2" t="str">
        <f>IF(AND(Table1[[#This Row],[Chuffed MZ2 Cost]]=Table1[[#This Row],[ORTools FZN2 Cost]],Table1[[#This Row],[ORTools FZN2 State]]="Optimal",Table1[[#This Row],[Chuffed MZ2 State]]="Suboptimal"),1,"")</f>
        <v/>
      </c>
      <c r="R272" s="6" t="s">
        <v>25</v>
      </c>
      <c r="S272" s="4">
        <v>6</v>
      </c>
      <c r="T272" s="4">
        <v>43.057000000000698</v>
      </c>
      <c r="U272" s="4"/>
      <c r="V272" s="5" t="s">
        <v>25</v>
      </c>
      <c r="W272" s="2">
        <v>6</v>
      </c>
      <c r="X272" s="2">
        <v>15.8313457</v>
      </c>
      <c r="Y272" s="2" t="str">
        <f>IF(AND(Table1[[#This Row],[ORTools FZN1 Cost]]=Table1[[#This Row],[ORTools FZN2 Cost]],Table1[[#This Row],[ORTools FZN2 State]]="Optimal",Table1[[#This Row],[ORTools FZN1 State]]="Suboptimal"),1,"")</f>
        <v/>
      </c>
      <c r="Z272" s="5" t="s">
        <v>25</v>
      </c>
      <c r="AA272" s="2">
        <v>6</v>
      </c>
      <c r="AB272" s="2">
        <v>17.1084046</v>
      </c>
      <c r="AC272" s="39" t="s">
        <v>25</v>
      </c>
      <c r="AD272" s="39">
        <v>6</v>
      </c>
      <c r="AE272" s="2">
        <v>61.437218399999999</v>
      </c>
      <c r="AF272" s="2" t="str">
        <f>IF(AND(Table1[[#This Row],[Cplex MB Cost]]=Table1[[#This Row],[ORTools FZN2 Cost]],Table1[[#This Row],[ORTools FZN2 State]]="Optimal",Table1[[#This Row],[Cplex MB State]]="Suboptimal"),1,"")</f>
        <v/>
      </c>
      <c r="AG272" s="4">
        <f>IF(AND(AC272="Optimal",AD272&lt;&gt;AA272,Table1[[#This Row],[Example]]&lt;&gt;"R001",Table1[[#This Row],[Example]]&lt;&gt;"R002"),AD272-AA272,)</f>
        <v>0</v>
      </c>
      <c r="AH272" s="5" t="s">
        <v>26</v>
      </c>
      <c r="AI272" s="2">
        <v>1895184</v>
      </c>
      <c r="AJ272" s="2">
        <v>300.43736660000002</v>
      </c>
      <c r="AK272" s="2" t="str">
        <f>IF(AND(Table1[[#This Row],[Cplex MD Cost]]=Table1[[#This Row],[ORTools FZN2 Cost]],Table1[[#This Row],[ORTools FZN2 State]]="Optimal",Table1[[#This Row],[Cplex MD State]]="Suboptimal"),1,"")</f>
        <v/>
      </c>
      <c r="AL272" s="4">
        <f>IF(AND(AH272="Optimal",AI272&lt;&gt;AA272,Table1[[#This Row],[Example]]&lt;&gt;"R001",Table1[[#This Row],[Example]]&lt;&gt;"R002"),AI272-AA272,)</f>
        <v>0</v>
      </c>
      <c r="AM272" s="39" t="s">
        <v>25</v>
      </c>
      <c r="AN272" s="39">
        <v>6</v>
      </c>
      <c r="AO272" s="2">
        <v>72.634521800000002</v>
      </c>
      <c r="AP272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2" s="2" t="str">
        <f>IF(AND(Table1[[#This Row],[Cplex MI Cost]]=Table1[[#This Row],[ORTools FZN2 Cost]],Table1[[#This Row],[ORTools FZN2 State]]="Optimal",Table1[[#This Row],[Cplex MI State]]="Suboptimal"),1,"")</f>
        <v/>
      </c>
      <c r="AR272" s="5" t="s">
        <v>42</v>
      </c>
      <c r="AS272" s="2">
        <v>-120100</v>
      </c>
      <c r="AT272" s="2">
        <v>300.0554712</v>
      </c>
      <c r="AU272" s="2" t="str">
        <f>IF(AND(Table1[[#This Row],[Z3 SMT2-1 Maxres Cost]]=Table1[[#This Row],[ORTools FZN2 Cost]],Table1[[#This Row],[ORTools FZN2 State]]="Optimal"),1,"")</f>
        <v/>
      </c>
      <c r="AV272" s="39" t="s">
        <v>42</v>
      </c>
      <c r="AW272" s="39">
        <v>-120100</v>
      </c>
      <c r="AX272" s="2">
        <v>300.05122299999999</v>
      </c>
      <c r="AY272" s="2" t="str">
        <f>IF(AND(Table1[[#This Row],[Z3 SMT2-1 PdMaxres Cost]]=Table1[[#This Row],[ORTools FZN2 Cost]],Table1[[#This Row],[ORTools FZN2 State]]="Optimal"),1,"")</f>
        <v/>
      </c>
      <c r="AZ272" s="5" t="s">
        <v>42</v>
      </c>
      <c r="BA272" s="2">
        <v>-120100</v>
      </c>
      <c r="BB272" s="39">
        <v>300.04525769999998</v>
      </c>
      <c r="BC272" s="39" t="str">
        <f>IF(AND(Table1[[#This Row],[Z3 SMT2-1 WMax Cost]]=Table1[[#This Row],[ORTools FZN2 Cost]],Table1[[#This Row],[ORTools FZN2 State]]="Optimal"),1,"")</f>
        <v/>
      </c>
      <c r="BD272" s="39" t="s">
        <v>42</v>
      </c>
      <c r="BE272" s="39">
        <v>-120100</v>
      </c>
      <c r="BF272" s="2">
        <v>300.05534069999999</v>
      </c>
      <c r="BG272" s="2" t="str">
        <f>IF(AND(Table1[[#This Row],[Z3 SMT2-2 Maxres Cost]]=Table1[[#This Row],[ORTools FZN2 Cost]],Table1[[#This Row],[ORTools FZN2 State]]="Optimal"),1,"")</f>
        <v/>
      </c>
      <c r="BH272" s="5" t="s">
        <v>42</v>
      </c>
      <c r="BI272" s="2">
        <v>-120100</v>
      </c>
      <c r="BJ272" s="39">
        <v>300.04424410000001</v>
      </c>
      <c r="BK272" s="39" t="str">
        <f>IF(AND(Table1[[#This Row],[Z3 SMT2-2 PdMaxres Cost]]=Table1[[#This Row],[ORTools FZN2 Cost]],Table1[[#This Row],[ORTools FZN2 State]]="Optimal"),1,"")</f>
        <v/>
      </c>
      <c r="BL272" s="39" t="s">
        <v>42</v>
      </c>
      <c r="BM272" s="39">
        <v>-120100</v>
      </c>
      <c r="BN272" s="2">
        <v>300.05690870000001</v>
      </c>
      <c r="BO272" s="4" t="str">
        <f>IF(AND(Table1[[#This Row],[Z3 SMT2-2 PdMaxres Cost]]=Table1[[#This Row],[ORTools FZN2 Cost]],Table1[[#This Row],[ORTools FZN2 State]]="Optimal"),1,"")</f>
        <v/>
      </c>
      <c r="BP272" s="5" t="s">
        <v>42</v>
      </c>
      <c r="BQ272" s="2">
        <v>-120100</v>
      </c>
      <c r="BR272" s="2">
        <v>300.1161664</v>
      </c>
      <c r="BS272" s="2" t="str">
        <f>IF(AND(Table1[[#This Row],[Gurobi MB Cost]]=Table1[[#This Row],[ORTools FZN2 Cost]],Table1[[#This Row],[ORTools FZN2 State]]="Optimal",Table1[[#This Row],[Gurobi MB State]]="Suboptimal"),1,"")</f>
        <v/>
      </c>
      <c r="BT272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2" s="5" t="s">
        <v>42</v>
      </c>
      <c r="BV272" s="2">
        <v>-120100</v>
      </c>
      <c r="BW272" s="2">
        <v>300.07165400000002</v>
      </c>
      <c r="BX272" s="2" t="str">
        <f>IF(AND(Table1[[#This Row],[Gurobi MD Cost]]=Table1[[#This Row],[ORTools FZN2 Cost]],Table1[[#This Row],[ORTools FZN2 State]]="Optimal",Table1[[#This Row],[Gurobi MD State]]="Suboptimal"),1,"")</f>
        <v/>
      </c>
      <c r="BY272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2" s="5" t="s">
        <v>25</v>
      </c>
      <c r="CA272" s="2">
        <v>6</v>
      </c>
      <c r="CB272" s="2">
        <v>198.61814519999999</v>
      </c>
      <c r="CC272" s="2" t="str">
        <f>IF(AND(Table1[[#This Row],[Gurobi MI Cost]]=Table1[[#This Row],[ORTools FZN2 Cost]],Table1[[#This Row],[ORTools FZN2 State]]="Optimal",Table1[[#This Row],[Gurobi MI State]]="Suboptimal"),1,"")</f>
        <v/>
      </c>
      <c r="CD272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2" s="39" t="s">
        <v>42</v>
      </c>
      <c r="CF272" s="2">
        <v>-120100</v>
      </c>
      <c r="CG272" s="39">
        <v>306.18646799999999</v>
      </c>
      <c r="CH272" s="39" t="s">
        <v>42</v>
      </c>
      <c r="CI272" s="39">
        <v>-120100</v>
      </c>
      <c r="CJ272" s="2">
        <v>306.11124669999998</v>
      </c>
      <c r="CK272" s="5" t="s">
        <v>25</v>
      </c>
      <c r="CL272" s="2">
        <v>6</v>
      </c>
      <c r="CM272" s="2">
        <v>4.4559999999983102</v>
      </c>
      <c r="CN272" s="5" t="s">
        <v>26</v>
      </c>
      <c r="CO272" s="2">
        <v>2258513</v>
      </c>
      <c r="CP272" s="2">
        <v>301.86310780000002</v>
      </c>
      <c r="CQ272" s="5" t="s">
        <v>25</v>
      </c>
      <c r="CR272" s="2">
        <v>6</v>
      </c>
      <c r="CS272" s="2">
        <v>32.600960600000001</v>
      </c>
      <c r="CT272" s="6" t="s">
        <v>25</v>
      </c>
      <c r="CU272" s="4">
        <v>6</v>
      </c>
      <c r="CV272" s="4">
        <v>17.8808793</v>
      </c>
      <c r="CW272" s="39" t="s">
        <v>26</v>
      </c>
      <c r="CX272" s="39">
        <v>714038</v>
      </c>
      <c r="CY272" s="2">
        <v>300.01600000000002</v>
      </c>
      <c r="CZ272" s="2" t="str">
        <f>IF(AND(Table1[[#This Row],[Cplex MZ1 Cost]]=Table1[[#This Row],[ORTools FZN2 Cost]],Table1[[#This Row],[ORTools FZN2 State]]="Optimal",Table1[[#This Row],[Cplex MZ1 State]]="Suboptimal"),1,"")</f>
        <v/>
      </c>
      <c r="DA272" s="5" t="s">
        <v>26</v>
      </c>
      <c r="DB272" s="2">
        <v>120157</v>
      </c>
      <c r="DC272" s="2">
        <v>300.01600000000002</v>
      </c>
      <c r="DD272" s="2" t="str">
        <f>IF(AND(Table1[[#This Row],[Cplex MZ2 Cost]]=Table1[[#This Row],[ORTools FZN2 Cost]],Table1[[#This Row],[ORTools FZN2 State]]="Optimal",Table1[[#This Row],[Cplex MZ2 State]]="Suboptimal"),1,"")</f>
        <v/>
      </c>
      <c r="DE272" s="39" t="s">
        <v>26</v>
      </c>
      <c r="DF272" s="39">
        <v>238000</v>
      </c>
      <c r="DG272" s="2">
        <v>300.01710000000003</v>
      </c>
      <c r="DH272" s="2" t="str">
        <f>IF(AND(Table1[[#This Row],[Gurobi MZ1 Cost]]=Table1[[#This Row],[ORTools FZN2 Cost]],Table1[[#This Row],[ORTools FZN2 State]]="Optimal",Table1[[#This Row],[Gurobi MZ1 State]]="Suboptimal"),1,"")</f>
        <v/>
      </c>
      <c r="DI272" s="5" t="s">
        <v>26</v>
      </c>
      <c r="DJ272" s="2">
        <v>956047</v>
      </c>
      <c r="DK272" s="2">
        <v>300.00839999999999</v>
      </c>
      <c r="DL272" s="4" t="str">
        <f>IF(AND(Table1[[#This Row],[Gurobi MZ2 Cost]]=Table1[[#This Row],[ORTools FZN2 Cost]],Table1[[#This Row],[ORTools FZN2 State]]="Optimal",Table1[[#This Row],[Gurobi MZ2 State]]="Suboptimal"),1,"")</f>
        <v/>
      </c>
      <c r="DM272" s="39" t="s">
        <v>25</v>
      </c>
      <c r="DN272" s="39">
        <v>6</v>
      </c>
      <c r="DO272" s="65">
        <v>53.401999999994501</v>
      </c>
      <c r="DP272" s="4" t="str">
        <f>IF(AND(Table1[[#This Row],[Cplex MC nonDual Cost]]=Table1[[#This Row],[ORTools FZN2 Cost]],Table1[[#This Row],[ORTools FZN2 State]]="Optimal",Table1[[#This Row],[Cplex MC nonDual State]]="Suboptimal"),1,"")</f>
        <v/>
      </c>
      <c r="DQ272" s="5" t="s">
        <v>25</v>
      </c>
      <c r="DR272" s="2">
        <v>6</v>
      </c>
      <c r="DS272" s="2">
        <v>202.86369999999999</v>
      </c>
      <c r="DT272" s="2" t="str">
        <f>IF(AND(Table1[[#This Row],[Cplex MIP DM''z Cost]]=Table1[[#This Row],[ORTools FZN2 Cost]],Table1[[#This Row],[ORTools FZN2 State]]="Optimal",Table1[[#This Row],[Cplex MIP DM''z  State]]="Suboptimal"),1,"")</f>
        <v/>
      </c>
      <c r="DU272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2" s="5" t="s">
        <v>26</v>
      </c>
      <c r="DW272" s="2">
        <v>237803</v>
      </c>
      <c r="DX272" s="2">
        <v>300.02019999999999</v>
      </c>
      <c r="DY272" s="4" t="str">
        <f>IF(AND(Table1[[#This Row],[Gurobi DM''z  Cost]]=Table1[[#This Row],[ORTools FZN2 Cost]],Table1[[#This Row],[ORTools FZN2 State]]="Optimal",Table1[[#This Row],[Gurobi DM''z  State]]="Suboptimal"),1,"")</f>
        <v/>
      </c>
      <c r="DZ272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3" spans="1:130" x14ac:dyDescent="0.25">
      <c r="A273" s="52" t="s">
        <v>299</v>
      </c>
      <c r="B273" s="5">
        <v>50</v>
      </c>
      <c r="C273" s="2">
        <v>25</v>
      </c>
      <c r="D273" s="5">
        <v>477</v>
      </c>
      <c r="E273" s="2">
        <v>28</v>
      </c>
      <c r="F273" s="5">
        <v>71</v>
      </c>
      <c r="G273" s="2">
        <v>4</v>
      </c>
      <c r="H273" s="4">
        <f t="shared" si="4"/>
        <v>0</v>
      </c>
      <c r="I273" s="4">
        <f>Table1[[#This Row],[B]]+Table1[[#This Row],[Atomic Constraints]]+Table1[[#This Row],[Soft Atomic Constraints]]+Table1[[#This Row],[Disjunctive Constraints]]+Table1[[#This Row],[Direct Successors]]</f>
        <v>605</v>
      </c>
      <c r="J273" s="5" t="s">
        <v>77</v>
      </c>
      <c r="K273" s="2">
        <v>-127551</v>
      </c>
      <c r="L273" s="2">
        <v>1.9212416999999999</v>
      </c>
      <c r="M273" s="2" t="str">
        <f>IF(AND(Table1[[#This Row],[Chuffed MZ1 Cost]]=Table1[[#This Row],[ORTools FZN2 Cost]],Table1[[#This Row],[ORTools FZN2 State]]="Optimal",Table1[[#This Row],[Chuffed MZ1 State]]="Suboptimal"),1,"")</f>
        <v/>
      </c>
      <c r="N273" s="5" t="s">
        <v>77</v>
      </c>
      <c r="O273" s="2">
        <v>-127551</v>
      </c>
      <c r="P273" s="2">
        <v>1.9115059000000001</v>
      </c>
      <c r="Q273" s="2" t="str">
        <f>IF(AND(Table1[[#This Row],[Chuffed MZ2 Cost]]=Table1[[#This Row],[ORTools FZN2 Cost]],Table1[[#This Row],[ORTools FZN2 State]]="Optimal",Table1[[#This Row],[Chuffed MZ2 State]]="Suboptimal"),1,"")</f>
        <v/>
      </c>
      <c r="R273" s="5" t="s">
        <v>77</v>
      </c>
      <c r="S273" s="2">
        <v>-127551</v>
      </c>
      <c r="T273" s="2">
        <v>9.9999999998544795E-2</v>
      </c>
      <c r="U273" s="2"/>
      <c r="V273" s="5" t="s">
        <v>77</v>
      </c>
      <c r="W273" s="2">
        <v>-127551</v>
      </c>
      <c r="X273" s="2">
        <v>1.2686843000000001</v>
      </c>
      <c r="Y273" s="2" t="str">
        <f>IF(AND(Table1[[#This Row],[ORTools FZN1 Cost]]=Table1[[#This Row],[ORTools FZN2 Cost]],Table1[[#This Row],[ORTools FZN2 State]]="Optimal",Table1[[#This Row],[ORTools FZN1 State]]="Suboptimal"),1,"")</f>
        <v/>
      </c>
      <c r="Z273" s="5" t="s">
        <v>77</v>
      </c>
      <c r="AA273" s="2">
        <v>-127551</v>
      </c>
      <c r="AB273" s="2">
        <v>1.1220163000000001</v>
      </c>
      <c r="AC273" s="39" t="s">
        <v>77</v>
      </c>
      <c r="AD273" s="39">
        <v>-127551</v>
      </c>
      <c r="AE273" s="2">
        <v>4.6451600000000003E-2</v>
      </c>
      <c r="AF273" s="2" t="str">
        <f>IF(AND(Table1[[#This Row],[Cplex MB Cost]]=Table1[[#This Row],[ORTools FZN2 Cost]],Table1[[#This Row],[ORTools FZN2 State]]="Optimal",Table1[[#This Row],[Cplex MB State]]="Suboptimal"),1,"")</f>
        <v/>
      </c>
      <c r="AG273" s="4">
        <f>IF(AND(AC273="Optimal",AD273&lt;&gt;AA273,Table1[[#This Row],[Example]]&lt;&gt;"R001",Table1[[#This Row],[Example]]&lt;&gt;"R002"),AD273-AA273,)</f>
        <v>0</v>
      </c>
      <c r="AH273" s="5" t="s">
        <v>77</v>
      </c>
      <c r="AI273" s="2">
        <v>-127551</v>
      </c>
      <c r="AJ273" s="2">
        <v>0.99466810000000005</v>
      </c>
      <c r="AK273" s="2" t="str">
        <f>IF(AND(Table1[[#This Row],[Cplex MD Cost]]=Table1[[#This Row],[ORTools FZN2 Cost]],Table1[[#This Row],[ORTools FZN2 State]]="Optimal",Table1[[#This Row],[Cplex MD State]]="Suboptimal"),1,"")</f>
        <v/>
      </c>
      <c r="AL273" s="4">
        <f>IF(AND(AH273="Optimal",AI273&lt;&gt;AA273,Table1[[#This Row],[Example]]&lt;&gt;"R001",Table1[[#This Row],[Example]]&lt;&gt;"R002"),AI273-AA273,)</f>
        <v>0</v>
      </c>
      <c r="AM273" s="39" t="s">
        <v>77</v>
      </c>
      <c r="AN273" s="39">
        <v>-127551</v>
      </c>
      <c r="AO273" s="2">
        <v>0.34655350000000001</v>
      </c>
      <c r="AP273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3" s="2" t="str">
        <f>IF(AND(Table1[[#This Row],[Cplex MI Cost]]=Table1[[#This Row],[ORTools FZN2 Cost]],Table1[[#This Row],[ORTools FZN2 State]]="Optimal",Table1[[#This Row],[Cplex MI State]]="Suboptimal"),1,"")</f>
        <v/>
      </c>
      <c r="AR273" s="5" t="s">
        <v>77</v>
      </c>
      <c r="AS273" s="2">
        <v>-127551</v>
      </c>
      <c r="AT273" s="2">
        <v>4.3632777000000003</v>
      </c>
      <c r="AU273" s="2" t="str">
        <f>IF(AND(Table1[[#This Row],[Z3 SMT2-1 Maxres Cost]]=Table1[[#This Row],[ORTools FZN2 Cost]],Table1[[#This Row],[ORTools FZN2 State]]="Optimal"),1,"")</f>
        <v/>
      </c>
      <c r="AV273" s="39" t="s">
        <v>77</v>
      </c>
      <c r="AW273" s="39">
        <v>-127551</v>
      </c>
      <c r="AX273" s="2">
        <v>4.5319161000000001</v>
      </c>
      <c r="AY273" s="2" t="str">
        <f>IF(AND(Table1[[#This Row],[Z3 SMT2-1 PdMaxres Cost]]=Table1[[#This Row],[ORTools FZN2 Cost]],Table1[[#This Row],[ORTools FZN2 State]]="Optimal"),1,"")</f>
        <v/>
      </c>
      <c r="AZ273" s="5" t="s">
        <v>77</v>
      </c>
      <c r="BA273" s="2">
        <v>-127551</v>
      </c>
      <c r="BB273" s="39">
        <v>4.3464397000000004</v>
      </c>
      <c r="BC273" s="39" t="str">
        <f>IF(AND(Table1[[#This Row],[Z3 SMT2-1 WMax Cost]]=Table1[[#This Row],[ORTools FZN2 Cost]],Table1[[#This Row],[ORTools FZN2 State]]="Optimal"),1,"")</f>
        <v/>
      </c>
      <c r="BD273" s="39" t="s">
        <v>77</v>
      </c>
      <c r="BE273" s="39">
        <v>-127551</v>
      </c>
      <c r="BF273" s="2">
        <v>4.2557130000000001</v>
      </c>
      <c r="BG273" s="2" t="str">
        <f>IF(AND(Table1[[#This Row],[Z3 SMT2-2 Maxres Cost]]=Table1[[#This Row],[ORTools FZN2 Cost]],Table1[[#This Row],[ORTools FZN2 State]]="Optimal"),1,"")</f>
        <v/>
      </c>
      <c r="BH273" s="5" t="s">
        <v>77</v>
      </c>
      <c r="BI273" s="2">
        <v>-127551</v>
      </c>
      <c r="BJ273" s="39">
        <v>4.2972706000000001</v>
      </c>
      <c r="BK273" s="39" t="str">
        <f>IF(AND(Table1[[#This Row],[Z3 SMT2-2 PdMaxres Cost]]=Table1[[#This Row],[ORTools FZN2 Cost]],Table1[[#This Row],[ORTools FZN2 State]]="Optimal"),1,"")</f>
        <v/>
      </c>
      <c r="BL273" s="39" t="s">
        <v>77</v>
      </c>
      <c r="BM273" s="39">
        <v>-127551</v>
      </c>
      <c r="BN273" s="2">
        <v>4.5286928</v>
      </c>
      <c r="BO273" s="4" t="str">
        <f>IF(AND(Table1[[#This Row],[Z3 SMT2-2 PdMaxres Cost]]=Table1[[#This Row],[ORTools FZN2 Cost]],Table1[[#This Row],[ORTools FZN2 State]]="Optimal"),1,"")</f>
        <v/>
      </c>
      <c r="BP273" s="5" t="s">
        <v>77</v>
      </c>
      <c r="BQ273" s="2">
        <v>-127551</v>
      </c>
      <c r="BR273" s="2">
        <v>9.4925800000000005E-2</v>
      </c>
      <c r="BS273" s="2" t="str">
        <f>IF(AND(Table1[[#This Row],[Gurobi MB Cost]]=Table1[[#This Row],[ORTools FZN2 Cost]],Table1[[#This Row],[ORTools FZN2 State]]="Optimal",Table1[[#This Row],[Gurobi MB State]]="Suboptimal"),1,"")</f>
        <v/>
      </c>
      <c r="BT273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3" s="5" t="s">
        <v>77</v>
      </c>
      <c r="BV273" s="2">
        <v>-127551</v>
      </c>
      <c r="BW273" s="2">
        <v>3.5738797</v>
      </c>
      <c r="BX273" s="2" t="str">
        <f>IF(AND(Table1[[#This Row],[Gurobi MD Cost]]=Table1[[#This Row],[ORTools FZN2 Cost]],Table1[[#This Row],[ORTools FZN2 State]]="Optimal",Table1[[#This Row],[Gurobi MD State]]="Suboptimal"),1,"")</f>
        <v/>
      </c>
      <c r="BY273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3" s="5" t="s">
        <v>77</v>
      </c>
      <c r="CA273" s="2">
        <v>-127551</v>
      </c>
      <c r="CB273" s="2">
        <v>0.18195929999999999</v>
      </c>
      <c r="CC273" s="2" t="str">
        <f>IF(AND(Table1[[#This Row],[Gurobi MI Cost]]=Table1[[#This Row],[ORTools FZN2 Cost]],Table1[[#This Row],[ORTools FZN2 State]]="Optimal",Table1[[#This Row],[Gurobi MI State]]="Suboptimal"),1,"")</f>
        <v/>
      </c>
      <c r="CD273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3" s="39" t="s">
        <v>77</v>
      </c>
      <c r="CF273" s="2">
        <v>-127551</v>
      </c>
      <c r="CG273" s="39">
        <v>5.2219150000000001</v>
      </c>
      <c r="CH273" s="39" t="s">
        <v>77</v>
      </c>
      <c r="CI273" s="39">
        <v>-127551</v>
      </c>
      <c r="CJ273" s="2">
        <v>5.1779380000000002</v>
      </c>
      <c r="CK273" s="5" t="s">
        <v>77</v>
      </c>
      <c r="CL273" s="2">
        <v>-127551</v>
      </c>
      <c r="CM273" s="2">
        <v>8.4999999999126899E-2</v>
      </c>
      <c r="CN273" s="5" t="s">
        <v>77</v>
      </c>
      <c r="CO273" s="2">
        <v>-127551</v>
      </c>
      <c r="CP273" s="2">
        <v>1.8539521999999999</v>
      </c>
      <c r="CQ273" s="5" t="s">
        <v>77</v>
      </c>
      <c r="CR273" s="2">
        <v>-127551</v>
      </c>
      <c r="CS273" s="2">
        <v>2.5902976</v>
      </c>
      <c r="CT273" s="6" t="s">
        <v>77</v>
      </c>
      <c r="CU273" s="4">
        <v>-127551</v>
      </c>
      <c r="CV273" s="4">
        <v>2.82199</v>
      </c>
      <c r="CW273" s="39" t="s">
        <v>77</v>
      </c>
      <c r="CX273" s="39"/>
      <c r="CY273" s="2">
        <v>1.2882</v>
      </c>
      <c r="CZ273" s="2" t="str">
        <f>IF(AND(Table1[[#This Row],[Cplex MZ1 Cost]]=Table1[[#This Row],[ORTools FZN2 Cost]],Table1[[#This Row],[ORTools FZN2 State]]="Optimal",Table1[[#This Row],[Cplex MZ1 State]]="Suboptimal"),1,"")</f>
        <v/>
      </c>
      <c r="DA273" s="5" t="s">
        <v>77</v>
      </c>
      <c r="DB273" s="2"/>
      <c r="DC273" s="2">
        <v>1.3484</v>
      </c>
      <c r="DD273" s="2" t="str">
        <f>IF(AND(Table1[[#This Row],[Cplex MZ2 Cost]]=Table1[[#This Row],[ORTools FZN2 Cost]],Table1[[#This Row],[ORTools FZN2 State]]="Optimal",Table1[[#This Row],[Cplex MZ2 State]]="Suboptimal"),1,"")</f>
        <v/>
      </c>
      <c r="DE273" s="39" t="s">
        <v>77</v>
      </c>
      <c r="DF273" s="39"/>
      <c r="DG273" s="2">
        <v>0.1489</v>
      </c>
      <c r="DH273" s="2" t="str">
        <f>IF(AND(Table1[[#This Row],[Gurobi MZ1 Cost]]=Table1[[#This Row],[ORTools FZN2 Cost]],Table1[[#This Row],[ORTools FZN2 State]]="Optimal",Table1[[#This Row],[Gurobi MZ1 State]]="Suboptimal"),1,"")</f>
        <v/>
      </c>
      <c r="DI273" s="5" t="s">
        <v>77</v>
      </c>
      <c r="DJ273" s="2"/>
      <c r="DK273" s="2">
        <v>0.1384</v>
      </c>
      <c r="DL273" s="4" t="str">
        <f>IF(AND(Table1[[#This Row],[Gurobi MZ2 Cost]]=Table1[[#This Row],[ORTools FZN2 Cost]],Table1[[#This Row],[ORTools FZN2 State]]="Optimal",Table1[[#This Row],[Gurobi MZ2 State]]="Suboptimal"),1,"")</f>
        <v/>
      </c>
      <c r="DM273" s="39" t="s">
        <v>77</v>
      </c>
      <c r="DN273" s="39">
        <v>-127551</v>
      </c>
      <c r="DO273" s="65">
        <v>0.10099999999511</v>
      </c>
      <c r="DP273" s="4" t="str">
        <f>IF(AND(Table1[[#This Row],[Cplex MC nonDual Cost]]=Table1[[#This Row],[ORTools FZN2 Cost]],Table1[[#This Row],[ORTools FZN2 State]]="Optimal",Table1[[#This Row],[Cplex MC nonDual State]]="Suboptimal"),1,"")</f>
        <v/>
      </c>
      <c r="DQ273" s="5" t="s">
        <v>77</v>
      </c>
      <c r="DR273" s="2"/>
      <c r="DS273" s="2">
        <v>1.2831999999999999</v>
      </c>
      <c r="DT273" s="2" t="str">
        <f>IF(AND(Table1[[#This Row],[Cplex MIP DM''z Cost]]=Table1[[#This Row],[ORTools FZN2 Cost]],Table1[[#This Row],[ORTools FZN2 State]]="Optimal",Table1[[#This Row],[Cplex MIP DM''z  State]]="Suboptimal"),1,"")</f>
        <v/>
      </c>
      <c r="DU273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3" s="5" t="s">
        <v>77</v>
      </c>
      <c r="DW273" s="2"/>
      <c r="DX273" s="2">
        <v>0.20619999999999999</v>
      </c>
      <c r="DY273" s="4" t="str">
        <f>IF(AND(Table1[[#This Row],[Gurobi DM''z  Cost]]=Table1[[#This Row],[ORTools FZN2 Cost]],Table1[[#This Row],[ORTools FZN2 State]]="Optimal",Table1[[#This Row],[Gurobi DM''z  State]]="Suboptimal"),1,"")</f>
        <v/>
      </c>
      <c r="DZ273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4" spans="1:130" ht="15.75" x14ac:dyDescent="0.25">
      <c r="A274" s="46" t="s">
        <v>300</v>
      </c>
      <c r="B274" s="5">
        <v>46</v>
      </c>
      <c r="C274" s="2">
        <v>23</v>
      </c>
      <c r="D274" s="5">
        <v>278</v>
      </c>
      <c r="E274" s="2">
        <v>29</v>
      </c>
      <c r="F274" s="5">
        <v>50</v>
      </c>
      <c r="G274" s="2">
        <v>5</v>
      </c>
      <c r="H274" s="4">
        <f t="shared" si="4"/>
        <v>0</v>
      </c>
      <c r="I274" s="4">
        <f>Table1[[#This Row],[B]]+Table1[[#This Row],[Atomic Constraints]]+Table1[[#This Row],[Soft Atomic Constraints]]+Table1[[#This Row],[Disjunctive Constraints]]+Table1[[#This Row],[Direct Successors]]</f>
        <v>385</v>
      </c>
      <c r="J274" s="5" t="s">
        <v>26</v>
      </c>
      <c r="K274" s="2">
        <v>489727</v>
      </c>
      <c r="L274" s="2">
        <v>301.78023089999999</v>
      </c>
      <c r="M274" s="2" t="str">
        <f>IF(AND(Table1[[#This Row],[Chuffed MZ1 Cost]]=Table1[[#This Row],[ORTools FZN2 Cost]],Table1[[#This Row],[ORTools FZN2 State]]="Optimal",Table1[[#This Row],[Chuffed MZ1 State]]="Suboptimal"),1,"")</f>
        <v/>
      </c>
      <c r="N274" s="5" t="s">
        <v>26</v>
      </c>
      <c r="O274" s="2">
        <v>491290</v>
      </c>
      <c r="P274" s="2">
        <v>301.77057580000002</v>
      </c>
      <c r="Q274" s="2" t="str">
        <f>IF(AND(Table1[[#This Row],[Chuffed MZ2 Cost]]=Table1[[#This Row],[ORTools FZN2 Cost]],Table1[[#This Row],[ORTools FZN2 State]]="Optimal",Table1[[#This Row],[Chuffed MZ2 State]]="Suboptimal"),1,"")</f>
        <v/>
      </c>
      <c r="R274" s="11" t="s">
        <v>26</v>
      </c>
      <c r="S274" s="11">
        <v>196888</v>
      </c>
      <c r="T274" s="11">
        <v>300.05399999999599</v>
      </c>
      <c r="U274" s="11">
        <v>1</v>
      </c>
      <c r="V274" s="5" t="s">
        <v>25</v>
      </c>
      <c r="W274" s="2">
        <v>196888</v>
      </c>
      <c r="X274" s="2">
        <v>15.9107702</v>
      </c>
      <c r="Y274" s="2" t="str">
        <f>IF(AND(Table1[[#This Row],[ORTools FZN1 Cost]]=Table1[[#This Row],[ORTools FZN2 Cost]],Table1[[#This Row],[ORTools FZN2 State]]="Optimal",Table1[[#This Row],[ORTools FZN1 State]]="Suboptimal"),1,"")</f>
        <v/>
      </c>
      <c r="Z274" s="5" t="s">
        <v>25</v>
      </c>
      <c r="AA274" s="2">
        <v>196888</v>
      </c>
      <c r="AB274" s="2">
        <v>12.681296700000001</v>
      </c>
      <c r="AC274" s="12" t="s">
        <v>26</v>
      </c>
      <c r="AD274" s="12">
        <v>196888</v>
      </c>
      <c r="AE274" s="12">
        <v>300.12648580000001</v>
      </c>
      <c r="AF274" s="2">
        <f>IF(AND(Table1[[#This Row],[Cplex MB Cost]]=Table1[[#This Row],[ORTools FZN2 Cost]],Table1[[#This Row],[ORTools FZN2 State]]="Optimal",Table1[[#This Row],[Cplex MB State]]="Suboptimal"),1,"")</f>
        <v>1</v>
      </c>
      <c r="AG274" s="4">
        <f>IF(AND(AC274="Optimal",AD274&lt;&gt;AA274,Table1[[#This Row],[Example]]&lt;&gt;"R001",Table1[[#This Row],[Example]]&lt;&gt;"R002"),AD274-AA274,)</f>
        <v>0</v>
      </c>
      <c r="AH274" s="5" t="s">
        <v>26</v>
      </c>
      <c r="AI274" s="2">
        <v>1967336</v>
      </c>
      <c r="AJ274" s="2">
        <v>300.2766226</v>
      </c>
      <c r="AK274" s="2" t="str">
        <f>IF(AND(Table1[[#This Row],[Cplex MD Cost]]=Table1[[#This Row],[ORTools FZN2 Cost]],Table1[[#This Row],[ORTools FZN2 State]]="Optimal",Table1[[#This Row],[Cplex MD State]]="Suboptimal"),1,"")</f>
        <v/>
      </c>
      <c r="AL274" s="4">
        <f>IF(AND(AH274="Optimal",AI274&lt;&gt;AA274,Table1[[#This Row],[Example]]&lt;&gt;"R001",Table1[[#This Row],[Example]]&lt;&gt;"R002"),AI274-AA274,)</f>
        <v>0</v>
      </c>
      <c r="AM274" s="39" t="s">
        <v>26</v>
      </c>
      <c r="AN274" s="39">
        <v>488943</v>
      </c>
      <c r="AO274" s="2">
        <v>300.06599060000002</v>
      </c>
      <c r="AP274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4" s="2" t="str">
        <f>IF(AND(Table1[[#This Row],[Cplex MI Cost]]=Table1[[#This Row],[ORTools FZN2 Cost]],Table1[[#This Row],[ORTools FZN2 State]]="Optimal",Table1[[#This Row],[Cplex MI State]]="Suboptimal"),1,"")</f>
        <v/>
      </c>
      <c r="AR274" s="5" t="s">
        <v>42</v>
      </c>
      <c r="AS274" s="2">
        <v>-99499</v>
      </c>
      <c r="AT274" s="2">
        <v>300.04999340000001</v>
      </c>
      <c r="AU274" s="2" t="str">
        <f>IF(AND(Table1[[#This Row],[Z3 SMT2-1 Maxres Cost]]=Table1[[#This Row],[ORTools FZN2 Cost]],Table1[[#This Row],[ORTools FZN2 State]]="Optimal"),1,"")</f>
        <v/>
      </c>
      <c r="AV274" s="39" t="s">
        <v>42</v>
      </c>
      <c r="AW274" s="39">
        <v>-99499</v>
      </c>
      <c r="AX274" s="2">
        <v>300.04891320000002</v>
      </c>
      <c r="AY274" s="2" t="str">
        <f>IF(AND(Table1[[#This Row],[Z3 SMT2-1 PdMaxres Cost]]=Table1[[#This Row],[ORTools FZN2 Cost]],Table1[[#This Row],[ORTools FZN2 State]]="Optimal"),1,"")</f>
        <v/>
      </c>
      <c r="AZ274" s="5" t="s">
        <v>42</v>
      </c>
      <c r="BA274" s="2">
        <v>-99499</v>
      </c>
      <c r="BB274" s="39">
        <v>300.04831860000002</v>
      </c>
      <c r="BC274" s="39" t="str">
        <f>IF(AND(Table1[[#This Row],[Z3 SMT2-1 WMax Cost]]=Table1[[#This Row],[ORTools FZN2 Cost]],Table1[[#This Row],[ORTools FZN2 State]]="Optimal"),1,"")</f>
        <v/>
      </c>
      <c r="BD274" s="39" t="s">
        <v>42</v>
      </c>
      <c r="BE274" s="39">
        <v>-99499</v>
      </c>
      <c r="BF274" s="2">
        <v>300.0437738</v>
      </c>
      <c r="BG274" s="2" t="str">
        <f>IF(AND(Table1[[#This Row],[Z3 SMT2-2 Maxres Cost]]=Table1[[#This Row],[ORTools FZN2 Cost]],Table1[[#This Row],[ORTools FZN2 State]]="Optimal"),1,"")</f>
        <v/>
      </c>
      <c r="BH274" s="5" t="s">
        <v>42</v>
      </c>
      <c r="BI274" s="2">
        <v>-99499</v>
      </c>
      <c r="BJ274" s="39">
        <v>300.0524671</v>
      </c>
      <c r="BK274" s="39" t="str">
        <f>IF(AND(Table1[[#This Row],[Z3 SMT2-2 PdMaxres Cost]]=Table1[[#This Row],[ORTools FZN2 Cost]],Table1[[#This Row],[ORTools FZN2 State]]="Optimal"),1,"")</f>
        <v/>
      </c>
      <c r="BL274" s="39" t="s">
        <v>42</v>
      </c>
      <c r="BM274" s="39">
        <v>-99499</v>
      </c>
      <c r="BN274" s="2">
        <v>300.04907170000001</v>
      </c>
      <c r="BO274" s="4" t="str">
        <f>IF(AND(Table1[[#This Row],[Z3 SMT2-2 PdMaxres Cost]]=Table1[[#This Row],[ORTools FZN2 Cost]],Table1[[#This Row],[ORTools FZN2 State]]="Optimal"),1,"")</f>
        <v/>
      </c>
      <c r="BP274" s="5" t="s">
        <v>42</v>
      </c>
      <c r="BQ274" s="2">
        <v>-99499</v>
      </c>
      <c r="BR274" s="2">
        <v>300.07217150000002</v>
      </c>
      <c r="BS274" s="2" t="str">
        <f>IF(AND(Table1[[#This Row],[Gurobi MB Cost]]=Table1[[#This Row],[ORTools FZN2 Cost]],Table1[[#This Row],[ORTools FZN2 State]]="Optimal",Table1[[#This Row],[Gurobi MB State]]="Suboptimal"),1,"")</f>
        <v/>
      </c>
      <c r="BT274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4" s="5" t="s">
        <v>42</v>
      </c>
      <c r="BV274" s="2">
        <v>-99499</v>
      </c>
      <c r="BW274" s="2">
        <v>300.11398050000003</v>
      </c>
      <c r="BX274" s="2" t="str">
        <f>IF(AND(Table1[[#This Row],[Gurobi MD Cost]]=Table1[[#This Row],[ORTools FZN2 Cost]],Table1[[#This Row],[ORTools FZN2 State]]="Optimal",Table1[[#This Row],[Gurobi MD State]]="Suboptimal"),1,"")</f>
        <v/>
      </c>
      <c r="BY274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4" s="5" t="s">
        <v>42</v>
      </c>
      <c r="CA274" s="2">
        <v>-99499</v>
      </c>
      <c r="CB274" s="2">
        <v>300.15335060000001</v>
      </c>
      <c r="CC274" s="2" t="str">
        <f>IF(AND(Table1[[#This Row],[Gurobi MI Cost]]=Table1[[#This Row],[ORTools FZN2 Cost]],Table1[[#This Row],[ORTools FZN2 State]]="Optimal",Table1[[#This Row],[Gurobi MI State]]="Suboptimal"),1,"")</f>
        <v/>
      </c>
      <c r="CD274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4" s="39" t="s">
        <v>42</v>
      </c>
      <c r="CF274" s="2">
        <v>-99499</v>
      </c>
      <c r="CG274" s="39">
        <v>306.10182150000003</v>
      </c>
      <c r="CH274" s="39" t="s">
        <v>42</v>
      </c>
      <c r="CI274" s="39">
        <v>-99499</v>
      </c>
      <c r="CJ274" s="2">
        <v>306.04315409999998</v>
      </c>
      <c r="CK274" s="5" t="s">
        <v>26</v>
      </c>
      <c r="CL274" s="2">
        <v>196888</v>
      </c>
      <c r="CM274" s="2">
        <v>300.08499999999901</v>
      </c>
      <c r="CN274" s="5" t="s">
        <v>26</v>
      </c>
      <c r="CO274" s="2">
        <v>1971348</v>
      </c>
      <c r="CP274" s="2">
        <v>301.71552639999999</v>
      </c>
      <c r="CQ274" s="5" t="s">
        <v>25</v>
      </c>
      <c r="CR274" s="2">
        <v>196888</v>
      </c>
      <c r="CS274" s="2">
        <v>27.377529500000001</v>
      </c>
      <c r="CT274" s="6" t="s">
        <v>25</v>
      </c>
      <c r="CU274" s="4">
        <v>196888</v>
      </c>
      <c r="CV274" s="4">
        <v>17.163584</v>
      </c>
      <c r="CW274" s="39" t="s">
        <v>26</v>
      </c>
      <c r="CX274" s="39">
        <v>199143</v>
      </c>
      <c r="CY274" s="2">
        <v>300.00970000000001</v>
      </c>
      <c r="CZ274" s="2" t="str">
        <f>IF(AND(Table1[[#This Row],[Cplex MZ1 Cost]]=Table1[[#This Row],[ORTools FZN2 Cost]],Table1[[#This Row],[ORTools FZN2 State]]="Optimal",Table1[[#This Row],[Cplex MZ1 State]]="Suboptimal"),1,"")</f>
        <v/>
      </c>
      <c r="DA274" s="5" t="s">
        <v>26</v>
      </c>
      <c r="DB274" s="2">
        <v>196890</v>
      </c>
      <c r="DC274" s="2">
        <v>300.01780000000002</v>
      </c>
      <c r="DD274" s="2" t="str">
        <f>IF(AND(Table1[[#This Row],[Cplex MZ2 Cost]]=Table1[[#This Row],[ORTools FZN2 Cost]],Table1[[#This Row],[ORTools FZN2 State]]="Optimal",Table1[[#This Row],[Cplex MZ2 State]]="Suboptimal"),1,"")</f>
        <v/>
      </c>
      <c r="DE274" s="39" t="s">
        <v>26</v>
      </c>
      <c r="DF274" s="39">
        <v>491196</v>
      </c>
      <c r="DG274" s="2">
        <v>300.01510000000002</v>
      </c>
      <c r="DH274" s="2" t="str">
        <f>IF(AND(Table1[[#This Row],[Gurobi MZ1 Cost]]=Table1[[#This Row],[ORTools FZN2 Cost]],Table1[[#This Row],[ORTools FZN2 State]]="Optimal",Table1[[#This Row],[Gurobi MZ1 State]]="Suboptimal"),1,"")</f>
        <v/>
      </c>
      <c r="DI274" s="5" t="s">
        <v>42</v>
      </c>
      <c r="DJ274" s="2"/>
      <c r="DK274" s="2">
        <v>300.00349999999997</v>
      </c>
      <c r="DL274" s="4" t="str">
        <f>IF(AND(Table1[[#This Row],[Gurobi MZ2 Cost]]=Table1[[#This Row],[ORTools FZN2 Cost]],Table1[[#This Row],[ORTools FZN2 State]]="Optimal",Table1[[#This Row],[Gurobi MZ2 State]]="Suboptimal"),1,"")</f>
        <v/>
      </c>
      <c r="DM274" s="39" t="s">
        <v>26</v>
      </c>
      <c r="DN274" s="12">
        <v>196888</v>
      </c>
      <c r="DO274" s="69">
        <v>300.05600000000402</v>
      </c>
      <c r="DP274" s="11">
        <f>IF(AND(Table1[[#This Row],[Cplex MC nonDual Cost]]=Table1[[#This Row],[ORTools FZN2 Cost]],Table1[[#This Row],[ORTools FZN2 State]]="Optimal",Table1[[#This Row],[Cplex MC nonDual State]]="Suboptimal"),1,"")</f>
        <v>1</v>
      </c>
      <c r="DQ274" s="5" t="s">
        <v>26</v>
      </c>
      <c r="DR274" s="2">
        <v>294411</v>
      </c>
      <c r="DS274" s="2">
        <v>300.01249999999999</v>
      </c>
      <c r="DT274" s="2" t="str">
        <f>IF(AND(Table1[[#This Row],[Cplex MIP DM''z Cost]]=Table1[[#This Row],[ORTools FZN2 Cost]],Table1[[#This Row],[ORTools FZN2 State]]="Optimal",Table1[[#This Row],[Cplex MIP DM''z  State]]="Suboptimal"),1,"")</f>
        <v/>
      </c>
      <c r="DU274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4" s="5" t="s">
        <v>26</v>
      </c>
      <c r="DW274" s="2">
        <v>984775</v>
      </c>
      <c r="DX274" s="2">
        <v>299.99270000000001</v>
      </c>
      <c r="DY274" s="4" t="str">
        <f>IF(AND(Table1[[#This Row],[Gurobi DM''z  Cost]]=Table1[[#This Row],[ORTools FZN2 Cost]],Table1[[#This Row],[ORTools FZN2 State]]="Optimal",Table1[[#This Row],[Gurobi DM''z  State]]="Suboptimal"),1,"")</f>
        <v/>
      </c>
      <c r="DZ274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5" spans="1:130" ht="15.75" x14ac:dyDescent="0.25">
      <c r="A275" s="47" t="s">
        <v>301</v>
      </c>
      <c r="B275" s="5">
        <v>48</v>
      </c>
      <c r="C275" s="2">
        <v>24</v>
      </c>
      <c r="D275" s="5">
        <v>299</v>
      </c>
      <c r="E275" s="2">
        <v>31</v>
      </c>
      <c r="F275" s="5">
        <v>27</v>
      </c>
      <c r="G275" s="2">
        <v>0</v>
      </c>
      <c r="H275" s="4">
        <f t="shared" si="4"/>
        <v>0</v>
      </c>
      <c r="I275" s="4">
        <f>Table1[[#This Row],[B]]+Table1[[#This Row],[Atomic Constraints]]+Table1[[#This Row],[Soft Atomic Constraints]]+Table1[[#This Row],[Disjunctive Constraints]]+Table1[[#This Row],[Direct Successors]]</f>
        <v>381</v>
      </c>
      <c r="J275" s="5" t="s">
        <v>26</v>
      </c>
      <c r="K275" s="2">
        <v>1692783</v>
      </c>
      <c r="L275" s="2">
        <v>301.89070470000001</v>
      </c>
      <c r="M275" s="2" t="str">
        <f>IF(AND(Table1[[#This Row],[Chuffed MZ1 Cost]]=Table1[[#This Row],[ORTools FZN2 Cost]],Table1[[#This Row],[ORTools FZN2 State]]="Optimal",Table1[[#This Row],[Chuffed MZ1 State]]="Suboptimal"),1,"")</f>
        <v/>
      </c>
      <c r="N275" s="5" t="s">
        <v>26</v>
      </c>
      <c r="O275" s="2">
        <v>1678425</v>
      </c>
      <c r="P275" s="2">
        <v>301.83657909999999</v>
      </c>
      <c r="Q275" s="2" t="str">
        <f>IF(AND(Table1[[#This Row],[Chuffed MZ2 Cost]]=Table1[[#This Row],[ORTools FZN2 Cost]],Table1[[#This Row],[ORTools FZN2 State]]="Optimal",Table1[[#This Row],[Chuffed MZ2 State]]="Suboptimal"),1,"")</f>
        <v/>
      </c>
      <c r="R275" s="11" t="s">
        <v>26</v>
      </c>
      <c r="S275" s="11">
        <v>557959</v>
      </c>
      <c r="T275" s="11">
        <v>300.08000000000902</v>
      </c>
      <c r="U275" s="11">
        <v>1</v>
      </c>
      <c r="V275" s="5" t="s">
        <v>25</v>
      </c>
      <c r="W275" s="2">
        <v>557959</v>
      </c>
      <c r="X275" s="2">
        <v>24.101877099999999</v>
      </c>
      <c r="Y275" s="2" t="str">
        <f>IF(AND(Table1[[#This Row],[ORTools FZN1 Cost]]=Table1[[#This Row],[ORTools FZN2 Cost]],Table1[[#This Row],[ORTools FZN2 State]]="Optimal",Table1[[#This Row],[ORTools FZN1 State]]="Suboptimal"),1,"")</f>
        <v/>
      </c>
      <c r="Z275" s="5" t="s">
        <v>25</v>
      </c>
      <c r="AA275" s="2">
        <v>557959</v>
      </c>
      <c r="AB275" s="2">
        <v>16.5833297</v>
      </c>
      <c r="AC275" s="39" t="s">
        <v>42</v>
      </c>
      <c r="AD275" s="39">
        <v>-112945</v>
      </c>
      <c r="AE275" s="2">
        <v>300.14033879999999</v>
      </c>
      <c r="AF275" s="2" t="str">
        <f>IF(AND(Table1[[#This Row],[Cplex MB Cost]]=Table1[[#This Row],[ORTools FZN2 Cost]],Table1[[#This Row],[ORTools FZN2 State]]="Optimal",Table1[[#This Row],[Cplex MB State]]="Suboptimal"),1,"")</f>
        <v/>
      </c>
      <c r="AG275" s="4">
        <f>IF(AND(AC275="Optimal",AD275&lt;&gt;AA275,Table1[[#This Row],[Example]]&lt;&gt;"R001",Table1[[#This Row],[Example]]&lt;&gt;"R002"),AD275-AA275,)</f>
        <v>0</v>
      </c>
      <c r="AH275" s="5" t="s">
        <v>42</v>
      </c>
      <c r="AI275" s="2">
        <v>-112945</v>
      </c>
      <c r="AJ275" s="2">
        <v>300.29237160000002</v>
      </c>
      <c r="AK275" s="2" t="str">
        <f>IF(AND(Table1[[#This Row],[Cplex MD Cost]]=Table1[[#This Row],[ORTools FZN2 Cost]],Table1[[#This Row],[ORTools FZN2 State]]="Optimal",Table1[[#This Row],[Cplex MD State]]="Suboptimal"),1,"")</f>
        <v/>
      </c>
      <c r="AL275" s="2">
        <f>IF(AND(AH275="Optimal",AI275&lt;&gt;AA275,Table1[[#This Row],[Example]]&lt;&gt;"R001",Table1[[#This Row],[Example]]&lt;&gt;"R002"),AI275-AA275,)</f>
        <v>0</v>
      </c>
      <c r="AM275" s="39" t="s">
        <v>26</v>
      </c>
      <c r="AN275" s="39">
        <v>1668822</v>
      </c>
      <c r="AO275" s="2">
        <v>300.09221309999998</v>
      </c>
      <c r="AP275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5" s="2" t="str">
        <f>IF(AND(Table1[[#This Row],[Cplex MI Cost]]=Table1[[#This Row],[ORTools FZN2 Cost]],Table1[[#This Row],[ORTools FZN2 State]]="Optimal",Table1[[#This Row],[Cplex MI State]]="Suboptimal"),1,"")</f>
        <v/>
      </c>
      <c r="AR275" s="5" t="s">
        <v>42</v>
      </c>
      <c r="AS275" s="2">
        <v>-112945</v>
      </c>
      <c r="AT275" s="2">
        <v>302.17543269999999</v>
      </c>
      <c r="AU275" s="2" t="str">
        <f>IF(AND(Table1[[#This Row],[Z3 SMT2-1 Maxres Cost]]=Table1[[#This Row],[ORTools FZN2 Cost]],Table1[[#This Row],[ORTools FZN2 State]]="Optimal"),1,"")</f>
        <v/>
      </c>
      <c r="AV275" s="39" t="s">
        <v>42</v>
      </c>
      <c r="AW275" s="39">
        <v>-112945</v>
      </c>
      <c r="AX275" s="2">
        <v>300.05438620000001</v>
      </c>
      <c r="AY275" s="2" t="str">
        <f>IF(AND(Table1[[#This Row],[Z3 SMT2-1 PdMaxres Cost]]=Table1[[#This Row],[ORTools FZN2 Cost]],Table1[[#This Row],[ORTools FZN2 State]]="Optimal"),1,"")</f>
        <v/>
      </c>
      <c r="AZ275" s="5" t="s">
        <v>42</v>
      </c>
      <c r="BA275" s="2">
        <v>-112945</v>
      </c>
      <c r="BB275" s="39">
        <v>300.05431620000002</v>
      </c>
      <c r="BC275" s="39" t="str">
        <f>IF(AND(Table1[[#This Row],[Z3 SMT2-1 WMax Cost]]=Table1[[#This Row],[ORTools FZN2 Cost]],Table1[[#This Row],[ORTools FZN2 State]]="Optimal"),1,"")</f>
        <v/>
      </c>
      <c r="BD275" s="39" t="s">
        <v>42</v>
      </c>
      <c r="BE275" s="39">
        <v>-112945</v>
      </c>
      <c r="BF275" s="2">
        <v>300.0435061</v>
      </c>
      <c r="BG275" s="2" t="str">
        <f>IF(AND(Table1[[#This Row],[Z3 SMT2-2 Maxres Cost]]=Table1[[#This Row],[ORTools FZN2 Cost]],Table1[[#This Row],[ORTools FZN2 State]]="Optimal"),1,"")</f>
        <v/>
      </c>
      <c r="BH275" s="5" t="s">
        <v>42</v>
      </c>
      <c r="BI275" s="2">
        <v>-112945</v>
      </c>
      <c r="BJ275" s="39">
        <v>300.04602799999998</v>
      </c>
      <c r="BK275" s="39" t="str">
        <f>IF(AND(Table1[[#This Row],[Z3 SMT2-2 PdMaxres Cost]]=Table1[[#This Row],[ORTools FZN2 Cost]],Table1[[#This Row],[ORTools FZN2 State]]="Optimal"),1,"")</f>
        <v/>
      </c>
      <c r="BL275" s="39" t="s">
        <v>42</v>
      </c>
      <c r="BM275" s="39">
        <v>-112945</v>
      </c>
      <c r="BN275" s="2">
        <v>300.04439159999998</v>
      </c>
      <c r="BO275" s="4" t="str">
        <f>IF(AND(Table1[[#This Row],[Z3 SMT2-2 PdMaxres Cost]]=Table1[[#This Row],[ORTools FZN2 Cost]],Table1[[#This Row],[ORTools FZN2 State]]="Optimal"),1,"")</f>
        <v/>
      </c>
      <c r="BP275" s="5" t="s">
        <v>42</v>
      </c>
      <c r="BQ275" s="2">
        <v>-112945</v>
      </c>
      <c r="BR275" s="2">
        <v>300.3645325</v>
      </c>
      <c r="BS275" s="2" t="str">
        <f>IF(AND(Table1[[#This Row],[Gurobi MB Cost]]=Table1[[#This Row],[ORTools FZN2 Cost]],Table1[[#This Row],[ORTools FZN2 State]]="Optimal",Table1[[#This Row],[Gurobi MB State]]="Suboptimal"),1,"")</f>
        <v/>
      </c>
      <c r="BT275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5" s="5" t="s">
        <v>42</v>
      </c>
      <c r="BV275" s="2">
        <v>-112945</v>
      </c>
      <c r="BW275" s="2">
        <v>300.1094544</v>
      </c>
      <c r="BX275" s="2" t="str">
        <f>IF(AND(Table1[[#This Row],[Gurobi MD Cost]]=Table1[[#This Row],[ORTools FZN2 Cost]],Table1[[#This Row],[ORTools FZN2 State]]="Optimal",Table1[[#This Row],[Gurobi MD State]]="Suboptimal"),1,"")</f>
        <v/>
      </c>
      <c r="BY275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5" s="5" t="s">
        <v>42</v>
      </c>
      <c r="CA275" s="2">
        <v>-112945</v>
      </c>
      <c r="CB275" s="2">
        <v>300.185744</v>
      </c>
      <c r="CC275" s="2" t="str">
        <f>IF(AND(Table1[[#This Row],[Gurobi MI Cost]]=Table1[[#This Row],[ORTools FZN2 Cost]],Table1[[#This Row],[ORTools FZN2 State]]="Optimal",Table1[[#This Row],[Gurobi MI State]]="Suboptimal"),1,"")</f>
        <v/>
      </c>
      <c r="CD275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5" s="39" t="s">
        <v>42</v>
      </c>
      <c r="CF275" s="2">
        <v>-112945</v>
      </c>
      <c r="CG275" s="39">
        <v>306.13267050000002</v>
      </c>
      <c r="CH275" s="39" t="s">
        <v>42</v>
      </c>
      <c r="CI275" s="39">
        <v>-112945</v>
      </c>
      <c r="CJ275" s="2">
        <v>306.09357879999999</v>
      </c>
      <c r="CK275" s="5" t="s">
        <v>26</v>
      </c>
      <c r="CL275" s="2">
        <v>557959</v>
      </c>
      <c r="CM275" s="2">
        <v>300.13500000000198</v>
      </c>
      <c r="CN275" s="5" t="s">
        <v>26</v>
      </c>
      <c r="CO275" s="2">
        <v>1911764</v>
      </c>
      <c r="CP275" s="2">
        <v>301.87333480000001</v>
      </c>
      <c r="CQ275" s="5" t="s">
        <v>25</v>
      </c>
      <c r="CR275" s="2">
        <v>557959</v>
      </c>
      <c r="CS275" s="2">
        <v>40.870777199999999</v>
      </c>
      <c r="CT275" s="6" t="s">
        <v>25</v>
      </c>
      <c r="CU275" s="4">
        <v>557959</v>
      </c>
      <c r="CV275" s="4">
        <v>21.172801799999998</v>
      </c>
      <c r="CW275" s="39" t="s">
        <v>26</v>
      </c>
      <c r="CX275" s="39">
        <v>1567834</v>
      </c>
      <c r="CY275" s="2">
        <v>300.02019999999999</v>
      </c>
      <c r="CZ275" s="2" t="str">
        <f>IF(AND(Table1[[#This Row],[Cplex MZ1 Cost]]=Table1[[#This Row],[ORTools FZN2 Cost]],Table1[[#This Row],[ORTools FZN2 State]]="Optimal",Table1[[#This Row],[Cplex MZ1 State]]="Suboptimal"),1,"")</f>
        <v/>
      </c>
      <c r="DA275" s="5" t="s">
        <v>26</v>
      </c>
      <c r="DB275" s="2">
        <v>1457192</v>
      </c>
      <c r="DC275" s="2">
        <v>300.01850000000002</v>
      </c>
      <c r="DD275" s="2" t="str">
        <f>IF(AND(Table1[[#This Row],[Cplex MZ2 Cost]]=Table1[[#This Row],[ORTools FZN2 Cost]],Table1[[#This Row],[ORTools FZN2 State]]="Optimal",Table1[[#This Row],[Cplex MZ2 State]]="Suboptimal"),1,"")</f>
        <v/>
      </c>
      <c r="DE275" s="39" t="s">
        <v>42</v>
      </c>
      <c r="DF275" s="39"/>
      <c r="DG275" s="2">
        <v>300.00779999999997</v>
      </c>
      <c r="DH275" s="2" t="str">
        <f>IF(AND(Table1[[#This Row],[Gurobi MZ1 Cost]]=Table1[[#This Row],[ORTools FZN2 Cost]],Table1[[#This Row],[ORTools FZN2 State]]="Optimal",Table1[[#This Row],[Gurobi MZ1 State]]="Suboptimal"),1,"")</f>
        <v/>
      </c>
      <c r="DI275" s="5" t="s">
        <v>42</v>
      </c>
      <c r="DJ275" s="2"/>
      <c r="DK275" s="2">
        <v>300.00319999999999</v>
      </c>
      <c r="DL275" s="4" t="str">
        <f>IF(AND(Table1[[#This Row],[Gurobi MZ2 Cost]]=Table1[[#This Row],[ORTools FZN2 Cost]],Table1[[#This Row],[ORTools FZN2 State]]="Optimal",Table1[[#This Row],[Gurobi MZ2 State]]="Suboptimal"),1,"")</f>
        <v/>
      </c>
      <c r="DM275" s="39" t="s">
        <v>26</v>
      </c>
      <c r="DN275" s="12">
        <v>557959</v>
      </c>
      <c r="DO275" s="69">
        <v>300.078999999997</v>
      </c>
      <c r="DP275" s="11">
        <f>IF(AND(Table1[[#This Row],[Cplex MC nonDual Cost]]=Table1[[#This Row],[ORTools FZN2 Cost]],Table1[[#This Row],[ORTools FZN2 State]]="Optimal",Table1[[#This Row],[Cplex MC nonDual State]]="Suboptimal"),1,"")</f>
        <v>1</v>
      </c>
      <c r="DQ275" s="5" t="s">
        <v>26</v>
      </c>
      <c r="DR275" s="2">
        <v>1012377</v>
      </c>
      <c r="DS275" s="2">
        <v>300.00940000000003</v>
      </c>
      <c r="DT275" s="2" t="str">
        <f>IF(AND(Table1[[#This Row],[Cplex MIP DM''z Cost]]=Table1[[#This Row],[ORTools FZN2 Cost]],Table1[[#This Row],[ORTools FZN2 State]]="Optimal",Table1[[#This Row],[Cplex MIP DM''z  State]]="Suboptimal"),1,"")</f>
        <v/>
      </c>
      <c r="DU275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5" s="5" t="s">
        <v>42</v>
      </c>
      <c r="DW275" s="2"/>
      <c r="DX275" s="2">
        <v>300.09210000000002</v>
      </c>
      <c r="DY275" s="4" t="str">
        <f>IF(AND(Table1[[#This Row],[Gurobi DM''z  Cost]]=Table1[[#This Row],[ORTools FZN2 Cost]],Table1[[#This Row],[ORTools FZN2 State]]="Optimal",Table1[[#This Row],[Gurobi DM''z  State]]="Suboptimal"),1,"")</f>
        <v/>
      </c>
      <c r="DZ275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6" spans="1:130" ht="15.75" x14ac:dyDescent="0.25">
      <c r="A276" s="46" t="s">
        <v>302</v>
      </c>
      <c r="B276" s="5">
        <v>24</v>
      </c>
      <c r="C276" s="2">
        <v>12</v>
      </c>
      <c r="D276" s="5">
        <v>53</v>
      </c>
      <c r="E276" s="2">
        <v>13</v>
      </c>
      <c r="F276" s="5">
        <v>3</v>
      </c>
      <c r="G276" s="2">
        <v>0</v>
      </c>
      <c r="H276" s="4">
        <f t="shared" si="4"/>
        <v>0</v>
      </c>
      <c r="I276" s="4">
        <f>Table1[[#This Row],[B]]+Table1[[#This Row],[Atomic Constraints]]+Table1[[#This Row],[Soft Atomic Constraints]]+Table1[[#This Row],[Disjunctive Constraints]]+Table1[[#This Row],[Direct Successors]]</f>
        <v>81</v>
      </c>
      <c r="J276" s="5" t="s">
        <v>25</v>
      </c>
      <c r="K276" s="2">
        <v>2</v>
      </c>
      <c r="L276" s="2">
        <v>1.157619</v>
      </c>
      <c r="M276" s="2" t="str">
        <f>IF(AND(Table1[[#This Row],[Chuffed MZ1 Cost]]=Table1[[#This Row],[ORTools FZN2 Cost]],Table1[[#This Row],[ORTools FZN2 State]]="Optimal",Table1[[#This Row],[Chuffed MZ1 State]]="Suboptimal"),1,"")</f>
        <v/>
      </c>
      <c r="N276" s="5" t="s">
        <v>25</v>
      </c>
      <c r="O276" s="2">
        <v>2</v>
      </c>
      <c r="P276" s="2">
        <v>1.1444166</v>
      </c>
      <c r="Q276" s="2" t="str">
        <f>IF(AND(Table1[[#This Row],[Chuffed MZ2 Cost]]=Table1[[#This Row],[ORTools FZN2 Cost]],Table1[[#This Row],[ORTools FZN2 State]]="Optimal",Table1[[#This Row],[Chuffed MZ2 State]]="Suboptimal"),1,"")</f>
        <v/>
      </c>
      <c r="R276" s="6" t="s">
        <v>25</v>
      </c>
      <c r="S276" s="4">
        <v>2</v>
      </c>
      <c r="T276" s="4">
        <v>0.23900000000139701</v>
      </c>
      <c r="U276" s="4"/>
      <c r="V276" s="5" t="s">
        <v>25</v>
      </c>
      <c r="W276" s="2">
        <v>2</v>
      </c>
      <c r="X276" s="2">
        <v>1.1880796</v>
      </c>
      <c r="Y276" s="2" t="str">
        <f>IF(AND(Table1[[#This Row],[ORTools FZN1 Cost]]=Table1[[#This Row],[ORTools FZN2 Cost]],Table1[[#This Row],[ORTools FZN2 State]]="Optimal",Table1[[#This Row],[ORTools FZN1 State]]="Suboptimal"),1,"")</f>
        <v/>
      </c>
      <c r="Z276" s="5" t="s">
        <v>25</v>
      </c>
      <c r="AA276" s="2">
        <v>2</v>
      </c>
      <c r="AB276" s="2">
        <v>1.0209305</v>
      </c>
      <c r="AC276" s="39" t="s">
        <v>25</v>
      </c>
      <c r="AD276" s="39">
        <v>2</v>
      </c>
      <c r="AE276" s="2">
        <v>3.4397283999999999</v>
      </c>
      <c r="AF276" s="2" t="str">
        <f>IF(AND(Table1[[#This Row],[Cplex MB Cost]]=Table1[[#This Row],[ORTools FZN2 Cost]],Table1[[#This Row],[ORTools FZN2 State]]="Optimal",Table1[[#This Row],[Cplex MB State]]="Suboptimal"),1,"")</f>
        <v/>
      </c>
      <c r="AG276" s="4">
        <f>IF(AND(AC276="Optimal",AD276&lt;&gt;AA276,Table1[[#This Row],[Example]]&lt;&gt;"R001",Table1[[#This Row],[Example]]&lt;&gt;"R002"),AD276-AA276,)</f>
        <v>0</v>
      </c>
      <c r="AH276" s="5" t="s">
        <v>25</v>
      </c>
      <c r="AI276" s="2">
        <v>2</v>
      </c>
      <c r="AJ276" s="2">
        <v>6.5692024</v>
      </c>
      <c r="AK276" s="2" t="str">
        <f>IF(AND(Table1[[#This Row],[Cplex MD Cost]]=Table1[[#This Row],[ORTools FZN2 Cost]],Table1[[#This Row],[ORTools FZN2 State]]="Optimal",Table1[[#This Row],[Cplex MD State]]="Suboptimal"),1,"")</f>
        <v/>
      </c>
      <c r="AL276" s="4">
        <f>IF(AND(AH276="Optimal",AI276&lt;&gt;AA276,Table1[[#This Row],[Example]]&lt;&gt;"R001",Table1[[#This Row],[Example]]&lt;&gt;"R002"),AI276-AA276,)</f>
        <v>0</v>
      </c>
      <c r="AM276" s="39" t="s">
        <v>25</v>
      </c>
      <c r="AN276" s="39">
        <v>2</v>
      </c>
      <c r="AO276" s="2">
        <v>1.4912453999999999</v>
      </c>
      <c r="AP276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6" s="4" t="str">
        <f>IF(AND(Table1[[#This Row],[Cplex MI Cost]]=Table1[[#This Row],[ORTools FZN2 Cost]],Table1[[#This Row],[ORTools FZN2 State]]="Optimal",Table1[[#This Row],[Cplex MI State]]="Suboptimal"),1,"")</f>
        <v/>
      </c>
      <c r="AR276" s="12" t="s">
        <v>26</v>
      </c>
      <c r="AS276" s="12">
        <v>2</v>
      </c>
      <c r="AT276" s="12">
        <v>50.190711999999998</v>
      </c>
      <c r="AU276" s="12">
        <f>IF(AND(Table1[[#This Row],[Z3 SMT2-1 Maxres Cost]]=Table1[[#This Row],[ORTools FZN2 Cost]],Table1[[#This Row],[ORTools FZN2 State]]="Optimal"),1,"")</f>
        <v>1</v>
      </c>
      <c r="AV276" s="12" t="s">
        <v>26</v>
      </c>
      <c r="AW276" s="12">
        <v>2</v>
      </c>
      <c r="AX276" s="12">
        <v>49.5171955</v>
      </c>
      <c r="AY276" s="12">
        <f>IF(AND(Table1[[#This Row],[Z3 SMT2-1 PdMaxres Cost]]=Table1[[#This Row],[ORTools FZN2 Cost]],Table1[[#This Row],[ORTools FZN2 State]]="Optimal"),1,"")</f>
        <v>1</v>
      </c>
      <c r="AZ276" s="12" t="s">
        <v>26</v>
      </c>
      <c r="BA276" s="12">
        <v>2</v>
      </c>
      <c r="BB276" s="12">
        <v>48.060673899999998</v>
      </c>
      <c r="BC276" s="12">
        <f>IF(AND(Table1[[#This Row],[Z3 SMT2-1 WMax Cost]]=Table1[[#This Row],[ORTools FZN2 Cost]],Table1[[#This Row],[ORTools FZN2 State]]="Optimal"),1,"")</f>
        <v>1</v>
      </c>
      <c r="BD276" s="12" t="s">
        <v>26</v>
      </c>
      <c r="BE276" s="12">
        <v>2</v>
      </c>
      <c r="BF276" s="12">
        <v>42.777228999999998</v>
      </c>
      <c r="BG276" s="12">
        <f>IF(AND(Table1[[#This Row],[Z3 SMT2-2 Maxres Cost]]=Table1[[#This Row],[ORTools FZN2 Cost]],Table1[[#This Row],[ORTools FZN2 State]]="Optimal"),1,"")</f>
        <v>1</v>
      </c>
      <c r="BH276" s="12" t="s">
        <v>26</v>
      </c>
      <c r="BI276" s="12">
        <v>2</v>
      </c>
      <c r="BJ276" s="12">
        <v>42.944203999999999</v>
      </c>
      <c r="BK276" s="12">
        <f>IF(AND(Table1[[#This Row],[Z3 SMT2-2 PdMaxres Cost]]=Table1[[#This Row],[ORTools FZN2 Cost]],Table1[[#This Row],[ORTools FZN2 State]]="Optimal"),1,"")</f>
        <v>1</v>
      </c>
      <c r="BL276" s="12" t="s">
        <v>26</v>
      </c>
      <c r="BM276" s="12">
        <v>2</v>
      </c>
      <c r="BN276" s="12">
        <v>42.791437199999997</v>
      </c>
      <c r="BO276" s="11">
        <f>IF(AND(Table1[[#This Row],[Z3 SMT2-2 PdMaxres Cost]]=Table1[[#This Row],[ORTools FZN2 Cost]],Table1[[#This Row],[ORTools FZN2 State]]="Optimal"),1,"")</f>
        <v>1</v>
      </c>
      <c r="BP276" s="5" t="s">
        <v>25</v>
      </c>
      <c r="BQ276" s="2">
        <v>2</v>
      </c>
      <c r="BR276" s="2">
        <v>2.3959565</v>
      </c>
      <c r="BS276" s="2" t="str">
        <f>IF(AND(Table1[[#This Row],[Gurobi MB Cost]]=Table1[[#This Row],[ORTools FZN2 Cost]],Table1[[#This Row],[ORTools FZN2 State]]="Optimal",Table1[[#This Row],[Gurobi MB State]]="Suboptimal"),1,"")</f>
        <v/>
      </c>
      <c r="BT276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6" s="5" t="s">
        <v>25</v>
      </c>
      <c r="BV276" s="2">
        <v>2</v>
      </c>
      <c r="BW276" s="2">
        <v>26.925459400000001</v>
      </c>
      <c r="BX276" s="2" t="str">
        <f>IF(AND(Table1[[#This Row],[Gurobi MD Cost]]=Table1[[#This Row],[ORTools FZN2 Cost]],Table1[[#This Row],[ORTools FZN2 State]]="Optimal",Table1[[#This Row],[Gurobi MD State]]="Suboptimal"),1,"")</f>
        <v/>
      </c>
      <c r="BY276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6" s="5" t="s">
        <v>25</v>
      </c>
      <c r="CA276" s="2">
        <v>2</v>
      </c>
      <c r="CB276" s="2">
        <v>1.2822861999999999</v>
      </c>
      <c r="CC276" s="2" t="str">
        <f>IF(AND(Table1[[#This Row],[Gurobi MI Cost]]=Table1[[#This Row],[ORTools FZN2 Cost]],Table1[[#This Row],[ORTools FZN2 State]]="Optimal",Table1[[#This Row],[Gurobi MI State]]="Suboptimal"),1,"")</f>
        <v/>
      </c>
      <c r="CD276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6" s="39" t="s">
        <v>42</v>
      </c>
      <c r="CF276" s="2">
        <v>-14425</v>
      </c>
      <c r="CG276" s="39">
        <v>306.0142093</v>
      </c>
      <c r="CH276" s="39" t="s">
        <v>42</v>
      </c>
      <c r="CI276" s="39">
        <v>-14425</v>
      </c>
      <c r="CJ276" s="2">
        <v>306.19581870000002</v>
      </c>
      <c r="CK276" s="5" t="s">
        <v>25</v>
      </c>
      <c r="CL276" s="2">
        <v>2</v>
      </c>
      <c r="CM276" s="2">
        <v>0.48199999999633297</v>
      </c>
      <c r="CN276" s="5" t="s">
        <v>25</v>
      </c>
      <c r="CO276" s="2">
        <v>2</v>
      </c>
      <c r="CP276" s="2">
        <v>7.3781677999999999</v>
      </c>
      <c r="CQ276" s="5" t="s">
        <v>25</v>
      </c>
      <c r="CR276" s="2">
        <v>2</v>
      </c>
      <c r="CS276" s="2">
        <v>2.4563733000000001</v>
      </c>
      <c r="CT276" s="6" t="s">
        <v>25</v>
      </c>
      <c r="CU276" s="4">
        <v>2</v>
      </c>
      <c r="CV276" s="4">
        <v>2.1736702000000001</v>
      </c>
      <c r="CW276" s="39" t="s">
        <v>25</v>
      </c>
      <c r="CX276" s="39">
        <v>2</v>
      </c>
      <c r="CY276" s="2">
        <v>18.033200000000001</v>
      </c>
      <c r="CZ276" s="2" t="str">
        <f>IF(AND(Table1[[#This Row],[Cplex MZ1 Cost]]=Table1[[#This Row],[ORTools FZN2 Cost]],Table1[[#This Row],[ORTools FZN2 State]]="Optimal",Table1[[#This Row],[Cplex MZ1 State]]="Suboptimal"),1,"")</f>
        <v/>
      </c>
      <c r="DA276" s="5" t="s">
        <v>25</v>
      </c>
      <c r="DB276" s="2">
        <v>2</v>
      </c>
      <c r="DC276" s="2">
        <v>7.0038999999999998</v>
      </c>
      <c r="DD276" s="2" t="str">
        <f>IF(AND(Table1[[#This Row],[Cplex MZ2 Cost]]=Table1[[#This Row],[ORTools FZN2 Cost]],Table1[[#This Row],[ORTools FZN2 State]]="Optimal",Table1[[#This Row],[Cplex MZ2 State]]="Suboptimal"),1,"")</f>
        <v/>
      </c>
      <c r="DE276" s="39" t="s">
        <v>25</v>
      </c>
      <c r="DF276" s="39">
        <v>2</v>
      </c>
      <c r="DG276" s="2">
        <v>27.258900000000001</v>
      </c>
      <c r="DH276" s="2" t="str">
        <f>IF(AND(Table1[[#This Row],[Gurobi MZ1 Cost]]=Table1[[#This Row],[ORTools FZN2 Cost]],Table1[[#This Row],[ORTools FZN2 State]]="Optimal",Table1[[#This Row],[Gurobi MZ1 State]]="Suboptimal"),1,"")</f>
        <v/>
      </c>
      <c r="DI276" s="5" t="s">
        <v>25</v>
      </c>
      <c r="DJ276" s="2">
        <v>2</v>
      </c>
      <c r="DK276" s="2">
        <v>11.7842</v>
      </c>
      <c r="DL276" s="4" t="str">
        <f>IF(AND(Table1[[#This Row],[Gurobi MZ2 Cost]]=Table1[[#This Row],[ORTools FZN2 Cost]],Table1[[#This Row],[ORTools FZN2 State]]="Optimal",Table1[[#This Row],[Gurobi MZ2 State]]="Suboptimal"),1,"")</f>
        <v/>
      </c>
      <c r="DM276" s="39" t="s">
        <v>25</v>
      </c>
      <c r="DN276" s="39">
        <v>2</v>
      </c>
      <c r="DO276" s="65">
        <v>0.72100000000500497</v>
      </c>
      <c r="DP276" s="4" t="str">
        <f>IF(AND(Table1[[#This Row],[Cplex MC nonDual Cost]]=Table1[[#This Row],[ORTools FZN2 Cost]],Table1[[#This Row],[ORTools FZN2 State]]="Optimal",Table1[[#This Row],[Cplex MC nonDual State]]="Suboptimal"),1,"")</f>
        <v/>
      </c>
      <c r="DQ276" s="5" t="s">
        <v>25</v>
      </c>
      <c r="DR276" s="2">
        <v>2</v>
      </c>
      <c r="DS276" s="2">
        <v>15.4521</v>
      </c>
      <c r="DT276" s="2" t="str">
        <f>IF(AND(Table1[[#This Row],[Cplex MIP DM''z Cost]]=Table1[[#This Row],[ORTools FZN2 Cost]],Table1[[#This Row],[ORTools FZN2 State]]="Optimal",Table1[[#This Row],[Cplex MIP DM''z  State]]="Suboptimal"),1,"")</f>
        <v/>
      </c>
      <c r="DU276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6" s="5" t="s">
        <v>25</v>
      </c>
      <c r="DW276" s="2">
        <v>2</v>
      </c>
      <c r="DX276" s="2">
        <v>44.4636</v>
      </c>
      <c r="DY276" s="4" t="str">
        <f>IF(AND(Table1[[#This Row],[Gurobi DM''z  Cost]]=Table1[[#This Row],[ORTools FZN2 Cost]],Table1[[#This Row],[ORTools FZN2 State]]="Optimal",Table1[[#This Row],[Gurobi DM''z  State]]="Suboptimal"),1,"")</f>
        <v/>
      </c>
      <c r="DZ276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7" spans="1:130" ht="15.75" x14ac:dyDescent="0.25">
      <c r="A277" s="47" t="s">
        <v>303</v>
      </c>
      <c r="B277" s="5">
        <v>24</v>
      </c>
      <c r="C277" s="2">
        <v>12</v>
      </c>
      <c r="D277" s="5">
        <v>67</v>
      </c>
      <c r="E277" s="2">
        <v>13</v>
      </c>
      <c r="F277" s="5">
        <v>4</v>
      </c>
      <c r="G277" s="2">
        <v>0</v>
      </c>
      <c r="H277" s="4">
        <f t="shared" si="4"/>
        <v>0</v>
      </c>
      <c r="I277" s="4">
        <f>Table1[[#This Row],[B]]+Table1[[#This Row],[Atomic Constraints]]+Table1[[#This Row],[Soft Atomic Constraints]]+Table1[[#This Row],[Disjunctive Constraints]]+Table1[[#This Row],[Direct Successors]]</f>
        <v>96</v>
      </c>
      <c r="J277" s="5" t="s">
        <v>25</v>
      </c>
      <c r="K277" s="2">
        <v>1</v>
      </c>
      <c r="L277" s="2">
        <v>1.0844115999999999</v>
      </c>
      <c r="M277" s="2" t="str">
        <f>IF(AND(Table1[[#This Row],[Chuffed MZ1 Cost]]=Table1[[#This Row],[ORTools FZN2 Cost]],Table1[[#This Row],[ORTools FZN2 State]]="Optimal",Table1[[#This Row],[Chuffed MZ1 State]]="Suboptimal"),1,"")</f>
        <v/>
      </c>
      <c r="N277" s="5" t="s">
        <v>25</v>
      </c>
      <c r="O277" s="2">
        <v>1</v>
      </c>
      <c r="P277" s="2">
        <v>0.99835580000000002</v>
      </c>
      <c r="Q277" s="2" t="str">
        <f>IF(AND(Table1[[#This Row],[Chuffed MZ2 Cost]]=Table1[[#This Row],[ORTools FZN2 Cost]],Table1[[#This Row],[ORTools FZN2 State]]="Optimal",Table1[[#This Row],[Chuffed MZ2 State]]="Suboptimal"),1,"")</f>
        <v/>
      </c>
      <c r="R277" s="5" t="s">
        <v>25</v>
      </c>
      <c r="S277" s="2">
        <v>1</v>
      </c>
      <c r="T277" s="2">
        <v>0.16799999999784601</v>
      </c>
      <c r="U277" s="2"/>
      <c r="V277" s="5" t="s">
        <v>25</v>
      </c>
      <c r="W277" s="2">
        <v>1</v>
      </c>
      <c r="X277" s="2">
        <v>1.0151208</v>
      </c>
      <c r="Y277" s="2" t="str">
        <f>IF(AND(Table1[[#This Row],[ORTools FZN1 Cost]]=Table1[[#This Row],[ORTools FZN2 Cost]],Table1[[#This Row],[ORTools FZN2 State]]="Optimal",Table1[[#This Row],[ORTools FZN1 State]]="Suboptimal"),1,"")</f>
        <v/>
      </c>
      <c r="Z277" s="5" t="s">
        <v>25</v>
      </c>
      <c r="AA277" s="2">
        <v>1</v>
      </c>
      <c r="AB277" s="2">
        <v>0.92634019999999995</v>
      </c>
      <c r="AC277" s="39" t="s">
        <v>25</v>
      </c>
      <c r="AD277" s="39">
        <v>1</v>
      </c>
      <c r="AE277" s="2">
        <v>5.0816265999999999</v>
      </c>
      <c r="AF277" s="2" t="str">
        <f>IF(AND(Table1[[#This Row],[Cplex MB Cost]]=Table1[[#This Row],[ORTools FZN2 Cost]],Table1[[#This Row],[ORTools FZN2 State]]="Optimal",Table1[[#This Row],[Cplex MB State]]="Suboptimal"),1,"")</f>
        <v/>
      </c>
      <c r="AG277" s="4">
        <f>IF(AND(AC277="Optimal",AD277&lt;&gt;AA277,Table1[[#This Row],[Example]]&lt;&gt;"R001",Table1[[#This Row],[Example]]&lt;&gt;"R002"),AD277-AA277,)</f>
        <v>0</v>
      </c>
      <c r="AH277" s="5" t="s">
        <v>25</v>
      </c>
      <c r="AI277" s="2">
        <v>1</v>
      </c>
      <c r="AJ277" s="2">
        <v>51.464174700000001</v>
      </c>
      <c r="AK277" s="2" t="str">
        <f>IF(AND(Table1[[#This Row],[Cplex MD Cost]]=Table1[[#This Row],[ORTools FZN2 Cost]],Table1[[#This Row],[ORTools FZN2 State]]="Optimal",Table1[[#This Row],[Cplex MD State]]="Suboptimal"),1,"")</f>
        <v/>
      </c>
      <c r="AL277" s="4">
        <f>IF(AND(AH277="Optimal",AI277&lt;&gt;AA277,Table1[[#This Row],[Example]]&lt;&gt;"R001",Table1[[#This Row],[Example]]&lt;&gt;"R002"),AI277-AA277,)</f>
        <v>0</v>
      </c>
      <c r="AM277" s="39" t="s">
        <v>25</v>
      </c>
      <c r="AN277" s="39">
        <v>1</v>
      </c>
      <c r="AO277" s="2">
        <v>1.1338237</v>
      </c>
      <c r="AP277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7" s="2" t="str">
        <f>IF(AND(Table1[[#This Row],[Cplex MI Cost]]=Table1[[#This Row],[ORTools FZN2 Cost]],Table1[[#This Row],[ORTools FZN2 State]]="Optimal",Table1[[#This Row],[Cplex MI State]]="Suboptimal"),1,"")</f>
        <v/>
      </c>
      <c r="AR277" s="12" t="s">
        <v>26</v>
      </c>
      <c r="AS277" s="12">
        <v>1</v>
      </c>
      <c r="AT277" s="12">
        <v>49.455571599999999</v>
      </c>
      <c r="AU277" s="12">
        <f>IF(AND(Table1[[#This Row],[Z3 SMT2-1 Maxres Cost]]=Table1[[#This Row],[ORTools FZN2 Cost]],Table1[[#This Row],[ORTools FZN2 State]]="Optimal"),1,"")</f>
        <v>1</v>
      </c>
      <c r="AV277" s="12" t="s">
        <v>26</v>
      </c>
      <c r="AW277" s="12">
        <v>1</v>
      </c>
      <c r="AX277" s="12">
        <v>48.427301700000001</v>
      </c>
      <c r="AY277" s="12">
        <f>IF(AND(Table1[[#This Row],[Z3 SMT2-1 PdMaxres Cost]]=Table1[[#This Row],[ORTools FZN2 Cost]],Table1[[#This Row],[ORTools FZN2 State]]="Optimal"),1,"")</f>
        <v>1</v>
      </c>
      <c r="AZ277" s="12" t="s">
        <v>26</v>
      </c>
      <c r="BA277" s="12">
        <v>1</v>
      </c>
      <c r="BB277" s="12">
        <v>47.924265800000001</v>
      </c>
      <c r="BC277" s="12">
        <f>IF(AND(Table1[[#This Row],[Z3 SMT2-1 WMax Cost]]=Table1[[#This Row],[ORTools FZN2 Cost]],Table1[[#This Row],[ORTools FZN2 State]]="Optimal"),1,"")</f>
        <v>1</v>
      </c>
      <c r="BD277" s="12" t="s">
        <v>26</v>
      </c>
      <c r="BE277" s="12">
        <v>1</v>
      </c>
      <c r="BF277" s="12">
        <v>38.017185499999997</v>
      </c>
      <c r="BG277" s="12">
        <f>IF(AND(Table1[[#This Row],[Z3 SMT2-2 Maxres Cost]]=Table1[[#This Row],[ORTools FZN2 Cost]],Table1[[#This Row],[ORTools FZN2 State]]="Optimal"),1,"")</f>
        <v>1</v>
      </c>
      <c r="BH277" s="12" t="s">
        <v>26</v>
      </c>
      <c r="BI277" s="12">
        <v>1</v>
      </c>
      <c r="BJ277" s="12">
        <v>38.283348799999999</v>
      </c>
      <c r="BK277" s="12">
        <f>IF(AND(Table1[[#This Row],[Z3 SMT2-2 PdMaxres Cost]]=Table1[[#This Row],[ORTools FZN2 Cost]],Table1[[#This Row],[ORTools FZN2 State]]="Optimal"),1,"")</f>
        <v>1</v>
      </c>
      <c r="BL277" s="12" t="s">
        <v>26</v>
      </c>
      <c r="BM277" s="12">
        <v>1</v>
      </c>
      <c r="BN277" s="12">
        <v>37.9780503</v>
      </c>
      <c r="BO277" s="11">
        <f>IF(AND(Table1[[#This Row],[Z3 SMT2-2 PdMaxres Cost]]=Table1[[#This Row],[ORTools FZN2 Cost]],Table1[[#This Row],[ORTools FZN2 State]]="Optimal"),1,"")</f>
        <v>1</v>
      </c>
      <c r="BP277" s="5" t="s">
        <v>25</v>
      </c>
      <c r="BQ277" s="2">
        <v>1</v>
      </c>
      <c r="BR277" s="2">
        <v>1.1671640000000001</v>
      </c>
      <c r="BS277" s="2" t="str">
        <f>IF(AND(Table1[[#This Row],[Gurobi MB Cost]]=Table1[[#This Row],[ORTools FZN2 Cost]],Table1[[#This Row],[ORTools FZN2 State]]="Optimal",Table1[[#This Row],[Gurobi MB State]]="Suboptimal"),1,"")</f>
        <v/>
      </c>
      <c r="BT277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7" s="5" t="s">
        <v>25</v>
      </c>
      <c r="BV277" s="2">
        <v>1</v>
      </c>
      <c r="BW277" s="2">
        <v>26.4611904</v>
      </c>
      <c r="BX277" s="2" t="str">
        <f>IF(AND(Table1[[#This Row],[Gurobi MD Cost]]=Table1[[#This Row],[ORTools FZN2 Cost]],Table1[[#This Row],[ORTools FZN2 State]]="Optimal",Table1[[#This Row],[Gurobi MD State]]="Suboptimal"),1,"")</f>
        <v/>
      </c>
      <c r="BY277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7" s="5" t="s">
        <v>25</v>
      </c>
      <c r="CA277" s="2">
        <v>1</v>
      </c>
      <c r="CB277" s="2">
        <v>1.2133134999999999</v>
      </c>
      <c r="CC277" s="2" t="str">
        <f>IF(AND(Table1[[#This Row],[Gurobi MI Cost]]=Table1[[#This Row],[ORTools FZN2 Cost]],Table1[[#This Row],[ORTools FZN2 State]]="Optimal",Table1[[#This Row],[Gurobi MI State]]="Suboptimal"),1,"")</f>
        <v/>
      </c>
      <c r="CD277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7" s="39" t="s">
        <v>42</v>
      </c>
      <c r="CF277" s="2">
        <v>-14425</v>
      </c>
      <c r="CG277" s="39">
        <v>305.99700890000003</v>
      </c>
      <c r="CH277" s="39" t="s">
        <v>42</v>
      </c>
      <c r="CI277" s="39">
        <v>-14425</v>
      </c>
      <c r="CJ277" s="2">
        <v>306.00169979999998</v>
      </c>
      <c r="CK277" s="5" t="s">
        <v>25</v>
      </c>
      <c r="CL277" s="2">
        <v>1</v>
      </c>
      <c r="CM277" s="2">
        <v>0.23599999999714799</v>
      </c>
      <c r="CN277" s="5" t="s">
        <v>25</v>
      </c>
      <c r="CO277" s="2">
        <v>1</v>
      </c>
      <c r="CP277" s="2">
        <v>3.7209395000000001</v>
      </c>
      <c r="CQ277" s="5" t="s">
        <v>25</v>
      </c>
      <c r="CR277" s="2">
        <v>1</v>
      </c>
      <c r="CS277" s="2">
        <v>2.7474851</v>
      </c>
      <c r="CT277" s="6" t="s">
        <v>25</v>
      </c>
      <c r="CU277" s="4">
        <v>1</v>
      </c>
      <c r="CV277" s="4">
        <v>2.1660819</v>
      </c>
      <c r="CW277" s="39" t="s">
        <v>25</v>
      </c>
      <c r="CX277" s="39">
        <v>1</v>
      </c>
      <c r="CY277" s="2">
        <v>4.2122999999999999</v>
      </c>
      <c r="CZ277" s="2" t="str">
        <f>IF(AND(Table1[[#This Row],[Cplex MZ1 Cost]]=Table1[[#This Row],[ORTools FZN2 Cost]],Table1[[#This Row],[ORTools FZN2 State]]="Optimal",Table1[[#This Row],[Cplex MZ1 State]]="Suboptimal"),1,"")</f>
        <v/>
      </c>
      <c r="DA277" s="5" t="s">
        <v>25</v>
      </c>
      <c r="DB277" s="2">
        <v>1</v>
      </c>
      <c r="DC277" s="2">
        <v>7.7938000000000001</v>
      </c>
      <c r="DD277" s="2" t="str">
        <f>IF(AND(Table1[[#This Row],[Cplex MZ2 Cost]]=Table1[[#This Row],[ORTools FZN2 Cost]],Table1[[#This Row],[ORTools FZN2 State]]="Optimal",Table1[[#This Row],[Cplex MZ2 State]]="Suboptimal"),1,"")</f>
        <v/>
      </c>
      <c r="DE277" s="39" t="s">
        <v>25</v>
      </c>
      <c r="DF277" s="39">
        <v>1</v>
      </c>
      <c r="DG277" s="2">
        <v>5.7901999999999996</v>
      </c>
      <c r="DH277" s="2" t="str">
        <f>IF(AND(Table1[[#This Row],[Gurobi MZ1 Cost]]=Table1[[#This Row],[ORTools FZN2 Cost]],Table1[[#This Row],[ORTools FZN2 State]]="Optimal",Table1[[#This Row],[Gurobi MZ1 State]]="Suboptimal"),1,"")</f>
        <v/>
      </c>
      <c r="DI277" s="5" t="s">
        <v>25</v>
      </c>
      <c r="DJ277" s="2">
        <v>1</v>
      </c>
      <c r="DK277" s="2">
        <v>56.346499999999999</v>
      </c>
      <c r="DL277" s="4" t="str">
        <f>IF(AND(Table1[[#This Row],[Gurobi MZ2 Cost]]=Table1[[#This Row],[ORTools FZN2 Cost]],Table1[[#This Row],[ORTools FZN2 State]]="Optimal",Table1[[#This Row],[Gurobi MZ2 State]]="Suboptimal"),1,"")</f>
        <v/>
      </c>
      <c r="DM277" s="39" t="s">
        <v>25</v>
      </c>
      <c r="DN277" s="39">
        <v>1</v>
      </c>
      <c r="DO277" s="65">
        <v>0.58599999999569197</v>
      </c>
      <c r="DP277" s="4" t="str">
        <f>IF(AND(Table1[[#This Row],[Cplex MC nonDual Cost]]=Table1[[#This Row],[ORTools FZN2 Cost]],Table1[[#This Row],[ORTools FZN2 State]]="Optimal",Table1[[#This Row],[Cplex MC nonDual State]]="Suboptimal"),1,"")</f>
        <v/>
      </c>
      <c r="DQ277" s="5" t="s">
        <v>25</v>
      </c>
      <c r="DR277" s="2">
        <v>1</v>
      </c>
      <c r="DS277" s="2">
        <v>6.8993000000000002</v>
      </c>
      <c r="DT277" s="2" t="str">
        <f>IF(AND(Table1[[#This Row],[Cplex MIP DM''z Cost]]=Table1[[#This Row],[ORTools FZN2 Cost]],Table1[[#This Row],[ORTools FZN2 State]]="Optimal",Table1[[#This Row],[Cplex MIP DM''z  State]]="Suboptimal"),1,"")</f>
        <v/>
      </c>
      <c r="DU277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7" s="5" t="s">
        <v>25</v>
      </c>
      <c r="DW277" s="2">
        <v>1</v>
      </c>
      <c r="DX277" s="2">
        <v>57.248100000000001</v>
      </c>
      <c r="DY277" s="4" t="str">
        <f>IF(AND(Table1[[#This Row],[Gurobi DM''z  Cost]]=Table1[[#This Row],[ORTools FZN2 Cost]],Table1[[#This Row],[ORTools FZN2 State]]="Optimal",Table1[[#This Row],[Gurobi DM''z  State]]="Suboptimal"),1,"")</f>
        <v/>
      </c>
      <c r="DZ277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8" spans="1:130" ht="15.75" x14ac:dyDescent="0.25">
      <c r="A278" s="46" t="s">
        <v>304</v>
      </c>
      <c r="B278" s="5">
        <v>6</v>
      </c>
      <c r="C278" s="2">
        <v>3</v>
      </c>
      <c r="D278" s="5">
        <v>3</v>
      </c>
      <c r="E278" s="2">
        <v>2</v>
      </c>
      <c r="F278" s="5">
        <v>1</v>
      </c>
      <c r="G278" s="2">
        <v>0</v>
      </c>
      <c r="H278" s="4">
        <f t="shared" si="4"/>
        <v>0</v>
      </c>
      <c r="I278" s="4">
        <f>Table1[[#This Row],[B]]+Table1[[#This Row],[Atomic Constraints]]+Table1[[#This Row],[Soft Atomic Constraints]]+Table1[[#This Row],[Disjunctive Constraints]]+Table1[[#This Row],[Direct Successors]]</f>
        <v>9</v>
      </c>
      <c r="J278" s="5" t="s">
        <v>25</v>
      </c>
      <c r="K278" s="2">
        <v>1</v>
      </c>
      <c r="L278" s="2">
        <v>0.58224359999999997</v>
      </c>
      <c r="M278" s="2" t="str">
        <f>IF(AND(Table1[[#This Row],[Chuffed MZ1 Cost]]=Table1[[#This Row],[ORTools FZN2 Cost]],Table1[[#This Row],[ORTools FZN2 State]]="Optimal",Table1[[#This Row],[Chuffed MZ1 State]]="Suboptimal"),1,"")</f>
        <v/>
      </c>
      <c r="N278" s="5" t="s">
        <v>25</v>
      </c>
      <c r="O278" s="2">
        <v>1</v>
      </c>
      <c r="P278" s="2">
        <v>0.56133089999999997</v>
      </c>
      <c r="Q278" s="2" t="str">
        <f>IF(AND(Table1[[#This Row],[Chuffed MZ2 Cost]]=Table1[[#This Row],[ORTools FZN2 Cost]],Table1[[#This Row],[ORTools FZN2 State]]="Optimal",Table1[[#This Row],[Chuffed MZ2 State]]="Suboptimal"),1,"")</f>
        <v/>
      </c>
      <c r="R278" s="6" t="s">
        <v>25</v>
      </c>
      <c r="S278" s="4">
        <v>1</v>
      </c>
      <c r="T278" s="4">
        <v>3.7999999993189697E-2</v>
      </c>
      <c r="U278" s="4"/>
      <c r="V278" s="5" t="s">
        <v>25</v>
      </c>
      <c r="W278" s="2">
        <v>1</v>
      </c>
      <c r="X278" s="2">
        <v>8.0087099999999994E-2</v>
      </c>
      <c r="Y278" s="2" t="str">
        <f>IF(AND(Table1[[#This Row],[ORTools FZN1 Cost]]=Table1[[#This Row],[ORTools FZN2 Cost]],Table1[[#This Row],[ORTools FZN2 State]]="Optimal",Table1[[#This Row],[ORTools FZN1 State]]="Suboptimal"),1,"")</f>
        <v/>
      </c>
      <c r="Z278" s="5" t="s">
        <v>25</v>
      </c>
      <c r="AA278" s="2">
        <v>1</v>
      </c>
      <c r="AB278" s="2">
        <v>7.9493300000000003E-2</v>
      </c>
      <c r="AC278" s="39" t="s">
        <v>25</v>
      </c>
      <c r="AD278" s="39">
        <v>1</v>
      </c>
      <c r="AE278" s="2">
        <v>5.5893100000000001E-2</v>
      </c>
      <c r="AF278" s="2" t="str">
        <f>IF(AND(Table1[[#This Row],[Cplex MB Cost]]=Table1[[#This Row],[ORTools FZN2 Cost]],Table1[[#This Row],[ORTools FZN2 State]]="Optimal",Table1[[#This Row],[Cplex MB State]]="Suboptimal"),1,"")</f>
        <v/>
      </c>
      <c r="AG278" s="4">
        <f>IF(AND(AC278="Optimal",AD278&lt;&gt;AA278,Table1[[#This Row],[Example]]&lt;&gt;"R001",Table1[[#This Row],[Example]]&lt;&gt;"R002"),AD278-AA278,)</f>
        <v>0</v>
      </c>
      <c r="AH278" s="5" t="s">
        <v>25</v>
      </c>
      <c r="AI278" s="2">
        <v>1</v>
      </c>
      <c r="AJ278" s="2">
        <v>0.15137610000000001</v>
      </c>
      <c r="AK278" s="2" t="str">
        <f>IF(AND(Table1[[#This Row],[Cplex MD Cost]]=Table1[[#This Row],[ORTools FZN2 Cost]],Table1[[#This Row],[ORTools FZN2 State]]="Optimal",Table1[[#This Row],[Cplex MD State]]="Suboptimal"),1,"")</f>
        <v/>
      </c>
      <c r="AL278" s="4">
        <f>IF(AND(AH278="Optimal",AI278&lt;&gt;AA278,Table1[[#This Row],[Example]]&lt;&gt;"R001",Table1[[#This Row],[Example]]&lt;&gt;"R002"),AI278-AA278,)</f>
        <v>0</v>
      </c>
      <c r="AM278" s="39" t="s">
        <v>25</v>
      </c>
      <c r="AN278" s="39">
        <v>1</v>
      </c>
      <c r="AO278" s="2">
        <v>6.3519800000000001E-2</v>
      </c>
      <c r="AP278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8" s="4" t="str">
        <f>IF(AND(Table1[[#This Row],[Cplex MI Cost]]=Table1[[#This Row],[ORTools FZN2 Cost]],Table1[[#This Row],[ORTools FZN2 State]]="Optimal",Table1[[#This Row],[Cplex MI State]]="Suboptimal"),1,"")</f>
        <v/>
      </c>
      <c r="AR278" s="12" t="s">
        <v>26</v>
      </c>
      <c r="AS278" s="12">
        <v>1</v>
      </c>
      <c r="AT278" s="12">
        <v>0.1364766</v>
      </c>
      <c r="AU278" s="12">
        <f>IF(AND(Table1[[#This Row],[Z3 SMT2-1 Maxres Cost]]=Table1[[#This Row],[ORTools FZN2 Cost]],Table1[[#This Row],[ORTools FZN2 State]]="Optimal"),1,"")</f>
        <v>1</v>
      </c>
      <c r="AV278" s="12" t="s">
        <v>26</v>
      </c>
      <c r="AW278" s="12">
        <v>1</v>
      </c>
      <c r="AX278" s="12">
        <v>0.1280018</v>
      </c>
      <c r="AY278" s="12">
        <f>IF(AND(Table1[[#This Row],[Z3 SMT2-1 PdMaxres Cost]]=Table1[[#This Row],[ORTools FZN2 Cost]],Table1[[#This Row],[ORTools FZN2 State]]="Optimal"),1,"")</f>
        <v>1</v>
      </c>
      <c r="AZ278" s="12" t="s">
        <v>26</v>
      </c>
      <c r="BA278" s="12">
        <v>1</v>
      </c>
      <c r="BB278" s="12">
        <v>0.12808639999999999</v>
      </c>
      <c r="BC278" s="12">
        <f>IF(AND(Table1[[#This Row],[Z3 SMT2-1 WMax Cost]]=Table1[[#This Row],[ORTools FZN2 Cost]],Table1[[#This Row],[ORTools FZN2 State]]="Optimal"),1,"")</f>
        <v>1</v>
      </c>
      <c r="BD278" s="12" t="s">
        <v>26</v>
      </c>
      <c r="BE278" s="12">
        <v>1</v>
      </c>
      <c r="BF278" s="12">
        <v>0.14240410000000001</v>
      </c>
      <c r="BG278" s="12">
        <f>IF(AND(Table1[[#This Row],[Z3 SMT2-2 Maxres Cost]]=Table1[[#This Row],[ORTools FZN2 Cost]],Table1[[#This Row],[ORTools FZN2 State]]="Optimal"),1,"")</f>
        <v>1</v>
      </c>
      <c r="BH278" s="12" t="s">
        <v>26</v>
      </c>
      <c r="BI278" s="12">
        <v>1</v>
      </c>
      <c r="BJ278" s="12">
        <v>0.1268261</v>
      </c>
      <c r="BK278" s="12">
        <f>IF(AND(Table1[[#This Row],[Z3 SMT2-2 PdMaxres Cost]]=Table1[[#This Row],[ORTools FZN2 Cost]],Table1[[#This Row],[ORTools FZN2 State]]="Optimal"),1,"")</f>
        <v>1</v>
      </c>
      <c r="BL278" s="12" t="s">
        <v>26</v>
      </c>
      <c r="BM278" s="12">
        <v>1</v>
      </c>
      <c r="BN278" s="12">
        <v>0.16462660000000001</v>
      </c>
      <c r="BO278" s="11">
        <f>IF(AND(Table1[[#This Row],[Z3 SMT2-2 PdMaxres Cost]]=Table1[[#This Row],[ORTools FZN2 Cost]],Table1[[#This Row],[ORTools FZN2 State]]="Optimal"),1,"")</f>
        <v>1</v>
      </c>
      <c r="BP278" s="5" t="s">
        <v>25</v>
      </c>
      <c r="BQ278" s="2">
        <v>1</v>
      </c>
      <c r="BR278" s="2">
        <v>4.24287E-2</v>
      </c>
      <c r="BS278" s="2" t="str">
        <f>IF(AND(Table1[[#This Row],[Gurobi MB Cost]]=Table1[[#This Row],[ORTools FZN2 Cost]],Table1[[#This Row],[ORTools FZN2 State]]="Optimal",Table1[[#This Row],[Gurobi MB State]]="Suboptimal"),1,"")</f>
        <v/>
      </c>
      <c r="BT278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8" s="5" t="s">
        <v>25</v>
      </c>
      <c r="BV278" s="2">
        <v>1</v>
      </c>
      <c r="BW278" s="2">
        <v>3.6646600000000001E-2</v>
      </c>
      <c r="BX278" s="2" t="str">
        <f>IF(AND(Table1[[#This Row],[Gurobi MD Cost]]=Table1[[#This Row],[ORTools FZN2 Cost]],Table1[[#This Row],[ORTools FZN2 State]]="Optimal",Table1[[#This Row],[Gurobi MD State]]="Suboptimal"),1,"")</f>
        <v/>
      </c>
      <c r="BY278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8" s="5" t="s">
        <v>25</v>
      </c>
      <c r="CA278" s="2">
        <v>1</v>
      </c>
      <c r="CB278" s="2">
        <v>4.7466700000000001E-2</v>
      </c>
      <c r="CC278" s="2" t="str">
        <f>IF(AND(Table1[[#This Row],[Gurobi MI Cost]]=Table1[[#This Row],[ORTools FZN2 Cost]],Table1[[#This Row],[ORTools FZN2 State]]="Optimal",Table1[[#This Row],[Gurobi MI State]]="Suboptimal"),1,"")</f>
        <v/>
      </c>
      <c r="CD278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8" s="39" t="s">
        <v>25</v>
      </c>
      <c r="CF278" s="2">
        <v>1</v>
      </c>
      <c r="CG278" s="39">
        <v>5.0804653000000002</v>
      </c>
      <c r="CH278" s="39" t="s">
        <v>25</v>
      </c>
      <c r="CI278" s="39">
        <v>1</v>
      </c>
      <c r="CJ278" s="2">
        <v>5.0862020000000001</v>
      </c>
      <c r="CK278" s="5" t="s">
        <v>25</v>
      </c>
      <c r="CL278" s="2">
        <v>1</v>
      </c>
      <c r="CM278" s="2">
        <v>4.50000000055297E-2</v>
      </c>
      <c r="CN278" s="5" t="s">
        <v>25</v>
      </c>
      <c r="CO278" s="2">
        <v>1</v>
      </c>
      <c r="CP278" s="2">
        <v>0.57089380000000001</v>
      </c>
      <c r="CQ278" s="5" t="s">
        <v>25</v>
      </c>
      <c r="CR278" s="2">
        <v>1</v>
      </c>
      <c r="CS278" s="2">
        <v>0.10459549999999999</v>
      </c>
      <c r="CT278" s="6" t="s">
        <v>25</v>
      </c>
      <c r="CU278" s="4">
        <v>1</v>
      </c>
      <c r="CV278" s="4">
        <v>0.13911280000000001</v>
      </c>
      <c r="CW278" s="39" t="s">
        <v>25</v>
      </c>
      <c r="CX278" s="39">
        <v>1</v>
      </c>
      <c r="CY278" s="2">
        <v>4.8500000000000001E-2</v>
      </c>
      <c r="CZ278" s="2" t="str">
        <f>IF(AND(Table1[[#This Row],[Cplex MZ1 Cost]]=Table1[[#This Row],[ORTools FZN2 Cost]],Table1[[#This Row],[ORTools FZN2 State]]="Optimal",Table1[[#This Row],[Cplex MZ1 State]]="Suboptimal"),1,"")</f>
        <v/>
      </c>
      <c r="DA278" s="5" t="s">
        <v>25</v>
      </c>
      <c r="DB278" s="2">
        <v>1</v>
      </c>
      <c r="DC278" s="2">
        <v>3.5299999999999998E-2</v>
      </c>
      <c r="DD278" s="2" t="str">
        <f>IF(AND(Table1[[#This Row],[Cplex MZ2 Cost]]=Table1[[#This Row],[ORTools FZN2 Cost]],Table1[[#This Row],[ORTools FZN2 State]]="Optimal",Table1[[#This Row],[Cplex MZ2 State]]="Suboptimal"),1,"")</f>
        <v/>
      </c>
      <c r="DE278" s="39" t="s">
        <v>25</v>
      </c>
      <c r="DF278" s="39">
        <v>1</v>
      </c>
      <c r="DG278" s="2">
        <v>1.9300000000000001E-2</v>
      </c>
      <c r="DH278" s="2" t="str">
        <f>IF(AND(Table1[[#This Row],[Gurobi MZ1 Cost]]=Table1[[#This Row],[ORTools FZN2 Cost]],Table1[[#This Row],[ORTools FZN2 State]]="Optimal",Table1[[#This Row],[Gurobi MZ1 State]]="Suboptimal"),1,"")</f>
        <v/>
      </c>
      <c r="DI278" s="5" t="s">
        <v>25</v>
      </c>
      <c r="DJ278" s="2">
        <v>1</v>
      </c>
      <c r="DK278" s="2">
        <v>3.0599999999999999E-2</v>
      </c>
      <c r="DL278" s="4" t="str">
        <f>IF(AND(Table1[[#This Row],[Gurobi MZ2 Cost]]=Table1[[#This Row],[ORTools FZN2 Cost]],Table1[[#This Row],[ORTools FZN2 State]]="Optimal",Table1[[#This Row],[Gurobi MZ2 State]]="Suboptimal"),1,"")</f>
        <v/>
      </c>
      <c r="DM278" s="39" t="s">
        <v>25</v>
      </c>
      <c r="DN278" s="39">
        <v>1</v>
      </c>
      <c r="DO278" s="65">
        <v>3.7000000003899899E-2</v>
      </c>
      <c r="DP278" s="4" t="str">
        <f>IF(AND(Table1[[#This Row],[Cplex MC nonDual Cost]]=Table1[[#This Row],[ORTools FZN2 Cost]],Table1[[#This Row],[ORTools FZN2 State]]="Optimal",Table1[[#This Row],[Cplex MC nonDual State]]="Suboptimal"),1,"")</f>
        <v/>
      </c>
      <c r="DQ278" s="5" t="s">
        <v>25</v>
      </c>
      <c r="DR278" s="2">
        <v>1</v>
      </c>
      <c r="DS278" s="2">
        <v>2.6100000000000002E-2</v>
      </c>
      <c r="DT278" s="2" t="str">
        <f>IF(AND(Table1[[#This Row],[Cplex MIP DM''z Cost]]=Table1[[#This Row],[ORTools FZN2 Cost]],Table1[[#This Row],[ORTools FZN2 State]]="Optimal",Table1[[#This Row],[Cplex MIP DM''z  State]]="Suboptimal"),1,"")</f>
        <v/>
      </c>
      <c r="DU278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8" s="5" t="s">
        <v>25</v>
      </c>
      <c r="DW278" s="2">
        <v>1</v>
      </c>
      <c r="DX278" s="2">
        <v>3.44E-2</v>
      </c>
      <c r="DY278" s="4" t="str">
        <f>IF(AND(Table1[[#This Row],[Gurobi DM''z  Cost]]=Table1[[#This Row],[ORTools FZN2 Cost]],Table1[[#This Row],[ORTools FZN2 State]]="Optimal",Table1[[#This Row],[Gurobi DM''z  State]]="Suboptimal"),1,"")</f>
        <v/>
      </c>
      <c r="DZ278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79" spans="1:130" ht="15.75" x14ac:dyDescent="0.25">
      <c r="A279" s="47" t="s">
        <v>305</v>
      </c>
      <c r="B279" s="5">
        <v>46</v>
      </c>
      <c r="C279" s="2">
        <v>23</v>
      </c>
      <c r="D279" s="5">
        <v>231</v>
      </c>
      <c r="E279" s="2">
        <v>27</v>
      </c>
      <c r="F279" s="5">
        <v>16</v>
      </c>
      <c r="G279" s="2">
        <v>0</v>
      </c>
      <c r="H279" s="4">
        <f t="shared" si="4"/>
        <v>0</v>
      </c>
      <c r="I279" s="4">
        <f>Table1[[#This Row],[B]]+Table1[[#This Row],[Atomic Constraints]]+Table1[[#This Row],[Soft Atomic Constraints]]+Table1[[#This Row],[Disjunctive Constraints]]+Table1[[#This Row],[Direct Successors]]</f>
        <v>297</v>
      </c>
      <c r="J279" s="5" t="s">
        <v>26</v>
      </c>
      <c r="K279" s="2">
        <v>1190676</v>
      </c>
      <c r="L279" s="2">
        <v>301.76011069999998</v>
      </c>
      <c r="M279" s="2" t="str">
        <f>IF(AND(Table1[[#This Row],[Chuffed MZ1 Cost]]=Table1[[#This Row],[ORTools FZN2 Cost]],Table1[[#This Row],[ORTools FZN2 State]]="Optimal",Table1[[#This Row],[Chuffed MZ1 State]]="Suboptimal"),1,"")</f>
        <v/>
      </c>
      <c r="N279" s="5" t="s">
        <v>26</v>
      </c>
      <c r="O279" s="2">
        <v>986892</v>
      </c>
      <c r="P279" s="2">
        <v>301.76150940000002</v>
      </c>
      <c r="Q279" s="2" t="str">
        <f>IF(AND(Table1[[#This Row],[Chuffed MZ2 Cost]]=Table1[[#This Row],[ORTools FZN2 Cost]],Table1[[#This Row],[ORTools FZN2 State]]="Optimal",Table1[[#This Row],[Chuffed MZ2 State]]="Suboptimal"),1,"")</f>
        <v/>
      </c>
      <c r="R279" s="11" t="s">
        <v>26</v>
      </c>
      <c r="S279" s="11">
        <v>196890</v>
      </c>
      <c r="T279" s="11">
        <v>300.10300000000302</v>
      </c>
      <c r="U279" s="11">
        <v>1</v>
      </c>
      <c r="V279" s="5" t="s">
        <v>25</v>
      </c>
      <c r="W279" s="2">
        <v>196890</v>
      </c>
      <c r="X279" s="2">
        <v>22.485409499999999</v>
      </c>
      <c r="Y279" s="2" t="str">
        <f>IF(AND(Table1[[#This Row],[ORTools FZN1 Cost]]=Table1[[#This Row],[ORTools FZN2 Cost]],Table1[[#This Row],[ORTools FZN2 State]]="Optimal",Table1[[#This Row],[ORTools FZN1 State]]="Suboptimal"),1,"")</f>
        <v/>
      </c>
      <c r="Z279" s="5" t="s">
        <v>25</v>
      </c>
      <c r="AA279" s="2">
        <v>196890</v>
      </c>
      <c r="AB279" s="2">
        <v>17.241035499999999</v>
      </c>
      <c r="AC279" s="12" t="s">
        <v>26</v>
      </c>
      <c r="AD279" s="12">
        <v>196890</v>
      </c>
      <c r="AE279" s="12">
        <v>300.13844230000001</v>
      </c>
      <c r="AF279" s="2">
        <f>IF(AND(Table1[[#This Row],[Cplex MB Cost]]=Table1[[#This Row],[ORTools FZN2 Cost]],Table1[[#This Row],[ORTools FZN2 State]]="Optimal",Table1[[#This Row],[Cplex MB State]]="Suboptimal"),1,"")</f>
        <v>1</v>
      </c>
      <c r="AG279" s="4">
        <f>IF(AND(AC279="Optimal",AD279&lt;&gt;AA279,Table1[[#This Row],[Example]]&lt;&gt;"R001",Table1[[#This Row],[Example]]&lt;&gt;"R002"),AD279-AA279,)</f>
        <v>0</v>
      </c>
      <c r="AH279" s="5" t="s">
        <v>42</v>
      </c>
      <c r="AI279" s="2">
        <v>-99499</v>
      </c>
      <c r="AJ279" s="2">
        <v>300.12368040000001</v>
      </c>
      <c r="AK279" s="2" t="str">
        <f>IF(AND(Table1[[#This Row],[Cplex MD Cost]]=Table1[[#This Row],[ORTools FZN2 Cost]],Table1[[#This Row],[ORTools FZN2 State]]="Optimal",Table1[[#This Row],[Cplex MD State]]="Suboptimal"),1,"")</f>
        <v/>
      </c>
      <c r="AL279" s="4">
        <f>IF(AND(AH279="Optimal",AI279&lt;&gt;AA279,Table1[[#This Row],[Example]]&lt;&gt;"R001",Table1[[#This Row],[Example]]&lt;&gt;"R002"),AI279-AA279,)</f>
        <v>0</v>
      </c>
      <c r="AM279" s="39" t="s">
        <v>26</v>
      </c>
      <c r="AN279" s="39">
        <v>685820</v>
      </c>
      <c r="AO279" s="2">
        <v>300.08100089999999</v>
      </c>
      <c r="AP279" s="2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79" s="2" t="str">
        <f>IF(AND(Table1[[#This Row],[Cplex MI Cost]]=Table1[[#This Row],[ORTools FZN2 Cost]],Table1[[#This Row],[ORTools FZN2 State]]="Optimal",Table1[[#This Row],[Cplex MI State]]="Suboptimal"),1,"")</f>
        <v/>
      </c>
      <c r="AR279" s="5" t="s">
        <v>42</v>
      </c>
      <c r="AS279" s="2">
        <v>-99499</v>
      </c>
      <c r="AT279" s="2">
        <v>300.04238429999998</v>
      </c>
      <c r="AU279" s="2" t="str">
        <f>IF(AND(Table1[[#This Row],[Z3 SMT2-1 Maxres Cost]]=Table1[[#This Row],[ORTools FZN2 Cost]],Table1[[#This Row],[ORTools FZN2 State]]="Optimal"),1,"")</f>
        <v/>
      </c>
      <c r="AV279" s="39" t="s">
        <v>42</v>
      </c>
      <c r="AW279" s="39">
        <v>-99499</v>
      </c>
      <c r="AX279" s="2">
        <v>300.05183449999998</v>
      </c>
      <c r="AY279" s="2" t="str">
        <f>IF(AND(Table1[[#This Row],[Z3 SMT2-1 PdMaxres Cost]]=Table1[[#This Row],[ORTools FZN2 Cost]],Table1[[#This Row],[ORTools FZN2 State]]="Optimal"),1,"")</f>
        <v/>
      </c>
      <c r="AZ279" s="5" t="s">
        <v>42</v>
      </c>
      <c r="BA279" s="2">
        <v>-99499</v>
      </c>
      <c r="BB279" s="39">
        <v>300.03875240000002</v>
      </c>
      <c r="BC279" s="39" t="str">
        <f>IF(AND(Table1[[#This Row],[Z3 SMT2-1 WMax Cost]]=Table1[[#This Row],[ORTools FZN2 Cost]],Table1[[#This Row],[ORTools FZN2 State]]="Optimal"),1,"")</f>
        <v/>
      </c>
      <c r="BD279" s="39" t="s">
        <v>42</v>
      </c>
      <c r="BE279" s="39">
        <v>-99499</v>
      </c>
      <c r="BF279" s="2">
        <v>300.0503473</v>
      </c>
      <c r="BG279" s="2" t="str">
        <f>IF(AND(Table1[[#This Row],[Z3 SMT2-2 Maxres Cost]]=Table1[[#This Row],[ORTools FZN2 Cost]],Table1[[#This Row],[ORTools FZN2 State]]="Optimal"),1,"")</f>
        <v/>
      </c>
      <c r="BH279" s="5" t="s">
        <v>42</v>
      </c>
      <c r="BI279" s="2">
        <v>-99499</v>
      </c>
      <c r="BJ279" s="39">
        <v>300.05224850000002</v>
      </c>
      <c r="BK279" s="39" t="str">
        <f>IF(AND(Table1[[#This Row],[Z3 SMT2-2 PdMaxres Cost]]=Table1[[#This Row],[ORTools FZN2 Cost]],Table1[[#This Row],[ORTools FZN2 State]]="Optimal"),1,"")</f>
        <v/>
      </c>
      <c r="BL279" s="39" t="s">
        <v>42</v>
      </c>
      <c r="BM279" s="39">
        <v>-99499</v>
      </c>
      <c r="BN279" s="2">
        <v>300.04297659999997</v>
      </c>
      <c r="BO279" s="4" t="str">
        <f>IF(AND(Table1[[#This Row],[Z3 SMT2-2 PdMaxres Cost]]=Table1[[#This Row],[ORTools FZN2 Cost]],Table1[[#This Row],[ORTools FZN2 State]]="Optimal"),1,"")</f>
        <v/>
      </c>
      <c r="BP279" s="5" t="s">
        <v>26</v>
      </c>
      <c r="BQ279" s="2">
        <v>1484197</v>
      </c>
      <c r="BR279" s="2">
        <v>300.07309199999997</v>
      </c>
      <c r="BS279" s="2" t="str">
        <f>IF(AND(Table1[[#This Row],[Gurobi MB Cost]]=Table1[[#This Row],[ORTools FZN2 Cost]],Table1[[#This Row],[ORTools FZN2 State]]="Optimal",Table1[[#This Row],[Gurobi MB State]]="Suboptimal"),1,"")</f>
        <v/>
      </c>
      <c r="BT279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79" s="5" t="s">
        <v>26</v>
      </c>
      <c r="BV279" s="2">
        <v>1276557</v>
      </c>
      <c r="BW279" s="2">
        <v>300.15434740000001</v>
      </c>
      <c r="BX279" s="2" t="str">
        <f>IF(AND(Table1[[#This Row],[Gurobi MD Cost]]=Table1[[#This Row],[ORTools FZN2 Cost]],Table1[[#This Row],[ORTools FZN2 State]]="Optimal",Table1[[#This Row],[Gurobi MD State]]="Suboptimal"),1,"")</f>
        <v/>
      </c>
      <c r="BY279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79" s="5" t="s">
        <v>26</v>
      </c>
      <c r="CA279" s="2">
        <v>1472290</v>
      </c>
      <c r="CB279" s="2">
        <v>300.08538879999998</v>
      </c>
      <c r="CC279" s="2" t="str">
        <f>IF(AND(Table1[[#This Row],[Gurobi MI Cost]]=Table1[[#This Row],[ORTools FZN2 Cost]],Table1[[#This Row],[ORTools FZN2 State]]="Optimal",Table1[[#This Row],[Gurobi MI State]]="Suboptimal"),1,"")</f>
        <v/>
      </c>
      <c r="CD279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79" s="39" t="s">
        <v>42</v>
      </c>
      <c r="CF279" s="2">
        <v>-99499</v>
      </c>
      <c r="CG279" s="39">
        <v>306.06925610000002</v>
      </c>
      <c r="CH279" s="39" t="s">
        <v>42</v>
      </c>
      <c r="CI279" s="39">
        <v>-99499</v>
      </c>
      <c r="CJ279" s="2">
        <v>306.37814559999998</v>
      </c>
      <c r="CK279" s="5" t="s">
        <v>26</v>
      </c>
      <c r="CL279" s="2">
        <v>196890</v>
      </c>
      <c r="CM279" s="2">
        <v>300.102000000006</v>
      </c>
      <c r="CN279" s="5" t="s">
        <v>26</v>
      </c>
      <c r="CO279" s="2">
        <v>1670547</v>
      </c>
      <c r="CP279" s="2">
        <v>301.76551069999999</v>
      </c>
      <c r="CQ279" s="5" t="s">
        <v>25</v>
      </c>
      <c r="CR279" s="2">
        <v>196890</v>
      </c>
      <c r="CS279" s="2">
        <v>29.743300000000001</v>
      </c>
      <c r="CT279" s="6" t="s">
        <v>25</v>
      </c>
      <c r="CU279" s="4">
        <v>196890</v>
      </c>
      <c r="CV279" s="4">
        <v>20.6068523</v>
      </c>
      <c r="CW279" s="39" t="s">
        <v>26</v>
      </c>
      <c r="CX279" s="39">
        <v>978111</v>
      </c>
      <c r="CY279" s="2">
        <v>300.02030000000002</v>
      </c>
      <c r="CZ279" s="2" t="str">
        <f>IF(AND(Table1[[#This Row],[Cplex MZ1 Cost]]=Table1[[#This Row],[ORTools FZN2 Cost]],Table1[[#This Row],[ORTools FZN2 State]]="Optimal",Table1[[#This Row],[Cplex MZ1 State]]="Suboptimal"),1,"")</f>
        <v/>
      </c>
      <c r="DA279" s="5" t="s">
        <v>26</v>
      </c>
      <c r="DB279" s="2">
        <v>491285</v>
      </c>
      <c r="DC279" s="2">
        <v>300.01350000000002</v>
      </c>
      <c r="DD279" s="2" t="str">
        <f>IF(AND(Table1[[#This Row],[Cplex MZ2 Cost]]=Table1[[#This Row],[ORTools FZN2 Cost]],Table1[[#This Row],[ORTools FZN2 State]]="Optimal",Table1[[#This Row],[Cplex MZ2 State]]="Suboptimal"),1,"")</f>
        <v/>
      </c>
      <c r="DE279" s="39" t="s">
        <v>26</v>
      </c>
      <c r="DF279" s="39">
        <v>1176919</v>
      </c>
      <c r="DG279" s="2">
        <v>300.0068</v>
      </c>
      <c r="DH279" s="2" t="str">
        <f>IF(AND(Table1[[#This Row],[Gurobi MZ1 Cost]]=Table1[[#This Row],[ORTools FZN2 Cost]],Table1[[#This Row],[ORTools FZN2 State]]="Optimal",Table1[[#This Row],[Gurobi MZ1 State]]="Suboptimal"),1,"")</f>
        <v/>
      </c>
      <c r="DI279" s="5" t="s">
        <v>26</v>
      </c>
      <c r="DJ279" s="2">
        <v>785785</v>
      </c>
      <c r="DK279" s="2">
        <v>300.00630000000001</v>
      </c>
      <c r="DL279" s="4" t="str">
        <f>IF(AND(Table1[[#This Row],[Gurobi MZ2 Cost]]=Table1[[#This Row],[ORTools FZN2 Cost]],Table1[[#This Row],[ORTools FZN2 State]]="Optimal",Table1[[#This Row],[Gurobi MZ2 State]]="Suboptimal"),1,"")</f>
        <v/>
      </c>
      <c r="DM279" s="39" t="s">
        <v>26</v>
      </c>
      <c r="DN279" s="12">
        <v>196890</v>
      </c>
      <c r="DO279" s="69">
        <v>300.03399999999903</v>
      </c>
      <c r="DP279" s="11">
        <f>IF(AND(Table1[[#This Row],[Cplex MC nonDual Cost]]=Table1[[#This Row],[ORTools FZN2 Cost]],Table1[[#This Row],[ORTools FZN2 State]]="Optimal",Table1[[#This Row],[Cplex MC nonDual State]]="Suboptimal"),1,"")</f>
        <v>1</v>
      </c>
      <c r="DQ279" s="5" t="s">
        <v>26</v>
      </c>
      <c r="DR279" s="2">
        <v>489265</v>
      </c>
      <c r="DS279" s="2">
        <v>300.01569999999998</v>
      </c>
      <c r="DT279" s="2" t="str">
        <f>IF(AND(Table1[[#This Row],[Cplex MIP DM''z Cost]]=Table1[[#This Row],[ORTools FZN2 Cost]],Table1[[#This Row],[ORTools FZN2 State]]="Optimal",Table1[[#This Row],[Cplex MIP DM''z  State]]="Suboptimal"),1,"")</f>
        <v/>
      </c>
      <c r="DU279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79" s="5" t="s">
        <v>26</v>
      </c>
      <c r="DW279" s="2">
        <v>1763514</v>
      </c>
      <c r="DX279" s="2">
        <v>300.00450000000001</v>
      </c>
      <c r="DY279" s="4" t="str">
        <f>IF(AND(Table1[[#This Row],[Gurobi DM''z  Cost]]=Table1[[#This Row],[ORTools FZN2 Cost]],Table1[[#This Row],[ORTools FZN2 State]]="Optimal",Table1[[#This Row],[Gurobi DM''z  State]]="Suboptimal"),1,"")</f>
        <v/>
      </c>
      <c r="DZ279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80" spans="1:130" ht="15.75" x14ac:dyDescent="0.25">
      <c r="A280" s="46" t="s">
        <v>306</v>
      </c>
      <c r="B280" s="5">
        <v>36</v>
      </c>
      <c r="C280" s="2">
        <v>18</v>
      </c>
      <c r="D280" s="5">
        <v>139</v>
      </c>
      <c r="E280" s="2">
        <v>24</v>
      </c>
      <c r="F280" s="5">
        <v>26</v>
      </c>
      <c r="G280" s="2">
        <v>0</v>
      </c>
      <c r="H280" s="4">
        <f t="shared" si="4"/>
        <v>0</v>
      </c>
      <c r="I280" s="4">
        <f>Table1[[#This Row],[B]]+Table1[[#This Row],[Atomic Constraints]]+Table1[[#This Row],[Soft Atomic Constraints]]+Table1[[#This Row],[Disjunctive Constraints]]+Table1[[#This Row],[Direct Successors]]</f>
        <v>207</v>
      </c>
      <c r="J280" s="5" t="s">
        <v>25</v>
      </c>
      <c r="K280" s="2">
        <v>5</v>
      </c>
      <c r="L280" s="2">
        <v>4.9125284999999996</v>
      </c>
      <c r="M280" s="2" t="str">
        <f>IF(AND(Table1[[#This Row],[Chuffed MZ1 Cost]]=Table1[[#This Row],[ORTools FZN2 Cost]],Table1[[#This Row],[ORTools FZN2 State]]="Optimal",Table1[[#This Row],[Chuffed MZ1 State]]="Suboptimal"),1,"")</f>
        <v/>
      </c>
      <c r="N280" s="5" t="s">
        <v>25</v>
      </c>
      <c r="O280" s="2">
        <v>5</v>
      </c>
      <c r="P280" s="2">
        <v>103.668975</v>
      </c>
      <c r="Q280" s="2" t="str">
        <f>IF(AND(Table1[[#This Row],[Chuffed MZ2 Cost]]=Table1[[#This Row],[ORTools FZN2 Cost]],Table1[[#This Row],[ORTools FZN2 State]]="Optimal",Table1[[#This Row],[Chuffed MZ2 State]]="Suboptimal"),1,"")</f>
        <v/>
      </c>
      <c r="R280" s="5" t="s">
        <v>25</v>
      </c>
      <c r="S280" s="2">
        <v>5</v>
      </c>
      <c r="T280" s="2">
        <v>1.39300000000367</v>
      </c>
      <c r="U280" s="2"/>
      <c r="V280" s="5" t="s">
        <v>25</v>
      </c>
      <c r="W280" s="2">
        <v>5</v>
      </c>
      <c r="X280" s="2">
        <v>3.5806072000000002</v>
      </c>
      <c r="Y280" s="2" t="str">
        <f>IF(AND(Table1[[#This Row],[ORTools FZN1 Cost]]=Table1[[#This Row],[ORTools FZN2 Cost]],Table1[[#This Row],[ORTools FZN2 State]]="Optimal",Table1[[#This Row],[ORTools FZN1 State]]="Suboptimal"),1,"")</f>
        <v/>
      </c>
      <c r="Z280" s="5" t="s">
        <v>25</v>
      </c>
      <c r="AA280" s="2">
        <v>5</v>
      </c>
      <c r="AB280" s="2">
        <v>3.3145595000000001</v>
      </c>
      <c r="AC280" s="39" t="s">
        <v>25</v>
      </c>
      <c r="AD280" s="39">
        <v>5</v>
      </c>
      <c r="AE280" s="2">
        <v>38.042220100000002</v>
      </c>
      <c r="AF280" s="2" t="str">
        <f>IF(AND(Table1[[#This Row],[Cplex MB Cost]]=Table1[[#This Row],[ORTools FZN2 Cost]],Table1[[#This Row],[ORTools FZN2 State]]="Optimal",Table1[[#This Row],[Cplex MB State]]="Suboptimal"),1,"")</f>
        <v/>
      </c>
      <c r="AG280" s="4">
        <f>IF(AND(AC280="Optimal",AD280&lt;&gt;AA280,Table1[[#This Row],[Example]]&lt;&gt;"R001",Table1[[#This Row],[Example]]&lt;&gt;"R002"),AD280-AA280,)</f>
        <v>0</v>
      </c>
      <c r="AH280" s="5" t="s">
        <v>26</v>
      </c>
      <c r="AI280" s="2">
        <v>237858</v>
      </c>
      <c r="AJ280" s="2">
        <v>300.29228360000002</v>
      </c>
      <c r="AK280" s="2" t="str">
        <f>IF(AND(Table1[[#This Row],[Cplex MD Cost]]=Table1[[#This Row],[ORTools FZN2 Cost]],Table1[[#This Row],[ORTools FZN2 State]]="Optimal",Table1[[#This Row],[Cplex MD State]]="Suboptimal"),1,"")</f>
        <v/>
      </c>
      <c r="AL280" s="2">
        <f>IF(AND(AH280="Optimal",AI280&lt;&gt;AA280,Table1[[#This Row],[Example]]&lt;&gt;"R001",Table1[[#This Row],[Example]]&lt;&gt;"R002"),AI280-AA280,)</f>
        <v>0</v>
      </c>
      <c r="AM280" s="39" t="s">
        <v>25</v>
      </c>
      <c r="AN280" s="39">
        <v>5</v>
      </c>
      <c r="AO280" s="2">
        <v>2.8356314</v>
      </c>
      <c r="AP280" s="4">
        <f>IF(AND(Table1[[#This Row],[Cplex MI State]]="Optimal",Table1[[#This Row],[Cplex MI Cost]]&lt;&gt;Table1[[#This Row],[ORTools FZN2 Cost]],Table1[[#This Row],[Example]]&lt;&gt;"R001",Table1[[#This Row],[Example]]&lt;&gt;"R002"),Table1[[#This Row],[Cplex MI Cost]]-Table1[[#This Row],[ORTools FZN2 Cost]],)</f>
        <v>0</v>
      </c>
      <c r="AQ280" s="4" t="str">
        <f>IF(AND(Table1[[#This Row],[Cplex MI Cost]]=Table1[[#This Row],[ORTools FZN2 Cost]],Table1[[#This Row],[ORTools FZN2 State]]="Optimal",Table1[[#This Row],[Cplex MI State]]="Suboptimal"),1,"")</f>
        <v/>
      </c>
      <c r="AR280" s="5" t="s">
        <v>42</v>
      </c>
      <c r="AS280" s="2">
        <v>-47989</v>
      </c>
      <c r="AT280" s="2">
        <v>300.0498973</v>
      </c>
      <c r="AU280" s="2" t="str">
        <f>IF(AND(Table1[[#This Row],[Z3 SMT2-1 Maxres Cost]]=Table1[[#This Row],[ORTools FZN2 Cost]],Table1[[#This Row],[ORTools FZN2 State]]="Optimal"),1,"")</f>
        <v/>
      </c>
      <c r="AV280" s="39" t="s">
        <v>42</v>
      </c>
      <c r="AW280" s="39">
        <v>-47989</v>
      </c>
      <c r="AX280" s="2">
        <v>300.0439834</v>
      </c>
      <c r="AY280" s="2" t="str">
        <f>IF(AND(Table1[[#This Row],[Z3 SMT2-1 PdMaxres Cost]]=Table1[[#This Row],[ORTools FZN2 Cost]],Table1[[#This Row],[ORTools FZN2 State]]="Optimal"),1,"")</f>
        <v/>
      </c>
      <c r="AZ280" s="5" t="s">
        <v>42</v>
      </c>
      <c r="BA280" s="2">
        <v>-47989</v>
      </c>
      <c r="BB280" s="39">
        <v>300.03294</v>
      </c>
      <c r="BC280" s="39" t="str">
        <f>IF(AND(Table1[[#This Row],[Z3 SMT2-1 WMax Cost]]=Table1[[#This Row],[ORTools FZN2 Cost]],Table1[[#This Row],[ORTools FZN2 State]]="Optimal"),1,"")</f>
        <v/>
      </c>
      <c r="BD280" s="39" t="s">
        <v>42</v>
      </c>
      <c r="BE280" s="39">
        <v>-47989</v>
      </c>
      <c r="BF280" s="2">
        <v>300.04446430000002</v>
      </c>
      <c r="BG280" s="2" t="str">
        <f>IF(AND(Table1[[#This Row],[Z3 SMT2-2 Maxres Cost]]=Table1[[#This Row],[ORTools FZN2 Cost]],Table1[[#This Row],[ORTools FZN2 State]]="Optimal"),1,"")</f>
        <v/>
      </c>
      <c r="BH280" s="5" t="s">
        <v>42</v>
      </c>
      <c r="BI280" s="2">
        <v>-47989</v>
      </c>
      <c r="BJ280" s="39">
        <v>300.04283980000002</v>
      </c>
      <c r="BK280" s="39" t="str">
        <f>IF(AND(Table1[[#This Row],[Z3 SMT2-2 PdMaxres Cost]]=Table1[[#This Row],[ORTools FZN2 Cost]],Table1[[#This Row],[ORTools FZN2 State]]="Optimal"),1,"")</f>
        <v/>
      </c>
      <c r="BL280" s="39" t="s">
        <v>42</v>
      </c>
      <c r="BM280" s="39">
        <v>-47989</v>
      </c>
      <c r="BN280" s="2">
        <v>300.0460956</v>
      </c>
      <c r="BO280" s="4" t="str">
        <f>IF(AND(Table1[[#This Row],[Z3 SMT2-2 PdMaxres Cost]]=Table1[[#This Row],[ORTools FZN2 Cost]],Table1[[#This Row],[ORTools FZN2 State]]="Optimal"),1,"")</f>
        <v/>
      </c>
      <c r="BP280" s="5" t="s">
        <v>25</v>
      </c>
      <c r="BQ280" s="2">
        <v>5</v>
      </c>
      <c r="BR280" s="2">
        <v>22.606641499999999</v>
      </c>
      <c r="BS280" s="2" t="str">
        <f>IF(AND(Table1[[#This Row],[Gurobi MB Cost]]=Table1[[#This Row],[ORTools FZN2 Cost]],Table1[[#This Row],[ORTools FZN2 State]]="Optimal",Table1[[#This Row],[Gurobi MB State]]="Suboptimal"),1,"")</f>
        <v/>
      </c>
      <c r="BT280" s="2">
        <f>IF(AND(Table1[[#This Row],[Gurobi MB State]]="Optimal",Table1[[#This Row],[Gurobi MB Cost]]&lt;&gt;Table1[[#This Row],[ORTools FZN2 Cost]],Table1[[#This Row],[Example]]&lt;&gt;"R001",Table1[[#This Row],[Example]]&lt;&gt;"R002"),Table1[[#This Row],[Gurobi MB Cost]]-Table1[[#This Row],[ORTools FZN2 Cost]],)</f>
        <v>0</v>
      </c>
      <c r="BU280" s="5" t="s">
        <v>26</v>
      </c>
      <c r="BV280" s="2">
        <v>7</v>
      </c>
      <c r="BW280" s="2">
        <v>298.24454409999998</v>
      </c>
      <c r="BX280" s="2" t="str">
        <f>IF(AND(Table1[[#This Row],[Gurobi MD Cost]]=Table1[[#This Row],[ORTools FZN2 Cost]],Table1[[#This Row],[ORTools FZN2 State]]="Optimal",Table1[[#This Row],[Gurobi MD State]]="Suboptimal"),1,"")</f>
        <v/>
      </c>
      <c r="BY280" s="2">
        <f>IF(AND(Table1[[#This Row],[Gurobi MD State]]="Optimal",Table1[[#This Row],[Gurobi MB Cost]]&lt;&gt;Table1[[#This Row],[ORTools FZN2 Cost]],Table1[[#This Row],[Example]]&lt;&gt;"R001",Table1[[#This Row],[Example]]&lt;&gt;"R002"),Table1[[#This Row],[Gurobi MD Cost]]-Table1[[#This Row],[ORTools FZN2 Cost]],)</f>
        <v>0</v>
      </c>
      <c r="BZ280" s="5" t="s">
        <v>25</v>
      </c>
      <c r="CA280" s="2">
        <v>5</v>
      </c>
      <c r="CB280" s="2">
        <v>33.5886961</v>
      </c>
      <c r="CC280" s="2" t="str">
        <f>IF(AND(Table1[[#This Row],[Gurobi MI Cost]]=Table1[[#This Row],[ORTools FZN2 Cost]],Table1[[#This Row],[ORTools FZN2 State]]="Optimal",Table1[[#This Row],[Gurobi MI State]]="Suboptimal"),1,"")</f>
        <v/>
      </c>
      <c r="CD280" s="2">
        <f>IF(AND(Table1[[#This Row],[Gurobi MI State]]="Optimal",Table1[[#This Row],[Gurobi MI Cost]]&lt;&gt;Table1[[#This Row],[ORTools FZN2 Cost]],Table1[[#This Row],[Example]]&lt;&gt;"R001",Table1[[#This Row],[Example]]&lt;&gt;"R002"),Table1[[#This Row],[Gurobi MI Cost]]-Table1[[#This Row],[ORTools FZN2 Cost]],)</f>
        <v>0</v>
      </c>
      <c r="CE280" s="39" t="s">
        <v>42</v>
      </c>
      <c r="CF280" s="2">
        <v>-47989</v>
      </c>
      <c r="CG280" s="39">
        <v>305.99952539999998</v>
      </c>
      <c r="CH280" s="39" t="s">
        <v>42</v>
      </c>
      <c r="CI280" s="39">
        <v>-47989</v>
      </c>
      <c r="CJ280" s="2">
        <v>306.04986489999999</v>
      </c>
      <c r="CK280" s="5" t="s">
        <v>25</v>
      </c>
      <c r="CL280" s="2">
        <v>5</v>
      </c>
      <c r="CM280" s="2">
        <v>1.5479999999952301</v>
      </c>
      <c r="CN280" s="5" t="s">
        <v>25</v>
      </c>
      <c r="CO280" s="2">
        <v>5</v>
      </c>
      <c r="CP280" s="2">
        <v>237.70622779999999</v>
      </c>
      <c r="CQ280" s="5" t="s">
        <v>25</v>
      </c>
      <c r="CR280" s="2">
        <v>5</v>
      </c>
      <c r="CS280" s="2">
        <v>8.7343048999999997</v>
      </c>
      <c r="CT280" s="6" t="s">
        <v>25</v>
      </c>
      <c r="CU280" s="4">
        <v>5</v>
      </c>
      <c r="CV280" s="4">
        <v>7.4748277999999999</v>
      </c>
      <c r="CW280" s="39" t="s">
        <v>25</v>
      </c>
      <c r="CX280" s="39">
        <v>5</v>
      </c>
      <c r="CY280" s="2">
        <v>242.3503</v>
      </c>
      <c r="CZ280" s="2" t="str">
        <f>IF(AND(Table1[[#This Row],[Cplex MZ1 Cost]]=Table1[[#This Row],[ORTools FZN2 Cost]],Table1[[#This Row],[ORTools FZN2 State]]="Optimal",Table1[[#This Row],[Cplex MZ1 State]]="Suboptimal"),1,"")</f>
        <v/>
      </c>
      <c r="DA280" s="5" t="s">
        <v>25</v>
      </c>
      <c r="DB280" s="2">
        <v>5</v>
      </c>
      <c r="DC280" s="2">
        <v>115.7054</v>
      </c>
      <c r="DD280" s="2" t="str">
        <f>IF(AND(Table1[[#This Row],[Cplex MZ2 Cost]]=Table1[[#This Row],[ORTools FZN2 Cost]],Table1[[#This Row],[ORTools FZN2 State]]="Optimal",Table1[[#This Row],[Cplex MZ2 State]]="Suboptimal"),1,"")</f>
        <v/>
      </c>
      <c r="DE280" s="39" t="s">
        <v>25</v>
      </c>
      <c r="DF280" s="39">
        <v>5</v>
      </c>
      <c r="DG280" s="2">
        <v>234.21559999999999</v>
      </c>
      <c r="DH280" s="2" t="str">
        <f>IF(AND(Table1[[#This Row],[Gurobi MZ1 Cost]]=Table1[[#This Row],[ORTools FZN2 Cost]],Table1[[#This Row],[ORTools FZN2 State]]="Optimal",Table1[[#This Row],[Gurobi MZ1 State]]="Suboptimal"),1,"")</f>
        <v/>
      </c>
      <c r="DI280" s="5" t="s">
        <v>25</v>
      </c>
      <c r="DJ280" s="2">
        <v>5</v>
      </c>
      <c r="DK280" s="2">
        <v>45.884700000000002</v>
      </c>
      <c r="DL280" s="4" t="str">
        <f>IF(AND(Table1[[#This Row],[Gurobi MZ2 Cost]]=Table1[[#This Row],[ORTools FZN2 Cost]],Table1[[#This Row],[ORTools FZN2 State]]="Optimal",Table1[[#This Row],[Gurobi MZ2 State]]="Suboptimal"),1,"")</f>
        <v/>
      </c>
      <c r="DM280" s="39" t="s">
        <v>25</v>
      </c>
      <c r="DN280" s="39">
        <v>5</v>
      </c>
      <c r="DO280" s="65">
        <v>1.50900000000547</v>
      </c>
      <c r="DP280" s="4" t="str">
        <f>IF(AND(Table1[[#This Row],[Cplex MC nonDual Cost]]=Table1[[#This Row],[ORTools FZN2 Cost]],Table1[[#This Row],[ORTools FZN2 State]]="Optimal",Table1[[#This Row],[Cplex MC nonDual State]]="Suboptimal"),1,"")</f>
        <v/>
      </c>
      <c r="DQ280" s="5" t="s">
        <v>25</v>
      </c>
      <c r="DR280" s="2">
        <v>5</v>
      </c>
      <c r="DS280" s="2">
        <v>99.967200000000005</v>
      </c>
      <c r="DT280" s="2" t="str">
        <f>IF(AND(Table1[[#This Row],[Cplex MIP DM''z Cost]]=Table1[[#This Row],[ORTools FZN2 Cost]],Table1[[#This Row],[ORTools FZN2 State]]="Optimal",Table1[[#This Row],[Cplex MIP DM''z  State]]="Suboptimal"),1,"")</f>
        <v/>
      </c>
      <c r="DU280" s="2">
        <f>IF(AND(Table1[[#This Row],[Cplex MIP DM''z  State]]="Optimal",Table1[[#This Row],[Cplex MIP DM''z Cost]]&lt;&gt;Table1[[#This Row],[ORTools FZN2 Cost]],Table1[[#This Row],[Example]]&lt;&gt;"R001",Table1[[#This Row],[Example]]&lt;&gt;"R002"),Table1[[#This Row],[Cplex MIP DM''z Cost]]-Table1[[#This Row],[ORTools FZN2 Cost]],)</f>
        <v>0</v>
      </c>
      <c r="DV280" s="5" t="s">
        <v>25</v>
      </c>
      <c r="DW280" s="2">
        <v>5</v>
      </c>
      <c r="DX280" s="2">
        <v>88.085700000000003</v>
      </c>
      <c r="DY280" s="4" t="str">
        <f>IF(AND(Table1[[#This Row],[Gurobi DM''z  Cost]]=Table1[[#This Row],[ORTools FZN2 Cost]],Table1[[#This Row],[ORTools FZN2 State]]="Optimal",Table1[[#This Row],[Gurobi DM''z  State]]="Suboptimal"),1,"")</f>
        <v/>
      </c>
      <c r="DZ280" s="4">
        <f>IF(AND(Table1[[#This Row],[Gurobi DM''z  State]]="Optimal",Table1[[#This Row],[Gurobi DM''z  Cost]]&lt;&gt;Table1[[#This Row],[ORTools FZN2 Cost]],Table1[[#This Row],[Example]]&lt;&gt;"R001",Table1[[#This Row],[Example]]&lt;&gt;"R002"),Table1[[#This Row],[Gurobi DM''z  Cost]]-Table1[[#This Row],[ORTools FZN2 Cost]],)</f>
        <v>0</v>
      </c>
    </row>
    <row r="281" spans="1:130" x14ac:dyDescent="0.25">
      <c r="A281" s="48"/>
      <c r="B281" s="10">
        <f>SUBTOTAL(101,Table1[K])</f>
        <v>49.769784172661872</v>
      </c>
      <c r="C281" s="9">
        <f>SUBTOTAL(101,Table1[B])</f>
        <v>24.449640287769785</v>
      </c>
      <c r="D281" s="10">
        <f>SUBTOTAL(101,Table1[Atomic Constraints])</f>
        <v>698.20143884892082</v>
      </c>
      <c r="E281" s="29">
        <f>SUBTOTAL(101,Table1[Soft Atomic Constraints])</f>
        <v>36.068345323741006</v>
      </c>
      <c r="F281" s="35">
        <f>SUBTOTAL(101,Table1[Disjunctive Constraints])</f>
        <v>103.74820143884892</v>
      </c>
      <c r="G281" s="29">
        <f>SUBTOTAL(101,Table1[Direct Successors])</f>
        <v>4.1834532374100721</v>
      </c>
      <c r="H281" s="30"/>
      <c r="I281" s="30"/>
      <c r="J281" s="10">
        <f>SUBTOTAL(103,Table1[Chuffed MZ1 State])</f>
        <v>278</v>
      </c>
      <c r="K281" s="36">
        <f>SUBTOTAL(109,Table1[Chuffed MZ1 Cost])</f>
        <v>677884334</v>
      </c>
      <c r="L281" s="9">
        <f>SUBTOTAL(109,Table1[Chuffed MZ1 Search time])</f>
        <v>39362.870685699992</v>
      </c>
      <c r="M281" s="9"/>
      <c r="N281" s="10">
        <f>SUBTOTAL(103,Table1[Chuffed MZ2 State])</f>
        <v>278</v>
      </c>
      <c r="O281" s="36">
        <f>SUBTOTAL(109,Table1[Chuffed MZ2 Cost])</f>
        <v>580094549</v>
      </c>
      <c r="P281" s="9">
        <f>SUBTOTAL(109,Table1[Chuffed MZ2 Search time])</f>
        <v>40392.709162100015</v>
      </c>
      <c r="Q281" s="9"/>
      <c r="R281" s="31">
        <f>SUBTOTAL(103,Table1[Cplex MC State])</f>
        <v>278</v>
      </c>
      <c r="S281" s="37">
        <f>SUBTOTAL(109,Table1[Cplex MC Cost])</f>
        <v>5731687774</v>
      </c>
      <c r="T281" s="32">
        <f>SUBTOTAL(109,Table1[Cplex MC Search time])</f>
        <v>37190.976000000031</v>
      </c>
      <c r="U281" s="32">
        <f>SUBTOTAL(109,Table1[Quasi-optimal solutions Cplex MC])</f>
        <v>54</v>
      </c>
      <c r="V281" s="10">
        <f>SUBTOTAL(103,Table1[ORTools FZN1 State])</f>
        <v>278</v>
      </c>
      <c r="W281" s="38">
        <f>SUBTOTAL(109,Table1[ORTools FZN1 Cost])</f>
        <v>214362824</v>
      </c>
      <c r="X281" s="33">
        <f>SUBTOTAL(109,Table1[ORTools FZN1 Search time])</f>
        <v>17129.119910699999</v>
      </c>
      <c r="Y281" s="33"/>
      <c r="Z281" s="33"/>
      <c r="AA281" s="38">
        <f>SUBTOTAL(109,Table1[ORTools FZN2 Cost])</f>
        <v>278169119</v>
      </c>
      <c r="AB281" s="33">
        <f>SUBTOTAL(109,Table1[ORTools FZN2 Search time])</f>
        <v>16991.815161399991</v>
      </c>
      <c r="AC281" s="6"/>
      <c r="AD281" s="50">
        <f>SUBTOTAL(109,Table1[Cplex MB Cost])</f>
        <v>-106024776</v>
      </c>
      <c r="AE281" s="4">
        <f>SUBTOTAL(109,Table1[Cplex MB Search time])</f>
        <v>41861.600048400003</v>
      </c>
      <c r="AF281" s="4">
        <f>SUBTOTAL(103,Table1[Quasi-optimal solutions MB])</f>
        <v>278</v>
      </c>
      <c r="AG281" s="40"/>
      <c r="AH281" s="4">
        <f>SUBTOTAL(103,Table1[Cplex MD State])</f>
        <v>278</v>
      </c>
      <c r="AI281" s="50">
        <f>SUBTOTAL(109,Table1[Cplex MD Cost])</f>
        <v>-72328223</v>
      </c>
      <c r="AJ281" s="4">
        <f>SUBTOTAL(109,Table1[Cplex MD Search time])</f>
        <v>55107.266050099985</v>
      </c>
      <c r="AK281" s="4"/>
      <c r="AL281" s="32"/>
      <c r="AM281" s="6"/>
      <c r="AN281" s="51">
        <f>SUBTOTAL(102,Table1[Cplex MI Cost])</f>
        <v>278</v>
      </c>
      <c r="AO281" s="39">
        <f>SUBTOTAL(109,Table1[Cplex MI Search time])</f>
        <v>39798.100832800003</v>
      </c>
      <c r="AP281" s="33"/>
      <c r="AQ281" s="33">
        <f>SUBTOTAL(109,Table1[Quasi-optimal solutions Cplex MI])</f>
        <v>10</v>
      </c>
      <c r="AR281" s="10"/>
      <c r="AS281" s="9">
        <f>SUBTOTAL(102,Table1[Z3 SMT2-1 Maxres Cost])</f>
        <v>278</v>
      </c>
      <c r="AT281" s="9">
        <f>SUBTOTAL(109,Table1[Z3 SMT2-1 Maxres Search Time])</f>
        <v>51635.524718100023</v>
      </c>
      <c r="AU281" s="9">
        <f>SUBTOTAL(102,Table1[Quasi-optimal solutions Z3 SMT2-1 Maxres])</f>
        <v>94</v>
      </c>
      <c r="AV281" s="10"/>
      <c r="AW281" s="33">
        <f>SUBTOTAL(102,Table1[Z3 SMT2-1 PdMaxres Cost])</f>
        <v>278</v>
      </c>
      <c r="AX281" s="33">
        <f>SUBTOTAL(109,Table1[Z3 SMT2-1 PdMaxres Search Time])</f>
        <v>51814.271060900042</v>
      </c>
      <c r="AY281" s="33">
        <f>SUBTOTAL(102,Table1[Quasi-optimal solutions Z3 SMT2-1 PdMaxres])</f>
        <v>94</v>
      </c>
      <c r="AZ281" s="10"/>
      <c r="BA281" s="9">
        <f>SUBTOTAL(102,Table1[Z3 SMT2-1 WMax Cost])</f>
        <v>278</v>
      </c>
      <c r="BB281" s="33">
        <f>SUBTOTAL(109,Table1[Z3 SMT2-1 Wmax Search Time])</f>
        <v>52111.796573199987</v>
      </c>
      <c r="BC281" s="33">
        <f>SUBTOTAL(102,Table1[Quasi-optimal solutions SMT2-1 Wmax])</f>
        <v>91</v>
      </c>
      <c r="BD281" s="33"/>
      <c r="BE281" s="33">
        <f>SUBTOTAL(102,Table1[Z3 SMT2-2 Maxres Cost])</f>
        <v>278</v>
      </c>
      <c r="BF281" s="33">
        <f>SUBTOTAL(109,Table1[Z3 SMT2-2 Maxres Search Time])</f>
        <v>50913.26123080001</v>
      </c>
      <c r="BG281" s="33">
        <f>SUBTOTAL(102,Table1[Quasi-optimal solutions SMT2-2 Maxres])</f>
        <v>96</v>
      </c>
      <c r="BH281" s="10"/>
      <c r="BI281" s="9">
        <f>SUBTOTAL(102,Table1[Z3 SMT2-2 PdMaxres Cost])</f>
        <v>278</v>
      </c>
      <c r="BJ281" s="33">
        <f>SUBTOTAL(109,Table1[Z3 SMT2-2 PdMaxres Search Time])</f>
        <v>50888.097809899999</v>
      </c>
      <c r="BK281" s="33">
        <f>SUBTOTAL(102,Table1[Quasi-optimal solutions Z3 SMT2-2 PdMaxres])</f>
        <v>97</v>
      </c>
      <c r="BL281" s="33"/>
      <c r="BM281" s="33">
        <f>SUBTOTAL(102,Table1[Z3 SMT2-2 WMax Cost])</f>
        <v>278</v>
      </c>
      <c r="BN281" s="33">
        <f>SUBTOTAL(109,Table1[Z3 SMT2-2 Wmax Search Time])</f>
        <v>50892.918188099997</v>
      </c>
      <c r="BO281" s="33">
        <f>SUBTOTAL(102,Table1[Quasi-optimal solutions Z3 SMT2-2 Wmax])</f>
        <v>97</v>
      </c>
      <c r="BP281" s="39">
        <f>SUBTOTAL(103,Table1[Gurobi MB State])</f>
        <v>278</v>
      </c>
      <c r="BQ281" s="39">
        <f>SUBTOTAL(109,Table1[Gurobi MB Cost])</f>
        <v>-73230090</v>
      </c>
      <c r="BR281" s="39">
        <f>SUBTOTAL(109,Table1[Gurobi MB Search Time])</f>
        <v>40453.728968400021</v>
      </c>
      <c r="BS281" s="39"/>
      <c r="BT281" s="39"/>
      <c r="BU281" s="5"/>
      <c r="BV281" s="2">
        <f>SUBTOTAL(109,Table1[Gurobi MD Cost])</f>
        <v>-106716665</v>
      </c>
      <c r="BW281" s="39">
        <f>SUBTOTAL(109,Table1[Gurobi MD Search Time])</f>
        <v>49801.365276799981</v>
      </c>
      <c r="BX281" s="39"/>
      <c r="BY281" s="39"/>
      <c r="BZ281" s="39"/>
      <c r="CA281" s="39">
        <f>SUBTOTAL(109,Table1[Gurobi MI Cost])</f>
        <v>-99430099</v>
      </c>
      <c r="CB281" s="39">
        <f>SUBTOTAL(109,Table1[Gurobi MI Search Time])</f>
        <v>40650.681729400007</v>
      </c>
      <c r="CC281" s="39">
        <f>SUBTOTAL(103,Table1[Quasi-optimal solutions Gurobi MI])</f>
        <v>278</v>
      </c>
      <c r="CD281" s="39"/>
      <c r="CE281" s="33">
        <f>SUBTOTAL(103,Table1[OptiMathSat SMT2-1 State])</f>
        <v>278</v>
      </c>
      <c r="CF281" s="33"/>
      <c r="CG281" s="33"/>
      <c r="CH281" s="33">
        <f>SUBTOTAL(103,Table1[OptiMathSat SMT2-2 State])</f>
        <v>278</v>
      </c>
      <c r="CI281" s="33"/>
      <c r="CJ281" s="33"/>
      <c r="CK281" s="5">
        <f>SUBTOTAL(103,Table1[Cplex CP Tuned State])</f>
        <v>278</v>
      </c>
      <c r="CL281" s="63">
        <f>SUBTOTAL(109,Table1[Cplex CP Tuned Cost])</f>
        <v>5578654385</v>
      </c>
      <c r="CM281" s="2">
        <f>SUBTOTAL(109,Table1[Cplex CP Tuned Search Time])</f>
        <v>35145.964999999953</v>
      </c>
      <c r="CN281" s="56"/>
      <c r="CO281" s="63">
        <f>SUBTOTAL(109,Table1[Chuffed Tuned Cost])</f>
        <v>2877927230</v>
      </c>
      <c r="CP281" s="2">
        <f>SUBTOTAL(109,Table1[Chuffed Tuned Search Time])</f>
        <v>45418.835844700028</v>
      </c>
      <c r="CQ281" s="56"/>
      <c r="CR281" s="63">
        <f>SUBTOTAL(109,Table1[OR-Tools FZN1 Tuned Cost])</f>
        <v>1976167941</v>
      </c>
      <c r="CS281" s="2">
        <f>SUBTOTAL(109,Table1[OR-Tools FZN1 Tuned Search Time])</f>
        <v>17833.816112600001</v>
      </c>
      <c r="CT281" s="10"/>
      <c r="CU281" s="38">
        <f>SUBTOTAL(109,Table1[OR-Tools FZN1 8 workers Cost])</f>
        <v>5090625565</v>
      </c>
      <c r="CV281" s="33">
        <f>SUBTOTAL(109,Table1[OR-Tools FZN1 8 workers Search  Time])</f>
        <v>11543.315164900001</v>
      </c>
      <c r="CW281" s="33"/>
      <c r="CX281" s="38">
        <f>SUBTOTAL(109,Table1[Cplex MZ1 Cost])</f>
        <v>218542350</v>
      </c>
      <c r="CY281" s="33">
        <f>SUBTOTAL(109,Table1[Cplex Mz1 Search Time])</f>
        <v>50334.121099999989</v>
      </c>
      <c r="CZ281" s="33"/>
      <c r="DA281" s="33"/>
      <c r="DB281" s="38">
        <f>SUBTOTAL(109,Table1[Cplex MZ2 Cost])</f>
        <v>166185335</v>
      </c>
      <c r="DC281" s="33">
        <f>SUBTOTAL(109,Table1[Cplex MZ2 Search Time])</f>
        <v>48180.213499999998</v>
      </c>
      <c r="DD281" s="33">
        <f>SUBTOTAL(103,Table1[Quasi-optimal solutions Cplex MZ2])</f>
        <v>278</v>
      </c>
      <c r="DE281" s="33"/>
      <c r="DF281" s="38">
        <f>SUBTOTAL(109,Table1[Gurobi MZ1 Cost])</f>
        <v>23552099</v>
      </c>
      <c r="DG281" s="33">
        <f>SUBTOTAL(109,Table1[Gurobi MZ1 Search Time])</f>
        <v>50464.640300000006</v>
      </c>
      <c r="DH281" s="33">
        <f>SUBTOTAL(103,Table1[Quasi-optimal solutions Gurobi MZ1])</f>
        <v>278</v>
      </c>
      <c r="DI281" s="33"/>
      <c r="DJ281" s="38">
        <f>SUBTOTAL(109,Table1[Gurobi MZ2 Cost])</f>
        <v>18778552</v>
      </c>
      <c r="DK281" s="33">
        <f>SUBTOTAL(109,Table1[Gurobi MZ2 Search Time])</f>
        <v>49881.1005</v>
      </c>
      <c r="DL281" s="33">
        <f>SUBTOTAL(103,Table1[Quasi-optimal solutions Gurobi MZ2])</f>
        <v>278</v>
      </c>
      <c r="DM281" s="33"/>
      <c r="DN281" s="33"/>
      <c r="DO281" s="67"/>
      <c r="DP281" s="33">
        <f>SUBTOTAL(103,Table1[Quasi-optimal solutions Cplex MC nonDual])</f>
        <v>278</v>
      </c>
      <c r="DQ281" s="33"/>
      <c r="DR281" s="33"/>
      <c r="DS281" s="33"/>
      <c r="DT281" s="33">
        <f>SUBTOTAL(103,Table1[Quasi-optimal solutions Cplex MIP DM''z])</f>
        <v>278</v>
      </c>
      <c r="DU281" s="33"/>
      <c r="DV281" s="33"/>
      <c r="DW281" s="33"/>
      <c r="DX281" s="33"/>
      <c r="DY281" s="33">
        <f>SUBTOTAL(103,Table1[Quasi-optimal solutions Gurobi DM''z])</f>
        <v>278</v>
      </c>
      <c r="DZ281" s="33">
        <f>SUBTOTAL(103,Table1[Different costs Gurobi DM''z])</f>
        <v>278</v>
      </c>
    </row>
    <row r="285" spans="1:130" x14ac:dyDescent="0.25">
      <c r="H285" t="s">
        <v>309</v>
      </c>
      <c r="J285" s="71" t="s">
        <v>310</v>
      </c>
      <c r="K285" s="71"/>
      <c r="L285" s="71"/>
      <c r="M285" s="71"/>
      <c r="N285" s="71"/>
      <c r="O285" s="71"/>
      <c r="R285" s="61"/>
      <c r="U285" s="53"/>
    </row>
    <row r="286" spans="1:130" ht="16.5" customHeight="1" x14ac:dyDescent="0.25">
      <c r="J286" s="72" t="s">
        <v>311</v>
      </c>
      <c r="K286" s="72"/>
      <c r="L286" s="72"/>
      <c r="M286" s="72"/>
      <c r="N286" s="72"/>
      <c r="O286" s="72"/>
      <c r="P286" s="72"/>
      <c r="Q286" s="64"/>
      <c r="R286" s="62"/>
      <c r="S286" s="59"/>
      <c r="T286" s="59"/>
      <c r="U286" s="60"/>
      <c r="CK286" s="57"/>
      <c r="CL286" s="57"/>
      <c r="CM286" s="57"/>
    </row>
    <row r="287" spans="1:130" x14ac:dyDescent="0.25">
      <c r="CK287" s="58"/>
      <c r="CL287" s="58"/>
      <c r="CM287" s="58"/>
    </row>
    <row r="290" spans="89:91" x14ac:dyDescent="0.25">
      <c r="CK290" s="58"/>
      <c r="CL290" s="58"/>
      <c r="CM290" s="58"/>
    </row>
  </sheetData>
  <mergeCells count="26">
    <mergeCell ref="DE1:DH1"/>
    <mergeCell ref="DI1:DL1"/>
    <mergeCell ref="DM1:DP1"/>
    <mergeCell ref="DQ1:DZ1"/>
    <mergeCell ref="CK1:CM1"/>
    <mergeCell ref="CQ1:CV1"/>
    <mergeCell ref="CW1:CZ1"/>
    <mergeCell ref="DA1:DD1"/>
    <mergeCell ref="BP1:BT1"/>
    <mergeCell ref="BU1:BY1"/>
    <mergeCell ref="BZ1:CD1"/>
    <mergeCell ref="CE1:CG1"/>
    <mergeCell ref="CH1:CJ1"/>
    <mergeCell ref="AM1:AQ1"/>
    <mergeCell ref="AR1:BC1"/>
    <mergeCell ref="BD1:BO1"/>
    <mergeCell ref="R1:U1"/>
    <mergeCell ref="V1:Y1"/>
    <mergeCell ref="Z1:AB1"/>
    <mergeCell ref="AC1:AG1"/>
    <mergeCell ref="AH1:AL1"/>
    <mergeCell ref="J285:O285"/>
    <mergeCell ref="J286:P286"/>
    <mergeCell ref="A1:I1"/>
    <mergeCell ref="J1:M1"/>
    <mergeCell ref="N1:Q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556C-6E8E-4D3E-B5CB-1DC68B1CBD62}">
  <dimension ref="A1:X56"/>
  <sheetViews>
    <sheetView topLeftCell="E1" zoomScale="78" workbookViewId="0">
      <selection activeCell="N59" sqref="N59"/>
    </sheetView>
  </sheetViews>
  <sheetFormatPr defaultColWidth="8.7109375" defaultRowHeight="15" x14ac:dyDescent="0.25"/>
  <cols>
    <col min="1" max="1" width="10.7109375" customWidth="1"/>
    <col min="4" max="4" width="9.85546875" customWidth="1"/>
    <col min="5" max="6" width="9.5703125" customWidth="1"/>
    <col min="7" max="7" width="10.42578125" customWidth="1"/>
    <col min="8" max="8" width="10.140625" customWidth="1"/>
    <col min="9" max="9" width="20.140625" customWidth="1"/>
    <col min="10" max="10" width="19.42578125" customWidth="1"/>
    <col min="11" max="11" width="20.140625" customWidth="1"/>
    <col min="12" max="12" width="19.42578125" customWidth="1"/>
    <col min="13" max="13" width="17.140625" customWidth="1"/>
    <col min="14" max="14" width="16.42578125" customWidth="1"/>
    <col min="15" max="15" width="26.28515625" customWidth="1"/>
    <col min="16" max="16" width="25.5703125" customWidth="1"/>
    <col min="17" max="17" width="17.140625" customWidth="1"/>
    <col min="18" max="18" width="16.42578125" customWidth="1"/>
    <col min="19" max="19" width="17.28515625" customWidth="1"/>
    <col min="20" max="21" width="16.5703125" customWidth="1"/>
    <col min="22" max="22" width="15.85546875" customWidth="1"/>
  </cols>
  <sheetData>
    <row r="1" spans="1:24" ht="60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1" t="s">
        <v>21</v>
      </c>
      <c r="W1" s="20" t="s">
        <v>22</v>
      </c>
      <c r="X1" s="20" t="s">
        <v>23</v>
      </c>
    </row>
    <row r="2" spans="1:24" x14ac:dyDescent="0.25">
      <c r="A2" s="22" t="s">
        <v>45</v>
      </c>
      <c r="B2" s="5">
        <v>80</v>
      </c>
      <c r="C2" s="2">
        <v>40</v>
      </c>
      <c r="D2" s="5">
        <v>370</v>
      </c>
      <c r="E2" s="3">
        <v>74</v>
      </c>
      <c r="F2" s="8">
        <v>195</v>
      </c>
      <c r="G2" s="3">
        <v>40</v>
      </c>
      <c r="H2" s="4">
        <v>0</v>
      </c>
      <c r="I2" s="7" t="s">
        <v>26</v>
      </c>
      <c r="J2" s="2">
        <v>16031237</v>
      </c>
      <c r="K2" s="7" t="s">
        <v>26</v>
      </c>
      <c r="L2" s="2">
        <v>17566362</v>
      </c>
      <c r="M2" s="11" t="s">
        <v>26</v>
      </c>
      <c r="N2" s="11">
        <v>38</v>
      </c>
      <c r="O2" s="5" t="s">
        <v>25</v>
      </c>
      <c r="P2" s="2">
        <v>38</v>
      </c>
      <c r="Q2" s="5" t="s">
        <v>25</v>
      </c>
      <c r="R2" s="2">
        <v>38</v>
      </c>
      <c r="S2" s="6" t="s">
        <v>42</v>
      </c>
      <c r="T2" s="4">
        <v>-518481</v>
      </c>
      <c r="U2" s="5" t="s">
        <v>42</v>
      </c>
      <c r="V2" s="2">
        <v>-518481</v>
      </c>
      <c r="W2" s="5" t="s">
        <v>26</v>
      </c>
      <c r="X2" s="23">
        <v>8261634</v>
      </c>
    </row>
    <row r="3" spans="1:24" x14ac:dyDescent="0.25">
      <c r="A3" s="22" t="s">
        <v>46</v>
      </c>
      <c r="B3" s="5">
        <v>80</v>
      </c>
      <c r="C3" s="2">
        <v>40</v>
      </c>
      <c r="D3" s="5">
        <v>370</v>
      </c>
      <c r="E3" s="3">
        <v>74</v>
      </c>
      <c r="F3" s="8">
        <v>195</v>
      </c>
      <c r="G3" s="3">
        <v>40</v>
      </c>
      <c r="H3" s="4">
        <v>0</v>
      </c>
      <c r="I3" s="7" t="s">
        <v>26</v>
      </c>
      <c r="J3" s="2">
        <v>16543469</v>
      </c>
      <c r="K3" s="7" t="s">
        <v>26</v>
      </c>
      <c r="L3" s="2">
        <v>14975873</v>
      </c>
      <c r="M3" s="12" t="s">
        <v>26</v>
      </c>
      <c r="N3" s="12">
        <v>38</v>
      </c>
      <c r="O3" s="5" t="s">
        <v>25</v>
      </c>
      <c r="P3" s="2">
        <v>38</v>
      </c>
      <c r="Q3" s="5" t="s">
        <v>25</v>
      </c>
      <c r="R3" s="2">
        <v>38</v>
      </c>
      <c r="S3" s="6" t="s">
        <v>42</v>
      </c>
      <c r="T3" s="4">
        <v>-518481</v>
      </c>
      <c r="U3" s="6" t="s">
        <v>42</v>
      </c>
      <c r="V3" s="4">
        <v>-518481</v>
      </c>
      <c r="W3" s="6" t="s">
        <v>25</v>
      </c>
      <c r="X3" s="24">
        <v>38</v>
      </c>
    </row>
    <row r="4" spans="1:24" x14ac:dyDescent="0.25">
      <c r="A4" s="22" t="s">
        <v>56</v>
      </c>
      <c r="B4" s="5">
        <v>40</v>
      </c>
      <c r="C4" s="2">
        <v>20</v>
      </c>
      <c r="D4" s="5">
        <v>186</v>
      </c>
      <c r="E4" s="3">
        <v>30</v>
      </c>
      <c r="F4" s="8">
        <v>90</v>
      </c>
      <c r="G4" s="3">
        <v>0</v>
      </c>
      <c r="H4" s="4">
        <v>0</v>
      </c>
      <c r="I4" s="7" t="s">
        <v>25</v>
      </c>
      <c r="J4" s="2">
        <v>590012</v>
      </c>
      <c r="K4" s="7" t="s">
        <v>25</v>
      </c>
      <c r="L4" s="2">
        <v>590012</v>
      </c>
      <c r="M4" s="11" t="s">
        <v>26</v>
      </c>
      <c r="N4" s="11">
        <v>590012</v>
      </c>
      <c r="O4" s="5" t="s">
        <v>25</v>
      </c>
      <c r="P4" s="2">
        <v>590012</v>
      </c>
      <c r="Q4" s="5" t="s">
        <v>25</v>
      </c>
      <c r="R4" s="2">
        <v>590012</v>
      </c>
      <c r="S4" s="5" t="s">
        <v>26</v>
      </c>
      <c r="T4" s="2">
        <v>654298</v>
      </c>
      <c r="U4" s="5" t="s">
        <v>26</v>
      </c>
      <c r="V4" s="2">
        <v>1308605</v>
      </c>
      <c r="W4" s="6" t="s">
        <v>26</v>
      </c>
      <c r="X4" s="24">
        <v>1108578</v>
      </c>
    </row>
    <row r="5" spans="1:24" x14ac:dyDescent="0.25">
      <c r="A5" s="22" t="s">
        <v>67</v>
      </c>
      <c r="B5" s="5">
        <v>40</v>
      </c>
      <c r="C5" s="2">
        <v>20</v>
      </c>
      <c r="D5" s="5">
        <v>258</v>
      </c>
      <c r="E5" s="3">
        <v>17</v>
      </c>
      <c r="F5" s="8">
        <v>136</v>
      </c>
      <c r="G5" s="3">
        <v>0</v>
      </c>
      <c r="H5" s="4">
        <v>0</v>
      </c>
      <c r="I5" s="7" t="s">
        <v>25</v>
      </c>
      <c r="J5" s="2">
        <v>524084</v>
      </c>
      <c r="K5" s="7" t="s">
        <v>25</v>
      </c>
      <c r="L5" s="2">
        <v>524084</v>
      </c>
      <c r="M5" s="11" t="s">
        <v>26</v>
      </c>
      <c r="N5" s="11">
        <v>524084</v>
      </c>
      <c r="O5" s="5" t="s">
        <v>25</v>
      </c>
      <c r="P5" s="2">
        <v>524084</v>
      </c>
      <c r="Q5" s="5" t="s">
        <v>25</v>
      </c>
      <c r="R5" s="2">
        <v>524084</v>
      </c>
      <c r="S5" s="6" t="s">
        <v>26</v>
      </c>
      <c r="T5" s="4">
        <v>780124</v>
      </c>
      <c r="U5" s="6" t="s">
        <v>26</v>
      </c>
      <c r="V5" s="4">
        <v>1175403</v>
      </c>
      <c r="W5" s="6" t="s">
        <v>26</v>
      </c>
      <c r="X5" s="24">
        <v>781644</v>
      </c>
    </row>
    <row r="6" spans="1:24" x14ac:dyDescent="0.25">
      <c r="A6" s="22" t="s">
        <v>68</v>
      </c>
      <c r="B6" s="5">
        <v>50</v>
      </c>
      <c r="C6" s="2">
        <v>25</v>
      </c>
      <c r="D6" s="5">
        <v>414</v>
      </c>
      <c r="E6" s="3">
        <v>25</v>
      </c>
      <c r="F6" s="8">
        <v>212</v>
      </c>
      <c r="G6" s="3">
        <v>0</v>
      </c>
      <c r="H6" s="4">
        <v>0</v>
      </c>
      <c r="I6" s="7" t="s">
        <v>26</v>
      </c>
      <c r="J6" s="2">
        <v>2159411</v>
      </c>
      <c r="K6" s="7" t="s">
        <v>25</v>
      </c>
      <c r="L6" s="2">
        <v>1524056</v>
      </c>
      <c r="M6" s="11" t="s">
        <v>26</v>
      </c>
      <c r="N6" s="11">
        <v>1524056</v>
      </c>
      <c r="O6" s="5" t="s">
        <v>25</v>
      </c>
      <c r="P6" s="2">
        <v>1524056</v>
      </c>
      <c r="Q6" s="5" t="s">
        <v>25</v>
      </c>
      <c r="R6" s="2">
        <v>1524056</v>
      </c>
      <c r="S6" s="5" t="s">
        <v>26</v>
      </c>
      <c r="T6" s="2">
        <v>1524107</v>
      </c>
      <c r="U6" s="5" t="s">
        <v>26</v>
      </c>
      <c r="V6" s="2">
        <v>2922005</v>
      </c>
      <c r="W6" s="6" t="s">
        <v>26</v>
      </c>
      <c r="X6" s="24">
        <v>2281604</v>
      </c>
    </row>
    <row r="7" spans="1:24" x14ac:dyDescent="0.25">
      <c r="A7" s="22" t="s">
        <v>79</v>
      </c>
      <c r="B7" s="5">
        <v>70</v>
      </c>
      <c r="C7" s="2">
        <v>35</v>
      </c>
      <c r="D7" s="5">
        <v>1394</v>
      </c>
      <c r="E7" s="2">
        <v>57</v>
      </c>
      <c r="F7" s="7">
        <v>171</v>
      </c>
      <c r="G7" s="2">
        <v>0</v>
      </c>
      <c r="H7" s="4">
        <v>0</v>
      </c>
      <c r="I7" s="7" t="s">
        <v>26</v>
      </c>
      <c r="J7" s="2">
        <v>12136849</v>
      </c>
      <c r="K7" s="7" t="s">
        <v>26</v>
      </c>
      <c r="L7" s="2">
        <v>12102747</v>
      </c>
      <c r="M7" s="11" t="s">
        <v>26</v>
      </c>
      <c r="N7" s="11">
        <v>8656920</v>
      </c>
      <c r="O7" s="5" t="s">
        <v>42</v>
      </c>
      <c r="P7" s="2">
        <v>-347971</v>
      </c>
      <c r="Q7" s="5" t="s">
        <v>25</v>
      </c>
      <c r="R7" s="2">
        <v>8656920</v>
      </c>
      <c r="S7" s="6" t="s">
        <v>42</v>
      </c>
      <c r="T7" s="4">
        <v>-347971</v>
      </c>
      <c r="U7" s="5" t="s">
        <v>42</v>
      </c>
      <c r="V7" s="2">
        <v>-347971</v>
      </c>
      <c r="W7" s="5" t="s">
        <v>26</v>
      </c>
      <c r="X7" s="23">
        <v>10744888</v>
      </c>
    </row>
    <row r="8" spans="1:24" x14ac:dyDescent="0.25">
      <c r="A8" s="22" t="s">
        <v>86</v>
      </c>
      <c r="B8" s="5">
        <v>40</v>
      </c>
      <c r="C8" s="2">
        <v>20</v>
      </c>
      <c r="D8" s="5">
        <v>446</v>
      </c>
      <c r="E8" s="2">
        <v>26</v>
      </c>
      <c r="F8" s="7">
        <v>56</v>
      </c>
      <c r="G8" s="2">
        <v>0</v>
      </c>
      <c r="H8" s="4">
        <v>0</v>
      </c>
      <c r="I8" s="7" t="s">
        <v>25</v>
      </c>
      <c r="J8" s="2">
        <v>1041084</v>
      </c>
      <c r="K8" s="7" t="s">
        <v>25</v>
      </c>
      <c r="L8" s="2">
        <v>1041084</v>
      </c>
      <c r="M8" s="11" t="s">
        <v>26</v>
      </c>
      <c r="N8" s="11">
        <v>1041084</v>
      </c>
      <c r="O8" s="5" t="s">
        <v>25</v>
      </c>
      <c r="P8" s="2">
        <v>1041084</v>
      </c>
      <c r="Q8" s="5" t="s">
        <v>25</v>
      </c>
      <c r="R8" s="2">
        <v>1041084</v>
      </c>
      <c r="S8" s="6" t="s">
        <v>26</v>
      </c>
      <c r="T8" s="4">
        <v>1042723</v>
      </c>
      <c r="U8" s="5" t="s">
        <v>26</v>
      </c>
      <c r="V8" s="2">
        <v>1298924</v>
      </c>
      <c r="W8" s="6" t="s">
        <v>25</v>
      </c>
      <c r="X8" s="24">
        <v>1041086</v>
      </c>
    </row>
    <row r="9" spans="1:24" x14ac:dyDescent="0.25">
      <c r="A9" s="25" t="s">
        <v>117</v>
      </c>
      <c r="B9" s="5">
        <v>60</v>
      </c>
      <c r="C9" s="2">
        <v>30</v>
      </c>
      <c r="D9" s="5">
        <v>490</v>
      </c>
      <c r="E9" s="2">
        <v>33</v>
      </c>
      <c r="F9" s="7">
        <v>40</v>
      </c>
      <c r="G9" s="2">
        <v>0</v>
      </c>
      <c r="H9" s="4">
        <v>0</v>
      </c>
      <c r="I9" s="7" t="s">
        <v>26</v>
      </c>
      <c r="J9" s="2">
        <v>5662337</v>
      </c>
      <c r="K9" s="7" t="s">
        <v>26</v>
      </c>
      <c r="L9" s="2">
        <v>3703512</v>
      </c>
      <c r="M9" s="11" t="s">
        <v>26</v>
      </c>
      <c r="N9" s="11">
        <v>2176754</v>
      </c>
      <c r="O9" s="5" t="s">
        <v>25</v>
      </c>
      <c r="P9" s="2">
        <v>2176754</v>
      </c>
      <c r="Q9" s="5" t="s">
        <v>25</v>
      </c>
      <c r="R9" s="2">
        <v>2176754</v>
      </c>
      <c r="S9" s="6" t="s">
        <v>42</v>
      </c>
      <c r="T9" s="4">
        <v>-219661</v>
      </c>
      <c r="U9" s="5" t="s">
        <v>42</v>
      </c>
      <c r="V9" s="2">
        <v>-219661</v>
      </c>
      <c r="W9" s="5" t="s">
        <v>26</v>
      </c>
      <c r="X9" s="23">
        <v>5219410</v>
      </c>
    </row>
    <row r="10" spans="1:24" x14ac:dyDescent="0.25">
      <c r="A10" s="22" t="s">
        <v>118</v>
      </c>
      <c r="B10" s="5">
        <v>66</v>
      </c>
      <c r="C10" s="2">
        <v>33</v>
      </c>
      <c r="D10" s="5">
        <v>646</v>
      </c>
      <c r="E10" s="2">
        <v>41</v>
      </c>
      <c r="F10" s="7">
        <v>55</v>
      </c>
      <c r="G10" s="2">
        <v>0</v>
      </c>
      <c r="H10" s="4">
        <v>0</v>
      </c>
      <c r="I10" s="7" t="s">
        <v>26</v>
      </c>
      <c r="J10" s="2">
        <v>9308459</v>
      </c>
      <c r="K10" s="7" t="s">
        <v>26</v>
      </c>
      <c r="L10" s="2">
        <v>9330046</v>
      </c>
      <c r="M10" s="11" t="s">
        <v>26</v>
      </c>
      <c r="N10" s="11">
        <v>3182935</v>
      </c>
      <c r="O10" s="5" t="s">
        <v>25</v>
      </c>
      <c r="P10" s="2">
        <v>3182935</v>
      </c>
      <c r="Q10" s="5" t="s">
        <v>25</v>
      </c>
      <c r="R10" s="2">
        <v>3182935</v>
      </c>
      <c r="S10" s="6" t="s">
        <v>42</v>
      </c>
      <c r="T10" s="4">
        <v>-291919</v>
      </c>
      <c r="U10" s="6" t="s">
        <v>42</v>
      </c>
      <c r="V10" s="4">
        <v>-291919</v>
      </c>
      <c r="W10" s="6" t="s">
        <v>26</v>
      </c>
      <c r="X10" s="24">
        <v>8706616</v>
      </c>
    </row>
    <row r="11" spans="1:24" x14ac:dyDescent="0.25">
      <c r="A11" s="25" t="s">
        <v>133</v>
      </c>
      <c r="B11" s="5">
        <v>40</v>
      </c>
      <c r="C11" s="2">
        <v>20</v>
      </c>
      <c r="D11" s="5">
        <v>118</v>
      </c>
      <c r="E11" s="2">
        <v>28</v>
      </c>
      <c r="F11" s="7">
        <v>17</v>
      </c>
      <c r="G11" s="2">
        <v>0</v>
      </c>
      <c r="H11" s="4">
        <v>0</v>
      </c>
      <c r="I11" s="7" t="s">
        <v>25</v>
      </c>
      <c r="J11" s="2">
        <v>6</v>
      </c>
      <c r="K11" s="7" t="s">
        <v>25</v>
      </c>
      <c r="L11" s="2">
        <v>6</v>
      </c>
      <c r="M11" s="11" t="s">
        <v>26</v>
      </c>
      <c r="N11" s="11">
        <v>6</v>
      </c>
      <c r="O11" s="5" t="s">
        <v>25</v>
      </c>
      <c r="P11" s="2">
        <v>6</v>
      </c>
      <c r="Q11" s="5" t="s">
        <v>25</v>
      </c>
      <c r="R11" s="2">
        <v>6</v>
      </c>
      <c r="S11" s="6" t="s">
        <v>25</v>
      </c>
      <c r="T11" s="4">
        <v>6</v>
      </c>
      <c r="U11" s="5" t="s">
        <v>26</v>
      </c>
      <c r="V11" s="2">
        <v>776494</v>
      </c>
      <c r="W11" s="5" t="s">
        <v>25</v>
      </c>
      <c r="X11" s="23">
        <v>6</v>
      </c>
    </row>
    <row r="12" spans="1:24" x14ac:dyDescent="0.25">
      <c r="A12" s="22" t="s">
        <v>140</v>
      </c>
      <c r="B12" s="5">
        <v>40</v>
      </c>
      <c r="C12" s="2">
        <v>20</v>
      </c>
      <c r="D12" s="5">
        <v>117</v>
      </c>
      <c r="E12" s="2">
        <v>28</v>
      </c>
      <c r="F12" s="7">
        <v>19</v>
      </c>
      <c r="G12" s="2">
        <v>0</v>
      </c>
      <c r="H12" s="4">
        <v>0</v>
      </c>
      <c r="I12" s="7" t="s">
        <v>25</v>
      </c>
      <c r="J12" s="2">
        <v>6</v>
      </c>
      <c r="K12" s="7" t="s">
        <v>25</v>
      </c>
      <c r="L12" s="2">
        <v>6</v>
      </c>
      <c r="M12" s="11" t="s">
        <v>26</v>
      </c>
      <c r="N12" s="11">
        <v>6</v>
      </c>
      <c r="O12" s="5" t="s">
        <v>25</v>
      </c>
      <c r="P12" s="2">
        <v>6</v>
      </c>
      <c r="Q12" s="5" t="s">
        <v>25</v>
      </c>
      <c r="R12" s="2">
        <v>6</v>
      </c>
      <c r="S12" s="6" t="s">
        <v>25</v>
      </c>
      <c r="T12" s="4">
        <v>6</v>
      </c>
      <c r="U12" s="6" t="s">
        <v>26</v>
      </c>
      <c r="V12" s="4">
        <v>1236371</v>
      </c>
      <c r="W12" s="6" t="s">
        <v>25</v>
      </c>
      <c r="X12" s="24">
        <v>6</v>
      </c>
    </row>
    <row r="13" spans="1:24" x14ac:dyDescent="0.25">
      <c r="A13" s="25" t="s">
        <v>141</v>
      </c>
      <c r="B13" s="5">
        <v>40</v>
      </c>
      <c r="C13" s="2">
        <v>20</v>
      </c>
      <c r="D13" s="5">
        <v>117</v>
      </c>
      <c r="E13" s="2">
        <v>28</v>
      </c>
      <c r="F13" s="7">
        <v>19</v>
      </c>
      <c r="G13" s="2">
        <v>0</v>
      </c>
      <c r="H13" s="4">
        <v>0</v>
      </c>
      <c r="I13" s="7" t="s">
        <v>25</v>
      </c>
      <c r="J13" s="2">
        <v>6</v>
      </c>
      <c r="K13" s="7" t="s">
        <v>25</v>
      </c>
      <c r="L13" s="2">
        <v>6</v>
      </c>
      <c r="M13" s="11" t="s">
        <v>26</v>
      </c>
      <c r="N13" s="11">
        <v>6</v>
      </c>
      <c r="O13" s="5" t="s">
        <v>25</v>
      </c>
      <c r="P13" s="2">
        <v>6</v>
      </c>
      <c r="Q13" s="5" t="s">
        <v>25</v>
      </c>
      <c r="R13" s="2">
        <v>6</v>
      </c>
      <c r="S13" s="6" t="s">
        <v>25</v>
      </c>
      <c r="T13" s="4">
        <v>6</v>
      </c>
      <c r="U13" s="5" t="s">
        <v>26</v>
      </c>
      <c r="V13" s="2">
        <v>775133</v>
      </c>
      <c r="W13" s="5" t="s">
        <v>25</v>
      </c>
      <c r="X13" s="23">
        <v>6</v>
      </c>
    </row>
    <row r="14" spans="1:24" x14ac:dyDescent="0.25">
      <c r="A14" s="25" t="s">
        <v>143</v>
      </c>
      <c r="B14" s="5">
        <v>52</v>
      </c>
      <c r="C14" s="2">
        <v>25</v>
      </c>
      <c r="D14" s="5">
        <v>300</v>
      </c>
      <c r="E14" s="2">
        <v>36</v>
      </c>
      <c r="F14" s="7">
        <v>39</v>
      </c>
      <c r="G14" s="2">
        <v>0</v>
      </c>
      <c r="H14" s="4">
        <v>-2</v>
      </c>
      <c r="I14" s="7" t="s">
        <v>26</v>
      </c>
      <c r="J14" s="2">
        <v>2557533</v>
      </c>
      <c r="K14" s="7" t="s">
        <v>26</v>
      </c>
      <c r="L14" s="2">
        <v>2548694</v>
      </c>
      <c r="M14" s="11" t="s">
        <v>26</v>
      </c>
      <c r="N14" s="11">
        <v>424793</v>
      </c>
      <c r="O14" s="5" t="s">
        <v>25</v>
      </c>
      <c r="P14" s="2">
        <v>424793</v>
      </c>
      <c r="Q14" s="5" t="s">
        <v>25</v>
      </c>
      <c r="R14" s="2">
        <v>424793</v>
      </c>
      <c r="S14" s="6" t="s">
        <v>42</v>
      </c>
      <c r="T14" s="4">
        <v>-143365</v>
      </c>
      <c r="U14" s="6" t="s">
        <v>26</v>
      </c>
      <c r="V14" s="4">
        <v>3557342</v>
      </c>
      <c r="W14" s="6" t="s">
        <v>26</v>
      </c>
      <c r="X14" s="24">
        <v>1417581</v>
      </c>
    </row>
    <row r="15" spans="1:24" x14ac:dyDescent="0.25">
      <c r="A15" s="25" t="s">
        <v>145</v>
      </c>
      <c r="B15" s="5">
        <v>52</v>
      </c>
      <c r="C15" s="2">
        <v>25</v>
      </c>
      <c r="D15" s="5">
        <v>334</v>
      </c>
      <c r="E15" s="2">
        <v>40</v>
      </c>
      <c r="F15" s="7">
        <v>50</v>
      </c>
      <c r="G15" s="2">
        <v>0</v>
      </c>
      <c r="H15" s="4">
        <v>-2</v>
      </c>
      <c r="I15" s="7" t="s">
        <v>26</v>
      </c>
      <c r="J15" s="2">
        <v>2553836</v>
      </c>
      <c r="K15" s="7" t="s">
        <v>26</v>
      </c>
      <c r="L15" s="2">
        <v>2276373</v>
      </c>
      <c r="M15" s="11" t="s">
        <v>26</v>
      </c>
      <c r="N15" s="11">
        <v>143534</v>
      </c>
      <c r="O15" s="5" t="s">
        <v>25</v>
      </c>
      <c r="P15" s="2">
        <v>143534</v>
      </c>
      <c r="Q15" s="5" t="s">
        <v>25</v>
      </c>
      <c r="R15" s="2">
        <v>143534</v>
      </c>
      <c r="S15" s="6" t="s">
        <v>26</v>
      </c>
      <c r="T15" s="4">
        <v>143534</v>
      </c>
      <c r="U15" s="6" t="s">
        <v>42</v>
      </c>
      <c r="V15" s="4">
        <v>-143365</v>
      </c>
      <c r="W15" s="6" t="s">
        <v>26</v>
      </c>
      <c r="X15" s="24">
        <v>1569485</v>
      </c>
    </row>
    <row r="16" spans="1:24" x14ac:dyDescent="0.25">
      <c r="A16" s="22" t="s">
        <v>146</v>
      </c>
      <c r="B16" s="5">
        <v>52</v>
      </c>
      <c r="C16" s="2">
        <v>25</v>
      </c>
      <c r="D16" s="5">
        <v>301</v>
      </c>
      <c r="E16" s="2">
        <v>36</v>
      </c>
      <c r="F16" s="7">
        <v>48</v>
      </c>
      <c r="G16" s="2">
        <v>0</v>
      </c>
      <c r="H16" s="4">
        <v>-2</v>
      </c>
      <c r="I16" s="7" t="s">
        <v>26</v>
      </c>
      <c r="J16" s="2">
        <v>2837921</v>
      </c>
      <c r="K16" s="7" t="s">
        <v>26</v>
      </c>
      <c r="L16" s="2">
        <v>2132175</v>
      </c>
      <c r="M16" s="11" t="s">
        <v>26</v>
      </c>
      <c r="N16" s="11">
        <v>424793</v>
      </c>
      <c r="O16" s="5" t="s">
        <v>25</v>
      </c>
      <c r="P16" s="2">
        <v>424793</v>
      </c>
      <c r="Q16" s="5" t="s">
        <v>25</v>
      </c>
      <c r="R16" s="2">
        <v>424793</v>
      </c>
      <c r="S16" s="6" t="s">
        <v>42</v>
      </c>
      <c r="T16" s="4">
        <v>-143365</v>
      </c>
      <c r="U16" s="6" t="s">
        <v>42</v>
      </c>
      <c r="V16" s="4">
        <v>-143365</v>
      </c>
      <c r="W16" s="6" t="s">
        <v>26</v>
      </c>
      <c r="X16" s="24">
        <v>1271309</v>
      </c>
    </row>
    <row r="17" spans="1:24" x14ac:dyDescent="0.25">
      <c r="A17" s="25" t="s">
        <v>147</v>
      </c>
      <c r="B17" s="5">
        <v>52</v>
      </c>
      <c r="C17" s="2">
        <v>25</v>
      </c>
      <c r="D17" s="5">
        <v>336</v>
      </c>
      <c r="E17" s="2">
        <v>40</v>
      </c>
      <c r="F17" s="7">
        <v>49</v>
      </c>
      <c r="G17" s="2">
        <v>0</v>
      </c>
      <c r="H17" s="4">
        <v>-2</v>
      </c>
      <c r="I17" s="7" t="s">
        <v>26</v>
      </c>
      <c r="J17" s="2">
        <v>2554831</v>
      </c>
      <c r="K17" s="7" t="s">
        <v>26</v>
      </c>
      <c r="L17" s="2">
        <v>2123644</v>
      </c>
      <c r="M17" s="11" t="s">
        <v>26</v>
      </c>
      <c r="N17" s="11">
        <v>143534</v>
      </c>
      <c r="O17" s="5" t="s">
        <v>25</v>
      </c>
      <c r="P17" s="2">
        <v>143534</v>
      </c>
      <c r="Q17" s="5" t="s">
        <v>25</v>
      </c>
      <c r="R17" s="2">
        <v>143534</v>
      </c>
      <c r="S17" s="6" t="s">
        <v>26</v>
      </c>
      <c r="T17" s="4">
        <v>143534</v>
      </c>
      <c r="U17" s="6" t="s">
        <v>42</v>
      </c>
      <c r="V17" s="4">
        <v>-143365</v>
      </c>
      <c r="W17" s="6" t="s">
        <v>26</v>
      </c>
      <c r="X17" s="24">
        <v>143742</v>
      </c>
    </row>
    <row r="18" spans="1:24" x14ac:dyDescent="0.25">
      <c r="A18" s="25" t="s">
        <v>149</v>
      </c>
      <c r="B18" s="5">
        <v>45</v>
      </c>
      <c r="C18" s="2">
        <v>20</v>
      </c>
      <c r="D18" s="5">
        <v>258</v>
      </c>
      <c r="E18" s="2">
        <v>35</v>
      </c>
      <c r="F18" s="7">
        <v>41</v>
      </c>
      <c r="G18" s="2">
        <v>0</v>
      </c>
      <c r="H18" s="4">
        <v>-5</v>
      </c>
      <c r="I18" s="7" t="s">
        <v>25</v>
      </c>
      <c r="J18" s="2">
        <v>10</v>
      </c>
      <c r="K18" s="7" t="s">
        <v>26</v>
      </c>
      <c r="L18" s="2">
        <v>187712</v>
      </c>
      <c r="M18" s="11" t="s">
        <v>26</v>
      </c>
      <c r="N18" s="11">
        <v>10</v>
      </c>
      <c r="O18" s="5" t="s">
        <v>25</v>
      </c>
      <c r="P18" s="2">
        <v>10</v>
      </c>
      <c r="Q18" s="5" t="s">
        <v>25</v>
      </c>
      <c r="R18" s="2">
        <v>10</v>
      </c>
      <c r="S18" s="5" t="s">
        <v>25</v>
      </c>
      <c r="T18" s="2">
        <v>10</v>
      </c>
      <c r="U18" s="6" t="s">
        <v>42</v>
      </c>
      <c r="V18" s="4">
        <v>-93196</v>
      </c>
      <c r="W18" s="6" t="s">
        <v>25</v>
      </c>
      <c r="X18" s="24">
        <v>10</v>
      </c>
    </row>
    <row r="19" spans="1:24" x14ac:dyDescent="0.25">
      <c r="A19" s="25" t="s">
        <v>151</v>
      </c>
      <c r="B19" s="5">
        <v>45</v>
      </c>
      <c r="C19" s="2">
        <v>20</v>
      </c>
      <c r="D19" s="5">
        <v>257</v>
      </c>
      <c r="E19" s="2">
        <v>35</v>
      </c>
      <c r="F19" s="7">
        <v>43</v>
      </c>
      <c r="G19" s="2">
        <v>0</v>
      </c>
      <c r="H19" s="4">
        <v>-5</v>
      </c>
      <c r="I19" s="7" t="s">
        <v>25</v>
      </c>
      <c r="J19" s="2">
        <v>10</v>
      </c>
      <c r="K19" s="7" t="s">
        <v>26</v>
      </c>
      <c r="L19" s="2">
        <v>93750</v>
      </c>
      <c r="M19" s="11" t="s">
        <v>26</v>
      </c>
      <c r="N19" s="11">
        <v>10</v>
      </c>
      <c r="O19" s="5" t="s">
        <v>25</v>
      </c>
      <c r="P19" s="2">
        <v>10</v>
      </c>
      <c r="Q19" s="5" t="s">
        <v>25</v>
      </c>
      <c r="R19" s="2">
        <v>10</v>
      </c>
      <c r="S19" s="6" t="s">
        <v>25</v>
      </c>
      <c r="T19" s="4">
        <v>10</v>
      </c>
      <c r="U19" s="5" t="s">
        <v>26</v>
      </c>
      <c r="V19" s="2">
        <v>1744347</v>
      </c>
      <c r="W19" s="5" t="s">
        <v>25</v>
      </c>
      <c r="X19" s="23">
        <v>10</v>
      </c>
    </row>
    <row r="20" spans="1:24" x14ac:dyDescent="0.25">
      <c r="A20" s="25" t="s">
        <v>153</v>
      </c>
      <c r="B20" s="5">
        <v>52</v>
      </c>
      <c r="C20" s="2">
        <v>25</v>
      </c>
      <c r="D20" s="5">
        <v>300</v>
      </c>
      <c r="E20" s="2">
        <v>36</v>
      </c>
      <c r="F20" s="7">
        <v>39</v>
      </c>
      <c r="G20" s="2">
        <v>0</v>
      </c>
      <c r="H20" s="4">
        <v>-2</v>
      </c>
      <c r="I20" s="7" t="s">
        <v>26</v>
      </c>
      <c r="J20" s="2">
        <v>2708649</v>
      </c>
      <c r="K20" s="7" t="s">
        <v>26</v>
      </c>
      <c r="L20" s="2">
        <v>2137631</v>
      </c>
      <c r="M20" s="11" t="s">
        <v>26</v>
      </c>
      <c r="N20" s="11">
        <v>424793</v>
      </c>
      <c r="O20" s="5" t="s">
        <v>25</v>
      </c>
      <c r="P20" s="2">
        <v>424793</v>
      </c>
      <c r="Q20" s="5" t="s">
        <v>25</v>
      </c>
      <c r="R20" s="2">
        <v>424793</v>
      </c>
      <c r="S20" s="6" t="s">
        <v>42</v>
      </c>
      <c r="T20" s="4">
        <v>-143365</v>
      </c>
      <c r="U20" s="5" t="s">
        <v>42</v>
      </c>
      <c r="V20" s="2">
        <v>-143365</v>
      </c>
      <c r="W20" s="5" t="s">
        <v>26</v>
      </c>
      <c r="X20" s="23">
        <v>1414724</v>
      </c>
    </row>
    <row r="21" spans="1:24" x14ac:dyDescent="0.25">
      <c r="A21" s="22" t="s">
        <v>154</v>
      </c>
      <c r="B21" s="5">
        <v>52</v>
      </c>
      <c r="C21" s="2">
        <v>25</v>
      </c>
      <c r="D21" s="5">
        <v>301</v>
      </c>
      <c r="E21" s="2">
        <v>36</v>
      </c>
      <c r="F21" s="7">
        <v>48</v>
      </c>
      <c r="G21" s="2">
        <v>0</v>
      </c>
      <c r="H21" s="4">
        <v>-2</v>
      </c>
      <c r="I21" s="7" t="s">
        <v>26</v>
      </c>
      <c r="J21" s="2">
        <v>2837921</v>
      </c>
      <c r="K21" s="7" t="s">
        <v>26</v>
      </c>
      <c r="L21" s="2">
        <v>1558922</v>
      </c>
      <c r="M21" s="11" t="s">
        <v>26</v>
      </c>
      <c r="N21" s="11">
        <v>424793</v>
      </c>
      <c r="O21" s="5" t="s">
        <v>25</v>
      </c>
      <c r="P21" s="2">
        <v>424793</v>
      </c>
      <c r="Q21" s="5" t="s">
        <v>25</v>
      </c>
      <c r="R21" s="2">
        <v>424793</v>
      </c>
      <c r="S21" s="6" t="s">
        <v>42</v>
      </c>
      <c r="T21" s="4">
        <v>-143365</v>
      </c>
      <c r="U21" s="6" t="s">
        <v>42</v>
      </c>
      <c r="V21" s="4">
        <v>-143365</v>
      </c>
      <c r="W21" s="6" t="s">
        <v>26</v>
      </c>
      <c r="X21" s="24">
        <v>1695882</v>
      </c>
    </row>
    <row r="22" spans="1:24" x14ac:dyDescent="0.25">
      <c r="A22" s="22" t="s">
        <v>156</v>
      </c>
      <c r="B22" s="5">
        <v>45</v>
      </c>
      <c r="C22" s="2">
        <v>20</v>
      </c>
      <c r="D22" s="5">
        <v>259</v>
      </c>
      <c r="E22" s="2">
        <v>35</v>
      </c>
      <c r="F22" s="7">
        <v>45</v>
      </c>
      <c r="G22" s="2">
        <v>0</v>
      </c>
      <c r="H22" s="4">
        <v>-5</v>
      </c>
      <c r="I22" s="7" t="s">
        <v>25</v>
      </c>
      <c r="J22" s="2">
        <v>10</v>
      </c>
      <c r="K22" s="7" t="s">
        <v>26</v>
      </c>
      <c r="L22" s="2">
        <v>93249</v>
      </c>
      <c r="M22" s="11" t="s">
        <v>26</v>
      </c>
      <c r="N22" s="11">
        <v>10</v>
      </c>
      <c r="O22" s="5" t="s">
        <v>25</v>
      </c>
      <c r="P22" s="2">
        <v>10</v>
      </c>
      <c r="Q22" s="5" t="s">
        <v>25</v>
      </c>
      <c r="R22" s="2">
        <v>10</v>
      </c>
      <c r="S22" s="6" t="s">
        <v>25</v>
      </c>
      <c r="T22" s="4">
        <v>10</v>
      </c>
      <c r="U22" s="6" t="s">
        <v>26</v>
      </c>
      <c r="V22" s="4">
        <v>1475200</v>
      </c>
      <c r="W22" s="6" t="s">
        <v>25</v>
      </c>
      <c r="X22" s="24">
        <v>10</v>
      </c>
    </row>
    <row r="23" spans="1:24" x14ac:dyDescent="0.25">
      <c r="A23" s="22" t="s">
        <v>158</v>
      </c>
      <c r="B23" s="5">
        <v>54</v>
      </c>
      <c r="C23" s="2">
        <v>27</v>
      </c>
      <c r="D23" s="5">
        <v>228</v>
      </c>
      <c r="E23" s="2">
        <v>36</v>
      </c>
      <c r="F23" s="7">
        <v>63</v>
      </c>
      <c r="G23" s="2">
        <v>20</v>
      </c>
      <c r="H23" s="4">
        <v>0</v>
      </c>
      <c r="I23" s="7" t="s">
        <v>26</v>
      </c>
      <c r="J23" s="2">
        <v>1908920</v>
      </c>
      <c r="K23" s="7" t="s">
        <v>26</v>
      </c>
      <c r="L23" s="2">
        <v>1593771</v>
      </c>
      <c r="M23" s="11" t="s">
        <v>26</v>
      </c>
      <c r="N23" s="11">
        <v>160713</v>
      </c>
      <c r="O23" s="5" t="s">
        <v>25</v>
      </c>
      <c r="P23" s="2">
        <v>160713</v>
      </c>
      <c r="Q23" s="5" t="s">
        <v>25</v>
      </c>
      <c r="R23" s="2">
        <v>160713</v>
      </c>
      <c r="S23" s="6" t="s">
        <v>42</v>
      </c>
      <c r="T23" s="4">
        <v>-160435</v>
      </c>
      <c r="U23" s="6" t="s">
        <v>42</v>
      </c>
      <c r="V23" s="4">
        <v>-160435</v>
      </c>
      <c r="W23" s="6" t="s">
        <v>26</v>
      </c>
      <c r="X23" s="24">
        <v>475638</v>
      </c>
    </row>
    <row r="24" spans="1:24" x14ac:dyDescent="0.25">
      <c r="A24" s="25" t="s">
        <v>159</v>
      </c>
      <c r="B24" s="5">
        <v>48</v>
      </c>
      <c r="C24" s="2">
        <v>24</v>
      </c>
      <c r="D24" s="5">
        <v>194</v>
      </c>
      <c r="E24" s="2">
        <v>30</v>
      </c>
      <c r="F24" s="7">
        <v>55</v>
      </c>
      <c r="G24" s="2">
        <v>19</v>
      </c>
      <c r="H24" s="4">
        <v>0</v>
      </c>
      <c r="I24" s="7" t="s">
        <v>26</v>
      </c>
      <c r="J24" s="2">
        <v>1116349</v>
      </c>
      <c r="K24" s="7" t="s">
        <v>26</v>
      </c>
      <c r="L24" s="2">
        <v>560896</v>
      </c>
      <c r="M24" s="11" t="s">
        <v>26</v>
      </c>
      <c r="N24" s="11">
        <v>336826</v>
      </c>
      <c r="O24" s="5" t="s">
        <v>25</v>
      </c>
      <c r="P24" s="2">
        <v>336826</v>
      </c>
      <c r="Q24" s="5" t="s">
        <v>25</v>
      </c>
      <c r="R24" s="2">
        <v>336826</v>
      </c>
      <c r="S24" s="6" t="s">
        <v>42</v>
      </c>
      <c r="T24" s="4">
        <v>-112945</v>
      </c>
      <c r="U24" s="6" t="s">
        <v>26</v>
      </c>
      <c r="V24" s="4">
        <v>1678810</v>
      </c>
      <c r="W24" s="6" t="s">
        <v>26</v>
      </c>
      <c r="X24" s="24">
        <v>336969</v>
      </c>
    </row>
    <row r="25" spans="1:24" x14ac:dyDescent="0.25">
      <c r="A25" s="25" t="s">
        <v>161</v>
      </c>
      <c r="B25" s="5">
        <v>54</v>
      </c>
      <c r="C25" s="2">
        <v>27</v>
      </c>
      <c r="D25" s="5">
        <v>253</v>
      </c>
      <c r="E25" s="2">
        <v>34</v>
      </c>
      <c r="F25" s="7">
        <v>60</v>
      </c>
      <c r="G25" s="2">
        <v>28</v>
      </c>
      <c r="H25" s="4">
        <v>0</v>
      </c>
      <c r="I25" s="7" t="s">
        <v>25</v>
      </c>
      <c r="J25" s="2">
        <v>8</v>
      </c>
      <c r="K25" s="7" t="s">
        <v>26</v>
      </c>
      <c r="L25" s="2">
        <v>318506</v>
      </c>
      <c r="M25" s="11" t="s">
        <v>26</v>
      </c>
      <c r="N25" s="11">
        <v>8</v>
      </c>
      <c r="O25" s="5" t="s">
        <v>25</v>
      </c>
      <c r="P25" s="2">
        <v>8</v>
      </c>
      <c r="Q25" s="5" t="s">
        <v>25</v>
      </c>
      <c r="R25" s="2">
        <v>8</v>
      </c>
      <c r="S25" s="5" t="s">
        <v>25</v>
      </c>
      <c r="T25" s="2">
        <v>8</v>
      </c>
      <c r="U25" s="6" t="s">
        <v>42</v>
      </c>
      <c r="V25" s="4">
        <v>-160435</v>
      </c>
      <c r="W25" s="6" t="s">
        <v>25</v>
      </c>
      <c r="X25" s="24">
        <v>8</v>
      </c>
    </row>
    <row r="26" spans="1:24" x14ac:dyDescent="0.25">
      <c r="A26" s="25" t="s">
        <v>165</v>
      </c>
      <c r="B26" s="5">
        <v>54</v>
      </c>
      <c r="C26" s="2">
        <v>27</v>
      </c>
      <c r="D26" s="5">
        <v>239</v>
      </c>
      <c r="E26" s="2">
        <v>35</v>
      </c>
      <c r="F26" s="7">
        <v>64</v>
      </c>
      <c r="G26" s="2">
        <v>20</v>
      </c>
      <c r="H26" s="4">
        <v>0</v>
      </c>
      <c r="I26" s="7" t="s">
        <v>26</v>
      </c>
      <c r="J26" s="2">
        <v>1918142</v>
      </c>
      <c r="K26" s="7" t="s">
        <v>26</v>
      </c>
      <c r="L26" s="2">
        <v>1278407</v>
      </c>
      <c r="M26" s="11" t="s">
        <v>26</v>
      </c>
      <c r="N26" s="11">
        <v>160713</v>
      </c>
      <c r="O26" s="5" t="s">
        <v>25</v>
      </c>
      <c r="P26" s="2">
        <v>160713</v>
      </c>
      <c r="Q26" s="5" t="s">
        <v>25</v>
      </c>
      <c r="R26" s="2">
        <v>160713</v>
      </c>
      <c r="S26" s="6" t="s">
        <v>42</v>
      </c>
      <c r="T26" s="4">
        <v>-160435</v>
      </c>
      <c r="U26" s="5" t="s">
        <v>42</v>
      </c>
      <c r="V26" s="2">
        <v>-160435</v>
      </c>
      <c r="W26" s="5" t="s">
        <v>26</v>
      </c>
      <c r="X26" s="23">
        <v>1744477</v>
      </c>
    </row>
    <row r="27" spans="1:24" x14ac:dyDescent="0.25">
      <c r="A27" s="22" t="s">
        <v>166</v>
      </c>
      <c r="B27" s="5">
        <v>48</v>
      </c>
      <c r="C27" s="2">
        <v>24</v>
      </c>
      <c r="D27" s="5">
        <v>194</v>
      </c>
      <c r="E27" s="2">
        <v>30</v>
      </c>
      <c r="F27" s="7">
        <v>57</v>
      </c>
      <c r="G27" s="2">
        <v>19</v>
      </c>
      <c r="H27" s="4">
        <v>0</v>
      </c>
      <c r="I27" s="7" t="s">
        <v>26</v>
      </c>
      <c r="J27" s="2">
        <v>1125996</v>
      </c>
      <c r="K27" s="7" t="s">
        <v>26</v>
      </c>
      <c r="L27" s="2">
        <v>671673</v>
      </c>
      <c r="M27" s="12" t="s">
        <v>26</v>
      </c>
      <c r="N27" s="12">
        <v>336826</v>
      </c>
      <c r="O27" s="5" t="s">
        <v>25</v>
      </c>
      <c r="P27" s="2">
        <v>336826</v>
      </c>
      <c r="Q27" s="5" t="s">
        <v>25</v>
      </c>
      <c r="R27" s="2">
        <v>336826</v>
      </c>
      <c r="S27" s="6" t="s">
        <v>26</v>
      </c>
      <c r="T27" s="4">
        <v>337017</v>
      </c>
      <c r="U27" s="6" t="s">
        <v>42</v>
      </c>
      <c r="V27" s="4">
        <v>-112945</v>
      </c>
      <c r="W27" s="5" t="s">
        <v>26</v>
      </c>
      <c r="X27" s="23">
        <v>447609</v>
      </c>
    </row>
    <row r="28" spans="1:24" x14ac:dyDescent="0.25">
      <c r="A28" s="25" t="s">
        <v>167</v>
      </c>
      <c r="B28" s="5">
        <v>36</v>
      </c>
      <c r="C28" s="2">
        <v>18</v>
      </c>
      <c r="D28" s="5">
        <v>195</v>
      </c>
      <c r="E28" s="2">
        <v>22</v>
      </c>
      <c r="F28" s="7">
        <v>20</v>
      </c>
      <c r="G28" s="2">
        <v>6</v>
      </c>
      <c r="H28" s="4">
        <v>0</v>
      </c>
      <c r="I28" s="7" t="s">
        <v>25</v>
      </c>
      <c r="J28" s="2">
        <v>191093</v>
      </c>
      <c r="K28" s="7" t="s">
        <v>25</v>
      </c>
      <c r="L28" s="2">
        <v>191093</v>
      </c>
      <c r="M28" s="11" t="s">
        <v>26</v>
      </c>
      <c r="N28" s="11">
        <v>191093</v>
      </c>
      <c r="O28" s="5" t="s">
        <v>25</v>
      </c>
      <c r="P28" s="2">
        <v>191093</v>
      </c>
      <c r="Q28" s="5" t="s">
        <v>25</v>
      </c>
      <c r="R28" s="2">
        <v>191093</v>
      </c>
      <c r="S28" s="5" t="s">
        <v>26</v>
      </c>
      <c r="T28" s="2">
        <v>191094</v>
      </c>
      <c r="U28" s="5" t="s">
        <v>26</v>
      </c>
      <c r="V28" s="2">
        <v>659135</v>
      </c>
      <c r="W28" s="6" t="s">
        <v>26</v>
      </c>
      <c r="X28" s="24">
        <v>191167</v>
      </c>
    </row>
    <row r="29" spans="1:24" x14ac:dyDescent="0.25">
      <c r="A29" s="22" t="s">
        <v>168</v>
      </c>
      <c r="B29" s="5">
        <v>54</v>
      </c>
      <c r="C29" s="2">
        <v>27</v>
      </c>
      <c r="D29" s="5">
        <v>253</v>
      </c>
      <c r="E29" s="2">
        <v>34</v>
      </c>
      <c r="F29" s="7">
        <v>61</v>
      </c>
      <c r="G29" s="2">
        <v>28</v>
      </c>
      <c r="H29" s="4">
        <v>0</v>
      </c>
      <c r="I29" s="7" t="s">
        <v>25</v>
      </c>
      <c r="J29" s="2">
        <v>8</v>
      </c>
      <c r="K29" s="7" t="s">
        <v>26</v>
      </c>
      <c r="L29" s="2">
        <v>318557</v>
      </c>
      <c r="M29" s="12" t="s">
        <v>26</v>
      </c>
      <c r="N29" s="12">
        <v>8</v>
      </c>
      <c r="O29" s="5" t="s">
        <v>25</v>
      </c>
      <c r="P29" s="2">
        <v>8</v>
      </c>
      <c r="Q29" s="5" t="s">
        <v>25</v>
      </c>
      <c r="R29" s="2">
        <v>8</v>
      </c>
      <c r="S29" s="6" t="s">
        <v>25</v>
      </c>
      <c r="T29" s="4">
        <v>8</v>
      </c>
      <c r="U29" s="6" t="s">
        <v>42</v>
      </c>
      <c r="V29" s="4">
        <v>-160435</v>
      </c>
      <c r="W29" s="6" t="s">
        <v>25</v>
      </c>
      <c r="X29" s="24">
        <v>8</v>
      </c>
    </row>
    <row r="30" spans="1:24" x14ac:dyDescent="0.25">
      <c r="A30" s="25" t="s">
        <v>169</v>
      </c>
      <c r="B30" s="5">
        <v>54</v>
      </c>
      <c r="C30" s="2">
        <v>27</v>
      </c>
      <c r="D30" s="5">
        <v>301</v>
      </c>
      <c r="E30" s="2">
        <v>33</v>
      </c>
      <c r="F30" s="7">
        <v>62</v>
      </c>
      <c r="G30" s="2">
        <v>28</v>
      </c>
      <c r="H30" s="4">
        <v>0</v>
      </c>
      <c r="I30" s="7" t="s">
        <v>25</v>
      </c>
      <c r="J30" s="2">
        <v>10</v>
      </c>
      <c r="K30" s="7" t="s">
        <v>26</v>
      </c>
      <c r="L30" s="2">
        <v>160496</v>
      </c>
      <c r="M30" s="11" t="s">
        <v>26</v>
      </c>
      <c r="N30" s="11">
        <v>10</v>
      </c>
      <c r="O30" s="5" t="s">
        <v>25</v>
      </c>
      <c r="P30" s="2">
        <v>10</v>
      </c>
      <c r="Q30" s="5" t="s">
        <v>25</v>
      </c>
      <c r="R30" s="2">
        <v>10</v>
      </c>
      <c r="S30" s="5" t="s">
        <v>25</v>
      </c>
      <c r="T30" s="2">
        <v>10</v>
      </c>
      <c r="U30" s="6" t="s">
        <v>42</v>
      </c>
      <c r="V30" s="4">
        <v>-160435</v>
      </c>
      <c r="W30" s="6" t="s">
        <v>25</v>
      </c>
      <c r="X30" s="24">
        <v>10</v>
      </c>
    </row>
    <row r="31" spans="1:24" x14ac:dyDescent="0.25">
      <c r="A31" s="22" t="s">
        <v>178</v>
      </c>
      <c r="B31" s="5">
        <v>48</v>
      </c>
      <c r="C31" s="2">
        <v>24</v>
      </c>
      <c r="D31" s="5">
        <v>222</v>
      </c>
      <c r="E31" s="2">
        <v>39</v>
      </c>
      <c r="F31" s="7">
        <v>37</v>
      </c>
      <c r="G31" s="2">
        <v>0</v>
      </c>
      <c r="H31" s="4">
        <v>0</v>
      </c>
      <c r="I31" s="7" t="s">
        <v>26</v>
      </c>
      <c r="J31" s="2">
        <v>1789798</v>
      </c>
      <c r="K31" s="7" t="s">
        <v>26</v>
      </c>
      <c r="L31" s="2">
        <v>1236837</v>
      </c>
      <c r="M31" s="12" t="s">
        <v>26</v>
      </c>
      <c r="N31" s="12">
        <v>671241</v>
      </c>
      <c r="O31" s="5" t="s">
        <v>25</v>
      </c>
      <c r="P31" s="2">
        <v>671241</v>
      </c>
      <c r="Q31" s="5" t="s">
        <v>25</v>
      </c>
      <c r="R31" s="2">
        <v>671241</v>
      </c>
      <c r="S31" s="6" t="s">
        <v>42</v>
      </c>
      <c r="T31" s="4">
        <v>-112945</v>
      </c>
      <c r="U31" s="5" t="s">
        <v>26</v>
      </c>
      <c r="V31" s="2">
        <v>2572819</v>
      </c>
      <c r="W31" s="6" t="s">
        <v>26</v>
      </c>
      <c r="X31" s="24">
        <v>2003049</v>
      </c>
    </row>
    <row r="32" spans="1:24" x14ac:dyDescent="0.25">
      <c r="A32" s="22" t="s">
        <v>180</v>
      </c>
      <c r="B32" s="5">
        <v>48</v>
      </c>
      <c r="C32" s="2">
        <v>24</v>
      </c>
      <c r="D32" s="5">
        <v>222</v>
      </c>
      <c r="E32" s="2">
        <v>39</v>
      </c>
      <c r="F32" s="7">
        <v>37</v>
      </c>
      <c r="G32" s="2">
        <v>0</v>
      </c>
      <c r="H32" s="4">
        <v>0</v>
      </c>
      <c r="I32" s="7" t="s">
        <v>26</v>
      </c>
      <c r="J32" s="2">
        <v>1789798</v>
      </c>
      <c r="K32" s="7" t="s">
        <v>26</v>
      </c>
      <c r="L32" s="2">
        <v>1236837</v>
      </c>
      <c r="M32" s="11" t="s">
        <v>26</v>
      </c>
      <c r="N32" s="11">
        <v>671241</v>
      </c>
      <c r="O32" s="5" t="s">
        <v>25</v>
      </c>
      <c r="P32" s="2">
        <v>671241</v>
      </c>
      <c r="Q32" s="5" t="s">
        <v>25</v>
      </c>
      <c r="R32" s="2">
        <v>671241</v>
      </c>
      <c r="S32" s="6" t="s">
        <v>42</v>
      </c>
      <c r="T32" s="4">
        <v>-112945</v>
      </c>
      <c r="U32" s="6" t="s">
        <v>42</v>
      </c>
      <c r="V32" s="4">
        <v>-112945</v>
      </c>
      <c r="W32" s="6" t="s">
        <v>26</v>
      </c>
      <c r="X32" s="24">
        <v>1897024</v>
      </c>
    </row>
    <row r="33" spans="1:24" x14ac:dyDescent="0.25">
      <c r="A33" s="25" t="s">
        <v>185</v>
      </c>
      <c r="B33" s="5">
        <v>24</v>
      </c>
      <c r="C33" s="2">
        <v>12</v>
      </c>
      <c r="D33" s="5">
        <v>45</v>
      </c>
      <c r="E33" s="2">
        <v>17</v>
      </c>
      <c r="F33" s="7">
        <v>14</v>
      </c>
      <c r="G33" s="2">
        <v>0</v>
      </c>
      <c r="H33" s="4">
        <v>0</v>
      </c>
      <c r="I33" s="7" t="s">
        <v>25</v>
      </c>
      <c r="J33" s="2">
        <v>55925</v>
      </c>
      <c r="K33" s="7" t="s">
        <v>25</v>
      </c>
      <c r="L33" s="2">
        <v>55925</v>
      </c>
      <c r="M33" s="11" t="s">
        <v>26</v>
      </c>
      <c r="N33" s="11">
        <v>55925</v>
      </c>
      <c r="O33" s="5" t="s">
        <v>25</v>
      </c>
      <c r="P33" s="2">
        <v>55925</v>
      </c>
      <c r="Q33" s="5" t="s">
        <v>25</v>
      </c>
      <c r="R33" s="2">
        <v>55925</v>
      </c>
      <c r="S33" s="6" t="s">
        <v>25</v>
      </c>
      <c r="T33" s="4">
        <v>55925</v>
      </c>
      <c r="U33" s="6" t="s">
        <v>26</v>
      </c>
      <c r="V33" s="4">
        <v>55975</v>
      </c>
      <c r="W33" s="6" t="s">
        <v>26</v>
      </c>
      <c r="X33" s="24">
        <v>55926</v>
      </c>
    </row>
    <row r="34" spans="1:24" x14ac:dyDescent="0.25">
      <c r="A34" s="25" t="s">
        <v>191</v>
      </c>
      <c r="B34" s="5">
        <v>58</v>
      </c>
      <c r="C34" s="2">
        <v>29</v>
      </c>
      <c r="D34" s="5">
        <v>449</v>
      </c>
      <c r="E34" s="2">
        <v>36</v>
      </c>
      <c r="F34" s="7">
        <v>58</v>
      </c>
      <c r="G34" s="2">
        <v>0</v>
      </c>
      <c r="H34" s="4">
        <v>0</v>
      </c>
      <c r="I34" s="7" t="s">
        <v>26</v>
      </c>
      <c r="J34" s="2">
        <v>4327861</v>
      </c>
      <c r="K34" s="7" t="s">
        <v>26</v>
      </c>
      <c r="L34" s="2">
        <v>4728933</v>
      </c>
      <c r="M34" s="11" t="s">
        <v>26</v>
      </c>
      <c r="N34" s="11">
        <v>1376702</v>
      </c>
      <c r="O34" s="5" t="s">
        <v>25</v>
      </c>
      <c r="P34" s="2">
        <v>1376702</v>
      </c>
      <c r="Q34" s="5" t="s">
        <v>25</v>
      </c>
      <c r="R34" s="2">
        <v>1376702</v>
      </c>
      <c r="S34" s="6" t="s">
        <v>42</v>
      </c>
      <c r="T34" s="4">
        <v>-198535</v>
      </c>
      <c r="U34" s="5" t="s">
        <v>42</v>
      </c>
      <c r="V34" s="2">
        <v>-198535</v>
      </c>
      <c r="W34" s="5" t="s">
        <v>26</v>
      </c>
      <c r="X34" s="23">
        <v>5693941</v>
      </c>
    </row>
    <row r="35" spans="1:24" x14ac:dyDescent="0.25">
      <c r="A35" s="22" t="s">
        <v>192</v>
      </c>
      <c r="B35" s="5">
        <v>58</v>
      </c>
      <c r="C35" s="2">
        <v>29</v>
      </c>
      <c r="D35" s="5">
        <v>449</v>
      </c>
      <c r="E35" s="2">
        <v>36</v>
      </c>
      <c r="F35" s="7">
        <v>58</v>
      </c>
      <c r="G35" s="2">
        <v>0</v>
      </c>
      <c r="H35" s="4">
        <v>0</v>
      </c>
      <c r="I35" s="7" t="s">
        <v>26</v>
      </c>
      <c r="J35" s="2">
        <v>4327861</v>
      </c>
      <c r="K35" s="7" t="s">
        <v>26</v>
      </c>
      <c r="L35" s="2">
        <v>4735481</v>
      </c>
      <c r="M35" s="11" t="s">
        <v>26</v>
      </c>
      <c r="N35" s="11">
        <v>1376702</v>
      </c>
      <c r="O35" s="5" t="s">
        <v>25</v>
      </c>
      <c r="P35" s="2">
        <v>1376702</v>
      </c>
      <c r="Q35" s="5" t="s">
        <v>25</v>
      </c>
      <c r="R35" s="2">
        <v>1376702</v>
      </c>
      <c r="S35" s="6" t="s">
        <v>42</v>
      </c>
      <c r="T35" s="4">
        <v>-198535</v>
      </c>
      <c r="U35" s="6" t="s">
        <v>42</v>
      </c>
      <c r="V35" s="4">
        <v>-198535</v>
      </c>
      <c r="W35" s="6" t="s">
        <v>26</v>
      </c>
      <c r="X35" s="24">
        <v>5296466</v>
      </c>
    </row>
    <row r="36" spans="1:24" x14ac:dyDescent="0.25">
      <c r="A36" s="22" t="s">
        <v>194</v>
      </c>
      <c r="B36" s="5">
        <v>58</v>
      </c>
      <c r="C36" s="2">
        <v>29</v>
      </c>
      <c r="D36" s="5">
        <v>434</v>
      </c>
      <c r="E36" s="2">
        <v>33</v>
      </c>
      <c r="F36" s="7">
        <v>48</v>
      </c>
      <c r="G36" s="2">
        <v>0</v>
      </c>
      <c r="H36" s="4">
        <v>0</v>
      </c>
      <c r="I36" s="7" t="s">
        <v>26</v>
      </c>
      <c r="J36" s="2">
        <v>4519484</v>
      </c>
      <c r="K36" s="7" t="s">
        <v>26</v>
      </c>
      <c r="L36" s="2">
        <v>4916968</v>
      </c>
      <c r="M36" s="11" t="s">
        <v>26</v>
      </c>
      <c r="N36" s="11">
        <v>1567928</v>
      </c>
      <c r="O36" s="5" t="s">
        <v>25</v>
      </c>
      <c r="P36" s="2">
        <v>1567928</v>
      </c>
      <c r="Q36" s="5" t="s">
        <v>25</v>
      </c>
      <c r="R36" s="2">
        <v>1567928</v>
      </c>
      <c r="S36" s="6" t="s">
        <v>42</v>
      </c>
      <c r="T36" s="4">
        <v>-198535</v>
      </c>
      <c r="U36" s="6" t="s">
        <v>42</v>
      </c>
      <c r="V36" s="4">
        <v>-198535</v>
      </c>
      <c r="W36" s="6" t="s">
        <v>26</v>
      </c>
      <c r="X36" s="24">
        <v>4917017</v>
      </c>
    </row>
    <row r="37" spans="1:24" x14ac:dyDescent="0.25">
      <c r="A37" s="22" t="s">
        <v>220</v>
      </c>
      <c r="B37" s="5">
        <v>38</v>
      </c>
      <c r="C37" s="2">
        <v>19</v>
      </c>
      <c r="D37" s="5">
        <v>137</v>
      </c>
      <c r="E37" s="2">
        <v>27</v>
      </c>
      <c r="F37" s="7">
        <v>20</v>
      </c>
      <c r="G37" s="2">
        <v>0</v>
      </c>
      <c r="H37" s="4">
        <v>0</v>
      </c>
      <c r="I37" s="7" t="s">
        <v>25</v>
      </c>
      <c r="J37" s="2">
        <v>8</v>
      </c>
      <c r="K37" s="7" t="s">
        <v>25</v>
      </c>
      <c r="L37" s="2">
        <v>8</v>
      </c>
      <c r="M37" s="11" t="s">
        <v>26</v>
      </c>
      <c r="N37" s="11">
        <v>8</v>
      </c>
      <c r="O37" s="5" t="s">
        <v>25</v>
      </c>
      <c r="P37" s="2">
        <v>8</v>
      </c>
      <c r="Q37" s="5" t="s">
        <v>25</v>
      </c>
      <c r="R37" s="2">
        <v>8</v>
      </c>
      <c r="S37" s="6" t="s">
        <v>25</v>
      </c>
      <c r="T37" s="4">
        <v>8</v>
      </c>
      <c r="U37" s="6" t="s">
        <v>26</v>
      </c>
      <c r="V37" s="4">
        <v>719618</v>
      </c>
      <c r="W37" s="6" t="s">
        <v>25</v>
      </c>
      <c r="X37" s="24">
        <v>8</v>
      </c>
    </row>
    <row r="38" spans="1:24" x14ac:dyDescent="0.25">
      <c r="A38" s="22" t="s">
        <v>232</v>
      </c>
      <c r="B38" s="5">
        <v>64</v>
      </c>
      <c r="C38" s="2">
        <v>32</v>
      </c>
      <c r="D38" s="5">
        <v>264</v>
      </c>
      <c r="E38" s="2">
        <v>50</v>
      </c>
      <c r="F38" s="7">
        <v>47</v>
      </c>
      <c r="G38" s="2">
        <v>0</v>
      </c>
      <c r="H38" s="4">
        <v>0</v>
      </c>
      <c r="I38" s="7" t="s">
        <v>26</v>
      </c>
      <c r="J38" s="2">
        <v>7944850</v>
      </c>
      <c r="K38" s="7" t="s">
        <v>26</v>
      </c>
      <c r="L38" s="2">
        <v>7420575</v>
      </c>
      <c r="M38" s="11" t="s">
        <v>26</v>
      </c>
      <c r="N38" s="11">
        <v>1065801</v>
      </c>
      <c r="O38" s="5" t="s">
        <v>25</v>
      </c>
      <c r="P38" s="2">
        <v>1065801</v>
      </c>
      <c r="Q38" s="5" t="s">
        <v>25</v>
      </c>
      <c r="R38" s="2">
        <v>1065801</v>
      </c>
      <c r="S38" s="6" t="s">
        <v>42</v>
      </c>
      <c r="T38" s="4">
        <v>-266305</v>
      </c>
      <c r="U38" s="6" t="s">
        <v>42</v>
      </c>
      <c r="V38" s="4">
        <v>-266305</v>
      </c>
      <c r="W38" s="6" t="s">
        <v>26</v>
      </c>
      <c r="X38" s="24">
        <v>8458008</v>
      </c>
    </row>
    <row r="39" spans="1:24" x14ac:dyDescent="0.25">
      <c r="A39" s="25" t="s">
        <v>233</v>
      </c>
      <c r="B39" s="5">
        <v>56</v>
      </c>
      <c r="C39" s="2">
        <v>28</v>
      </c>
      <c r="D39" s="5">
        <v>207</v>
      </c>
      <c r="E39" s="2">
        <v>43</v>
      </c>
      <c r="F39" s="7">
        <v>42</v>
      </c>
      <c r="G39" s="2">
        <v>0</v>
      </c>
      <c r="H39" s="4">
        <v>0</v>
      </c>
      <c r="I39" s="7" t="s">
        <v>26</v>
      </c>
      <c r="J39" s="2">
        <v>3903719</v>
      </c>
      <c r="K39" s="7" t="s">
        <v>26</v>
      </c>
      <c r="L39" s="2">
        <v>3197392</v>
      </c>
      <c r="M39" s="11" t="s">
        <v>26</v>
      </c>
      <c r="N39" s="11">
        <v>715743</v>
      </c>
      <c r="O39" s="5" t="s">
        <v>25</v>
      </c>
      <c r="P39" s="2">
        <v>715743</v>
      </c>
      <c r="Q39" s="5" t="s">
        <v>25</v>
      </c>
      <c r="R39" s="2">
        <v>715743</v>
      </c>
      <c r="S39" s="6" t="s">
        <v>42</v>
      </c>
      <c r="T39" s="4">
        <v>-178809</v>
      </c>
      <c r="U39" s="5" t="s">
        <v>42</v>
      </c>
      <c r="V39" s="2">
        <v>-178809</v>
      </c>
      <c r="W39" s="5" t="s">
        <v>26</v>
      </c>
      <c r="X39" s="23">
        <v>3522633</v>
      </c>
    </row>
    <row r="40" spans="1:24" x14ac:dyDescent="0.25">
      <c r="A40" s="22" t="s">
        <v>234</v>
      </c>
      <c r="B40" s="5">
        <v>56</v>
      </c>
      <c r="C40" s="2">
        <v>28</v>
      </c>
      <c r="D40" s="5">
        <v>207</v>
      </c>
      <c r="E40" s="2">
        <v>43</v>
      </c>
      <c r="F40" s="7">
        <v>34</v>
      </c>
      <c r="G40" s="2">
        <v>0</v>
      </c>
      <c r="H40" s="4">
        <v>0</v>
      </c>
      <c r="I40" s="7" t="s">
        <v>26</v>
      </c>
      <c r="J40" s="2">
        <v>3740828</v>
      </c>
      <c r="K40" s="7" t="s">
        <v>26</v>
      </c>
      <c r="L40" s="2">
        <v>3728170</v>
      </c>
      <c r="M40" s="12" t="s">
        <v>26</v>
      </c>
      <c r="N40" s="12">
        <v>715743</v>
      </c>
      <c r="O40" s="5" t="s">
        <v>25</v>
      </c>
      <c r="P40" s="2">
        <v>715743</v>
      </c>
      <c r="Q40" s="5" t="s">
        <v>25</v>
      </c>
      <c r="R40" s="2">
        <v>715743</v>
      </c>
      <c r="S40" s="6" t="s">
        <v>42</v>
      </c>
      <c r="T40" s="4">
        <v>-178809</v>
      </c>
      <c r="U40" s="5" t="s">
        <v>42</v>
      </c>
      <c r="V40" s="2">
        <v>-178809</v>
      </c>
      <c r="W40" s="6" t="s">
        <v>42</v>
      </c>
      <c r="X40" s="24">
        <v>-178809</v>
      </c>
    </row>
    <row r="41" spans="1:24" x14ac:dyDescent="0.25">
      <c r="A41" s="25" t="s">
        <v>235</v>
      </c>
      <c r="B41" s="5">
        <v>56</v>
      </c>
      <c r="C41" s="2">
        <v>28</v>
      </c>
      <c r="D41" s="5">
        <v>207</v>
      </c>
      <c r="E41" s="2">
        <v>43</v>
      </c>
      <c r="F41" s="7">
        <v>31</v>
      </c>
      <c r="G41" s="2">
        <v>0</v>
      </c>
      <c r="H41" s="4">
        <v>0</v>
      </c>
      <c r="I41" s="7" t="s">
        <v>26</v>
      </c>
      <c r="J41" s="2">
        <v>4095139</v>
      </c>
      <c r="K41" s="7" t="s">
        <v>26</v>
      </c>
      <c r="L41" s="2">
        <v>3714828</v>
      </c>
      <c r="M41" s="11" t="s">
        <v>26</v>
      </c>
      <c r="N41" s="11">
        <v>715743</v>
      </c>
      <c r="O41" s="5" t="s">
        <v>25</v>
      </c>
      <c r="P41" s="2">
        <v>715743</v>
      </c>
      <c r="Q41" s="5" t="s">
        <v>25</v>
      </c>
      <c r="R41" s="2">
        <v>715743</v>
      </c>
      <c r="S41" s="6" t="s">
        <v>42</v>
      </c>
      <c r="T41" s="4">
        <v>-178809</v>
      </c>
      <c r="U41" s="5" t="s">
        <v>42</v>
      </c>
      <c r="V41" s="2">
        <v>-178809</v>
      </c>
      <c r="W41" s="5" t="s">
        <v>26</v>
      </c>
      <c r="X41" s="23">
        <v>4244483</v>
      </c>
    </row>
    <row r="42" spans="1:24" x14ac:dyDescent="0.25">
      <c r="A42" s="22" t="s">
        <v>238</v>
      </c>
      <c r="B42" s="5">
        <v>56</v>
      </c>
      <c r="C42" s="2">
        <v>28</v>
      </c>
      <c r="D42" s="5">
        <v>255</v>
      </c>
      <c r="E42" s="2">
        <v>42</v>
      </c>
      <c r="F42" s="7">
        <v>28</v>
      </c>
      <c r="G42" s="2">
        <v>0</v>
      </c>
      <c r="H42" s="4">
        <v>0</v>
      </c>
      <c r="I42" s="7" t="s">
        <v>26</v>
      </c>
      <c r="J42" s="2">
        <v>4094795</v>
      </c>
      <c r="K42" s="7" t="s">
        <v>26</v>
      </c>
      <c r="L42" s="2">
        <v>3906352</v>
      </c>
      <c r="M42" s="12" t="s">
        <v>26</v>
      </c>
      <c r="N42" s="12">
        <v>715799</v>
      </c>
      <c r="O42" s="5" t="s">
        <v>25</v>
      </c>
      <c r="P42" s="2">
        <v>715799</v>
      </c>
      <c r="Q42" s="5" t="s">
        <v>25</v>
      </c>
      <c r="R42" s="2">
        <v>715799</v>
      </c>
      <c r="S42" s="6" t="s">
        <v>42</v>
      </c>
      <c r="T42" s="4">
        <v>-178809</v>
      </c>
      <c r="U42" s="5" t="s">
        <v>26</v>
      </c>
      <c r="V42" s="2">
        <v>4982737</v>
      </c>
      <c r="W42" s="6" t="s">
        <v>26</v>
      </c>
      <c r="X42" s="24">
        <v>3900302</v>
      </c>
    </row>
    <row r="43" spans="1:24" x14ac:dyDescent="0.25">
      <c r="A43" s="25" t="s">
        <v>245</v>
      </c>
      <c r="B43" s="5">
        <v>56</v>
      </c>
      <c r="C43" s="2">
        <v>28</v>
      </c>
      <c r="D43" s="5">
        <v>249</v>
      </c>
      <c r="E43" s="2">
        <v>39</v>
      </c>
      <c r="F43" s="7">
        <v>33</v>
      </c>
      <c r="G43" s="2">
        <v>0</v>
      </c>
      <c r="H43" s="4">
        <v>0</v>
      </c>
      <c r="I43" s="7" t="s">
        <v>26</v>
      </c>
      <c r="J43" s="2">
        <v>2303406</v>
      </c>
      <c r="K43" s="7" t="s">
        <v>26</v>
      </c>
      <c r="L43" s="2">
        <v>3024634</v>
      </c>
      <c r="M43" s="11" t="s">
        <v>26</v>
      </c>
      <c r="N43" s="11">
        <v>13</v>
      </c>
      <c r="O43" s="5" t="s">
        <v>25</v>
      </c>
      <c r="P43" s="2">
        <v>13</v>
      </c>
      <c r="Q43" s="5" t="s">
        <v>25</v>
      </c>
      <c r="R43" s="2">
        <v>13</v>
      </c>
      <c r="S43" s="6" t="s">
        <v>42</v>
      </c>
      <c r="T43" s="4">
        <v>-178809</v>
      </c>
      <c r="U43" s="5" t="s">
        <v>42</v>
      </c>
      <c r="V43" s="2">
        <v>-178809</v>
      </c>
      <c r="W43" s="6" t="s">
        <v>25</v>
      </c>
      <c r="X43" s="24">
        <v>13</v>
      </c>
    </row>
    <row r="44" spans="1:24" x14ac:dyDescent="0.25">
      <c r="A44" s="25" t="s">
        <v>265</v>
      </c>
      <c r="B44" s="5">
        <v>67</v>
      </c>
      <c r="C44" s="2">
        <v>31</v>
      </c>
      <c r="D44" s="5">
        <v>800</v>
      </c>
      <c r="E44" s="2">
        <v>35</v>
      </c>
      <c r="F44" s="7">
        <v>34</v>
      </c>
      <c r="G44" s="2">
        <v>0</v>
      </c>
      <c r="H44" s="4">
        <v>-5</v>
      </c>
      <c r="I44" s="7" t="s">
        <v>26</v>
      </c>
      <c r="J44" s="2">
        <v>7584895</v>
      </c>
      <c r="K44" s="7" t="s">
        <v>26</v>
      </c>
      <c r="L44" s="2">
        <v>8217904</v>
      </c>
      <c r="M44" s="11" t="s">
        <v>26</v>
      </c>
      <c r="N44" s="11">
        <v>606155</v>
      </c>
      <c r="O44" s="5" t="s">
        <v>25</v>
      </c>
      <c r="P44" s="2">
        <v>606155</v>
      </c>
      <c r="Q44" s="5" t="s">
        <v>25</v>
      </c>
      <c r="R44" s="2">
        <v>606155</v>
      </c>
      <c r="S44" s="6" t="s">
        <v>42</v>
      </c>
      <c r="T44" s="4">
        <v>-305320</v>
      </c>
      <c r="U44" s="6" t="s">
        <v>42</v>
      </c>
      <c r="V44" s="4">
        <v>-305320</v>
      </c>
      <c r="W44" s="6" t="s">
        <v>42</v>
      </c>
      <c r="X44" s="24">
        <v>-305320</v>
      </c>
    </row>
    <row r="45" spans="1:24" x14ac:dyDescent="0.25">
      <c r="A45" s="25" t="s">
        <v>267</v>
      </c>
      <c r="B45" s="5">
        <v>65</v>
      </c>
      <c r="C45" s="2">
        <v>30</v>
      </c>
      <c r="D45" s="5">
        <v>750</v>
      </c>
      <c r="E45" s="2">
        <v>33</v>
      </c>
      <c r="F45" s="7">
        <v>42</v>
      </c>
      <c r="G45" s="2">
        <v>0</v>
      </c>
      <c r="H45" s="4">
        <v>-5</v>
      </c>
      <c r="I45" s="7" t="s">
        <v>26</v>
      </c>
      <c r="J45" s="2">
        <v>7193831</v>
      </c>
      <c r="K45" s="7" t="s">
        <v>26</v>
      </c>
      <c r="L45" s="2">
        <v>4988897</v>
      </c>
      <c r="M45" s="11" t="s">
        <v>26</v>
      </c>
      <c r="N45" s="11">
        <v>553610</v>
      </c>
      <c r="O45" s="5" t="s">
        <v>25</v>
      </c>
      <c r="P45" s="2">
        <v>553610</v>
      </c>
      <c r="Q45" s="5" t="s">
        <v>25</v>
      </c>
      <c r="R45" s="2">
        <v>553610</v>
      </c>
      <c r="S45" s="6" t="s">
        <v>42</v>
      </c>
      <c r="T45" s="4">
        <v>-278916</v>
      </c>
      <c r="U45" s="5" t="s">
        <v>42</v>
      </c>
      <c r="V45" s="2">
        <v>-278916</v>
      </c>
      <c r="W45" s="5" t="s">
        <v>26</v>
      </c>
      <c r="X45" s="23">
        <v>7188754</v>
      </c>
    </row>
    <row r="46" spans="1:24" x14ac:dyDescent="0.25">
      <c r="A46" s="22" t="s">
        <v>270</v>
      </c>
      <c r="B46" s="5">
        <v>67</v>
      </c>
      <c r="C46" s="2">
        <v>31</v>
      </c>
      <c r="D46" s="5">
        <v>756</v>
      </c>
      <c r="E46" s="2">
        <v>34</v>
      </c>
      <c r="F46" s="7">
        <v>43</v>
      </c>
      <c r="G46" s="2">
        <v>0</v>
      </c>
      <c r="H46" s="4">
        <v>-5</v>
      </c>
      <c r="I46" s="7" t="s">
        <v>26</v>
      </c>
      <c r="J46" s="2">
        <v>7292897</v>
      </c>
      <c r="K46" s="7" t="s">
        <v>26</v>
      </c>
      <c r="L46" s="2">
        <v>7279501</v>
      </c>
      <c r="M46" s="11" t="s">
        <v>26</v>
      </c>
      <c r="N46" s="11">
        <v>606154</v>
      </c>
      <c r="O46" s="5" t="s">
        <v>25</v>
      </c>
      <c r="P46" s="2">
        <v>606154</v>
      </c>
      <c r="Q46" s="5" t="s">
        <v>25</v>
      </c>
      <c r="R46" s="2">
        <v>606154</v>
      </c>
      <c r="S46" s="6" t="s">
        <v>42</v>
      </c>
      <c r="T46" s="4">
        <v>-305320</v>
      </c>
      <c r="U46" s="6" t="s">
        <v>42</v>
      </c>
      <c r="V46" s="4">
        <v>-305320</v>
      </c>
      <c r="W46" s="6" t="s">
        <v>26</v>
      </c>
      <c r="X46" s="24">
        <v>9356837</v>
      </c>
    </row>
    <row r="47" spans="1:24" x14ac:dyDescent="0.25">
      <c r="A47" s="22" t="s">
        <v>272</v>
      </c>
      <c r="B47" s="5">
        <v>65</v>
      </c>
      <c r="C47" s="2">
        <v>30</v>
      </c>
      <c r="D47" s="5">
        <v>717</v>
      </c>
      <c r="E47" s="2">
        <v>32</v>
      </c>
      <c r="F47" s="7">
        <v>48</v>
      </c>
      <c r="G47" s="2">
        <v>0</v>
      </c>
      <c r="H47" s="4">
        <v>-5</v>
      </c>
      <c r="I47" s="7" t="s">
        <v>26</v>
      </c>
      <c r="J47" s="2">
        <v>6910225</v>
      </c>
      <c r="K47" s="7" t="s">
        <v>26</v>
      </c>
      <c r="L47" s="2">
        <v>7459475</v>
      </c>
      <c r="M47" s="12" t="s">
        <v>26</v>
      </c>
      <c r="N47" s="12">
        <v>553609</v>
      </c>
      <c r="O47" s="5" t="s">
        <v>25</v>
      </c>
      <c r="P47" s="2">
        <v>553609</v>
      </c>
      <c r="Q47" s="5" t="s">
        <v>25</v>
      </c>
      <c r="R47" s="2">
        <v>553609</v>
      </c>
      <c r="S47" s="6" t="s">
        <v>26</v>
      </c>
      <c r="T47" s="4">
        <v>553610</v>
      </c>
      <c r="U47" s="6" t="s">
        <v>42</v>
      </c>
      <c r="V47" s="4">
        <v>-278916</v>
      </c>
      <c r="W47" s="5" t="s">
        <v>26</v>
      </c>
      <c r="X47" s="23">
        <v>5510710</v>
      </c>
    </row>
    <row r="48" spans="1:24" x14ac:dyDescent="0.25">
      <c r="A48" s="22" t="s">
        <v>280</v>
      </c>
      <c r="B48" s="5">
        <v>70</v>
      </c>
      <c r="C48" s="2">
        <v>35</v>
      </c>
      <c r="D48" s="5">
        <v>514</v>
      </c>
      <c r="E48" s="2">
        <v>49</v>
      </c>
      <c r="F48" s="7">
        <v>116</v>
      </c>
      <c r="G48" s="2">
        <v>0</v>
      </c>
      <c r="H48" s="4">
        <v>0</v>
      </c>
      <c r="I48" s="7" t="s">
        <v>26</v>
      </c>
      <c r="J48" s="2">
        <v>11112025</v>
      </c>
      <c r="K48" s="7" t="s">
        <v>26</v>
      </c>
      <c r="L48" s="2">
        <v>11410174</v>
      </c>
      <c r="M48" s="11" t="s">
        <v>26</v>
      </c>
      <c r="N48" s="11">
        <v>1387400</v>
      </c>
      <c r="O48" s="5" t="s">
        <v>25</v>
      </c>
      <c r="P48" s="2">
        <v>1387400</v>
      </c>
      <c r="Q48" s="5" t="s">
        <v>25</v>
      </c>
      <c r="R48" s="2">
        <v>1387400</v>
      </c>
      <c r="S48" s="6" t="s">
        <v>42</v>
      </c>
      <c r="T48" s="4">
        <v>-347971</v>
      </c>
      <c r="U48" s="6" t="s">
        <v>42</v>
      </c>
      <c r="V48" s="4">
        <v>-347971</v>
      </c>
      <c r="W48" s="6" t="s">
        <v>26</v>
      </c>
      <c r="X48" s="24">
        <v>11038542</v>
      </c>
    </row>
    <row r="49" spans="1:24" x14ac:dyDescent="0.25">
      <c r="A49" s="22" t="s">
        <v>284</v>
      </c>
      <c r="B49" s="5">
        <v>70</v>
      </c>
      <c r="C49" s="2">
        <v>35</v>
      </c>
      <c r="D49" s="5">
        <v>565</v>
      </c>
      <c r="E49" s="2">
        <v>55</v>
      </c>
      <c r="F49" s="7">
        <v>157</v>
      </c>
      <c r="G49" s="2">
        <v>0</v>
      </c>
      <c r="H49" s="4">
        <v>0</v>
      </c>
      <c r="I49" s="7" t="s">
        <v>26</v>
      </c>
      <c r="J49" s="2">
        <v>9656813</v>
      </c>
      <c r="K49" s="7" t="s">
        <v>26</v>
      </c>
      <c r="L49" s="2">
        <v>10735090</v>
      </c>
      <c r="M49" s="12" t="s">
        <v>26</v>
      </c>
      <c r="N49" s="12">
        <v>12</v>
      </c>
      <c r="O49" s="5" t="s">
        <v>25</v>
      </c>
      <c r="P49" s="2">
        <v>12</v>
      </c>
      <c r="Q49" s="5" t="s">
        <v>25</v>
      </c>
      <c r="R49" s="2">
        <v>12</v>
      </c>
      <c r="S49" s="6" t="s">
        <v>42</v>
      </c>
      <c r="T49" s="4">
        <v>-347971</v>
      </c>
      <c r="U49" s="6" t="s">
        <v>42</v>
      </c>
      <c r="V49" s="4">
        <v>-347971</v>
      </c>
      <c r="W49" s="6" t="s">
        <v>25</v>
      </c>
      <c r="X49" s="24">
        <v>12</v>
      </c>
    </row>
    <row r="50" spans="1:24" x14ac:dyDescent="0.25">
      <c r="A50" s="25" t="s">
        <v>285</v>
      </c>
      <c r="B50" s="5">
        <v>70</v>
      </c>
      <c r="C50" s="2">
        <v>35</v>
      </c>
      <c r="D50" s="5">
        <v>483</v>
      </c>
      <c r="E50" s="2">
        <v>50</v>
      </c>
      <c r="F50" s="7">
        <v>63</v>
      </c>
      <c r="G50" s="2">
        <v>0</v>
      </c>
      <c r="H50" s="4">
        <v>0</v>
      </c>
      <c r="I50" s="7" t="s">
        <v>26</v>
      </c>
      <c r="J50" s="2">
        <v>12096930</v>
      </c>
      <c r="K50" s="7" t="s">
        <v>26</v>
      </c>
      <c r="L50" s="2">
        <v>11778009</v>
      </c>
      <c r="M50" s="11" t="s">
        <v>26</v>
      </c>
      <c r="N50" s="11">
        <v>1387400</v>
      </c>
      <c r="O50" s="5" t="s">
        <v>25</v>
      </c>
      <c r="P50" s="2">
        <v>1387400</v>
      </c>
      <c r="Q50" s="5" t="s">
        <v>25</v>
      </c>
      <c r="R50" s="2">
        <v>1387400</v>
      </c>
      <c r="S50" s="6" t="s">
        <v>42</v>
      </c>
      <c r="T50" s="4">
        <v>-347971</v>
      </c>
      <c r="U50" s="5" t="s">
        <v>42</v>
      </c>
      <c r="V50" s="2">
        <v>-347971</v>
      </c>
      <c r="W50" s="5" t="s">
        <v>26</v>
      </c>
      <c r="X50" s="23">
        <v>11749181</v>
      </c>
    </row>
    <row r="51" spans="1:24" x14ac:dyDescent="0.25">
      <c r="A51" s="22" t="s">
        <v>286</v>
      </c>
      <c r="B51" s="5">
        <v>70</v>
      </c>
      <c r="C51" s="2">
        <v>35</v>
      </c>
      <c r="D51" s="5">
        <v>800</v>
      </c>
      <c r="E51" s="2">
        <v>38</v>
      </c>
      <c r="F51" s="7">
        <v>117</v>
      </c>
      <c r="G51" s="2">
        <v>0</v>
      </c>
      <c r="H51" s="4">
        <v>0</v>
      </c>
      <c r="I51" s="7" t="s">
        <v>26</v>
      </c>
      <c r="J51" s="2">
        <v>10690757</v>
      </c>
      <c r="K51" s="7" t="s">
        <v>26</v>
      </c>
      <c r="L51" s="2">
        <v>11117548</v>
      </c>
      <c r="M51" s="11" t="s">
        <v>26</v>
      </c>
      <c r="N51" s="11">
        <v>1388803</v>
      </c>
      <c r="O51" s="5" t="s">
        <v>25</v>
      </c>
      <c r="P51" s="2">
        <v>1388803</v>
      </c>
      <c r="Q51" s="5" t="s">
        <v>25</v>
      </c>
      <c r="R51" s="2">
        <v>1388803</v>
      </c>
      <c r="S51" s="6" t="s">
        <v>42</v>
      </c>
      <c r="T51" s="4">
        <v>-347971</v>
      </c>
      <c r="U51" s="6" t="s">
        <v>42</v>
      </c>
      <c r="V51" s="4">
        <v>-347971</v>
      </c>
      <c r="W51" s="6" t="s">
        <v>26</v>
      </c>
      <c r="X51" s="24">
        <v>12091748</v>
      </c>
    </row>
    <row r="52" spans="1:24" x14ac:dyDescent="0.25">
      <c r="A52" s="22" t="s">
        <v>292</v>
      </c>
      <c r="B52" s="5">
        <v>69</v>
      </c>
      <c r="C52" s="2">
        <v>31</v>
      </c>
      <c r="D52" s="5">
        <v>844</v>
      </c>
      <c r="E52" s="2">
        <v>34</v>
      </c>
      <c r="F52" s="7">
        <v>55</v>
      </c>
      <c r="G52" s="2">
        <v>0</v>
      </c>
      <c r="H52" s="4">
        <v>-7</v>
      </c>
      <c r="I52" s="7" t="s">
        <v>26</v>
      </c>
      <c r="J52" s="2">
        <v>7605547</v>
      </c>
      <c r="K52" s="7" t="s">
        <v>26</v>
      </c>
      <c r="L52" s="2">
        <v>5629863</v>
      </c>
      <c r="M52" s="12" t="s">
        <v>26</v>
      </c>
      <c r="N52" s="12">
        <v>661921</v>
      </c>
      <c r="O52" s="5" t="s">
        <v>25</v>
      </c>
      <c r="P52" s="2">
        <v>661921</v>
      </c>
      <c r="Q52" s="5" t="s">
        <v>25</v>
      </c>
      <c r="R52" s="2">
        <v>661921</v>
      </c>
      <c r="S52" s="6" t="s">
        <v>42</v>
      </c>
      <c r="T52" s="4">
        <v>-333340</v>
      </c>
      <c r="U52" s="5" t="s">
        <v>42</v>
      </c>
      <c r="V52" s="2">
        <v>-333340</v>
      </c>
      <c r="W52" s="6" t="s">
        <v>42</v>
      </c>
      <c r="X52" s="24">
        <v>-333340</v>
      </c>
    </row>
    <row r="53" spans="1:24" x14ac:dyDescent="0.25">
      <c r="A53" s="22" t="s">
        <v>300</v>
      </c>
      <c r="B53" s="5">
        <v>46</v>
      </c>
      <c r="C53" s="2">
        <v>23</v>
      </c>
      <c r="D53" s="5">
        <v>278</v>
      </c>
      <c r="E53" s="2">
        <v>29</v>
      </c>
      <c r="F53" s="7">
        <v>50</v>
      </c>
      <c r="G53" s="2">
        <v>5</v>
      </c>
      <c r="H53" s="4">
        <v>0</v>
      </c>
      <c r="I53" s="7" t="s">
        <v>26</v>
      </c>
      <c r="J53" s="2">
        <v>489727</v>
      </c>
      <c r="K53" s="7" t="s">
        <v>26</v>
      </c>
      <c r="L53" s="2">
        <v>491290</v>
      </c>
      <c r="M53" s="11" t="s">
        <v>26</v>
      </c>
      <c r="N53" s="11">
        <v>196888</v>
      </c>
      <c r="O53" s="5" t="s">
        <v>25</v>
      </c>
      <c r="P53" s="2">
        <v>196888</v>
      </c>
      <c r="Q53" s="5" t="s">
        <v>25</v>
      </c>
      <c r="R53" s="2">
        <v>196888</v>
      </c>
      <c r="S53" s="5" t="s">
        <v>26</v>
      </c>
      <c r="T53" s="2">
        <v>196888</v>
      </c>
      <c r="U53" s="6" t="s">
        <v>42</v>
      </c>
      <c r="V53" s="4">
        <v>-99499</v>
      </c>
      <c r="W53" s="5" t="s">
        <v>26</v>
      </c>
      <c r="X53" s="23">
        <v>977831</v>
      </c>
    </row>
    <row r="54" spans="1:24" x14ac:dyDescent="0.25">
      <c r="A54" s="25" t="s">
        <v>301</v>
      </c>
      <c r="B54" s="5">
        <v>48</v>
      </c>
      <c r="C54" s="2">
        <v>24</v>
      </c>
      <c r="D54" s="5">
        <v>299</v>
      </c>
      <c r="E54" s="2">
        <v>31</v>
      </c>
      <c r="F54" s="7">
        <v>27</v>
      </c>
      <c r="G54" s="2">
        <v>0</v>
      </c>
      <c r="H54" s="4">
        <v>0</v>
      </c>
      <c r="I54" s="7" t="s">
        <v>26</v>
      </c>
      <c r="J54" s="2">
        <v>1692783</v>
      </c>
      <c r="K54" s="7" t="s">
        <v>26</v>
      </c>
      <c r="L54" s="2">
        <v>1678425</v>
      </c>
      <c r="M54" s="11" t="s">
        <v>26</v>
      </c>
      <c r="N54" s="11">
        <v>557959</v>
      </c>
      <c r="O54" s="5" t="s">
        <v>25</v>
      </c>
      <c r="P54" s="2">
        <v>557959</v>
      </c>
      <c r="Q54" s="5" t="s">
        <v>25</v>
      </c>
      <c r="R54" s="2">
        <v>557959</v>
      </c>
      <c r="S54" s="6" t="s">
        <v>42</v>
      </c>
      <c r="T54" s="4">
        <v>-112945</v>
      </c>
      <c r="U54" s="5" t="s">
        <v>42</v>
      </c>
      <c r="V54" s="2">
        <v>-112945</v>
      </c>
      <c r="W54" s="5" t="s">
        <v>26</v>
      </c>
      <c r="X54" s="23">
        <v>2008089</v>
      </c>
    </row>
    <row r="55" spans="1:24" x14ac:dyDescent="0.25">
      <c r="A55" s="26" t="s">
        <v>305</v>
      </c>
      <c r="B55" s="14">
        <v>46</v>
      </c>
      <c r="C55" s="15">
        <v>23</v>
      </c>
      <c r="D55" s="14">
        <v>231</v>
      </c>
      <c r="E55" s="15">
        <v>27</v>
      </c>
      <c r="F55" s="16">
        <v>16</v>
      </c>
      <c r="G55" s="15">
        <v>0</v>
      </c>
      <c r="H55" s="17">
        <v>0</v>
      </c>
      <c r="I55" s="16" t="s">
        <v>26</v>
      </c>
      <c r="J55" s="15">
        <v>1190676</v>
      </c>
      <c r="K55" s="16" t="s">
        <v>26</v>
      </c>
      <c r="L55" s="15">
        <v>986892</v>
      </c>
      <c r="M55" s="18" t="s">
        <v>26</v>
      </c>
      <c r="N55" s="18">
        <v>196890</v>
      </c>
      <c r="O55" s="14" t="s">
        <v>25</v>
      </c>
      <c r="P55" s="15">
        <v>196890</v>
      </c>
      <c r="Q55" s="10" t="s">
        <v>25</v>
      </c>
      <c r="R55" s="9">
        <v>196890</v>
      </c>
      <c r="S55" s="10" t="s">
        <v>26</v>
      </c>
      <c r="T55" s="9">
        <v>196981</v>
      </c>
      <c r="U55" s="14" t="s">
        <v>26</v>
      </c>
      <c r="V55" s="15">
        <v>394320</v>
      </c>
      <c r="W55" s="10" t="s">
        <v>26</v>
      </c>
      <c r="X55" s="27">
        <v>980360</v>
      </c>
    </row>
    <row r="56" spans="1:24" x14ac:dyDescent="0.25">
      <c r="A56" s="13" t="s">
        <v>307</v>
      </c>
      <c r="B56" s="14"/>
      <c r="C56" s="15"/>
      <c r="D56" s="14"/>
      <c r="E56" s="15"/>
      <c r="F56" s="16"/>
      <c r="G56" s="15"/>
      <c r="H56" s="17"/>
      <c r="I56" s="16"/>
      <c r="J56" s="15"/>
      <c r="K56" s="16"/>
      <c r="L56" s="15"/>
      <c r="M56" s="28"/>
      <c r="N56" s="17">
        <f>SUBTOTAL(102,Table2[Cplex_MC Cost])</f>
        <v>54</v>
      </c>
      <c r="O56" s="14"/>
      <c r="P56" s="15"/>
      <c r="Q56" s="13"/>
      <c r="R56" s="13"/>
      <c r="S56" s="13"/>
      <c r="T56" s="13"/>
      <c r="U56" s="14">
        <f>SUBTOTAL(103,Table2[Cplex_MD State])</f>
        <v>54</v>
      </c>
      <c r="V56" s="15"/>
      <c r="W56" s="13"/>
      <c r="X56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Quasi-optimal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Anastasia</dc:creator>
  <cp:keywords/>
  <dc:description/>
  <cp:lastModifiedBy>Anastasia</cp:lastModifiedBy>
  <cp:revision/>
  <dcterms:created xsi:type="dcterms:W3CDTF">2020-04-17T12:58:54Z</dcterms:created>
  <dcterms:modified xsi:type="dcterms:W3CDTF">2021-03-19T09:45:32Z</dcterms:modified>
  <cp:category/>
  <cp:contentStatus/>
</cp:coreProperties>
</file>