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rck.com/personal/valenad_merck_com/Documents/Documents/EIM/GIT/dspm-eea-cloudbees/eks-eng/cloudbees/config/"/>
    </mc:Choice>
  </mc:AlternateContent>
  <xr:revisionPtr revIDLastSave="4" documentId="8_{5960CA96-27A6-454B-83E2-10E3DF72AD33}" xr6:coauthVersionLast="47" xr6:coauthVersionMax="47" xr10:uidLastSave="{8F97FE52-C3FE-44FC-A9C4-2CA6DB6E4151}"/>
  <bookViews>
    <workbookView xWindow="380" yWindow="380" windowWidth="18350" windowHeight="9600" xr2:uid="{B1CAF58F-7EF9-41C6-BD2C-9600D7BE6919}"/>
  </bookViews>
  <sheets>
    <sheet name="Size Airflow inst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2" l="1"/>
  <c r="U24" i="2" s="1"/>
  <c r="P46" i="2"/>
  <c r="P45" i="2"/>
  <c r="P25" i="2"/>
  <c r="P24" i="2"/>
  <c r="P22" i="2"/>
  <c r="P21" i="2"/>
  <c r="P19" i="2"/>
  <c r="P18" i="2"/>
  <c r="P16" i="2"/>
  <c r="P15" i="2"/>
  <c r="J11" i="2"/>
  <c r="P9" i="2" s="1"/>
  <c r="J12" i="2"/>
  <c r="P10" i="2" s="1"/>
  <c r="J10" i="2"/>
  <c r="P8" i="2" s="1"/>
  <c r="J9" i="2"/>
  <c r="P7" i="2" s="1"/>
  <c r="J8" i="2" a="1"/>
  <c r="J8" i="2" s="1"/>
  <c r="U8" i="2" s="1"/>
  <c r="J7" i="2" a="1"/>
  <c r="J7" i="2" s="1"/>
  <c r="U7" i="2" s="1"/>
  <c r="Z19" i="2"/>
  <c r="U21" i="2"/>
  <c r="V21" i="2" s="1"/>
  <c r="U20" i="2"/>
  <c r="V20" i="2" s="1"/>
  <c r="U19" i="2"/>
  <c r="V19" i="2" s="1"/>
  <c r="U18" i="2"/>
  <c r="V18" i="2" s="1"/>
  <c r="K23" i="2" a="1"/>
  <c r="K23" i="2" s="1"/>
  <c r="U23" i="2" s="1"/>
  <c r="V23" i="2" s="1"/>
  <c r="K22" i="2"/>
  <c r="U22" i="2" s="1"/>
  <c r="V22" i="2" s="1"/>
  <c r="S21" i="2"/>
  <c r="T21" i="2" s="1"/>
  <c r="S20" i="2"/>
  <c r="T20" i="2" s="1"/>
  <c r="S19" i="2"/>
  <c r="T19" i="2" s="1"/>
  <c r="S18" i="2"/>
  <c r="T18" i="2" s="1"/>
  <c r="J32" i="2"/>
  <c r="P58" i="2" s="1"/>
  <c r="J31" i="2"/>
  <c r="J35" i="2" s="1"/>
  <c r="P40" i="2" s="1"/>
  <c r="J28" i="2" a="1"/>
  <c r="J28" i="2" s="1"/>
  <c r="J29" i="2" s="1"/>
  <c r="P49" i="2" s="1"/>
  <c r="J24" i="2"/>
  <c r="S24" i="2" s="1"/>
  <c r="J23" i="2" a="1"/>
  <c r="J23" i="2" s="1"/>
  <c r="S23" i="2" s="1"/>
  <c r="T23" i="2" s="1"/>
  <c r="J22" i="2"/>
  <c r="S22" i="2" s="1"/>
  <c r="T22" i="2" s="1"/>
  <c r="P52" i="2" l="1"/>
  <c r="J34" i="2"/>
  <c r="P48" i="2"/>
  <c r="P27" i="2"/>
  <c r="P28" i="2"/>
  <c r="P5" i="2"/>
  <c r="P30" i="2"/>
  <c r="P6" i="2"/>
  <c r="P31" i="2"/>
  <c r="P33" i="2"/>
  <c r="P34" i="2"/>
  <c r="J30" i="2"/>
  <c r="P50" i="2" s="1"/>
  <c r="U9" i="2"/>
  <c r="U10" i="2" s="1"/>
  <c r="T25" i="2"/>
  <c r="T28" i="2" s="1"/>
  <c r="V25" i="2"/>
  <c r="V28" i="2" s="1"/>
  <c r="T24" i="2" l="1"/>
  <c r="T27" i="2" s="1"/>
  <c r="P39" i="2"/>
  <c r="D19" i="2"/>
  <c r="V24" i="2"/>
  <c r="V27" i="2" s="1"/>
  <c r="D1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<sst xmlns="http://schemas.openxmlformats.org/spreadsheetml/2006/main" count="83" uniqueCount="75">
  <si>
    <t>flower</t>
  </si>
  <si>
    <t>pgbouncer</t>
  </si>
  <si>
    <t>statsd</t>
  </si>
  <si>
    <t>triggerer</t>
  </si>
  <si>
    <t>webserver</t>
  </si>
  <si>
    <t>worker</t>
  </si>
  <si>
    <t>scheduler</t>
  </si>
  <si>
    <t>DAGs:</t>
  </si>
  <si>
    <t>Max. concurrent tasks:</t>
  </si>
  <si>
    <t>CPU</t>
  </si>
  <si>
    <t>Memory</t>
  </si>
  <si>
    <t>core.max_active_tasks_per_dag</t>
  </si>
  <si>
    <t>scheduler.parsing_processes</t>
  </si>
  <si>
    <t>celery.worker_concurrency</t>
  </si>
  <si>
    <t>webserver.workers</t>
  </si>
  <si>
    <t>minReplicaCount</t>
  </si>
  <si>
    <t>maxReplicaCount</t>
  </si>
  <si>
    <t>Mi</t>
  </si>
  <si>
    <t>Cost vCPU</t>
  </si>
  <si>
    <t>Cost memory</t>
  </si>
  <si>
    <t>Min CPU</t>
  </si>
  <si>
    <t>Max CPU</t>
  </si>
  <si>
    <t>Min Memory</t>
  </si>
  <si>
    <t>Max memory</t>
  </si>
  <si>
    <t>Hours</t>
  </si>
  <si>
    <t>core.parallelism</t>
  </si>
  <si>
    <t>Is production:</t>
  </si>
  <si>
    <t>Input parameters</t>
  </si>
  <si>
    <t>Estimated costs ($ per month)</t>
  </si>
  <si>
    <t>Min. workers running</t>
  </si>
  <si>
    <t>Max. workers running</t>
  </si>
  <si>
    <t>rds_allocated_storage</t>
  </si>
  <si>
    <t>rds_instance_class</t>
  </si>
  <si>
    <t>rds_backup_retention_period</t>
  </si>
  <si>
    <t>redis_multi_az_enabled</t>
  </si>
  <si>
    <t>redis_num_cache_cluster</t>
  </si>
  <si>
    <t>redis_automatic_failover</t>
  </si>
  <si>
    <t>Value</t>
  </si>
  <si>
    <t>Terraform tfvars</t>
  </si>
  <si>
    <t>Flux helm values</t>
  </si>
  <si>
    <t>Costs</t>
  </si>
  <si>
    <t>db.t3.small</t>
  </si>
  <si>
    <t>db.t3.medium</t>
  </si>
  <si>
    <t>db.t3.large</t>
  </si>
  <si>
    <t>storage per GB</t>
  </si>
  <si>
    <t>cache.t4g.micro</t>
  </si>
  <si>
    <t>Storage</t>
  </si>
  <si>
    <t>RDS</t>
  </si>
  <si>
    <t>Redis</t>
  </si>
  <si>
    <t>Sum infra</t>
  </si>
  <si>
    <t>scheduler.min_file_process_interval</t>
  </si>
  <si>
    <t>scheduler.dag_dir_list_interval</t>
  </si>
  <si>
    <t xml:space="preserve">    resources:</t>
  </si>
  <si>
    <t xml:space="preserve">      flower:</t>
  </si>
  <si>
    <t xml:space="preserve">      pgbouncer:</t>
  </si>
  <si>
    <t xml:space="preserve">      statsd:</t>
  </si>
  <si>
    <t xml:space="preserve">      triggerer:</t>
  </si>
  <si>
    <t xml:space="preserve">      webserver:</t>
  </si>
  <si>
    <t xml:space="preserve">      scheduler:</t>
  </si>
  <si>
    <t xml:space="preserve">      worker:</t>
  </si>
  <si>
    <t>Copy &amp; Paste</t>
  </si>
  <si>
    <t>Terraform</t>
  </si>
  <si>
    <t>Resource requests</t>
  </si>
  <si>
    <t>Autoscaling</t>
  </si>
  <si>
    <t xml:space="preserve">    autoscaling:</t>
  </si>
  <si>
    <t xml:space="preserve">      keda:</t>
  </si>
  <si>
    <t>Airflow config</t>
  </si>
  <si>
    <t xml:space="preserve">    config:</t>
  </si>
  <si>
    <t xml:space="preserve">      core:</t>
  </si>
  <si>
    <t xml:space="preserve">      celery:</t>
  </si>
  <si>
    <t xml:space="preserve">      logging:</t>
  </si>
  <si>
    <t xml:space="preserve">        remote_base_log_folder: &lt;PLACEHOLDER !!! REPLACE !!!&gt;</t>
  </si>
  <si>
    <t xml:space="preserve">        base_url: &lt;PLACEHOLDER !!! REPLACE !!!&gt;</t>
  </si>
  <si>
    <t xml:space="preserve">        instance_name: &lt;PLACEHOLDER !!! REPLACE !!!&gt;</t>
  </si>
  <si>
    <t>Airflow instance configurator v1.0.0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</si>
</sst>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_);_([$$-409]* \(#,##0\);_([$$-409]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164" fontId="0" fillId="4" borderId="1" xfId="1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/>
    <xf numFmtId="0" fontId="0" fillId="3" borderId="6" xfId="0" applyFont="1" applyFill="1" applyBorder="1"/>
    <xf numFmtId="0" fontId="0" fillId="3" borderId="0" xfId="0" applyFont="1" applyFill="1" applyBorder="1" applyAlignment="1">
      <alignment horizontal="left"/>
    </xf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5" borderId="10" xfId="0" applyFont="1" applyFill="1" applyBorder="1" applyAlignment="1">
      <alignment horizontal="center"/>
    </xf>
    <xf numFmtId="0" fontId="0" fillId="5" borderId="10" xfId="0" applyFont="1" applyFill="1" applyBorder="1"/>
    <xf numFmtId="0" fontId="0" fillId="6" borderId="10" xfId="0" applyFont="1" applyFill="1" applyBorder="1" applyAlignment="1">
      <alignment horizontal="left"/>
    </xf>
    <xf numFmtId="0" fontId="0" fillId="6" borderId="10" xfId="0" applyFont="1" applyFill="1" applyBorder="1" applyAlignment="1">
      <alignment horizontal="center"/>
    </xf>
    <xf numFmtId="0" fontId="0" fillId="6" borderId="10" xfId="0" applyFont="1" applyFill="1" applyBorder="1"/>
    <xf numFmtId="0" fontId="0" fillId="5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0" xfId="0" applyFill="1" applyBorder="1"/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Protection="1">
      <protection locked="0"/>
    </xf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3" borderId="0" xfId="0" applyFill="1"/>
    <xf numFmtId="0" fontId="2" fillId="3" borderId="0" xfId="0" applyFont="1" applyFill="1"/>
    <xf numFmtId="0" fontId="0" fillId="3" borderId="3" xfId="0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3048-72DC-4EC2-8958-C23EBC071EE4}">
  <sheetPr>
    <tabColor theme="4" tint="0.39997558519241921"/>
  </sheetPr>
  <dimension ref="B1:Z59"/>
  <sheetViews>
    <sheetView showGridLines="0" tabSelected="1" topLeftCell="A9" workbookViewId="0">
      <selection activeCell="K18" sqref="K18"/>
    </sheetView>
  </sheetViews>
  <sheetFormatPr defaultRowHeight="14.5" x14ac:dyDescent="0.35"/>
  <cols>
    <col min="1" max="1" width="3.1796875" customWidth="1"/>
    <col min="2" max="2" width="3" customWidth="1"/>
    <col min="3" max="3" width="24.453125" customWidth="1"/>
    <col min="4" max="4" width="11.1796875" customWidth="1"/>
    <col min="5" max="5" width="4" customWidth="1"/>
    <col min="6" max="6" width="5.1796875" customWidth="1"/>
    <col min="7" max="7" width="4" customWidth="1"/>
    <col min="8" max="8" width="35.26953125" customWidth="1"/>
    <col min="9" max="9" width="3.7265625" customWidth="1"/>
    <col min="10" max="11" width="14.26953125" customWidth="1"/>
    <col min="12" max="13" width="3.7265625" customWidth="1"/>
    <col min="14" max="14" width="4.54296875" customWidth="1"/>
    <col min="15" max="15" width="3.1796875" customWidth="1"/>
    <col min="16" max="16" width="68" customWidth="1"/>
    <col min="17" max="17" width="3.453125" customWidth="1"/>
    <col min="18" max="18" width="10.81640625" customWidth="1"/>
    <col min="19" max="19" width="5.453125" hidden="1" customWidth="1"/>
    <col min="20" max="23" width="9.1796875" hidden="1" customWidth="1"/>
    <col min="24" max="24" width="15.453125" hidden="1" customWidth="1"/>
    <col min="25" max="26" width="9.1796875" hidden="1" customWidth="1"/>
    <col min="27" max="32" width="9.1796875" customWidth="1"/>
  </cols>
  <sheetData>
    <row r="1" spans="2:25" ht="15" thickBot="1" x14ac:dyDescent="0.4"/>
    <row r="2" spans="2:25" ht="19" thickBot="1" x14ac:dyDescent="0.5">
      <c r="B2" s="41" t="s">
        <v>74</v>
      </c>
      <c r="C2" s="42"/>
      <c r="D2" s="42"/>
      <c r="E2" s="43"/>
      <c r="O2" s="38"/>
      <c r="P2" s="39" t="s">
        <v>60</v>
      </c>
      <c r="Q2" s="38"/>
    </row>
    <row r="3" spans="2:25" ht="15" thickBot="1" x14ac:dyDescent="0.4">
      <c r="O3" s="38"/>
      <c r="P3" s="38"/>
      <c r="Q3" s="38"/>
    </row>
    <row r="4" spans="2:25" x14ac:dyDescent="0.35">
      <c r="B4" s="1"/>
      <c r="C4" s="2"/>
      <c r="D4" s="2"/>
      <c r="E4" s="3"/>
      <c r="G4" s="1"/>
      <c r="H4" s="2"/>
      <c r="I4" s="2"/>
      <c r="J4" s="2"/>
      <c r="K4" s="2"/>
      <c r="L4" s="2"/>
      <c r="M4" s="3"/>
      <c r="O4" s="38"/>
      <c r="P4" s="39" t="s">
        <v>61</v>
      </c>
      <c r="Q4" s="38"/>
      <c r="X4" t="b">
        <v>1</v>
      </c>
    </row>
    <row r="5" spans="2:25" x14ac:dyDescent="0.35">
      <c r="B5" s="4"/>
      <c r="C5" s="10" t="s">
        <v>27</v>
      </c>
      <c r="D5" s="5"/>
      <c r="E5" s="6"/>
      <c r="G5" s="4"/>
      <c r="H5" s="10" t="s">
        <v>38</v>
      </c>
      <c r="I5" s="5"/>
      <c r="J5" s="5"/>
      <c r="K5" s="5"/>
      <c r="L5" s="5"/>
      <c r="M5" s="6"/>
      <c r="O5" s="38"/>
      <c r="P5" s="35" t="str">
        <f>_xlfn.CONCAT("rds_allocated_storage        = ",J7)</f>
        <v>rds_allocated_storage        = 50</v>
      </c>
      <c r="Q5" s="38"/>
      <c r="X5" t="b">
        <v>0</v>
      </c>
    </row>
    <row r="6" spans="2:25" ht="15" thickBot="1" x14ac:dyDescent="0.4">
      <c r="B6" s="4"/>
      <c r="C6" s="5"/>
      <c r="D6" s="5"/>
      <c r="E6" s="6"/>
      <c r="G6" s="4"/>
      <c r="H6" s="5"/>
      <c r="I6" s="5"/>
      <c r="J6" s="31" t="s">
        <v>37</v>
      </c>
      <c r="K6" s="5"/>
      <c r="L6" s="5"/>
      <c r="M6" s="6"/>
      <c r="O6" s="38"/>
      <c r="P6" s="36" t="str">
        <f>_xlfn.CONCAT("rds_instance_class           = ",CHAR(34),J8,CHAR(34))</f>
        <v>rds_instance_class           = "db.t3.medium"</v>
      </c>
      <c r="Q6" s="38"/>
    </row>
    <row r="7" spans="2:25" ht="15" thickBot="1" x14ac:dyDescent="0.4">
      <c r="B7" s="4"/>
      <c r="C7" s="5" t="s">
        <v>7</v>
      </c>
      <c r="D7" s="33">
        <v>300</v>
      </c>
      <c r="E7" s="6"/>
      <c r="G7" s="4"/>
      <c r="H7" s="32" t="s">
        <v>31</v>
      </c>
      <c r="I7" s="32"/>
      <c r="J7" s="30" cm="1">
        <f t="array" ref="J7">_xlfn.IFS($D$7&gt;500,50,$D$7&gt;150,50,$D$7&gt;50,30,$D$7&lt;=50,30)</f>
        <v>50</v>
      </c>
      <c r="K7" s="5"/>
      <c r="L7" s="5"/>
      <c r="M7" s="6"/>
      <c r="O7" s="38"/>
      <c r="P7" s="36" t="str">
        <f>_xlfn.CONCAT("rds_backup_retention_period  = ",J9)</f>
        <v>rds_backup_retention_period  = 7</v>
      </c>
      <c r="Q7" s="38"/>
      <c r="T7" t="s">
        <v>46</v>
      </c>
      <c r="U7">
        <f>J7*Y11</f>
        <v>5.75</v>
      </c>
      <c r="X7" t="s">
        <v>40</v>
      </c>
    </row>
    <row r="8" spans="2:25" ht="15" thickBot="1" x14ac:dyDescent="0.4">
      <c r="B8" s="4"/>
      <c r="C8" s="5"/>
      <c r="D8" s="5"/>
      <c r="E8" s="6"/>
      <c r="G8" s="4"/>
      <c r="H8" s="32" t="s">
        <v>32</v>
      </c>
      <c r="I8" s="32"/>
      <c r="J8" s="30" t="str" cm="1">
        <f t="array" ref="J8">_xlfn.IFS($D$7&gt;500,"db.t3.large",$D$7&gt;150,"db.t3.medium",$D$7&gt;50,"db.t3.small",$D$7&lt;=50,"db.t3.small")</f>
        <v>db.t3.medium</v>
      </c>
      <c r="K8" s="5"/>
      <c r="L8" s="5"/>
      <c r="M8" s="6"/>
      <c r="O8" s="38"/>
      <c r="P8" s="36" t="str">
        <f>_xlfn.CONCAT("redis_multi_az_enabled   = ",J10)</f>
        <v>redis_multi_az_enabled   = false</v>
      </c>
      <c r="Q8" s="38"/>
      <c r="T8" t="s">
        <v>47</v>
      </c>
      <c r="U8">
        <f>(VLOOKUP(J8,X8:Y10,2,FALSE))*Z19</f>
        <v>51.839999999999996</v>
      </c>
      <c r="X8" t="s">
        <v>41</v>
      </c>
      <c r="Y8">
        <v>3.5999999999999997E-2</v>
      </c>
    </row>
    <row r="9" spans="2:25" ht="15" thickBot="1" x14ac:dyDescent="0.4">
      <c r="B9" s="4"/>
      <c r="C9" s="5" t="s">
        <v>8</v>
      </c>
      <c r="D9" s="33">
        <v>100</v>
      </c>
      <c r="E9" s="6"/>
      <c r="G9" s="4"/>
      <c r="H9" s="32" t="s">
        <v>33</v>
      </c>
      <c r="I9" s="32"/>
      <c r="J9" s="30">
        <f>IF($D$11=TRUE,31,7)</f>
        <v>7</v>
      </c>
      <c r="K9" s="5"/>
      <c r="L9" s="5"/>
      <c r="M9" s="6"/>
      <c r="O9" s="38"/>
      <c r="P9" s="36" t="str">
        <f>_xlfn.CONCAT("redis_num_cache_clusters = ",J11)</f>
        <v>redis_num_cache_clusters = 1</v>
      </c>
      <c r="Q9" s="38"/>
      <c r="T9" t="s">
        <v>48</v>
      </c>
      <c r="U9">
        <f>Y12*Z19*J11</f>
        <v>11.52</v>
      </c>
      <c r="X9" t="s">
        <v>42</v>
      </c>
      <c r="Y9">
        <v>7.1999999999999995E-2</v>
      </c>
    </row>
    <row r="10" spans="2:25" ht="15" thickBot="1" x14ac:dyDescent="0.4">
      <c r="B10" s="4"/>
      <c r="C10" s="5"/>
      <c r="D10" s="5"/>
      <c r="E10" s="6"/>
      <c r="G10" s="4"/>
      <c r="H10" s="32" t="s">
        <v>34</v>
      </c>
      <c r="I10" s="32"/>
      <c r="J10" s="30" t="str">
        <f>IF($D$11=TRUE,"true","false")</f>
        <v>false</v>
      </c>
      <c r="K10" s="5"/>
      <c r="L10" s="5"/>
      <c r="M10" s="6"/>
      <c r="O10" s="38"/>
      <c r="P10" s="37" t="str">
        <f>_xlfn.CONCAT("redis_automatic_failover = ",J12)</f>
        <v>redis_automatic_failover = false</v>
      </c>
      <c r="Q10" s="38"/>
      <c r="T10" t="s">
        <v>49</v>
      </c>
      <c r="U10">
        <f>SUM(U7:U9)</f>
        <v>69.11</v>
      </c>
      <c r="X10" t="s">
        <v>43</v>
      </c>
      <c r="Y10">
        <v>0.14499999999999999</v>
      </c>
    </row>
    <row r="11" spans="2:25" ht="15" thickBot="1" x14ac:dyDescent="0.4">
      <c r="B11" s="4"/>
      <c r="C11" s="5" t="s">
        <v>26</v>
      </c>
      <c r="D11" s="34" t="b">
        <v>0</v>
      </c>
      <c r="E11" s="6"/>
      <c r="G11" s="4"/>
      <c r="H11" s="32" t="s">
        <v>35</v>
      </c>
      <c r="I11" s="32"/>
      <c r="J11" s="30">
        <f>IF($D$11=TRUE,2,1)</f>
        <v>1</v>
      </c>
      <c r="K11" s="5"/>
      <c r="L11" s="5"/>
      <c r="M11" s="6"/>
      <c r="O11" s="38"/>
      <c r="P11" s="38"/>
      <c r="Q11" s="38"/>
      <c r="X11" t="s">
        <v>44</v>
      </c>
      <c r="Y11">
        <v>0.115</v>
      </c>
    </row>
    <row r="12" spans="2:25" ht="15" thickBot="1" x14ac:dyDescent="0.4">
      <c r="B12" s="7"/>
      <c r="C12" s="8"/>
      <c r="D12" s="8"/>
      <c r="E12" s="9"/>
      <c r="G12" s="4"/>
      <c r="H12" s="32" t="s">
        <v>36</v>
      </c>
      <c r="I12" s="32"/>
      <c r="J12" s="30" t="str">
        <f>IF($D$11=TRUE,"true","false")</f>
        <v>false</v>
      </c>
      <c r="K12" s="5"/>
      <c r="L12" s="5"/>
      <c r="M12" s="6"/>
      <c r="O12" s="38"/>
      <c r="P12" s="39" t="s">
        <v>62</v>
      </c>
      <c r="Q12" s="38"/>
      <c r="X12" t="s">
        <v>45</v>
      </c>
      <c r="Y12">
        <v>1.6E-2</v>
      </c>
    </row>
    <row r="13" spans="2:25" ht="15" thickBot="1" x14ac:dyDescent="0.4">
      <c r="G13" s="7"/>
      <c r="H13" s="8"/>
      <c r="I13" s="8"/>
      <c r="J13" s="8"/>
      <c r="K13" s="8"/>
      <c r="L13" s="8"/>
      <c r="M13" s="9"/>
      <c r="O13" s="38"/>
      <c r="P13" s="35" t="s">
        <v>52</v>
      </c>
      <c r="Q13" s="38"/>
    </row>
    <row r="14" spans="2:25" ht="15" thickBot="1" x14ac:dyDescent="0.4">
      <c r="B14" s="1"/>
      <c r="C14" s="40"/>
      <c r="D14" s="40"/>
      <c r="E14" s="3"/>
      <c r="O14" s="38"/>
      <c r="P14" s="36" t="s">
        <v>53</v>
      </c>
      <c r="Q14" s="38"/>
    </row>
    <row r="15" spans="2:25" x14ac:dyDescent="0.35">
      <c r="B15" s="4"/>
      <c r="C15" s="12" t="s">
        <v>28</v>
      </c>
      <c r="D15" s="11"/>
      <c r="E15" s="6"/>
      <c r="G15" s="14"/>
      <c r="H15" s="15"/>
      <c r="I15" s="15"/>
      <c r="J15" s="15"/>
      <c r="K15" s="15"/>
      <c r="L15" s="15"/>
      <c r="M15" s="16"/>
      <c r="O15" s="38"/>
      <c r="P15" s="36" t="str">
        <f>_xlfn.CONCAT("        cpu: ",CHAR(34),J18,CHAR(34))</f>
        <v xml:space="preserve">        cpu: "0.25"</v>
      </c>
      <c r="Q15" s="38"/>
    </row>
    <row r="16" spans="2:25" ht="15" thickBot="1" x14ac:dyDescent="0.4">
      <c r="B16" s="4"/>
      <c r="C16" s="5"/>
      <c r="D16" s="5"/>
      <c r="E16" s="6"/>
      <c r="G16" s="17"/>
      <c r="H16" s="12" t="s">
        <v>39</v>
      </c>
      <c r="I16" s="18"/>
      <c r="J16" s="18"/>
      <c r="K16" s="18"/>
      <c r="L16" s="19"/>
      <c r="M16" s="20"/>
      <c r="O16" s="38"/>
      <c r="P16" s="36" t="str">
        <f>_xlfn.CONCAT("        memory: ",CHAR(34),K18,"Mi",CHAR(34))</f>
        <v xml:space="preserve">        memory: "256Mi"</v>
      </c>
      <c r="Q16" s="38"/>
    </row>
    <row r="17" spans="2:26" ht="15" thickBot="1" x14ac:dyDescent="0.4">
      <c r="B17" s="4"/>
      <c r="C17" s="5" t="s">
        <v>29</v>
      </c>
      <c r="D17" s="13">
        <f>ROUND(T27*X19*Z19+V27*Y19*Z19+U10,0)</f>
        <v>218</v>
      </c>
      <c r="E17" s="6"/>
      <c r="G17" s="17"/>
      <c r="H17" s="19"/>
      <c r="I17" s="19"/>
      <c r="J17" s="28" t="s">
        <v>9</v>
      </c>
      <c r="K17" s="28" t="s">
        <v>10</v>
      </c>
      <c r="L17" s="19"/>
      <c r="M17" s="20"/>
      <c r="O17" s="38"/>
      <c r="P17" s="36" t="s">
        <v>54</v>
      </c>
      <c r="Q17" s="38"/>
    </row>
    <row r="18" spans="2:26" ht="15" thickBot="1" x14ac:dyDescent="0.4">
      <c r="B18" s="4"/>
      <c r="C18" s="5"/>
      <c r="D18" s="5"/>
      <c r="E18" s="6"/>
      <c r="G18" s="17"/>
      <c r="H18" s="27" t="s">
        <v>0</v>
      </c>
      <c r="I18" s="28"/>
      <c r="J18" s="25">
        <v>0.25</v>
      </c>
      <c r="K18" s="25">
        <v>256</v>
      </c>
      <c r="L18" s="29" t="s">
        <v>17</v>
      </c>
      <c r="M18" s="20"/>
      <c r="O18" s="38"/>
      <c r="P18" s="36" t="str">
        <f>_xlfn.CONCAT("        cpu: ",CHAR(34),J19,CHAR(34))</f>
        <v xml:space="preserve">        cpu: "0.15"</v>
      </c>
      <c r="Q18" s="38"/>
      <c r="S18">
        <f>J18</f>
        <v>0.25</v>
      </c>
      <c r="T18">
        <f>S18*1</f>
        <v>0.25</v>
      </c>
      <c r="U18">
        <f>K18+256</f>
        <v>512</v>
      </c>
      <c r="V18">
        <f>U18/1000</f>
        <v>0.51200000000000001</v>
      </c>
      <c r="X18" t="s">
        <v>18</v>
      </c>
      <c r="Y18" t="s">
        <v>19</v>
      </c>
      <c r="Z18" t="s">
        <v>24</v>
      </c>
    </row>
    <row r="19" spans="2:26" ht="15" thickBot="1" x14ac:dyDescent="0.4">
      <c r="B19" s="4"/>
      <c r="C19" s="5" t="s">
        <v>30</v>
      </c>
      <c r="D19" s="13">
        <f>ROUND(T28*X19*Z19+V28*Y19*Z19+U10,0)</f>
        <v>402</v>
      </c>
      <c r="E19" s="6"/>
      <c r="G19" s="17"/>
      <c r="H19" s="27" t="s">
        <v>1</v>
      </c>
      <c r="I19" s="28"/>
      <c r="J19" s="25">
        <v>0.15</v>
      </c>
      <c r="K19" s="25">
        <v>128</v>
      </c>
      <c r="L19" s="29" t="s">
        <v>17</v>
      </c>
      <c r="M19" s="20"/>
      <c r="O19" s="38"/>
      <c r="P19" s="36" t="str">
        <f>_xlfn.CONCAT("        memory: ",CHAR(34),K19,"Mi",CHAR(34))</f>
        <v xml:space="preserve">        memory: "128Mi"</v>
      </c>
      <c r="Q19" s="38"/>
      <c r="S19">
        <f>J19+0.1</f>
        <v>0.25</v>
      </c>
      <c r="T19">
        <f t="shared" ref="T19:T23" si="0">S19*1</f>
        <v>0.25</v>
      </c>
      <c r="U19">
        <f>K19+128+256</f>
        <v>512</v>
      </c>
      <c r="V19">
        <f t="shared" ref="V19:V23" si="1">U19/1000</f>
        <v>0.51200000000000001</v>
      </c>
      <c r="X19">
        <v>1.62337E-2</v>
      </c>
      <c r="Y19">
        <v>1.78258E-3</v>
      </c>
      <c r="Z19">
        <f>30*24</f>
        <v>720</v>
      </c>
    </row>
    <row r="20" spans="2:26" ht="15" thickBot="1" x14ac:dyDescent="0.4">
      <c r="B20" s="7"/>
      <c r="C20" s="8"/>
      <c r="D20" s="8"/>
      <c r="E20" s="9"/>
      <c r="G20" s="17"/>
      <c r="H20" s="27" t="s">
        <v>2</v>
      </c>
      <c r="I20" s="28"/>
      <c r="J20" s="25">
        <v>0.25</v>
      </c>
      <c r="K20" s="25">
        <v>256</v>
      </c>
      <c r="L20" s="29" t="s">
        <v>17</v>
      </c>
      <c r="M20" s="20"/>
      <c r="O20" s="38"/>
      <c r="P20" s="36" t="s">
        <v>55</v>
      </c>
      <c r="Q20" s="38"/>
      <c r="S20">
        <f>J20</f>
        <v>0.25</v>
      </c>
      <c r="T20">
        <f t="shared" si="0"/>
        <v>0.25</v>
      </c>
      <c r="U20">
        <f>K20+256</f>
        <v>512</v>
      </c>
      <c r="V20">
        <f t="shared" si="1"/>
        <v>0.51200000000000001</v>
      </c>
    </row>
    <row r="21" spans="2:26" x14ac:dyDescent="0.35">
      <c r="G21" s="17"/>
      <c r="H21" s="27" t="s">
        <v>3</v>
      </c>
      <c r="I21" s="28"/>
      <c r="J21" s="25">
        <v>0.15</v>
      </c>
      <c r="K21" s="25">
        <v>640</v>
      </c>
      <c r="L21" s="29" t="s">
        <v>17</v>
      </c>
      <c r="M21" s="20"/>
      <c r="O21" s="38"/>
      <c r="P21" s="36" t="str">
        <f>_xlfn.CONCAT("        cpu: ",CHAR(34),J20,CHAR(34))</f>
        <v xml:space="preserve">        cpu: "0.25"</v>
      </c>
      <c r="Q21" s="38"/>
      <c r="S21">
        <f>J21+0.1</f>
        <v>0.25</v>
      </c>
      <c r="T21">
        <f t="shared" si="0"/>
        <v>0.25</v>
      </c>
      <c r="U21">
        <f>K21+128+256</f>
        <v>1024</v>
      </c>
      <c r="V21">
        <f t="shared" si="1"/>
        <v>1.024</v>
      </c>
    </row>
    <row r="22" spans="2:26" x14ac:dyDescent="0.35">
      <c r="G22" s="17"/>
      <c r="H22" s="27" t="s">
        <v>4</v>
      </c>
      <c r="I22" s="28"/>
      <c r="J22" s="25">
        <f>IF($D$7&gt;50,1,0.5)</f>
        <v>1</v>
      </c>
      <c r="K22" s="25" t="str">
        <f>IF(D7&gt;50,"2816","1792")</f>
        <v>2816</v>
      </c>
      <c r="L22" s="29" t="s">
        <v>17</v>
      </c>
      <c r="M22" s="20"/>
      <c r="O22" s="38"/>
      <c r="P22" s="36" t="str">
        <f>_xlfn.CONCAT("        memory: ",CHAR(34),K20,"Mi",CHAR(34))</f>
        <v xml:space="preserve">        memory: "256Mi"</v>
      </c>
      <c r="Q22" s="38"/>
      <c r="S22">
        <f>J22</f>
        <v>1</v>
      </c>
      <c r="T22">
        <f t="shared" si="0"/>
        <v>1</v>
      </c>
      <c r="U22">
        <f>K22+256</f>
        <v>3072</v>
      </c>
      <c r="V22">
        <f t="shared" si="1"/>
        <v>3.0720000000000001</v>
      </c>
    </row>
    <row r="23" spans="2:26" x14ac:dyDescent="0.35">
      <c r="G23" s="17"/>
      <c r="H23" s="27" t="s">
        <v>6</v>
      </c>
      <c r="I23" s="28"/>
      <c r="J23" s="25" cm="1">
        <f t="array" ref="J23">_xlfn.IFS($D$7&gt;500,7.8,$D$7&gt;150,3.8,$D$7&gt;50,1.8,$D$7&lt;=50,0.8)</f>
        <v>3.8</v>
      </c>
      <c r="K23" s="25" t="str" cm="1">
        <f t="array" ref="K23">_xlfn.IFS($D$7&gt;500,"15872",$D$7&gt;150,"7680",$D$7&gt;50,"3584",$D$7&lt;=50,"1536")</f>
        <v>7680</v>
      </c>
      <c r="L23" s="29" t="s">
        <v>17</v>
      </c>
      <c r="M23" s="20"/>
      <c r="O23" s="38"/>
      <c r="P23" s="36" t="s">
        <v>56</v>
      </c>
      <c r="Q23" s="38"/>
      <c r="S23">
        <f>J23+0.2</f>
        <v>4</v>
      </c>
      <c r="T23">
        <f t="shared" si="0"/>
        <v>4</v>
      </c>
      <c r="U23">
        <f>K23+256+256</f>
        <v>8192</v>
      </c>
      <c r="V23">
        <f t="shared" si="1"/>
        <v>8.1920000000000002</v>
      </c>
    </row>
    <row r="24" spans="2:26" x14ac:dyDescent="0.35">
      <c r="G24" s="17"/>
      <c r="H24" s="27" t="s">
        <v>5</v>
      </c>
      <c r="I24" s="28"/>
      <c r="J24" s="25">
        <f>IF($D$9&lt;24,0.8,3.8)</f>
        <v>3.8</v>
      </c>
      <c r="K24" s="25" t="str">
        <f>IF($D$9&lt;24,"2560","10752")</f>
        <v>10752</v>
      </c>
      <c r="L24" s="29" t="s">
        <v>17</v>
      </c>
      <c r="M24" s="20"/>
      <c r="O24" s="38"/>
      <c r="P24" s="36" t="str">
        <f>_xlfn.CONCAT("        cpu: ",CHAR(34),J21,CHAR(34))</f>
        <v xml:space="preserve">        cpu: "0.15"</v>
      </c>
      <c r="Q24" s="38"/>
      <c r="S24">
        <f>J24+0.2</f>
        <v>4</v>
      </c>
      <c r="T24">
        <f>S24*J34</f>
        <v>4</v>
      </c>
      <c r="U24">
        <f>K24+256+256</f>
        <v>11264</v>
      </c>
      <c r="V24">
        <f>(U24*J34)/1000</f>
        <v>11.263999999999999</v>
      </c>
    </row>
    <row r="25" spans="2:26" x14ac:dyDescent="0.35">
      <c r="G25" s="17"/>
      <c r="H25" s="21"/>
      <c r="I25" s="19"/>
      <c r="J25" s="19"/>
      <c r="K25" s="19"/>
      <c r="L25" s="19"/>
      <c r="M25" s="20"/>
      <c r="O25" s="38"/>
      <c r="P25" s="36" t="str">
        <f>_xlfn.CONCAT("        memory: ",CHAR(34),K21,"Mi",CHAR(34))</f>
        <v xml:space="preserve">        memory: "640Mi"</v>
      </c>
      <c r="Q25" s="38"/>
      <c r="T25">
        <f>S24*J35</f>
        <v>16</v>
      </c>
      <c r="V25">
        <f>(U24*J35)/1000</f>
        <v>45.055999999999997</v>
      </c>
    </row>
    <row r="26" spans="2:26" x14ac:dyDescent="0.35">
      <c r="G26" s="17"/>
      <c r="H26" s="27" t="s">
        <v>25</v>
      </c>
      <c r="I26" s="29"/>
      <c r="J26" s="26">
        <v>1000</v>
      </c>
      <c r="K26" s="19"/>
      <c r="L26" s="19"/>
      <c r="M26" s="20"/>
      <c r="O26" s="38"/>
      <c r="P26" s="36" t="s">
        <v>57</v>
      </c>
      <c r="Q26" s="38"/>
    </row>
    <row r="27" spans="2:26" x14ac:dyDescent="0.35">
      <c r="G27" s="17"/>
      <c r="H27" s="27" t="s">
        <v>11</v>
      </c>
      <c r="I27" s="29"/>
      <c r="J27" s="26">
        <v>1000</v>
      </c>
      <c r="K27" s="19"/>
      <c r="L27" s="19"/>
      <c r="M27" s="20"/>
      <c r="O27" s="38"/>
      <c r="P27" s="36" t="str">
        <f>_xlfn.CONCAT("        cpu: ",CHAR(34),J22,CHAR(34))</f>
        <v xml:space="preserve">        cpu: "1"</v>
      </c>
      <c r="Q27" s="38"/>
      <c r="S27" t="s">
        <v>20</v>
      </c>
      <c r="T27">
        <f>SUM(T18:T23)+T24</f>
        <v>10</v>
      </c>
      <c r="U27" t="s">
        <v>22</v>
      </c>
      <c r="V27">
        <f>SUM(V18:V23)+V24</f>
        <v>25.088000000000001</v>
      </c>
    </row>
    <row r="28" spans="2:26" x14ac:dyDescent="0.35">
      <c r="G28" s="17"/>
      <c r="H28" s="27" t="s">
        <v>12</v>
      </c>
      <c r="I28" s="29"/>
      <c r="J28" s="26" cm="1">
        <f t="array" ref="J28">_xlfn.IFS($D$7&gt;500,15,$D$7&gt;150,7,$D$7&gt;50,3,$D$7&lt;=50,1)</f>
        <v>7</v>
      </c>
      <c r="K28" s="19"/>
      <c r="L28" s="19"/>
      <c r="M28" s="20"/>
      <c r="O28" s="38"/>
      <c r="P28" s="36" t="str">
        <f>_xlfn.CONCAT("        memory: ",CHAR(34),K22,"Mi",CHAR(34))</f>
        <v xml:space="preserve">        memory: "2816Mi"</v>
      </c>
      <c r="Q28" s="38"/>
      <c r="S28" t="s">
        <v>21</v>
      </c>
      <c r="T28">
        <f>SUM(T18:T23)+T25</f>
        <v>22</v>
      </c>
      <c r="U28" t="s">
        <v>23</v>
      </c>
      <c r="V28">
        <f>SUM(V18:V23)+V25</f>
        <v>58.879999999999995</v>
      </c>
    </row>
    <row r="29" spans="2:26" x14ac:dyDescent="0.35">
      <c r="G29" s="17"/>
      <c r="H29" s="27" t="s">
        <v>50</v>
      </c>
      <c r="I29" s="29"/>
      <c r="J29" s="26">
        <f>CEILING((D7/J28)*3+10,30)</f>
        <v>150</v>
      </c>
      <c r="K29" s="19"/>
      <c r="L29" s="19"/>
      <c r="M29" s="20"/>
      <c r="O29" s="38"/>
      <c r="P29" s="36" t="s">
        <v>58</v>
      </c>
      <c r="Q29" s="38"/>
    </row>
    <row r="30" spans="2:26" x14ac:dyDescent="0.35">
      <c r="G30" s="17"/>
      <c r="H30" s="27" t="s">
        <v>51</v>
      </c>
      <c r="I30" s="29"/>
      <c r="J30" s="26">
        <f>J29+10</f>
        <v>160</v>
      </c>
      <c r="K30" s="19"/>
      <c r="L30" s="19"/>
      <c r="M30" s="20"/>
      <c r="O30" s="38"/>
      <c r="P30" s="36" t="str">
        <f>_xlfn.CONCAT("        cpu: ",CHAR(34),J23,CHAR(34))</f>
        <v xml:space="preserve">        cpu: "3.8"</v>
      </c>
      <c r="Q30" s="38"/>
    </row>
    <row r="31" spans="2:26" x14ac:dyDescent="0.35">
      <c r="G31" s="17"/>
      <c r="H31" s="27" t="s">
        <v>13</v>
      </c>
      <c r="I31" s="29"/>
      <c r="J31" s="26">
        <f>IF($D$9&lt;24,6,24)</f>
        <v>24</v>
      </c>
      <c r="K31" s="19"/>
      <c r="L31" s="19"/>
      <c r="M31" s="20"/>
      <c r="O31" s="38"/>
      <c r="P31" s="36" t="str">
        <f>_xlfn.CONCAT("        memory: ",CHAR(34),K23,"Mi",CHAR(34))</f>
        <v xml:space="preserve">        memory: "7680Mi"</v>
      </c>
      <c r="Q31" s="38"/>
    </row>
    <row r="32" spans="2:26" x14ac:dyDescent="0.35">
      <c r="G32" s="17"/>
      <c r="H32" s="27" t="s">
        <v>14</v>
      </c>
      <c r="I32" s="29"/>
      <c r="J32" s="26">
        <f>IF($D$7&gt;50,4,2)</f>
        <v>4</v>
      </c>
      <c r="K32" s="19"/>
      <c r="L32" s="19"/>
      <c r="M32" s="20"/>
      <c r="O32" s="38"/>
      <c r="P32" s="36" t="s">
        <v>59</v>
      </c>
      <c r="Q32" s="38"/>
    </row>
    <row r="33" spans="7:17" x14ac:dyDescent="0.35">
      <c r="G33" s="17"/>
      <c r="H33" s="21"/>
      <c r="I33" s="19"/>
      <c r="J33" s="19"/>
      <c r="K33" s="19"/>
      <c r="L33" s="19"/>
      <c r="M33" s="20"/>
      <c r="O33" s="38"/>
      <c r="P33" s="36" t="str">
        <f>_xlfn.CONCAT("        cpu: ",CHAR(34),J24,CHAR(34))</f>
        <v xml:space="preserve">        cpu: "3.8"</v>
      </c>
      <c r="Q33" s="38"/>
    </row>
    <row r="34" spans="7:17" x14ac:dyDescent="0.35">
      <c r="G34" s="17"/>
      <c r="H34" s="27" t="s">
        <v>15</v>
      </c>
      <c r="I34" s="29"/>
      <c r="J34" s="26">
        <f>IF(D11,ROUNDUP(J35/4,0),1)</f>
        <v>1</v>
      </c>
      <c r="K34" s="19"/>
      <c r="L34" s="19"/>
      <c r="M34" s="20"/>
      <c r="O34" s="38"/>
      <c r="P34" s="37" t="str">
        <f>_xlfn.CONCAT("        memory: ",CHAR(34),K24,"Mi",CHAR(34))</f>
        <v xml:space="preserve">        memory: "10752Mi"</v>
      </c>
      <c r="Q34" s="38"/>
    </row>
    <row r="35" spans="7:17" x14ac:dyDescent="0.35">
      <c r="G35" s="17"/>
      <c r="H35" s="27" t="s">
        <v>16</v>
      </c>
      <c r="I35" s="29"/>
      <c r="J35" s="26">
        <f>ROUND(D9/J31,0)</f>
        <v>4</v>
      </c>
      <c r="K35" s="19"/>
      <c r="L35" s="19"/>
      <c r="M35" s="20"/>
      <c r="O35" s="38"/>
      <c r="P35" s="38"/>
      <c r="Q35" s="38"/>
    </row>
    <row r="36" spans="7:17" ht="15" thickBot="1" x14ac:dyDescent="0.4">
      <c r="G36" s="22"/>
      <c r="H36" s="23"/>
      <c r="I36" s="23"/>
      <c r="J36" s="23"/>
      <c r="K36" s="23"/>
      <c r="L36" s="23"/>
      <c r="M36" s="24"/>
      <c r="O36" s="38"/>
      <c r="P36" s="39" t="s">
        <v>63</v>
      </c>
      <c r="Q36" s="38"/>
    </row>
    <row r="37" spans="7:17" x14ac:dyDescent="0.35">
      <c r="O37" s="38"/>
      <c r="P37" s="35" t="s">
        <v>64</v>
      </c>
      <c r="Q37" s="38"/>
    </row>
    <row r="38" spans="7:17" x14ac:dyDescent="0.35">
      <c r="O38" s="38"/>
      <c r="P38" s="36" t="s">
        <v>65</v>
      </c>
      <c r="Q38" s="38"/>
    </row>
    <row r="39" spans="7:17" x14ac:dyDescent="0.35">
      <c r="O39" s="38"/>
      <c r="P39" s="36" t="str">
        <f>_xlfn.CONCAT("        minReplicaCount: ",J34)</f>
        <v xml:space="preserve">        minReplicaCount: 1</v>
      </c>
      <c r="Q39" s="38"/>
    </row>
    <row r="40" spans="7:17" x14ac:dyDescent="0.35">
      <c r="O40" s="38"/>
      <c r="P40" s="37" t="str">
        <f>_xlfn.CONCAT("        maxReplicaCount: ",J35)</f>
        <v xml:space="preserve">        maxReplicaCount: 4</v>
      </c>
      <c r="Q40" s="38"/>
    </row>
    <row r="41" spans="7:17" x14ac:dyDescent="0.35">
      <c r="O41" s="38"/>
      <c r="P41" s="38"/>
      <c r="Q41" s="38"/>
    </row>
    <row r="42" spans="7:17" x14ac:dyDescent="0.35">
      <c r="O42" s="38"/>
      <c r="P42" s="39" t="s">
        <v>66</v>
      </c>
      <c r="Q42" s="38"/>
    </row>
    <row r="43" spans="7:17" x14ac:dyDescent="0.35">
      <c r="O43" s="38"/>
      <c r="P43" s="35" t="s">
        <v>67</v>
      </c>
      <c r="Q43" s="38"/>
    </row>
    <row r="44" spans="7:17" x14ac:dyDescent="0.35">
      <c r="O44" s="38"/>
      <c r="P44" s="36" t="s">
        <v>68</v>
      </c>
      <c r="Q44" s="38"/>
    </row>
    <row r="45" spans="7:17" x14ac:dyDescent="0.35">
      <c r="O45" s="38"/>
      <c r="P45" s="36" t="str">
        <f>_xlfn.CONCAT("        parallelism: ",J26)</f>
        <v xml:space="preserve">        parallelism: 1000</v>
      </c>
      <c r="Q45" s="38"/>
    </row>
    <row r="46" spans="7:17" x14ac:dyDescent="0.35">
      <c r="O46" s="38"/>
      <c r="P46" s="36" t="str">
        <f>_xlfn.CONCAT("        max_active_tasks_per_dag: ",J27)</f>
        <v xml:space="preserve">        max_active_tasks_per_dag: 1000</v>
      </c>
      <c r="Q46" s="38"/>
    </row>
    <row r="47" spans="7:17" x14ac:dyDescent="0.35">
      <c r="O47" s="38"/>
      <c r="P47" s="36" t="s">
        <v>58</v>
      </c>
      <c r="Q47" s="38"/>
    </row>
    <row r="48" spans="7:17" x14ac:dyDescent="0.35">
      <c r="O48" s="38"/>
      <c r="P48" s="36" t="str">
        <f>_xlfn.CONCAT("        parsing_processes: ",J28)</f>
        <v xml:space="preserve">        parsing_processes: 7</v>
      </c>
      <c r="Q48" s="38"/>
    </row>
    <row r="49" spans="15:17" x14ac:dyDescent="0.35">
      <c r="O49" s="38"/>
      <c r="P49" s="36" t="str">
        <f>_xlfn.CONCAT("        min_file_process_interval: ",J29)</f>
        <v xml:space="preserve">        min_file_process_interval: 150</v>
      </c>
      <c r="Q49" s="38"/>
    </row>
    <row r="50" spans="15:17" x14ac:dyDescent="0.35">
      <c r="O50" s="38"/>
      <c r="P50" s="36" t="str">
        <f>_xlfn.CONCAT("        dag_dir_list_interval: ",J30)</f>
        <v xml:space="preserve">        dag_dir_list_interval: 160</v>
      </c>
      <c r="Q50" s="38"/>
    </row>
    <row r="51" spans="15:17" x14ac:dyDescent="0.35">
      <c r="O51" s="38"/>
      <c r="P51" s="36" t="s">
        <v>69</v>
      </c>
      <c r="Q51" s="38"/>
    </row>
    <row r="52" spans="15:17" x14ac:dyDescent="0.35">
      <c r="O52" s="38"/>
      <c r="P52" s="36" t="str">
        <f>_xlfn.CONCAT("        worker_concurrency: ",J31)</f>
        <v xml:space="preserve">        worker_concurrency: 24</v>
      </c>
      <c r="Q52" s="38"/>
    </row>
    <row r="53" spans="15:17" x14ac:dyDescent="0.35">
      <c r="O53" s="38"/>
      <c r="P53" s="36" t="s">
        <v>70</v>
      </c>
      <c r="Q53" s="38"/>
    </row>
    <row r="54" spans="15:17" x14ac:dyDescent="0.35">
      <c r="O54" s="38"/>
      <c r="P54" s="36" t="s">
        <v>71</v>
      </c>
      <c r="Q54" s="38"/>
    </row>
    <row r="55" spans="15:17" x14ac:dyDescent="0.35">
      <c r="O55" s="38"/>
      <c r="P55" s="36" t="s">
        <v>57</v>
      </c>
      <c r="Q55" s="38"/>
    </row>
    <row r="56" spans="15:17" x14ac:dyDescent="0.35">
      <c r="O56" s="38"/>
      <c r="P56" s="36" t="s">
        <v>72</v>
      </c>
      <c r="Q56" s="38"/>
    </row>
    <row r="57" spans="15:17" x14ac:dyDescent="0.35">
      <c r="O57" s="38"/>
      <c r="P57" s="36" t="s">
        <v>73</v>
      </c>
      <c r="Q57" s="38"/>
    </row>
    <row r="58" spans="15:17" x14ac:dyDescent="0.35">
      <c r="O58" s="38"/>
      <c r="P58" s="37" t="str">
        <f>_xlfn.CONCAT("        workers: ",J32)</f>
        <v xml:space="preserve">        workers: 4</v>
      </c>
      <c r="Q58" s="38"/>
    </row>
    <row r="59" spans="15:17" x14ac:dyDescent="0.35">
      <c r="O59" s="38"/>
      <c r="P59" s="38"/>
      <c r="Q59" s="38"/>
    </row>
  </sheetData>
  <mergeCells count="2">
    <mergeCell ref="C14:D14"/>
    <mergeCell ref="B2:E2"/>
  </mergeCells>
  <dataValidations count="1">
    <dataValidation type="list" allowBlank="1" showInputMessage="1" showErrorMessage="1" sqref="D11" xr:uid="{841B2220-40CF-4F20-AD90-C48332133A5F}">
      <formula1>$X$4:$X$5</formula1>
    </dataValidation>
  </dataValidations>
  <pageMargins left="0.7" right="0.7" top="0.75" bottom="0.75" header="0.3" footer="0.3"/>
  <pageSetup orientation="portrait" horizontalDpi="1200" verticalDpi="1200" r:id="rId1"/>
  <ignoredErrors>
    <ignoredError sqref="J1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 Airflow 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Beno, David</dc:creator>
  <cp:lastModifiedBy>Valena, Daniel</cp:lastModifiedBy>
  <dcterms:created xsi:type="dcterms:W3CDTF">2023-11-20T15:07:52Z</dcterms:created>
  <dcterms:modified xsi:type="dcterms:W3CDTF">2024-02-23T12:36:22Z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fd646-07cb-4c4e-a107-4e4d6b30ba1b_Enabled">
    <vt:lpwstr>true</vt:lpwstr>
  </property>
  <property fmtid="{D5CDD505-2E9C-101B-9397-08002B2CF9AE}" pid="3" name="MSIP_Label_927fd646-07cb-4c4e-a107-4e4d6b30ba1b_SetDate">
    <vt:lpwstr>2023-11-20T15:55:12Z</vt:lpwstr>
  </property>
  <property fmtid="{D5CDD505-2E9C-101B-9397-08002B2CF9AE}" pid="4" name="MSIP_Label_927fd646-07cb-4c4e-a107-4e4d6b30ba1b_Method">
    <vt:lpwstr>Privileged</vt:lpwstr>
  </property>
  <property fmtid="{D5CDD505-2E9C-101B-9397-08002B2CF9AE}" pid="5" name="MSIP_Label_927fd646-07cb-4c4e-a107-4e4d6b30ba1b_Name">
    <vt:lpwstr>927fd646-07cb-4c4e-a107-4e4d6b30ba1b</vt:lpwstr>
  </property>
  <property fmtid="{D5CDD505-2E9C-101B-9397-08002B2CF9AE}" pid="6" name="MSIP_Label_927fd646-07cb-4c4e-a107-4e4d6b30ba1b_SiteId">
    <vt:lpwstr>a00de4ec-48a8-43a6-be74-e31274e2060d</vt:lpwstr>
  </property>
  <property fmtid="{D5CDD505-2E9C-101B-9397-08002B2CF9AE}" pid="7" name="MSIP_Label_927fd646-07cb-4c4e-a107-4e4d6b30ba1b_ActionId">
    <vt:lpwstr>aa95f367-4575-402d-938c-4a47561792d6</vt:lpwstr>
  </property>
  <property fmtid="{D5CDD505-2E9C-101B-9397-08002B2CF9AE}" pid="8" name="MSIP_Label_927fd646-07cb-4c4e-a107-4e4d6b30ba1b_ContentBits">
    <vt:lpwstr>1</vt:lpwstr>
  </property>
</Properties>
</file>