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6.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kyleseymour/GitHub/EuroSAFs/data/"/>
    </mc:Choice>
  </mc:AlternateContent>
  <xr:revisionPtr revIDLastSave="0" documentId="13_ncr:1_{5137ECF9-30CE-5349-9396-4EA6CEA71053}" xr6:coauthVersionLast="46" xr6:coauthVersionMax="46" xr10:uidLastSave="{00000000-0000-0000-0000-000000000000}"/>
  <bookViews>
    <workbookView xWindow="0" yWindow="500" windowWidth="35840" windowHeight="21900" tabRatio="926" xr2:uid="{00000000-000D-0000-FFFF-FFFF00000000}"/>
  </bookViews>
  <sheets>
    <sheet name="overview" sheetId="1" r:id="rId1"/>
    <sheet name="lit_review_raw" sheetId="2" r:id="rId2"/>
    <sheet name="Fasihi, 2019" sheetId="3" r:id="rId3"/>
    <sheet name="Cole, 2019" sheetId="4" r:id="rId4"/>
    <sheet name="Gorre, 2019" sheetId="5" r:id="rId5"/>
    <sheet name="Agora2019" sheetId="6" r:id="rId6"/>
    <sheet name="EUC2018" sheetId="7" r:id="rId7"/>
    <sheet name="JRC2018" sheetId="8" r:id="rId8"/>
    <sheet name="Vartiainen2020" sheetId="9" r:id="rId9"/>
    <sheet name="PV" sheetId="10" r:id="rId10"/>
    <sheet name="on-shore_wind" sheetId="11" r:id="rId11"/>
    <sheet name="off-shore_wind" sheetId="12" r:id="rId12"/>
    <sheet name="battery" sheetId="13" r:id="rId13"/>
    <sheet name="CSP" sheetId="14" r:id="rId14"/>
    <sheet name="electrolyser" sheetId="15" r:id="rId15"/>
    <sheet name="H2 storage" sheetId="16" r:id="rId16"/>
    <sheet name="FT" sheetId="17" r:id="rId17"/>
    <sheet name="constants" sheetId="18" r:id="rId18"/>
    <sheet name="data" sheetId="19" r:id="rId1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J127" i="1" l="1"/>
  <c r="F137" i="1"/>
  <c r="H137" i="1" s="1"/>
  <c r="H135" i="1"/>
  <c r="H133" i="1"/>
  <c r="H131" i="1"/>
  <c r="F133" i="1"/>
  <c r="N129" i="1"/>
  <c r="N128" i="1" s="1"/>
  <c r="L129" i="1"/>
  <c r="H128" i="1"/>
  <c r="J128" i="1" s="1"/>
  <c r="L128" i="1" s="1"/>
  <c r="C127" i="1"/>
  <c r="B106" i="19" s="1"/>
  <c r="C160" i="19"/>
  <c r="C159" i="19"/>
  <c r="C158" i="19"/>
  <c r="C157" i="19"/>
  <c r="C156" i="19"/>
  <c r="C155" i="19"/>
  <c r="C154" i="19"/>
  <c r="B160" i="19"/>
  <c r="B159" i="19"/>
  <c r="B158" i="19"/>
  <c r="B155" i="19"/>
  <c r="B154" i="19"/>
  <c r="C124" i="19"/>
  <c r="C123" i="19"/>
  <c r="C122" i="19"/>
  <c r="C121" i="19"/>
  <c r="C120" i="19"/>
  <c r="C119" i="19"/>
  <c r="C118" i="19"/>
  <c r="C117" i="19"/>
  <c r="C116" i="19"/>
  <c r="C115" i="19"/>
  <c r="C114" i="19"/>
  <c r="C113" i="19"/>
  <c r="C112" i="19"/>
  <c r="C111" i="19"/>
  <c r="C110" i="19"/>
  <c r="C109" i="19"/>
  <c r="C108" i="19"/>
  <c r="C107" i="19"/>
  <c r="C106" i="19"/>
  <c r="C105" i="19"/>
  <c r="C104" i="19"/>
  <c r="C103" i="19"/>
  <c r="C102" i="19"/>
  <c r="C101" i="19"/>
  <c r="C100" i="19"/>
  <c r="C99" i="19"/>
  <c r="B124" i="19"/>
  <c r="B123" i="19"/>
  <c r="B122" i="19"/>
  <c r="B121" i="19"/>
  <c r="B120" i="19"/>
  <c r="B119" i="19"/>
  <c r="B118" i="19"/>
  <c r="B117" i="19"/>
  <c r="B116" i="19"/>
  <c r="B115" i="19"/>
  <c r="B114" i="19"/>
  <c r="B113" i="19"/>
  <c r="B112" i="19"/>
  <c r="B111" i="19"/>
  <c r="B110" i="19"/>
  <c r="B109" i="19"/>
  <c r="B108" i="19"/>
  <c r="B107" i="19"/>
  <c r="B105" i="19"/>
  <c r="B103" i="19"/>
  <c r="B102" i="19"/>
  <c r="B101" i="19"/>
  <c r="B100" i="19"/>
  <c r="B99" i="19"/>
  <c r="C98" i="19"/>
  <c r="C97" i="19"/>
  <c r="C96" i="19"/>
  <c r="C95" i="19"/>
  <c r="C94" i="19"/>
  <c r="C93" i="19"/>
  <c r="B98" i="19"/>
  <c r="B97" i="19"/>
  <c r="B96" i="19"/>
  <c r="B95" i="19"/>
  <c r="B94" i="19"/>
  <c r="B93" i="19"/>
  <c r="C92" i="19"/>
  <c r="C91" i="19"/>
  <c r="C90" i="19"/>
  <c r="C89" i="19"/>
  <c r="C88" i="19"/>
  <c r="C87" i="19"/>
  <c r="C86" i="19"/>
  <c r="C85" i="19"/>
  <c r="C84" i="19"/>
  <c r="C83" i="19"/>
  <c r="C82" i="19"/>
  <c r="C81" i="19"/>
  <c r="C80" i="19"/>
  <c r="C79" i="19"/>
  <c r="B92" i="19"/>
  <c r="B91" i="19"/>
  <c r="B90" i="19"/>
  <c r="B89" i="19"/>
  <c r="B88" i="19"/>
  <c r="B87" i="19"/>
  <c r="B86" i="19"/>
  <c r="B85" i="19"/>
  <c r="B83" i="19"/>
  <c r="B82" i="19"/>
  <c r="B81" i="19"/>
  <c r="B80" i="19"/>
  <c r="B79" i="19"/>
  <c r="C78" i="19"/>
  <c r="C77" i="19"/>
  <c r="C76" i="19"/>
  <c r="C75" i="19"/>
  <c r="C74" i="19"/>
  <c r="C73" i="19"/>
  <c r="B78" i="19"/>
  <c r="B77" i="19"/>
  <c r="B76" i="19"/>
  <c r="B75" i="19"/>
  <c r="B74" i="19"/>
  <c r="B73" i="19"/>
  <c r="C72" i="19"/>
  <c r="C71" i="19"/>
  <c r="C70" i="19"/>
  <c r="C69" i="19"/>
  <c r="C68" i="19"/>
  <c r="C67" i="19"/>
  <c r="C66" i="19"/>
  <c r="C65" i="19"/>
  <c r="C64" i="19"/>
  <c r="C63" i="19"/>
  <c r="C62" i="19"/>
  <c r="C61" i="19"/>
  <c r="C60" i="19"/>
  <c r="C59" i="19"/>
  <c r="C58" i="19"/>
  <c r="C57" i="19"/>
  <c r="B72" i="19"/>
  <c r="B71" i="19"/>
  <c r="B70" i="19"/>
  <c r="B69" i="19"/>
  <c r="B68" i="19"/>
  <c r="B67" i="19"/>
  <c r="B66" i="19"/>
  <c r="B65" i="19"/>
  <c r="B64" i="19"/>
  <c r="B63" i="19"/>
  <c r="B62" i="19"/>
  <c r="B61" i="19"/>
  <c r="B60" i="19"/>
  <c r="B59" i="19"/>
  <c r="B58" i="19"/>
  <c r="B57" i="19"/>
  <c r="C56" i="19"/>
  <c r="C55" i="19"/>
  <c r="C54" i="19"/>
  <c r="C53" i="19"/>
  <c r="C52" i="19"/>
  <c r="C51" i="19"/>
  <c r="C50" i="19"/>
  <c r="C49" i="19"/>
  <c r="C48" i="19"/>
  <c r="C47" i="19"/>
  <c r="C46" i="19"/>
  <c r="C45" i="19"/>
  <c r="C44" i="19"/>
  <c r="C43" i="19"/>
  <c r="C42" i="19"/>
  <c r="B56" i="19"/>
  <c r="B55" i="19"/>
  <c r="B54" i="19"/>
  <c r="B53" i="19"/>
  <c r="B52" i="19"/>
  <c r="B51" i="19"/>
  <c r="B50" i="19"/>
  <c r="B49" i="19"/>
  <c r="B48" i="19"/>
  <c r="B47" i="19"/>
  <c r="B46" i="19"/>
  <c r="B45" i="19"/>
  <c r="B44" i="19"/>
  <c r="B43" i="19"/>
  <c r="B42" i="19"/>
  <c r="C41" i="19"/>
  <c r="C40" i="19"/>
  <c r="C39" i="19"/>
  <c r="C38" i="19"/>
  <c r="C37" i="19"/>
  <c r="C36" i="19"/>
  <c r="C35" i="19"/>
  <c r="C34" i="19"/>
  <c r="C33" i="19"/>
  <c r="C32" i="19"/>
  <c r="C31" i="19"/>
  <c r="C30" i="19"/>
  <c r="C29" i="19"/>
  <c r="B41" i="19"/>
  <c r="B40" i="19"/>
  <c r="B39" i="19"/>
  <c r="B38" i="19"/>
  <c r="B37" i="19"/>
  <c r="B36" i="19"/>
  <c r="B35" i="19"/>
  <c r="B34" i="19"/>
  <c r="B33" i="19"/>
  <c r="B32" i="19"/>
  <c r="B31" i="19"/>
  <c r="B30" i="19"/>
  <c r="B29" i="19"/>
  <c r="C101" i="1" l="1"/>
  <c r="B84" i="19" s="1"/>
  <c r="C125" i="1"/>
  <c r="B104" i="19" s="1"/>
  <c r="C172" i="1"/>
  <c r="B157" i="19" s="1"/>
  <c r="C171" i="1"/>
  <c r="B156" i="19" s="1"/>
  <c r="C168" i="1"/>
  <c r="B153" i="19" s="1"/>
  <c r="C167" i="1"/>
  <c r="C153" i="19"/>
  <c r="C152" i="19"/>
  <c r="C151" i="19"/>
  <c r="B151" i="19"/>
  <c r="C150" i="19"/>
  <c r="B150" i="19"/>
  <c r="C149" i="19"/>
  <c r="B149" i="19"/>
  <c r="C137" i="19"/>
  <c r="B137" i="19"/>
  <c r="C148" i="19"/>
  <c r="B148" i="19"/>
  <c r="C147" i="19"/>
  <c r="B147" i="19"/>
  <c r="C146" i="19"/>
  <c r="B146" i="19"/>
  <c r="C145" i="19"/>
  <c r="B145" i="19"/>
  <c r="C144" i="19"/>
  <c r="B144" i="19"/>
  <c r="C143" i="19"/>
  <c r="B143" i="19"/>
  <c r="C142" i="19"/>
  <c r="B142" i="19"/>
  <c r="C141" i="19"/>
  <c r="B141" i="19"/>
  <c r="C140" i="19"/>
  <c r="B140" i="19"/>
  <c r="C139" i="19"/>
  <c r="B139" i="19"/>
  <c r="C138" i="19"/>
  <c r="B138" i="19"/>
  <c r="C130" i="19"/>
  <c r="B130" i="19"/>
  <c r="C129" i="19"/>
  <c r="B129" i="19"/>
  <c r="C128" i="19"/>
  <c r="B128" i="19"/>
  <c r="C127" i="19"/>
  <c r="B127" i="19"/>
  <c r="C126" i="19"/>
  <c r="B126" i="19"/>
  <c r="C125" i="19"/>
  <c r="B125" i="19"/>
  <c r="C28" i="19"/>
  <c r="B28" i="19"/>
  <c r="C27" i="19"/>
  <c r="C26" i="19"/>
  <c r="B26" i="19"/>
  <c r="C25" i="19"/>
  <c r="B25" i="19"/>
  <c r="C24" i="19"/>
  <c r="B24" i="19"/>
  <c r="C23" i="19"/>
  <c r="B23" i="19"/>
  <c r="C22" i="19"/>
  <c r="B22" i="19"/>
  <c r="C21" i="19"/>
  <c r="B21" i="19"/>
  <c r="C20" i="19"/>
  <c r="B20" i="19"/>
  <c r="C19" i="19"/>
  <c r="B19" i="19"/>
  <c r="C18" i="19"/>
  <c r="B18" i="19"/>
  <c r="C17" i="19"/>
  <c r="B17" i="19"/>
  <c r="C16" i="19"/>
  <c r="B16" i="19"/>
  <c r="C15" i="19"/>
  <c r="B15" i="19"/>
  <c r="C14" i="19"/>
  <c r="B14" i="19"/>
  <c r="C13" i="19"/>
  <c r="B13" i="19"/>
  <c r="C12" i="19"/>
  <c r="B12" i="19"/>
  <c r="C11" i="19"/>
  <c r="B11" i="19"/>
  <c r="C10" i="19"/>
  <c r="B10" i="19"/>
  <c r="C9" i="19"/>
  <c r="B9" i="19"/>
  <c r="C8" i="19"/>
  <c r="B8" i="19"/>
  <c r="C7" i="19"/>
  <c r="B7" i="19"/>
  <c r="C6" i="19"/>
  <c r="B6" i="19"/>
  <c r="C5" i="19"/>
  <c r="B5" i="19"/>
  <c r="C4" i="19"/>
  <c r="B4" i="19"/>
  <c r="C3" i="19"/>
  <c r="B3" i="19"/>
  <c r="C2" i="19"/>
  <c r="B2" i="19"/>
  <c r="C5" i="18"/>
  <c r="AM58" i="2" s="1"/>
  <c r="O40" i="17"/>
  <c r="N40" i="17"/>
  <c r="G40" i="17"/>
  <c r="F40" i="17"/>
  <c r="B40" i="17"/>
  <c r="P25" i="17"/>
  <c r="L25" i="17"/>
  <c r="H25" i="17"/>
  <c r="H24" i="17" s="1"/>
  <c r="D25" i="17"/>
  <c r="D24" i="17" s="1"/>
  <c r="P24" i="17"/>
  <c r="O20" i="17"/>
  <c r="G20" i="17"/>
  <c r="F20" i="17"/>
  <c r="B20" i="17"/>
  <c r="O10" i="17"/>
  <c r="N10" i="17"/>
  <c r="N20" i="17" s="1"/>
  <c r="G10" i="17"/>
  <c r="F10" i="17"/>
  <c r="B10" i="17"/>
  <c r="K5" i="17"/>
  <c r="C4" i="17"/>
  <c r="B4" i="17"/>
  <c r="J4" i="17" s="1"/>
  <c r="H3" i="17"/>
  <c r="L3" i="17" s="1"/>
  <c r="P3" i="17" s="1"/>
  <c r="G3" i="17"/>
  <c r="D3" i="17"/>
  <c r="C3" i="17"/>
  <c r="B3" i="17"/>
  <c r="T66" i="15"/>
  <c r="AC40" i="15"/>
  <c r="AB40" i="15"/>
  <c r="Y40" i="15"/>
  <c r="X40" i="15"/>
  <c r="V40" i="15"/>
  <c r="S40" i="15"/>
  <c r="O40" i="15"/>
  <c r="N40" i="15"/>
  <c r="K40" i="15"/>
  <c r="J40" i="15"/>
  <c r="G40" i="15"/>
  <c r="F40" i="15"/>
  <c r="E40" i="15"/>
  <c r="B40" i="15"/>
  <c r="AB20" i="15"/>
  <c r="Y20" i="15"/>
  <c r="X20" i="15"/>
  <c r="S20" i="15"/>
  <c r="P20" i="15"/>
  <c r="N20" i="15"/>
  <c r="K20" i="15"/>
  <c r="J20" i="15"/>
  <c r="H20" i="15"/>
  <c r="F20" i="15"/>
  <c r="E20" i="15"/>
  <c r="B20" i="15"/>
  <c r="AD18" i="15"/>
  <c r="AC15" i="15"/>
  <c r="V15" i="15"/>
  <c r="T15" i="15"/>
  <c r="O15" i="15"/>
  <c r="L15" i="15"/>
  <c r="G15" i="15"/>
  <c r="D15" i="15"/>
  <c r="Y10" i="15"/>
  <c r="X10" i="15"/>
  <c r="S10" i="15"/>
  <c r="K10" i="15"/>
  <c r="J10" i="15"/>
  <c r="E10" i="15"/>
  <c r="B10" i="15"/>
  <c r="AE8" i="15"/>
  <c r="AE7" i="15" s="1"/>
  <c r="AD8" i="15"/>
  <c r="Q8" i="15"/>
  <c r="P8" i="15"/>
  <c r="I8" i="15"/>
  <c r="I7" i="15" s="1"/>
  <c r="H8" i="15"/>
  <c r="AB7" i="15"/>
  <c r="T7" i="15"/>
  <c r="Q7" i="15"/>
  <c r="N7" i="15"/>
  <c r="L7" i="15"/>
  <c r="F7" i="15"/>
  <c r="D7" i="15"/>
  <c r="Z4" i="15"/>
  <c r="Y4" i="15"/>
  <c r="P4" i="15"/>
  <c r="AD4" i="15" s="1"/>
  <c r="N4" i="15"/>
  <c r="AB4" i="15" s="1"/>
  <c r="I4" i="15"/>
  <c r="H4" i="15"/>
  <c r="F4" i="15"/>
  <c r="C4" i="15"/>
  <c r="S4" i="15" s="1"/>
  <c r="B4" i="15"/>
  <c r="AE3" i="15"/>
  <c r="AB3" i="15"/>
  <c r="W3" i="15"/>
  <c r="U3" i="15"/>
  <c r="T3" i="15"/>
  <c r="Q3" i="15"/>
  <c r="P3" i="15"/>
  <c r="AD3" i="15" s="1"/>
  <c r="I3" i="15"/>
  <c r="H3" i="15"/>
  <c r="G3" i="15"/>
  <c r="O3" i="15" s="1"/>
  <c r="V3" i="15" s="1"/>
  <c r="AC3" i="15" s="1"/>
  <c r="F3" i="15"/>
  <c r="E3" i="15"/>
  <c r="M3" i="15" s="1"/>
  <c r="AA3" i="15" s="1"/>
  <c r="D3" i="15"/>
  <c r="L3" i="15" s="1"/>
  <c r="Z3" i="15" s="1"/>
  <c r="C3" i="15"/>
  <c r="W66" i="15" s="1"/>
  <c r="B3" i="15"/>
  <c r="R3" i="15" s="1"/>
  <c r="C40" i="14"/>
  <c r="B40" i="14"/>
  <c r="C30" i="14"/>
  <c r="B30" i="14"/>
  <c r="C20" i="14"/>
  <c r="B20" i="14"/>
  <c r="C10" i="14"/>
  <c r="B10" i="14"/>
  <c r="D5" i="14"/>
  <c r="C5" i="14"/>
  <c r="B5" i="14"/>
  <c r="B4" i="14"/>
  <c r="D3" i="14"/>
  <c r="B3" i="14"/>
  <c r="D66" i="14" s="1"/>
  <c r="I66" i="13"/>
  <c r="B38" i="13"/>
  <c r="B34" i="13"/>
  <c r="C30" i="13"/>
  <c r="B27" i="13"/>
  <c r="O25" i="13"/>
  <c r="O24" i="13" s="1"/>
  <c r="M25" i="13"/>
  <c r="M24" i="13" s="1"/>
  <c r="J25" i="13"/>
  <c r="E25" i="13"/>
  <c r="E24" i="13" s="1"/>
  <c r="C25" i="13"/>
  <c r="J24" i="13"/>
  <c r="G20" i="13"/>
  <c r="D20" i="13"/>
  <c r="C20" i="13"/>
  <c r="B18" i="13"/>
  <c r="F15" i="13"/>
  <c r="D15" i="13"/>
  <c r="C15" i="13"/>
  <c r="B14" i="13"/>
  <c r="H10" i="13"/>
  <c r="D10" i="13"/>
  <c r="B10" i="13"/>
  <c r="P9" i="13"/>
  <c r="N9" i="13"/>
  <c r="H8" i="13"/>
  <c r="C7" i="13"/>
  <c r="L5" i="13"/>
  <c r="D5" i="13"/>
  <c r="H4" i="13"/>
  <c r="G4" i="13"/>
  <c r="F4" i="13"/>
  <c r="M3" i="13"/>
  <c r="O3" i="13" s="1"/>
  <c r="L3" i="13"/>
  <c r="J3" i="13"/>
  <c r="I3" i="13"/>
  <c r="F3" i="13"/>
  <c r="K3" i="13" s="1"/>
  <c r="N3" i="13" s="1"/>
  <c r="P3" i="13" s="1"/>
  <c r="E3" i="13"/>
  <c r="D3" i="13"/>
  <c r="C3" i="13"/>
  <c r="B3" i="13"/>
  <c r="G66" i="12"/>
  <c r="E40" i="12"/>
  <c r="D40" i="12"/>
  <c r="C40" i="12"/>
  <c r="B40" i="12"/>
  <c r="D30" i="12"/>
  <c r="B30" i="12"/>
  <c r="E20" i="12"/>
  <c r="D20" i="12"/>
  <c r="C20" i="12"/>
  <c r="B20" i="12"/>
  <c r="E10" i="12"/>
  <c r="D10" i="12"/>
  <c r="C10" i="12"/>
  <c r="B10" i="12"/>
  <c r="G5" i="12"/>
  <c r="F5" i="12"/>
  <c r="D5" i="12"/>
  <c r="B5" i="12"/>
  <c r="B4" i="12"/>
  <c r="F4" i="12" s="1"/>
  <c r="G3" i="12"/>
  <c r="F3" i="12"/>
  <c r="E3" i="12"/>
  <c r="D3" i="12"/>
  <c r="C3" i="12"/>
  <c r="B3" i="12"/>
  <c r="G66" i="11"/>
  <c r="E40" i="11"/>
  <c r="D40" i="11"/>
  <c r="C40" i="11"/>
  <c r="B40" i="11"/>
  <c r="D30" i="11"/>
  <c r="B30" i="11"/>
  <c r="E20" i="11"/>
  <c r="D20" i="11"/>
  <c r="C20" i="11"/>
  <c r="B20" i="11"/>
  <c r="E10" i="11"/>
  <c r="D10" i="11"/>
  <c r="C10" i="11"/>
  <c r="B10" i="11"/>
  <c r="G5" i="11"/>
  <c r="F5" i="11"/>
  <c r="D5" i="11"/>
  <c r="B5" i="11"/>
  <c r="F4" i="11"/>
  <c r="D4" i="11"/>
  <c r="B4" i="11"/>
  <c r="G3" i="11"/>
  <c r="F3" i="11"/>
  <c r="E3" i="11"/>
  <c r="D3" i="11"/>
  <c r="C3" i="11"/>
  <c r="B3" i="11"/>
  <c r="G67" i="10"/>
  <c r="G40" i="10"/>
  <c r="F40" i="10"/>
  <c r="D40" i="10"/>
  <c r="C40" i="10"/>
  <c r="B39" i="10"/>
  <c r="B37" i="10"/>
  <c r="B35" i="10"/>
  <c r="B33" i="10"/>
  <c r="B31" i="10"/>
  <c r="F30" i="10"/>
  <c r="C30" i="10"/>
  <c r="B30" i="10"/>
  <c r="B26" i="10"/>
  <c r="B22" i="10"/>
  <c r="G21" i="10"/>
  <c r="F21" i="10"/>
  <c r="B21" i="10"/>
  <c r="D20" i="10"/>
  <c r="C20" i="10"/>
  <c r="B18" i="10"/>
  <c r="B14" i="10"/>
  <c r="G10" i="10"/>
  <c r="F10" i="10"/>
  <c r="D10" i="10"/>
  <c r="C10" i="10"/>
  <c r="B10" i="10"/>
  <c r="J5" i="10"/>
  <c r="I5" i="10"/>
  <c r="H5" i="10"/>
  <c r="F5" i="10"/>
  <c r="C5" i="10"/>
  <c r="I4" i="10"/>
  <c r="F4" i="10"/>
  <c r="C4" i="10"/>
  <c r="J3" i="10"/>
  <c r="I3" i="10"/>
  <c r="H3" i="10"/>
  <c r="G3" i="10"/>
  <c r="F3" i="10"/>
  <c r="E3" i="10"/>
  <c r="D3" i="10"/>
  <c r="C3" i="10"/>
  <c r="B3" i="10"/>
  <c r="AF9" i="9"/>
  <c r="I37" i="13" s="1"/>
  <c r="AD9" i="9"/>
  <c r="I35" i="13" s="1"/>
  <c r="AA9" i="9"/>
  <c r="I32" i="13" s="1"/>
  <c r="Z9" i="9"/>
  <c r="I31" i="13" s="1"/>
  <c r="X9" i="9"/>
  <c r="I29" i="13" s="1"/>
  <c r="V9" i="9"/>
  <c r="I27" i="13" s="1"/>
  <c r="P9" i="9"/>
  <c r="I21" i="13" s="1"/>
  <c r="N9" i="9"/>
  <c r="I19" i="13" s="1"/>
  <c r="K9" i="9"/>
  <c r="I16" i="13" s="1"/>
  <c r="J9" i="9"/>
  <c r="I15" i="13" s="1"/>
  <c r="H9" i="9"/>
  <c r="I13" i="13" s="1"/>
  <c r="F9" i="9"/>
  <c r="I11" i="13" s="1"/>
  <c r="AI7" i="9"/>
  <c r="AI9" i="9" s="1"/>
  <c r="I40" i="13" s="1"/>
  <c r="AH7" i="9"/>
  <c r="B39" i="13" s="1"/>
  <c r="AG7" i="9"/>
  <c r="AG9" i="9" s="1"/>
  <c r="I38" i="13" s="1"/>
  <c r="AF7" i="9"/>
  <c r="B37" i="13" s="1"/>
  <c r="AE7" i="9"/>
  <c r="AE9" i="9" s="1"/>
  <c r="I36" i="13" s="1"/>
  <c r="AD7" i="9"/>
  <c r="B35" i="13" s="1"/>
  <c r="AC7" i="9"/>
  <c r="AC9" i="9" s="1"/>
  <c r="I34" i="13" s="1"/>
  <c r="AB7" i="9"/>
  <c r="B33" i="13" s="1"/>
  <c r="AA7" i="9"/>
  <c r="B32" i="13" s="1"/>
  <c r="Z7" i="9"/>
  <c r="B31" i="13" s="1"/>
  <c r="Y7" i="9"/>
  <c r="B30" i="13" s="1"/>
  <c r="X7" i="9"/>
  <c r="B29" i="13" s="1"/>
  <c r="W7" i="9"/>
  <c r="B28" i="13" s="1"/>
  <c r="V7" i="9"/>
  <c r="U7" i="9"/>
  <c r="B26" i="13" s="1"/>
  <c r="T7" i="9"/>
  <c r="T9" i="9" s="1"/>
  <c r="I25" i="13" s="1"/>
  <c r="S7" i="9"/>
  <c r="B24" i="13" s="1"/>
  <c r="R7" i="9"/>
  <c r="B23" i="13" s="1"/>
  <c r="Q7" i="9"/>
  <c r="Q9" i="9" s="1"/>
  <c r="I22" i="13" s="1"/>
  <c r="P7" i="9"/>
  <c r="B21" i="13" s="1"/>
  <c r="O7" i="9"/>
  <c r="O9" i="9" s="1"/>
  <c r="I20" i="13" s="1"/>
  <c r="N7" i="9"/>
  <c r="B19" i="13" s="1"/>
  <c r="M7" i="9"/>
  <c r="M9" i="9" s="1"/>
  <c r="I18" i="13" s="1"/>
  <c r="L7" i="9"/>
  <c r="B17" i="13" s="1"/>
  <c r="K7" i="9"/>
  <c r="B16" i="13" s="1"/>
  <c r="J7" i="9"/>
  <c r="B15" i="13" s="1"/>
  <c r="I7" i="9"/>
  <c r="I9" i="9" s="1"/>
  <c r="I14" i="13" s="1"/>
  <c r="H7" i="9"/>
  <c r="B13" i="13" s="1"/>
  <c r="G7" i="9"/>
  <c r="B12" i="13" s="1"/>
  <c r="F7" i="9"/>
  <c r="B11" i="13" s="1"/>
  <c r="E7" i="9"/>
  <c r="E9" i="9" s="1"/>
  <c r="I10" i="13" s="1"/>
  <c r="D7" i="9"/>
  <c r="B9" i="13" s="1"/>
  <c r="AF5" i="9"/>
  <c r="E37" i="10" s="1"/>
  <c r="AD5" i="9"/>
  <c r="E35" i="10" s="1"/>
  <c r="AA5" i="9"/>
  <c r="E32" i="10" s="1"/>
  <c r="Z5" i="9"/>
  <c r="E31" i="10" s="1"/>
  <c r="X5" i="9"/>
  <c r="E29" i="10" s="1"/>
  <c r="V5" i="9"/>
  <c r="E27" i="10" s="1"/>
  <c r="P5" i="9"/>
  <c r="E21" i="10" s="1"/>
  <c r="N5" i="9"/>
  <c r="E19" i="10" s="1"/>
  <c r="K5" i="9"/>
  <c r="E16" i="10" s="1"/>
  <c r="J5" i="9"/>
  <c r="E15" i="10" s="1"/>
  <c r="H5" i="9"/>
  <c r="E13" i="10" s="1"/>
  <c r="F5" i="9"/>
  <c r="E11" i="10" s="1"/>
  <c r="AI3" i="9"/>
  <c r="B40" i="10" s="1"/>
  <c r="AH3" i="9"/>
  <c r="AH5" i="9" s="1"/>
  <c r="E39" i="10" s="1"/>
  <c r="AG3" i="9"/>
  <c r="B38" i="10" s="1"/>
  <c r="AF3" i="9"/>
  <c r="AE3" i="9"/>
  <c r="B36" i="10" s="1"/>
  <c r="AD3" i="9"/>
  <c r="AC3" i="9"/>
  <c r="B34" i="10" s="1"/>
  <c r="AB3" i="9"/>
  <c r="AB5" i="9" s="1"/>
  <c r="E33" i="10" s="1"/>
  <c r="AA3" i="9"/>
  <c r="B32" i="10" s="1"/>
  <c r="Z3" i="9"/>
  <c r="Y3" i="9"/>
  <c r="Y5" i="9" s="1"/>
  <c r="E30" i="10" s="1"/>
  <c r="X3" i="9"/>
  <c r="B29" i="10" s="1"/>
  <c r="W3" i="9"/>
  <c r="B28" i="10" s="1"/>
  <c r="V3" i="9"/>
  <c r="B27" i="10" s="1"/>
  <c r="U3" i="9"/>
  <c r="U5" i="9" s="1"/>
  <c r="E26" i="10" s="1"/>
  <c r="T3" i="9"/>
  <c r="B25" i="10" s="1"/>
  <c r="S3" i="9"/>
  <c r="S5" i="9" s="1"/>
  <c r="E24" i="10" s="1"/>
  <c r="R3" i="9"/>
  <c r="B23" i="10" s="1"/>
  <c r="Q3" i="9"/>
  <c r="Q5" i="9" s="1"/>
  <c r="E22" i="10" s="1"/>
  <c r="P3" i="9"/>
  <c r="O3" i="9"/>
  <c r="O5" i="9" s="1"/>
  <c r="E20" i="10" s="1"/>
  <c r="N3" i="9"/>
  <c r="B19" i="10" s="1"/>
  <c r="M3" i="9"/>
  <c r="M5" i="9" s="1"/>
  <c r="E18" i="10" s="1"/>
  <c r="L3" i="9"/>
  <c r="B17" i="10" s="1"/>
  <c r="K3" i="9"/>
  <c r="B16" i="10" s="1"/>
  <c r="J3" i="9"/>
  <c r="B15" i="10" s="1"/>
  <c r="I3" i="9"/>
  <c r="I5" i="9" s="1"/>
  <c r="E14" i="10" s="1"/>
  <c r="H3" i="9"/>
  <c r="B13" i="10" s="1"/>
  <c r="G3" i="9"/>
  <c r="G5" i="9" s="1"/>
  <c r="E12" i="10" s="1"/>
  <c r="F3" i="9"/>
  <c r="B11" i="10" s="1"/>
  <c r="E3" i="9"/>
  <c r="E5" i="9" s="1"/>
  <c r="E10" i="10" s="1"/>
  <c r="D3" i="9"/>
  <c r="B9" i="10" s="1"/>
  <c r="F7" i="5"/>
  <c r="E7" i="5"/>
  <c r="D7" i="5"/>
  <c r="D13" i="4"/>
  <c r="K9" i="13" s="1"/>
  <c r="K8" i="13" s="1"/>
  <c r="C13" i="4"/>
  <c r="B13" i="4"/>
  <c r="H7" i="4"/>
  <c r="H40" i="13" s="1"/>
  <c r="G7" i="4"/>
  <c r="H20" i="13" s="1"/>
  <c r="F7" i="4"/>
  <c r="H15" i="13" s="1"/>
  <c r="E7" i="4"/>
  <c r="D7" i="4"/>
  <c r="H6" i="4"/>
  <c r="F40" i="13" s="1"/>
  <c r="G6" i="4"/>
  <c r="F20" i="13" s="1"/>
  <c r="F6" i="4"/>
  <c r="E6" i="4"/>
  <c r="F10" i="13" s="1"/>
  <c r="D6" i="4"/>
  <c r="F8" i="13" s="1"/>
  <c r="H5" i="4"/>
  <c r="G40" i="13" s="1"/>
  <c r="G5" i="4"/>
  <c r="F5" i="4"/>
  <c r="G15" i="13" s="1"/>
  <c r="E5" i="4"/>
  <c r="G10" i="13" s="1"/>
  <c r="D5" i="4"/>
  <c r="G8" i="13" s="1"/>
  <c r="AN67" i="2"/>
  <c r="AM67" i="2"/>
  <c r="AN66" i="2"/>
  <c r="AM66" i="2"/>
  <c r="AN65" i="2"/>
  <c r="AM65" i="2"/>
  <c r="AR61" i="2"/>
  <c r="AM60" i="2"/>
  <c r="AM57" i="2"/>
  <c r="AM56" i="2"/>
  <c r="X55" i="2"/>
  <c r="X54" i="2"/>
  <c r="AM48" i="2"/>
  <c r="BQ42" i="2"/>
  <c r="AS41" i="2"/>
  <c r="AQ41" i="2"/>
  <c r="AM39" i="2"/>
  <c r="AN38" i="2"/>
  <c r="AM38" i="2"/>
  <c r="AM37" i="2"/>
  <c r="AM35" i="2"/>
  <c r="AM34" i="2"/>
  <c r="BA33" i="2"/>
  <c r="AD33" i="2"/>
  <c r="C40" i="17" s="1"/>
  <c r="BA32" i="2"/>
  <c r="AD32" i="2"/>
  <c r="C20" i="15" s="1"/>
  <c r="BA31" i="2"/>
  <c r="AM31" i="2"/>
  <c r="AD31" i="2"/>
  <c r="Y31" i="2"/>
  <c r="X31" i="2"/>
  <c r="X27" i="2"/>
  <c r="Y27" i="2" s="1"/>
  <c r="P27" i="2"/>
  <c r="Q27" i="2" s="1"/>
  <c r="X26" i="2"/>
  <c r="P26" i="2"/>
  <c r="X25" i="2"/>
  <c r="Y25" i="2" s="1"/>
  <c r="Q24" i="2"/>
  <c r="G24" i="2"/>
  <c r="Y23" i="2"/>
  <c r="X23" i="2"/>
  <c r="F23" i="2"/>
  <c r="G23" i="2" s="1"/>
  <c r="Y22" i="2"/>
  <c r="X22" i="2"/>
  <c r="F22" i="2"/>
  <c r="G22" i="2" s="1"/>
  <c r="U21" i="2"/>
  <c r="Q21" i="2"/>
  <c r="P21" i="2"/>
  <c r="K21" i="2"/>
  <c r="J21" i="2"/>
  <c r="AE16" i="2"/>
  <c r="Q16" i="2"/>
  <c r="AD15" i="2"/>
  <c r="AD14" i="2"/>
  <c r="AI13" i="2"/>
  <c r="Z15" i="15" s="1"/>
  <c r="AI12" i="2"/>
  <c r="Z7" i="15" s="1"/>
  <c r="M7" i="2"/>
  <c r="K7" i="2"/>
  <c r="J7" i="2"/>
  <c r="B152" i="19"/>
  <c r="D153" i="1"/>
  <c r="C136" i="19" s="1"/>
  <c r="D152" i="1"/>
  <c r="C135" i="19" s="1"/>
  <c r="D151" i="1"/>
  <c r="C134" i="19" s="1"/>
  <c r="D150" i="1"/>
  <c r="C133" i="19" s="1"/>
  <c r="C150" i="1"/>
  <c r="B133" i="19" s="1"/>
  <c r="D149" i="1"/>
  <c r="C132" i="19" s="1"/>
  <c r="C149" i="1"/>
  <c r="B132" i="19" s="1"/>
  <c r="D148" i="1"/>
  <c r="C131" i="19" s="1"/>
  <c r="C148" i="1"/>
  <c r="B131" i="19" s="1"/>
  <c r="B27" i="19"/>
  <c r="L4" i="1"/>
  <c r="N4" i="1" s="1"/>
  <c r="P4" i="1" l="1"/>
  <c r="R4" i="1"/>
  <c r="B12" i="10"/>
  <c r="B20" i="10"/>
  <c r="K3" i="15"/>
  <c r="Y3" i="15" s="1"/>
  <c r="S3" i="15"/>
  <c r="R4" i="15"/>
  <c r="J4" i="15"/>
  <c r="F3" i="17"/>
  <c r="K66" i="17"/>
  <c r="J3" i="17"/>
  <c r="O4" i="17"/>
  <c r="G4" i="17"/>
  <c r="C10" i="17"/>
  <c r="C10" i="15"/>
  <c r="C152" i="1"/>
  <c r="B135" i="19" s="1"/>
  <c r="AM59" i="2"/>
  <c r="L5" i="9"/>
  <c r="E17" i="10" s="1"/>
  <c r="R5" i="9"/>
  <c r="E23" i="10" s="1"/>
  <c r="W5" i="9"/>
  <c r="E28" i="10" s="1"/>
  <c r="G9" i="9"/>
  <c r="I12" i="13" s="1"/>
  <c r="L9" i="9"/>
  <c r="I17" i="13" s="1"/>
  <c r="R9" i="9"/>
  <c r="I23" i="13" s="1"/>
  <c r="W9" i="9"/>
  <c r="I28" i="13" s="1"/>
  <c r="AB9" i="9"/>
  <c r="I33" i="13" s="1"/>
  <c r="AH9" i="9"/>
  <c r="I39" i="13" s="1"/>
  <c r="B24" i="10"/>
  <c r="B25" i="13"/>
  <c r="B36" i="13"/>
  <c r="B40" i="13"/>
  <c r="C40" i="15"/>
  <c r="O66" i="17"/>
  <c r="K3" i="17"/>
  <c r="O3" i="17"/>
  <c r="AI5" i="9"/>
  <c r="E40" i="10" s="1"/>
  <c r="S9" i="9"/>
  <c r="I24" i="13" s="1"/>
  <c r="B20" i="13"/>
  <c r="N3" i="17"/>
  <c r="K4" i="17"/>
  <c r="C20" i="17"/>
  <c r="C151" i="1"/>
  <c r="B134" i="19" s="1"/>
  <c r="C153" i="1"/>
  <c r="B136" i="19" s="1"/>
  <c r="D5" i="9"/>
  <c r="E9" i="10" s="1"/>
  <c r="T5" i="9"/>
  <c r="E25" i="10" s="1"/>
  <c r="AE5" i="9"/>
  <c r="E36" i="10" s="1"/>
  <c r="D9" i="9"/>
  <c r="I9" i="13" s="1"/>
  <c r="D4" i="12"/>
  <c r="D4" i="14"/>
  <c r="C4" i="14"/>
  <c r="J3" i="15"/>
  <c r="X3" i="15" s="1"/>
  <c r="X4" i="15"/>
  <c r="N4" i="17"/>
  <c r="F4" i="17"/>
  <c r="B22" i="13"/>
  <c r="AC5" i="9"/>
  <c r="E34" i="10" s="1"/>
  <c r="AG5" i="9"/>
  <c r="E38" i="10" s="1"/>
  <c r="U9" i="9"/>
  <c r="I26" i="13" s="1"/>
  <c r="Y9" i="9"/>
  <c r="I30" i="13" s="1"/>
  <c r="G3" i="13"/>
  <c r="H3" i="13" s="1"/>
  <c r="C3" i="14"/>
  <c r="K4"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P3" authorId="0" shapeId="0" xr:uid="{00000000-0006-0000-0100-000001000000}">
      <text>
        <r>
          <rPr>
            <sz val="12"/>
            <color rgb="FF000000"/>
            <rFont val="Calibri"/>
            <family val="2"/>
            <charset val="1"/>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careful: module prices vs. system prices!</t>
        </r>
      </text>
    </comment>
  </commentList>
</comments>
</file>

<file path=xl/sharedStrings.xml><?xml version="1.0" encoding="utf-8"?>
<sst xmlns="http://schemas.openxmlformats.org/spreadsheetml/2006/main" count="1486" uniqueCount="623">
  <si>
    <t>Color Code:</t>
  </si>
  <si>
    <t>Unverified value. A source must be found or an assumption must be justified.</t>
  </si>
  <si>
    <t>Verified value. Trustworthy source.</t>
  </si>
  <si>
    <t>Stand-in value. This value was obtained from a source that is either outdated or untrustworthy. A trustworthy source should be found.</t>
  </si>
  <si>
    <t>Calculated value</t>
  </si>
  <si>
    <t>Design variable</t>
  </si>
  <si>
    <t>Specification</t>
  </si>
  <si>
    <t>Variable Name</t>
  </si>
  <si>
    <t>Value</t>
  </si>
  <si>
    <t>Units</t>
  </si>
  <si>
    <t>Sources</t>
  </si>
  <si>
    <t>Comments</t>
  </si>
  <si>
    <t>kerosene output of plant</t>
  </si>
  <si>
    <t>general_required_fuel</t>
  </si>
  <si>
    <t>kg/year</t>
  </si>
  <si>
    <t>gal/year</t>
  </si>
  <si>
    <t>barrels/year</t>
  </si>
  <si>
    <t>liters/year</t>
  </si>
  <si>
    <t>On-shore wind plant</t>
  </si>
  <si>
    <t xml:space="preserve">turbine spacing </t>
  </si>
  <si>
    <t>windon_turbine_spacing</t>
  </si>
  <si>
    <t>meters of spacing per meter of rotor diameter</t>
  </si>
  <si>
    <t>Bryer, 2012</t>
  </si>
  <si>
    <t>maximum units</t>
  </si>
  <si>
    <t>windon_max_units</t>
  </si>
  <si>
    <t>[1]</t>
  </si>
  <si>
    <t>minimum units</t>
  </si>
  <si>
    <t>windon_min_units</t>
  </si>
  <si>
    <t xml:space="preserve">max_CAPEX       </t>
  </si>
  <si>
    <t>windon_max_CAPEX</t>
  </si>
  <si>
    <t>[EUR/kW rated]</t>
  </si>
  <si>
    <t>JRC, 2018</t>
  </si>
  <si>
    <t xml:space="preserve">max_OPEX        </t>
  </si>
  <si>
    <t>windon_max_OPEX</t>
  </si>
  <si>
    <t>Fraction of CAPEX p.a.</t>
  </si>
  <si>
    <t xml:space="preserve">CAPEX       </t>
  </si>
  <si>
    <t>windon_CAPEX</t>
  </si>
  <si>
    <t xml:space="preserve">OPEX        </t>
  </si>
  <si>
    <t>windon_OPEX</t>
  </si>
  <si>
    <t xml:space="preserve">min_CAPEX       </t>
  </si>
  <si>
    <t>windon_min_CAPEX</t>
  </si>
  <si>
    <t xml:space="preserve">min_OPEX        </t>
  </si>
  <si>
    <t>windon_min_OPEX</t>
  </si>
  <si>
    <t>max_lifetime</t>
  </si>
  <si>
    <t>windon_max_lifetime</t>
  </si>
  <si>
    <t>years</t>
  </si>
  <si>
    <t xml:space="preserve">lifetime    </t>
  </si>
  <si>
    <t>windon_lifetime</t>
  </si>
  <si>
    <t>Fasihi, 2016</t>
  </si>
  <si>
    <t>min_lifetime</t>
  </si>
  <si>
    <t>windon_min_lifetime</t>
  </si>
  <si>
    <t>Off-shore wind plant</t>
  </si>
  <si>
    <t>windoff_turbine_spacing</t>
  </si>
  <si>
    <t>Maienza, 2020</t>
  </si>
  <si>
    <t>windoff_max_units</t>
  </si>
  <si>
    <t>windoff_min_units</t>
  </si>
  <si>
    <t>windoff_min_CAPEX</t>
  </si>
  <si>
    <t>windoff_min_OPEX</t>
  </si>
  <si>
    <t>CAPEX</t>
  </si>
  <si>
    <t>windoff_CAPEX</t>
  </si>
  <si>
    <t>OPEX</t>
  </si>
  <si>
    <t>windoff_OPEX</t>
  </si>
  <si>
    <t>max_CAPEX</t>
  </si>
  <si>
    <t>windoff_max_CAPEX</t>
  </si>
  <si>
    <t>windoff_max_OPEX</t>
  </si>
  <si>
    <t>windoff_max_lifetime</t>
  </si>
  <si>
    <t>windoff_lifetime</t>
  </si>
  <si>
    <t>windoff_min_lifetime</t>
  </si>
  <si>
    <t>max_DECEX</t>
  </si>
  <si>
    <t>windoff_max_DECEX</t>
  </si>
  <si>
    <t>DECEX</t>
  </si>
  <si>
    <t>windoff_DECEX</t>
  </si>
  <si>
    <t>min_DECEX</t>
  </si>
  <si>
    <t>windoff_min_DECEX</t>
  </si>
  <si>
    <t>Solar PV plant</t>
  </si>
  <si>
    <t>unit generation capacity</t>
  </si>
  <si>
    <t>PV_unit_capacity</t>
  </si>
  <si>
    <t>kW</t>
  </si>
  <si>
    <t>PV_max_units</t>
  </si>
  <si>
    <t>PV_min_units</t>
  </si>
  <si>
    <t xml:space="preserve">PV peak per area  </t>
  </si>
  <si>
    <t>kWp/m^2</t>
  </si>
  <si>
    <t xml:space="preserve">CAPEX           </t>
  </si>
  <si>
    <t>PV_CAPEX</t>
  </si>
  <si>
    <t>[EUR/kWp]</t>
  </si>
  <si>
    <t xml:space="preserve">OPEX            </t>
  </si>
  <si>
    <t>PV_OPEX</t>
  </si>
  <si>
    <t>PV_max_CAPEX</t>
  </si>
  <si>
    <t>PV_max_OPEX</t>
  </si>
  <si>
    <t>PV_min_CAPEX</t>
  </si>
  <si>
    <t>PV_min_OPEX</t>
  </si>
  <si>
    <t>PV_max_lifetime</t>
  </si>
  <si>
    <t xml:space="preserve">lifetime        </t>
  </si>
  <si>
    <t>PV_lifetime</t>
  </si>
  <si>
    <t>PV_min_lifetime</t>
  </si>
  <si>
    <t>Battery</t>
  </si>
  <si>
    <t>unit electricity storage capacity</t>
  </si>
  <si>
    <t>battery_unit_capacity</t>
  </si>
  <si>
    <t>kWh</t>
  </si>
  <si>
    <t>battery_max_units</t>
  </si>
  <si>
    <t>battery_min_units</t>
  </si>
  <si>
    <t xml:space="preserve">CAPEX     </t>
  </si>
  <si>
    <t>battery_CAPEX</t>
  </si>
  <si>
    <t>[EUR/kWh]</t>
  </si>
  <si>
    <t>Vartiainen, 2020</t>
  </si>
  <si>
    <t xml:space="preserve">OPEX      </t>
  </si>
  <si>
    <t>battery_OPEX</t>
  </si>
  <si>
    <t>battery_max_CAPEX</t>
  </si>
  <si>
    <t>battery_max_OPEX</t>
  </si>
  <si>
    <t>battery_min_CAPEX</t>
  </si>
  <si>
    <t>battery_min_OPEX</t>
  </si>
  <si>
    <t>battery_max_lifetime</t>
  </si>
  <si>
    <t>lifetime</t>
  </si>
  <si>
    <t>battery_lifetime</t>
  </si>
  <si>
    <t>battery_min_lifetime</t>
  </si>
  <si>
    <t xml:space="preserve">cycle efficiency </t>
  </si>
  <si>
    <t>battery_cycle_efficiency</t>
  </si>
  <si>
    <t xml:space="preserve">c rate           </t>
  </si>
  <si>
    <t>battery_c_rate</t>
  </si>
  <si>
    <t>1/hours</t>
  </si>
  <si>
    <t>https://www.tesla.com/en_AU/blog/introducing-megapack-utility-scale-energy-storage</t>
  </si>
  <si>
    <t>1.5 MW power / 3 MWh energy</t>
  </si>
  <si>
    <t>Electrolyzer (Alkaline Electrolysis Cell)</t>
  </si>
  <si>
    <t>unit electricity input capacity</t>
  </si>
  <si>
    <t>electrolyzer_unit_capacity</t>
  </si>
  <si>
    <t>electrolyzer_max_units</t>
  </si>
  <si>
    <t>electrolyzer_min_units</t>
  </si>
  <si>
    <t>electrolyzer_CAPEX</t>
  </si>
  <si>
    <t>[EUR/kWel]</t>
  </si>
  <si>
    <t>Matute, 2019</t>
  </si>
  <si>
    <t>electrolyzer_OPEX</t>
  </si>
  <si>
    <t>electrolyzer_max_CAPEX</t>
  </si>
  <si>
    <t>electrolyzer_max_OPEX</t>
  </si>
  <si>
    <t>electrolyzer_min_CAPEX</t>
  </si>
  <si>
    <t>electrolyzer_min_OPEX</t>
  </si>
  <si>
    <t>electrolyzer_max_lifetime</t>
  </si>
  <si>
    <t>electrolyzer_lifetime</t>
  </si>
  <si>
    <t>electrolyzer_min_lifetime</t>
  </si>
  <si>
    <t>baseload</t>
  </si>
  <si>
    <t>electrolyzer_baseload</t>
  </si>
  <si>
    <t>Fraction of rated electricity input power</t>
  </si>
  <si>
    <t>efficiency</t>
  </si>
  <si>
    <t>electrolyzer_efficiency</t>
  </si>
  <si>
    <t>[(kWh H2 (HHV)) / (kWh el) ]</t>
  </si>
  <si>
    <t>Hydrogen storage</t>
  </si>
  <si>
    <t>unit hydrogen storage capacity</t>
  </si>
  <si>
    <t>H2stor_unit_capacity</t>
  </si>
  <si>
    <t>H2stor_max_units</t>
  </si>
  <si>
    <t>H2stor_min_units</t>
  </si>
  <si>
    <t>H2stor_CAPEX</t>
  </si>
  <si>
    <t>H2stor_OPEX</t>
  </si>
  <si>
    <t>CO2 Production</t>
  </si>
  <si>
    <t>unit CO2 output capacity</t>
  </si>
  <si>
    <t>CO2_unit_capacity</t>
  </si>
  <si>
    <t>kgCO2/hr</t>
  </si>
  <si>
    <t>CO2_max_units</t>
  </si>
  <si>
    <t>CO2_min_units</t>
  </si>
  <si>
    <t>CO2_CAPEX</t>
  </si>
  <si>
    <t>[EUR/ton*yr]</t>
  </si>
  <si>
    <t>Fasihi/Efimova, 2019</t>
  </si>
  <si>
    <t>CO2_OPEX</t>
  </si>
  <si>
    <t>CO2_max_CAPEX</t>
  </si>
  <si>
    <t>CO2_max_OPEX</t>
  </si>
  <si>
    <t>CO2_min_CAPEX</t>
  </si>
  <si>
    <t>CO2_min_OPEX</t>
  </si>
  <si>
    <t>electrical efficiency</t>
  </si>
  <si>
    <t>CO2_el_efficiency</t>
  </si>
  <si>
    <t>CO2_max_lifetime</t>
  </si>
  <si>
    <t>CO2_lifetime</t>
  </si>
  <si>
    <t>CO2_min_lifetime</t>
  </si>
  <si>
    <t>CO2 Storage</t>
  </si>
  <si>
    <t>unit CO2 storage capacity</t>
  </si>
  <si>
    <t>CO2stor_unit_capacity</t>
  </si>
  <si>
    <t>kg CO2</t>
  </si>
  <si>
    <t>CO2stor_max_units</t>
  </si>
  <si>
    <t>CO2stor_min_units</t>
  </si>
  <si>
    <t>CO2stor_CAPEX</t>
  </si>
  <si>
    <t>EUR/t</t>
  </si>
  <si>
    <t>CO2stor_OPEX</t>
  </si>
  <si>
    <t>Hydrogen-to-liquid</t>
  </si>
  <si>
    <t>unit jet fuel output capacity</t>
  </si>
  <si>
    <t>H2tL_unit_capacity</t>
  </si>
  <si>
    <t>kW jet fuel output</t>
  </si>
  <si>
    <t>H2tL_max_units</t>
  </si>
  <si>
    <t>H2tL_min_units</t>
  </si>
  <si>
    <t>CAPEX bpd</t>
  </si>
  <si>
    <t>[EUR/bpd (barrels per day)]</t>
  </si>
  <si>
    <t>H2tL_CAPEX</t>
  </si>
  <si>
    <t>[EUR/kW fuel output]</t>
  </si>
  <si>
    <t>Derived: [EUR/bpd (barrels per day)] [1 barrel / 42 gal ] [1 gallon kerosene / 3.108 kg kerosene] [1 kg kerosene / 43e6 J kerosene] [1e3 J / 1 kJ] [3600*24 seconds / 1 day]</t>
  </si>
  <si>
    <t>H2tL_OPEX</t>
  </si>
  <si>
    <t>H2tL_max_CAPEX</t>
  </si>
  <si>
    <t>H2tL_max_OPEX</t>
  </si>
  <si>
    <t>H2tL_min_CAPEX</t>
  </si>
  <si>
    <t>H2tL_min_OPEX</t>
  </si>
  <si>
    <t xml:space="preserve">H2tL efficiency </t>
  </si>
  <si>
    <t>H2tL_efficiency</t>
  </si>
  <si>
    <t>[energy efficiency - kWh hydrogen to kWh fuel mix]</t>
  </si>
  <si>
    <t xml:space="preserve">H2tL baseload   </t>
  </si>
  <si>
    <t>H2tL_baseload</t>
  </si>
  <si>
    <t>Fraction of rated jet fuel output</t>
  </si>
  <si>
    <t>Ratio of CO2 to H2 as input required</t>
  </si>
  <si>
    <t>H2tL_required_CO2</t>
  </si>
  <si>
    <t xml:space="preserve">kerosene vol fraction </t>
  </si>
  <si>
    <t>H2tL_kerosene_vol_fraction</t>
  </si>
  <si>
    <t>This is a design choice</t>
  </si>
  <si>
    <t xml:space="preserve">naphtha vol fraction </t>
  </si>
  <si>
    <t>H2tL_naphtha_vol_fraction</t>
  </si>
  <si>
    <t xml:space="preserve">diesel vol fraction </t>
  </si>
  <si>
    <t>H2tL_diesel_vol_fraction</t>
  </si>
  <si>
    <t>Fuel characteristics</t>
  </si>
  <si>
    <t xml:space="preserve">kerosene LHV      </t>
  </si>
  <si>
    <t>general_kerosene_LHV</t>
  </si>
  <si>
    <t>J/kg</t>
  </si>
  <si>
    <t>https://www.engineeringtoolbox.com/fuels-higher-calorific-values-d_169.html</t>
  </si>
  <si>
    <t xml:space="preserve">naphtha LHV       </t>
  </si>
  <si>
    <t>general_naphtha_LHV</t>
  </si>
  <si>
    <t xml:space="preserve">diesel LHV        </t>
  </si>
  <si>
    <t>general_diesel_LHV</t>
  </si>
  <si>
    <t xml:space="preserve">kerosene density  </t>
  </si>
  <si>
    <t>general_kerosene_density</t>
  </si>
  <si>
    <t>kg/gal</t>
  </si>
  <si>
    <t xml:space="preserve">naphtha density  </t>
  </si>
  <si>
    <t>general_naphtha_density</t>
  </si>
  <si>
    <t xml:space="preserve">diesel density  </t>
  </si>
  <si>
    <t>general_diesel_density</t>
  </si>
  <si>
    <t>kerosene mass fraction</t>
  </si>
  <si>
    <t>general_kerosene_mass_fraction</t>
  </si>
  <si>
    <t>naphtha mass fraction</t>
  </si>
  <si>
    <t>general_naphtha_mass_fraction</t>
  </si>
  <si>
    <t>diesel mass fraction</t>
  </si>
  <si>
    <t>general_diesel_mass_fraction</t>
  </si>
  <si>
    <t>kerosene energy fraction</t>
  </si>
  <si>
    <t>general_kerosene_energy_fraction</t>
  </si>
  <si>
    <t>naphtha energy fraction</t>
  </si>
  <si>
    <t>general_naphtha_energy_fraction</t>
  </si>
  <si>
    <t>diesel energy fraction</t>
  </si>
  <si>
    <t>general_diesel_energy_fraction</t>
  </si>
  <si>
    <t>Economics</t>
  </si>
  <si>
    <t>max_discount_rate</t>
  </si>
  <si>
    <t>eco_max_discount_rate</t>
  </si>
  <si>
    <t>discount rate</t>
  </si>
  <si>
    <t>eco_discount_rate</t>
  </si>
  <si>
    <t>min_discount_rate</t>
  </si>
  <si>
    <t>eco_min_discount_rate</t>
  </si>
  <si>
    <t>max_plant_lifetime</t>
  </si>
  <si>
    <t>eco_max_lifetime</t>
  </si>
  <si>
    <t>entire plant lifetime</t>
  </si>
  <si>
    <t>eco_lifetime</t>
  </si>
  <si>
    <t>min_plant_lifetime</t>
  </si>
  <si>
    <t>eco_min_lifetime</t>
  </si>
  <si>
    <t>Electrical Boiler</t>
  </si>
  <si>
    <t>heat_max_units</t>
  </si>
  <si>
    <t>heat_min_units</t>
  </si>
  <si>
    <t>heat_CAPEX</t>
  </si>
  <si>
    <t>heat_OPEX</t>
  </si>
  <si>
    <t>heat_lifetime</t>
  </si>
  <si>
    <t>CSP plant</t>
  </si>
  <si>
    <t>Electrolyzer</t>
  </si>
  <si>
    <t>H2 compressor</t>
  </si>
  <si>
    <t>Direct Air Capture</t>
  </si>
  <si>
    <t>CO2 storage</t>
  </si>
  <si>
    <t>CO2 compressor</t>
  </si>
  <si>
    <t xml:space="preserve">variable -&gt; </t>
  </si>
  <si>
    <t>electrolyzer lifetime</t>
  </si>
  <si>
    <t xml:space="preserve">electrolyzer baseload   </t>
  </si>
  <si>
    <t>electrolyzer efficiency</t>
  </si>
  <si>
    <t xml:space="preserve">electrolyzer efficiency </t>
  </si>
  <si>
    <t>storage type</t>
  </si>
  <si>
    <t>include efficiency (leakage)?</t>
  </si>
  <si>
    <t>energy consumption</t>
  </si>
  <si>
    <t>electricity demand</t>
  </si>
  <si>
    <t>minimum part load</t>
  </si>
  <si>
    <t>pressure</t>
  </si>
  <si>
    <t xml:space="preserve">electricity demand </t>
  </si>
  <si>
    <t>heat demand</t>
  </si>
  <si>
    <t>unit -&gt;</t>
  </si>
  <si>
    <t>excluded because…</t>
  </si>
  <si>
    <t>operation hours</t>
  </si>
  <si>
    <t>kWh_H2/kWh_el (unclear whether HHV or LHV)</t>
  </si>
  <si>
    <t>[(kWh H2 (LHV)) / (kWh el) ]</t>
  </si>
  <si>
    <t>-</t>
  </si>
  <si>
    <t>[EUR/kWh_H2]</t>
  </si>
  <si>
    <t>[EUR/kg_H2]</t>
  </si>
  <si>
    <t>[EUR/kW_el.]</t>
  </si>
  <si>
    <t>[EUR/kW_H2]</t>
  </si>
  <si>
    <t>%</t>
  </si>
  <si>
    <t>kWh_el./kg_H2</t>
  </si>
  <si>
    <t>0.39 kWh_el./kg_H2</t>
  </si>
  <si>
    <t>bar</t>
  </si>
  <si>
    <t>[EUR/(tCO2*h)]</t>
  </si>
  <si>
    <t>MWh_el./t_CO2</t>
  </si>
  <si>
    <t>MWh_th./t_CO2</t>
  </si>
  <si>
    <t>[EUR/tCO2]</t>
  </si>
  <si>
    <t>xxx</t>
  </si>
  <si>
    <t>kWh_el./kg gas</t>
  </si>
  <si>
    <t>reference</t>
  </si>
  <si>
    <t>year of data</t>
  </si>
  <si>
    <t>comment</t>
  </si>
  <si>
    <t>?</t>
  </si>
  <si>
    <t>old</t>
  </si>
  <si>
    <t xml:space="preserve"> </t>
  </si>
  <si>
    <t>no information given, assumed to be a depleted gas field (otw we do not see how you could get such low costs)</t>
  </si>
  <si>
    <t>weird numbers for OPEX for wind..</t>
  </si>
  <si>
    <t>25-30</t>
  </si>
  <si>
    <t>Blanco, 2009</t>
  </si>
  <si>
    <t>Krohn, 2009</t>
  </si>
  <si>
    <t>Baldinelli, 2020</t>
  </si>
  <si>
    <t>based on other data sources (from 2014)</t>
  </si>
  <si>
    <t>old and se ondary literature</t>
  </si>
  <si>
    <t>PEMEL, 2017</t>
  </si>
  <si>
    <t>PEMEL, 2025</t>
  </si>
  <si>
    <t>Crivellari, 2020</t>
  </si>
  <si>
    <t>100 MW plant, no information on electrolysis type</t>
  </si>
  <si>
    <t>too little information given</t>
  </si>
  <si>
    <t>10 MW plant, no information on electrolysis type</t>
  </si>
  <si>
    <t>too little plant</t>
  </si>
  <si>
    <t>van Zuijlen, 2019</t>
  </si>
  <si>
    <t>TCR instead of CAPEX; based on Siemens projections</t>
  </si>
  <si>
    <t>TCR instead of CAPEX</t>
  </si>
  <si>
    <t>Böhm, 2020</t>
  </si>
  <si>
    <t>PEMEL, for plant of 5 MW_el</t>
  </si>
  <si>
    <t>Zappa, 2019</t>
  </si>
  <si>
    <t>based on other data sources (JRC, 2014)</t>
  </si>
  <si>
    <t>secondary literature</t>
  </si>
  <si>
    <r>
      <rPr>
        <sz val="12"/>
        <color rgb="FFBFBFBF"/>
        <rFont val="Noto Sans Devanagari"/>
        <family val="2"/>
        <charset val="1"/>
      </rPr>
      <t>﻿</t>
    </r>
    <r>
      <rPr>
        <sz val="12"/>
        <color rgb="FFBFBFBF"/>
        <rFont val="Calibri"/>
        <family val="2"/>
        <charset val="1"/>
      </rPr>
      <t>1320</t>
    </r>
  </si>
  <si>
    <r>
      <rPr>
        <sz val="12"/>
        <color rgb="FFBFBFBF"/>
        <rFont val="Noto Sans Devanagari"/>
        <family val="2"/>
        <charset val="1"/>
      </rPr>
      <t>﻿</t>
    </r>
    <r>
      <rPr>
        <sz val="12"/>
        <color rgb="FFBFBFBF"/>
        <rFont val="Calibri"/>
        <family val="2"/>
        <charset val="1"/>
      </rPr>
      <t>U.S. Energy Information Administration, 2020</t>
    </r>
  </si>
  <si>
    <t>US data</t>
  </si>
  <si>
    <t>US data, not suitable for EU</t>
  </si>
  <si>
    <t>US data: large plant</t>
  </si>
  <si>
    <t>US data: small plant</t>
  </si>
  <si>
    <t>Gupta, 2020</t>
  </si>
  <si>
    <t>data from other sources, for Switzerland</t>
  </si>
  <si>
    <t>prices for CH</t>
  </si>
  <si>
    <t>Lai, 2017</t>
  </si>
  <si>
    <t>data from other sources</t>
  </si>
  <si>
    <t>5-15</t>
  </si>
  <si>
    <t>0.85-0.95</t>
  </si>
  <si>
    <t>Tian, 2020</t>
  </si>
  <si>
    <t>only conference paper</t>
  </si>
  <si>
    <r>
      <rPr>
        <sz val="12"/>
        <color rgb="FFBFBFBF"/>
        <rFont val="Noto Sans Devanagari"/>
        <family val="2"/>
        <charset val="1"/>
      </rPr>
      <t>﻿</t>
    </r>
    <r>
      <rPr>
        <sz val="12"/>
        <color rgb="FFBFBFBF"/>
        <rFont val="Calibri"/>
        <family val="2"/>
        <charset val="1"/>
      </rPr>
      <t>Luerssen, 2020</t>
    </r>
  </si>
  <si>
    <t>PSI, 2019</t>
  </si>
  <si>
    <t>data for Switzerland</t>
  </si>
  <si>
    <t>Buttler, 2018</t>
  </si>
  <si>
    <t>based on existing plants, data for PEMEL, lower-end estimate for costs, higher-end estimate for efficiency</t>
  </si>
  <si>
    <r>
      <rPr>
        <sz val="12"/>
        <color rgb="FFBFBFBF"/>
        <rFont val="Noto Sans Devanagari"/>
        <family val="2"/>
        <charset val="1"/>
      </rPr>
      <t>﻿</t>
    </r>
    <r>
      <rPr>
        <sz val="12"/>
        <color rgb="FFBFBFBF"/>
        <rFont val="Calibri"/>
        <family val="2"/>
        <charset val="1"/>
      </rPr>
      <t>Kost, 2018</t>
    </r>
  </si>
  <si>
    <t>no future projections</t>
  </si>
  <si>
    <r>
      <rPr>
        <sz val="12"/>
        <color rgb="FFBFBFBF"/>
        <rFont val="Noto Sans Devanagari"/>
        <family val="2"/>
        <charset val="1"/>
      </rPr>
      <t>﻿</t>
    </r>
    <r>
      <rPr>
        <sz val="12"/>
        <color rgb="FFBFBFBF"/>
        <rFont val="Calibri"/>
        <family val="2"/>
        <charset val="1"/>
      </rPr>
      <t>1500</t>
    </r>
  </si>
  <si>
    <r>
      <rPr>
        <sz val="12"/>
        <color rgb="FFBFBFBF"/>
        <rFont val="Noto Sans Devanagari"/>
        <family val="2"/>
        <charset val="1"/>
      </rPr>
      <t>﻿</t>
    </r>
    <r>
      <rPr>
        <sz val="12"/>
        <color rgb="FFBFBFBF"/>
        <rFont val="Calibri"/>
        <family val="2"/>
        <charset val="1"/>
      </rPr>
      <t>3100</t>
    </r>
  </si>
  <si>
    <r>
      <rPr>
        <sz val="12"/>
        <color rgb="FFBFBFBF"/>
        <rFont val="Noto Sans Devanagari"/>
        <family val="2"/>
        <charset val="1"/>
      </rPr>
      <t>﻿</t>
    </r>
    <r>
      <rPr>
        <sz val="12"/>
        <color rgb="FFBFBFBF"/>
        <rFont val="Calibri"/>
        <family val="2"/>
        <charset val="1"/>
      </rPr>
      <t>600</t>
    </r>
  </si>
  <si>
    <t>IEA, 2019</t>
  </si>
  <si>
    <t>today</t>
  </si>
  <si>
    <t>'today' assumed to be 2020, 'long-term' assumed to be 2050, unclear whether FT is with or without RWGS, FT efficeincy values LHV-based, no information on electrolysis type</t>
  </si>
  <si>
    <t>long-term</t>
  </si>
  <si>
    <t>Gorre, 2020</t>
  </si>
  <si>
    <t>presssure vessel, 200 bar; 44€/m3</t>
  </si>
  <si>
    <t>pressure vessel</t>
  </si>
  <si>
    <t>presssure vessel, 50 bar; 33€/m3</t>
  </si>
  <si>
    <t>IRENA, 2018</t>
  </si>
  <si>
    <t>DNV GL,2019</t>
  </si>
  <si>
    <r>
      <rPr>
        <sz val="12"/>
        <color rgb="FF000000"/>
        <rFont val="Calibri"/>
        <family val="2"/>
        <charset val="1"/>
      </rPr>
      <t>compressed pressure vessel, 700 bar, typical capacity 10 GJ, 365 cycles per year (</t>
    </r>
    <r>
      <rPr>
        <sz val="12"/>
        <color rgb="FF000000"/>
        <rFont val="Noto Sans Devanagari"/>
        <family val="2"/>
        <charset val="1"/>
      </rPr>
      <t>﻿</t>
    </r>
    <r>
      <rPr>
        <sz val="12"/>
        <color rgb="FF000000"/>
        <rFont val="Calibri"/>
        <family val="2"/>
        <charset val="1"/>
      </rPr>
      <t>excluding compression energy)</t>
    </r>
  </si>
  <si>
    <r>
      <rPr>
        <sz val="12"/>
        <color rgb="FFBFBFBF"/>
        <rFont val="Calibri"/>
        <family val="2"/>
        <charset val="1"/>
      </rPr>
      <t>c</t>
    </r>
    <r>
      <rPr>
        <sz val="12"/>
        <color rgb="FFBFBFBF"/>
        <rFont val="Noto Sans Devanagari"/>
        <family val="2"/>
        <charset val="1"/>
      </rPr>
      <t>﻿</t>
    </r>
    <r>
      <rPr>
        <sz val="12"/>
        <color rgb="FFBFBFBF"/>
        <rFont val="Calibri"/>
        <family val="2"/>
        <charset val="1"/>
      </rPr>
      <t>ompressed depleted gas field, 250 bar, typical capacity 10 PJ, 2 cycles per year (</t>
    </r>
    <r>
      <rPr>
        <sz val="12"/>
        <color rgb="FFBFBFBF"/>
        <rFont val="Noto Sans Devanagari"/>
        <family val="2"/>
        <charset val="1"/>
      </rPr>
      <t>﻿</t>
    </r>
    <r>
      <rPr>
        <sz val="12"/>
        <color rgb="FFBFBFBF"/>
        <rFont val="Calibri"/>
        <family val="2"/>
        <charset val="1"/>
      </rPr>
      <t>excluding compression energy)</t>
    </r>
  </si>
  <si>
    <t>excluded since we also have jet fuel production sites where not depleted gas field is</t>
  </si>
  <si>
    <t>depleted gas field</t>
  </si>
  <si>
    <r>
      <rPr>
        <sz val="12"/>
        <color rgb="FFBFBFBF"/>
        <rFont val="Calibri"/>
        <family val="2"/>
        <charset val="1"/>
      </rPr>
      <t>liquefied cryogenic vessel, 1 bar, 20K, typical capacity 3 TJ, 52 cycles per year (</t>
    </r>
    <r>
      <rPr>
        <sz val="12"/>
        <color rgb="FFBFBFBF"/>
        <rFont val="Noto Sans Devanagari"/>
        <family val="2"/>
        <charset val="1"/>
      </rPr>
      <t>﻿</t>
    </r>
    <r>
      <rPr>
        <sz val="12"/>
        <color rgb="FFBFBFBF"/>
        <rFont val="Calibri"/>
        <family val="2"/>
        <charset val="1"/>
      </rPr>
      <t>excluding compression energy)</t>
    </r>
  </si>
  <si>
    <t>excluded since it is rather a mid-term storage, not short-term</t>
  </si>
  <si>
    <t>liquefied vessel</t>
  </si>
  <si>
    <t>Li-ion</t>
  </si>
  <si>
    <t>unit unclear (cost per kW or kWh)</t>
  </si>
  <si>
    <r>
      <rPr>
        <sz val="12"/>
        <color rgb="FF000000"/>
        <rFont val="Noto Sans Devanagari"/>
        <family val="2"/>
        <charset val="1"/>
      </rPr>
      <t>﻿</t>
    </r>
    <r>
      <rPr>
        <sz val="12"/>
        <color rgb="FF000000"/>
        <rFont val="Calibri"/>
        <family val="2"/>
        <charset val="1"/>
      </rPr>
      <t>Christensen, 2020</t>
    </r>
  </si>
  <si>
    <t>ICCT study, H2 compression to 30-150 bar</t>
  </si>
  <si>
    <t>Element Energy, 2018</t>
  </si>
  <si>
    <t>review of many different studies, assumed lifetime for all project components, snensitivity analyses of 10-40 years</t>
  </si>
  <si>
    <r>
      <rPr>
        <sz val="12"/>
        <color rgb="FF000000"/>
        <rFont val="Noto Sans Devanagari"/>
        <family val="2"/>
        <charset val="1"/>
      </rPr>
      <t>﻿</t>
    </r>
    <r>
      <rPr>
        <sz val="12"/>
        <color rgb="FF000000"/>
        <rFont val="Calibri"/>
        <family val="2"/>
        <charset val="1"/>
      </rPr>
      <t>IEA, 2019b</t>
    </r>
  </si>
  <si>
    <t>2017, four-hour battery system</t>
  </si>
  <si>
    <t>2025, four-hour battery system</t>
  </si>
  <si>
    <t>2030, four-hour battery system</t>
  </si>
  <si>
    <t>2035, four-hour battery system</t>
  </si>
  <si>
    <t>2040, four-hour battery system</t>
  </si>
  <si>
    <t>Runge, 2020</t>
  </si>
  <si>
    <t>PEMEL @ 80 bar, all values are forecasts for 2035</t>
  </si>
  <si>
    <t>25-80 bar buffer tank</t>
  </si>
  <si>
    <r>
      <rPr>
        <sz val="12"/>
        <color rgb="FF000000"/>
        <rFont val="Noto Sans Devanagari"/>
        <family val="2"/>
        <charset val="1"/>
      </rPr>
      <t>﻿</t>
    </r>
    <r>
      <rPr>
        <sz val="12"/>
        <color rgb="FF000000"/>
        <rFont val="Calibri"/>
        <family val="2"/>
        <charset val="1"/>
      </rPr>
      <t>2522880</t>
    </r>
  </si>
  <si>
    <r>
      <rPr>
        <sz val="12"/>
        <color rgb="FF000000"/>
        <rFont val="Noto Sans Devanagari"/>
        <family val="2"/>
        <charset val="1"/>
      </rPr>
      <t>﻿</t>
    </r>
    <r>
      <rPr>
        <sz val="12"/>
        <color rgb="FF000000"/>
        <rFont val="Calibri"/>
        <family val="2"/>
        <charset val="1"/>
      </rPr>
      <t>224615</t>
    </r>
  </si>
  <si>
    <t>Hank, 2018</t>
  </si>
  <si>
    <t>BATSTROM, 2018</t>
  </si>
  <si>
    <t>Mongird, 2018</t>
  </si>
  <si>
    <t>values for US</t>
  </si>
  <si>
    <r>
      <rPr>
        <sz val="12"/>
        <color rgb="FF000000"/>
        <rFont val="Noto Sans Devanagari"/>
        <family val="2"/>
        <charset val="1"/>
      </rPr>
      <t>﻿</t>
    </r>
    <r>
      <rPr>
        <sz val="12"/>
        <color rgb="FF000000"/>
        <rFont val="Calibri"/>
        <family val="2"/>
        <charset val="1"/>
      </rPr>
      <t>van Leeuwen, 2018</t>
    </r>
  </si>
  <si>
    <t>low-cost</t>
  </si>
  <si>
    <t>high-pressure steel tanks</t>
  </si>
  <si>
    <t>base-cost</t>
  </si>
  <si>
    <t>high-cost</t>
  </si>
  <si>
    <t>Carr, 2014</t>
  </si>
  <si>
    <t>200 bar cylinders</t>
  </si>
  <si>
    <t>Schuster, 2017</t>
  </si>
  <si>
    <t>Michalski, 2017</t>
  </si>
  <si>
    <t>Ajanovic, 2019</t>
  </si>
  <si>
    <t>provide CAPEX curves (2015-2050) for H2 storage (in EUR/kWh_el.)</t>
  </si>
  <si>
    <t>see comment in column C</t>
  </si>
  <si>
    <t>Element Energy, 2018b</t>
  </si>
  <si>
    <t>now</t>
  </si>
  <si>
    <t>EUR/kWh_H2 (HHV), high pressure vessels, 5-8 Mpa</t>
  </si>
  <si>
    <t>High pressure’ steel or composite cylinders / torpedo tube banks, 43-50 Mpa</t>
  </si>
  <si>
    <t>future</t>
  </si>
  <si>
    <t>Brynolf, 2018</t>
  </si>
  <si>
    <t>lower-end-estimates for costs, medium-estimates for efficiencies, FT costs for 5MW plant</t>
  </si>
  <si>
    <t>include de Vita + Realmonte + Store&amp;Go papers!</t>
  </si>
  <si>
    <t>Crivellari, 2020 has also data on H2 compression, CO2 capture and compression and others</t>
  </si>
  <si>
    <t>two learning rate-based approaches for Europe (see extra sheets)</t>
  </si>
  <si>
    <t>+ JRC, 2018</t>
  </si>
  <si>
    <t>+ Vartiainen, 2020</t>
  </si>
  <si>
    <t>more extensive datasets (see extra sheets)</t>
  </si>
  <si>
    <t>+ EUC, 2018</t>
  </si>
  <si>
    <t>+ Agora, 2020</t>
  </si>
  <si>
    <t>+ Gorre, 2019</t>
  </si>
  <si>
    <t>+ Cole, 2019</t>
  </si>
  <si>
    <t>+ Fasihi, 2019</t>
  </si>
  <si>
    <t>Caveats:</t>
  </si>
  <si>
    <t>always choose system costs, not module costs</t>
  </si>
  <si>
    <t>double-check LHV / HHV-based values</t>
  </si>
  <si>
    <t>double-check units (EUR per kW/kg/m^3/kWh_el/kWh_chem)</t>
  </si>
  <si>
    <t>Low-temperature DAC (conservative scenario)</t>
  </si>
  <si>
    <t>EUR/(t_CO2*a)</t>
  </si>
  <si>
    <t>% of CAPEX p.a.</t>
  </si>
  <si>
    <t>kWh_el./t_CO2</t>
  </si>
  <si>
    <t>low-temp. Heat demand</t>
  </si>
  <si>
    <t>kWh_th./t_CO2</t>
  </si>
  <si>
    <t>reference:</t>
  </si>
  <si>
    <t>Fasihi, 2019</t>
  </si>
  <si>
    <t>Note: They also provide a "base case" with lower costs - we could include those as well.</t>
  </si>
  <si>
    <t>battery system costs for 4-hour Li-Ion systems</t>
  </si>
  <si>
    <t>high cost</t>
  </si>
  <si>
    <t>$/kWh</t>
  </si>
  <si>
    <t>mid cost</t>
  </si>
  <si>
    <t>low cost</t>
  </si>
  <si>
    <t>€/kWh</t>
  </si>
  <si>
    <t>low</t>
  </si>
  <si>
    <t>high</t>
  </si>
  <si>
    <t>selected</t>
  </si>
  <si>
    <t>round-trip efficiency</t>
  </si>
  <si>
    <t>Cole, 2019</t>
  </si>
  <si>
    <t>electrolyser (2017 (2030 and 2050) for 1 (10) MW electrical input of electrolyser)</t>
  </si>
  <si>
    <t>€/kW</t>
  </si>
  <si>
    <t>electrolyser</t>
  </si>
  <si>
    <t>% of CAPEX</t>
  </si>
  <si>
    <t>stack lifetime</t>
  </si>
  <si>
    <t>H2 storage</t>
  </si>
  <si>
    <t>€/m^3_H2</t>
  </si>
  <si>
    <t>€/kg_H2</t>
  </si>
  <si>
    <t>€/m^3_CO2</t>
  </si>
  <si>
    <t>€/kg_CO2</t>
  </si>
  <si>
    <t>Gorre, 2019</t>
  </si>
  <si>
    <t>Important note: "The lifetime of the electrolysis stacks is only 10 years and has
to be replaced during lifetime."</t>
  </si>
  <si>
    <t>ALL DATA FOR REF. SCEN.</t>
  </si>
  <si>
    <t>PV</t>
  </si>
  <si>
    <t>on-shore wind</t>
  </si>
  <si>
    <t>off-shore wind</t>
  </si>
  <si>
    <t>electrolysis (LT, no differentiation between AEL and PEMEL, cost estimates based on large plants)</t>
  </si>
  <si>
    <t>€/kW_el.</t>
  </si>
  <si>
    <t>efficiency (LHV)</t>
  </si>
  <si>
    <t>liquid fuel conversion: methanol synthesis OR FT (same costs, FT incl. RWGS)</t>
  </si>
  <si>
    <t>€/kW_PtL</t>
  </si>
  <si>
    <t>MWh_PtL/MWh_H2 (most likely LHV based)</t>
  </si>
  <si>
    <t>Agora, 2019 (reference scenario)</t>
  </si>
  <si>
    <t>Note</t>
  </si>
  <si>
    <t>FT synthesis (incl. RWGS)</t>
  </si>
  <si>
    <t>values from Agora, 2019</t>
  </si>
  <si>
    <t>CAPEX (lower end estimate)</t>
  </si>
  <si>
    <t>OPEX (lower end estimate)</t>
  </si>
  <si>
    <t>MWh_PtL/MWh_H2</t>
  </si>
  <si>
    <t>Electrolysis values would be available as well!</t>
  </si>
  <si>
    <t>Bossmann, 2018</t>
  </si>
  <si>
    <r>
      <rPr>
        <b/>
        <sz val="12"/>
        <color rgb="FF000000"/>
        <rFont val="Noto Sans Devanagari"/>
        <family val="2"/>
        <charset val="1"/>
      </rPr>
      <t>﻿</t>
    </r>
    <r>
      <rPr>
        <b/>
        <sz val="12"/>
        <color rgb="FF000000"/>
        <rFont val="Calibri"/>
        <family val="2"/>
        <charset val="1"/>
      </rPr>
      <t>2020</t>
    </r>
  </si>
  <si>
    <t>on-shore, low specific capacity, high hub height</t>
  </si>
  <si>
    <t>on-shore, medium specific capacity, medium hub height</t>
  </si>
  <si>
    <t>on-shore, high specific capacity, low hub height</t>
  </si>
  <si>
    <t>off-shore, monopole, medium distance to shore</t>
  </si>
  <si>
    <t>off-shore, jacket, medium distance to shore</t>
  </si>
  <si>
    <t>off-shore, floating, long distance to shore</t>
  </si>
  <si>
    <t>utility-scale PV with one-axis tracking</t>
  </si>
  <si>
    <t>utility-scale PV without tracking</t>
  </si>
  <si>
    <t>commercial-scale PV flat surface</t>
  </si>
  <si>
    <t>CSP, parabolic trough with storage</t>
  </si>
  <si>
    <t>CSP, solar tower with storage</t>
  </si>
  <si>
    <t>CSP</t>
  </si>
  <si>
    <t>Tsiropoulos, 2018 (ProRES scenario)</t>
  </si>
  <si>
    <t>Data for scenario "ProRES"</t>
  </si>
  <si>
    <r>
      <rPr>
        <sz val="12"/>
        <color rgb="FF000000"/>
        <rFont val="Noto Sans Devanagari"/>
        <family val="2"/>
        <charset val="1"/>
      </rPr>
      <t>﻿</t>
    </r>
    <r>
      <rPr>
        <sz val="12"/>
        <color rgb="FF000000"/>
        <rFont val="Calibri"/>
        <family val="2"/>
        <charset val="1"/>
      </rPr>
      <t>The "ProRES" scenario results are the most ambitious in terms of capacity additions of RES-E technologies. In this scenario the world moves towards decarbonisation by significantly reducing fossil fuel use, however, in parallel with rapid phase out of nuclear power. CCS does not become commercial and is not an available mitigation option. Deep emission reduction is achieved with high deployment of RES, electrification of transport and heat, and high efficiency gains. It is based on the 2015 "Energy Revolution" scenario of Greenpeace [11]. Primary energy consumption is about 430 EJ, renewables supply 93 % of electricity demand and global CO2 emissions are about 4.5 GtCO2 in 2050.</t>
    </r>
  </si>
  <si>
    <r>
      <rPr>
        <b/>
        <sz val="12"/>
        <color rgb="FF000000"/>
        <rFont val="Noto Sans Devanagari"/>
        <family val="2"/>
        <charset val="1"/>
      </rPr>
      <t>﻿</t>
    </r>
    <r>
      <rPr>
        <b/>
        <sz val="12"/>
        <color rgb="FF000000"/>
        <rFont val="Calibri"/>
        <family val="2"/>
        <charset val="1"/>
      </rPr>
      <t>2019</t>
    </r>
  </si>
  <si>
    <t>utility-scale PV system</t>
  </si>
  <si>
    <t>€/Wp</t>
  </si>
  <si>
    <t>€/kWp</t>
  </si>
  <si>
    <t>€/kWp/a</t>
  </si>
  <si>
    <t>Battery system</t>
  </si>
  <si>
    <t>€/Wh</t>
  </si>
  <si>
    <t>€/kWh/a</t>
  </si>
  <si>
    <t>CAPEX in EUR/kWp</t>
  </si>
  <si>
    <t>OPEX in % of CAPEX p.a.</t>
  </si>
  <si>
    <t>lifetime in years</t>
  </si>
  <si>
    <t>references</t>
  </si>
  <si>
    <t>notes</t>
  </si>
  <si>
    <t>Conclusion:</t>
  </si>
  <si>
    <t>Considerations:</t>
  </si>
  <si>
    <t>Reference to proceed with:</t>
  </si>
  <si>
    <t>For wind power, we chose EU-JRC (Tsiropoulos, 2018) values. They also represent the medium scenario here. We proceed with EU-JRC (Tsiropoulos, 2018) values and take the other two as high/low values for sensitivity analysis.</t>
  </si>
  <si>
    <t>The two scenarios are very close to each other. EU-JRC (Tsiropoulos, 2018) values, however, are given for three different on-shore wind power plant types.</t>
  </si>
  <si>
    <t>CAPEX in EUR/kWh</t>
  </si>
  <si>
    <t>cycle efficiency</t>
  </si>
  <si>
    <t>mid</t>
  </si>
  <si>
    <t>Cole, 2019 provides low, nedium and high values that also reflect the other references.</t>
  </si>
  <si>
    <t>Only one source with a time dimension. We take this.</t>
  </si>
  <si>
    <t>CAPEX in EUR/kW_el</t>
  </si>
  <si>
    <t>efficiency in kWh_H2/kWh_el (LHV)</t>
  </si>
  <si>
    <t>Buttler, 2018 and Böhm, 2020 include a review of existing plants. We assume that they are closer to reality in the short-term. In the mid-term, Böhm, 2020 and IEA/Agora studies report similar values. For the long-term, Böhm, 2020 even outpaces the IEA/Agora studies.</t>
  </si>
  <si>
    <t>CAPEX:</t>
  </si>
  <si>
    <t>Rest:</t>
  </si>
  <si>
    <t>tbd</t>
  </si>
  <si>
    <t>CAPEX in EUR/kW_liquid_HC</t>
  </si>
  <si>
    <t>efficiency in kWh_liquid_HC/kWh_H2 (LHV)</t>
  </si>
  <si>
    <t>We take Agora, 2019 values since we are rather sure that they have the whole fuel conversion incl. RWGS.</t>
  </si>
  <si>
    <t>Costs + efficiency:</t>
  </si>
  <si>
    <t>Lifetime:</t>
  </si>
  <si>
    <t>Conversions</t>
  </si>
  <si>
    <t>convert_from</t>
  </si>
  <si>
    <t>convert_to</t>
  </si>
  <si>
    <t>conversion</t>
  </si>
  <si>
    <t>units</t>
  </si>
  <si>
    <t>name</t>
  </si>
  <si>
    <t>barrel</t>
  </si>
  <si>
    <t>gallon</t>
  </si>
  <si>
    <t>barrels/gal</t>
  </si>
  <si>
    <t>dollar</t>
  </si>
  <si>
    <t>euro</t>
  </si>
  <si>
    <t>EUR/USD</t>
  </si>
  <si>
    <t>kg hydrogen</t>
  </si>
  <si>
    <t>kWh hydrogen (HHV)</t>
  </si>
  <si>
    <t>kg/kWh_LHV</t>
  </si>
  <si>
    <t>m^3 hydrogen</t>
  </si>
  <si>
    <t>kg/m^3</t>
  </si>
  <si>
    <t>british pound</t>
  </si>
  <si>
    <t>EUR/GBP</t>
  </si>
  <si>
    <t>specification</t>
  </si>
  <si>
    <t>value</t>
  </si>
  <si>
    <t>Son, 2014</t>
  </si>
  <si>
    <t>Meyers, 2012</t>
  </si>
  <si>
    <t>GWh/plant lifetime</t>
  </si>
  <si>
    <t>Wang, 2018</t>
  </si>
  <si>
    <t>6-15</t>
  </si>
  <si>
    <t>Ziegler, 2018</t>
  </si>
  <si>
    <t>Fraction of CAPEX</t>
  </si>
  <si>
    <t>PV_spacing</t>
  </si>
  <si>
    <t>Energy Density</t>
  </si>
  <si>
    <t>MWh/m^2</t>
  </si>
  <si>
    <t>Sangwongwanich, 2017</t>
  </si>
  <si>
    <t>3-30</t>
  </si>
  <si>
    <t>Georgitsioti, 2019</t>
  </si>
  <si>
    <t>capacity</t>
  </si>
  <si>
    <t>battery_capacity</t>
  </si>
  <si>
    <t>Wh/kg</t>
  </si>
  <si>
    <t>Jiang, 2019</t>
  </si>
  <si>
    <t>heat_efficiency</t>
  </si>
  <si>
    <t>Nielsen, 2016</t>
  </si>
  <si>
    <t>IEA, 2020</t>
  </si>
  <si>
    <t>Hansen, 2019</t>
  </si>
  <si>
    <t>EUR/MW</t>
  </si>
  <si>
    <t>Liu, 2016</t>
  </si>
  <si>
    <t>heat_max_lifetime</t>
  </si>
  <si>
    <t>heat_min_lifetime</t>
  </si>
  <si>
    <t>max_OPEX</t>
  </si>
  <si>
    <t>min_CAPEX</t>
  </si>
  <si>
    <t>min_OPEX</t>
  </si>
  <si>
    <t>heat_min_CAPEX</t>
  </si>
  <si>
    <t>heat_min_OPEX</t>
  </si>
  <si>
    <t>heat_max_CAPEX</t>
  </si>
  <si>
    <t>heat_max_OPEX</t>
  </si>
  <si>
    <t>max_efficiency</t>
  </si>
  <si>
    <t>min_efficiency</t>
  </si>
  <si>
    <t>König, 2015</t>
  </si>
  <si>
    <t>kWhH2 / kWh fuel mix</t>
  </si>
  <si>
    <t>kg CO2/ kWh fuel mix</t>
  </si>
  <si>
    <t>Heat</t>
  </si>
  <si>
    <t>H2tL_heat</t>
  </si>
  <si>
    <t>electricity</t>
  </si>
  <si>
    <t>kWh th / kWh fuel mix</t>
  </si>
  <si>
    <t>H2tL_electricity</t>
  </si>
  <si>
    <t>kWh el / kWh fuel mix</t>
  </si>
  <si>
    <t>H2tL_max_lifetime</t>
  </si>
  <si>
    <t>H2tL_lifetime</t>
  </si>
  <si>
    <t>H2tL_min_lifetime</t>
  </si>
  <si>
    <t>Agora, 2019</t>
  </si>
  <si>
    <t>Schmidt, 2018</t>
  </si>
  <si>
    <t>EUR/kWh</t>
  </si>
  <si>
    <t>CO2stor_lifetime</t>
  </si>
  <si>
    <t>H2stor_lifetime</t>
  </si>
  <si>
    <r>
      <t>﻿</t>
    </r>
    <r>
      <rPr>
        <sz val="12"/>
        <color rgb="FF000000"/>
        <rFont val="Calibri"/>
        <family val="2"/>
        <charset val="1"/>
      </rPr>
      <t>kWhel/kgCO2</t>
    </r>
  </si>
  <si>
    <t>CO2_th_efficiency</t>
  </si>
  <si>
    <t>H2tL_max_kerosene_vol_fraction</t>
  </si>
  <si>
    <t>H2tL_min_kerosene_vol_fraction</t>
  </si>
  <si>
    <t>H2tL_max_naphtha_vol_fraction</t>
  </si>
  <si>
    <t>H2tL_min_naphtha_vol_fraction</t>
  </si>
  <si>
    <t>H2tL_max_diesel_vol_fraction</t>
  </si>
  <si>
    <t>H2tL_min_diesel_vol_fraction</t>
  </si>
  <si>
    <t>, 2017</t>
  </si>
  <si>
    <t>0.5 - 2</t>
  </si>
  <si>
    <t>electrolyzer_max_efficiency</t>
  </si>
  <si>
    <t>electrolyzer_min_efficiency</t>
  </si>
  <si>
    <t>Fraction of rated fuel output</t>
  </si>
  <si>
    <t>Beuttler, 2019</t>
  </si>
  <si>
    <t>EUR</t>
  </si>
  <si>
    <t>kW LHV</t>
  </si>
  <si>
    <t>EUR/bpd</t>
  </si>
  <si>
    <t>EUR/bph</t>
  </si>
  <si>
    <t>EUR/kgh</t>
  </si>
  <si>
    <t>EUR/kW</t>
  </si>
  <si>
    <t>h</t>
  </si>
  <si>
    <t>gal/b</t>
  </si>
  <si>
    <t>EUR/galh</t>
  </si>
  <si>
    <t>kWh/kg</t>
  </si>
  <si>
    <t>FT Rector</t>
  </si>
  <si>
    <t>MW</t>
  </si>
  <si>
    <t xml:space="preserve">EUR </t>
  </si>
  <si>
    <t>kWth/kWel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</si>
</sst>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_);_(@_)"/>
    <numFmt numFmtId="165" formatCode="0.000"/>
    <numFmt numFmtId="166" formatCode="0.0"/>
    <numFmt numFmtId="167" formatCode="0.0%"/>
    <numFmt numFmtId="168" formatCode="_(* #,##0_);_(* \(#,##0\);_(* \-??_);_(@_)"/>
    <numFmt numFmtId="169" formatCode="_-* #,##0.00\ _€_-;\-* #,##0.00\ _€_-;_-* &quot;-&quot;??\ _€_-;_-@_-"/>
  </numFmts>
  <fonts count="12">
    <font>
      <sz val="12"/>
      <color rgb="FF000000"/>
      <name val="Calibri"/>
      <family val="2"/>
      <charset val="1"/>
    </font>
    <font>
      <b/>
      <sz val="12"/>
      <color rgb="FF000000"/>
      <name val="Calibri"/>
      <family val="2"/>
      <charset val="1"/>
    </font>
    <font>
      <u/>
      <sz val="12"/>
      <color rgb="FF0563C1"/>
      <name val="Calibri"/>
      <family val="2"/>
      <charset val="1"/>
    </font>
    <font>
      <sz val="12"/>
      <color rgb="FF000000"/>
      <name val="Noto Sans Devanagari"/>
      <family val="2"/>
      <charset val="1"/>
    </font>
    <font>
      <sz val="12"/>
      <color rgb="FFBFBFBF"/>
      <name val="Calibri"/>
      <family val="2"/>
      <charset val="1"/>
    </font>
    <font>
      <sz val="12"/>
      <color rgb="FFBFBFBF"/>
      <name val="Noto Sans Devanagari"/>
      <family val="2"/>
      <charset val="1"/>
    </font>
    <font>
      <sz val="12"/>
      <color rgb="FF808080"/>
      <name val="Calibri"/>
      <family val="2"/>
      <charset val="1"/>
    </font>
    <font>
      <b/>
      <sz val="12"/>
      <color rgb="FFFFFFFF"/>
      <name val="Calibri"/>
      <family val="2"/>
      <charset val="1"/>
    </font>
    <font>
      <sz val="12"/>
      <color rgb="FF7F7F7F"/>
      <name val="Calibri"/>
      <family val="2"/>
      <charset val="1"/>
    </font>
    <font>
      <b/>
      <sz val="12"/>
      <color rgb="FF000000"/>
      <name val="Noto Sans Devanagari"/>
      <family val="2"/>
      <charset val="1"/>
    </font>
    <font>
      <b/>
      <sz val="16"/>
      <color rgb="FF000000"/>
      <name val="Calibri"/>
      <family val="2"/>
      <charset val="1"/>
    </font>
    <font>
      <sz val="12"/>
      <color rgb="FF000000"/>
      <name val="Calibri"/>
      <family val="2"/>
      <charset val="1"/>
    </font>
  </fonts>
  <fills count="18">
    <fill>
      <patternFill patternType="none"/>
    </fill>
    <fill>
      <patternFill patternType="gray125"/>
    </fill>
    <fill>
      <patternFill patternType="solid">
        <fgColor rgb="FFFF0000"/>
        <bgColor rgb="FF800000"/>
      </patternFill>
    </fill>
    <fill>
      <patternFill patternType="solid">
        <fgColor rgb="FF00B050"/>
        <bgColor rgb="FF008080"/>
      </patternFill>
    </fill>
    <fill>
      <patternFill patternType="solid">
        <fgColor rgb="FFFFFF00"/>
        <bgColor rgb="FFFFFF00"/>
      </patternFill>
    </fill>
    <fill>
      <patternFill patternType="solid">
        <fgColor rgb="FFE7E6E6"/>
        <bgColor rgb="FFD9D9D9"/>
      </patternFill>
    </fill>
    <fill>
      <patternFill patternType="solid">
        <fgColor rgb="FFA5A5A5"/>
        <bgColor rgb="FFBFBFBF"/>
      </patternFill>
    </fill>
    <fill>
      <patternFill patternType="solid">
        <fgColor rgb="FF70AD47"/>
        <bgColor rgb="FF8B8B8B"/>
      </patternFill>
    </fill>
    <fill>
      <patternFill patternType="solid">
        <fgColor rgb="FFFF0000"/>
        <bgColor rgb="FF008080"/>
      </patternFill>
    </fill>
    <fill>
      <patternFill patternType="solid">
        <fgColor rgb="FF00B050"/>
        <bgColor indexed="64"/>
      </patternFill>
    </fill>
    <fill>
      <patternFill patternType="solid">
        <fgColor rgb="FF00B050"/>
        <bgColor rgb="FFFFFF00"/>
      </patternFill>
    </fill>
    <fill>
      <patternFill patternType="solid">
        <fgColor rgb="FFFF0000"/>
        <bgColor rgb="FFFFFF00"/>
      </patternFill>
    </fill>
    <fill>
      <patternFill patternType="solid">
        <fgColor rgb="FF00B050"/>
        <bgColor rgb="FF800000"/>
      </patternFill>
    </fill>
    <fill>
      <patternFill patternType="solid">
        <fgColor rgb="FF00B050"/>
        <bgColor rgb="FFBFBFBF"/>
      </patternFill>
    </fill>
    <fill>
      <patternFill patternType="solid">
        <fgColor rgb="FFFF0000"/>
        <bgColor indexed="64"/>
      </patternFill>
    </fill>
    <fill>
      <patternFill patternType="solid">
        <fgColor rgb="FFFF0000"/>
        <bgColor rgb="FFBFBFBF"/>
      </patternFill>
    </fill>
    <fill>
      <patternFill patternType="solid">
        <fgColor theme="0" tint="-0.34998626667073579"/>
        <bgColor indexed="64"/>
      </patternFill>
    </fill>
    <fill>
      <patternFill patternType="solid">
        <fgColor rgb="FFFFFF00"/>
        <bgColor rgb="FF800000"/>
      </patternFill>
    </fill>
  </fills>
  <borders count="33">
    <border>
      <left/>
      <right/>
      <top/>
      <bottom/>
      <diagonal/>
    </border>
    <border>
      <left/>
      <right/>
      <top/>
      <bottom style="thin">
        <color auto="1"/>
      </bottom>
      <diagonal/>
    </border>
    <border>
      <left style="thin">
        <color auto="1"/>
      </left>
      <right/>
      <top/>
      <bottom/>
      <diagonal/>
    </border>
    <border>
      <left/>
      <right/>
      <top style="thin">
        <color auto="1"/>
      </top>
      <bottom/>
      <diagonal/>
    </border>
    <border>
      <left/>
      <right/>
      <top/>
      <bottom style="hair">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medium">
        <color auto="1"/>
      </top>
      <bottom/>
      <diagonal/>
    </border>
    <border>
      <left style="medium">
        <color auto="1"/>
      </left>
      <right/>
      <top/>
      <bottom/>
      <diagonal/>
    </border>
    <border>
      <left style="thin">
        <color auto="1"/>
      </left>
      <right style="medium">
        <color auto="1"/>
      </right>
      <top style="medium">
        <color auto="1"/>
      </top>
      <bottom style="medium">
        <color auto="1"/>
      </bottom>
      <diagonal/>
    </border>
    <border>
      <left style="thin">
        <color auto="1"/>
      </left>
      <right/>
      <top/>
      <bottom style="thin">
        <color auto="1"/>
      </bottom>
      <diagonal/>
    </border>
    <border>
      <left style="medium">
        <color auto="1"/>
      </left>
      <right style="medium">
        <color auto="1"/>
      </right>
      <top/>
      <bottom style="medium">
        <color auto="1"/>
      </bottom>
      <diagonal/>
    </border>
    <border>
      <left style="thin">
        <color auto="1"/>
      </left>
      <right/>
      <top style="medium">
        <color auto="1"/>
      </top>
      <bottom style="medium">
        <color auto="1"/>
      </bottom>
      <diagonal/>
    </border>
    <border>
      <left/>
      <right style="thin">
        <color auto="1"/>
      </right>
      <top style="medium">
        <color auto="1"/>
      </top>
      <bottom/>
      <diagonal/>
    </border>
    <border>
      <left/>
      <right style="thin">
        <color auto="1"/>
      </right>
      <top/>
      <bottom style="thin">
        <color auto="1"/>
      </bottom>
      <diagonal/>
    </border>
    <border>
      <left/>
      <right style="thin">
        <color auto="1"/>
      </right>
      <top/>
      <bottom/>
      <diagonal/>
    </border>
    <border>
      <left style="medium">
        <color auto="1"/>
      </left>
      <right style="thin">
        <color auto="1"/>
      </right>
      <top style="medium">
        <color auto="1"/>
      </top>
      <bottom style="medium">
        <color auto="1"/>
      </bottom>
      <diagonal/>
    </border>
    <border>
      <left/>
      <right style="thin">
        <color auto="1"/>
      </right>
      <top style="thin">
        <color auto="1"/>
      </top>
      <bottom/>
      <diagonal/>
    </border>
    <border>
      <left/>
      <right style="hair">
        <color auto="1"/>
      </right>
      <top/>
      <bottom/>
      <diagonal/>
    </border>
    <border>
      <left/>
      <right style="hair">
        <color auto="1"/>
      </right>
      <top/>
      <bottom style="hair">
        <color auto="1"/>
      </bottom>
      <diagonal/>
    </border>
    <border>
      <left/>
      <right style="hair">
        <color auto="1"/>
      </right>
      <top style="medium">
        <color indexed="64"/>
      </top>
      <bottom/>
      <diagonal/>
    </border>
    <border>
      <left/>
      <right style="hair">
        <color auto="1"/>
      </right>
      <top/>
      <bottom style="medium">
        <color indexed="64"/>
      </bottom>
      <diagonal/>
    </border>
    <border>
      <left style="medium">
        <color indexed="64"/>
      </left>
      <right/>
      <top/>
      <bottom style="hair">
        <color auto="1"/>
      </bottom>
      <diagonal/>
    </border>
  </borders>
  <cellStyleXfs count="4">
    <xf numFmtId="0" fontId="0" fillId="0" borderId="0"/>
    <xf numFmtId="164" fontId="11" fillId="0" borderId="0" applyBorder="0" applyProtection="0"/>
    <xf numFmtId="9" fontId="11" fillId="0" borderId="0" applyBorder="0" applyProtection="0"/>
    <xf numFmtId="0" fontId="2" fillId="0" borderId="0" applyBorder="0" applyProtection="0"/>
  </cellStyleXfs>
  <cellXfs count="231">
    <xf numFmtId="0" fontId="0" fillId="0" borderId="0" xfId="0"/>
    <xf numFmtId="0" fontId="1" fillId="0" borderId="0" xfId="0" applyFont="1"/>
    <xf numFmtId="0" fontId="0" fillId="2" borderId="0" xfId="0" applyFont="1" applyFill="1" applyAlignment="1">
      <alignment wrapText="1"/>
    </xf>
    <xf numFmtId="0" fontId="0" fillId="3" borderId="0" xfId="0" applyFont="1" applyFill="1" applyAlignment="1">
      <alignment wrapText="1"/>
    </xf>
    <xf numFmtId="0" fontId="0" fillId="4" borderId="0" xfId="0" applyFont="1" applyFill="1" applyAlignment="1">
      <alignment wrapText="1"/>
    </xf>
    <xf numFmtId="0" fontId="0" fillId="5" borderId="0" xfId="0" applyFont="1" applyFill="1" applyAlignment="1">
      <alignment wrapText="1"/>
    </xf>
    <xf numFmtId="0" fontId="0" fillId="6" borderId="0" xfId="0" applyFont="1" applyFill="1" applyAlignment="1">
      <alignment wrapText="1"/>
    </xf>
    <xf numFmtId="0" fontId="1" fillId="0" borderId="1" xfId="0" applyFont="1" applyBorder="1"/>
    <xf numFmtId="0" fontId="0" fillId="0" borderId="0" xfId="0" applyFont="1" applyBorder="1"/>
    <xf numFmtId="0" fontId="1" fillId="0" borderId="0" xfId="0" applyFont="1" applyBorder="1"/>
    <xf numFmtId="0" fontId="0" fillId="0" borderId="0" xfId="0" applyBorder="1"/>
    <xf numFmtId="0" fontId="0" fillId="0" borderId="1" xfId="0" applyFont="1" applyBorder="1"/>
    <xf numFmtId="0" fontId="0" fillId="3" borderId="0" xfId="0" applyFill="1"/>
    <xf numFmtId="11" fontId="0" fillId="6" borderId="0" xfId="0" applyNumberFormat="1" applyFill="1" applyBorder="1"/>
    <xf numFmtId="0" fontId="0" fillId="6" borderId="0" xfId="0" applyFill="1" applyBorder="1"/>
    <xf numFmtId="0" fontId="0" fillId="3" borderId="0" xfId="0" applyFill="1" applyBorder="1"/>
    <xf numFmtId="0" fontId="0" fillId="0" borderId="0" xfId="0" applyFont="1"/>
    <xf numFmtId="0" fontId="0" fillId="3" borderId="2" xfId="2" applyNumberFormat="1" applyFont="1" applyFill="1" applyBorder="1" applyAlignment="1" applyProtection="1"/>
    <xf numFmtId="0" fontId="0" fillId="3" borderId="2" xfId="0" applyFill="1" applyBorder="1"/>
    <xf numFmtId="0" fontId="0" fillId="3" borderId="0" xfId="0" applyFont="1" applyFill="1" applyAlignment="1">
      <alignment horizontal="right" wrapText="1"/>
    </xf>
    <xf numFmtId="0" fontId="0" fillId="2" borderId="0" xfId="0" applyFill="1"/>
    <xf numFmtId="0" fontId="0" fillId="4" borderId="0" xfId="0" applyFill="1"/>
    <xf numFmtId="165" fontId="0" fillId="3" borderId="0" xfId="0" applyNumberFormat="1" applyFill="1"/>
    <xf numFmtId="0" fontId="2" fillId="0" borderId="0" xfId="3" applyFont="1" applyBorder="1" applyAlignment="1" applyProtection="1"/>
    <xf numFmtId="0" fontId="0" fillId="4" borderId="0" xfId="0" applyFont="1" applyFill="1"/>
    <xf numFmtId="0" fontId="3" fillId="0" borderId="0" xfId="0" applyFont="1"/>
    <xf numFmtId="11" fontId="0" fillId="3" borderId="0" xfId="0" applyNumberFormat="1" applyFill="1"/>
    <xf numFmtId="165" fontId="0" fillId="5" borderId="0" xfId="2" applyNumberFormat="1" applyFont="1" applyFill="1" applyBorder="1" applyAlignment="1" applyProtection="1"/>
    <xf numFmtId="0" fontId="0" fillId="2" borderId="0" xfId="0" applyFill="1" applyBorder="1"/>
    <xf numFmtId="0" fontId="0" fillId="4" borderId="0" xfId="0" applyFont="1" applyFill="1" applyBorder="1"/>
    <xf numFmtId="0" fontId="1" fillId="0" borderId="5" xfId="0" applyFont="1" applyBorder="1" applyAlignment="1">
      <alignment horizontal="center"/>
    </xf>
    <xf numFmtId="0" fontId="1" fillId="0" borderId="7" xfId="0" applyFont="1" applyBorder="1" applyAlignment="1">
      <alignment horizontal="center"/>
    </xf>
    <xf numFmtId="0" fontId="0" fillId="0" borderId="9" xfId="0" applyFont="1" applyBorder="1"/>
    <xf numFmtId="0" fontId="0" fillId="0" borderId="10" xfId="0" applyFont="1" applyBorder="1"/>
    <xf numFmtId="0" fontId="0" fillId="0" borderId="11" xfId="0" applyFont="1" applyBorder="1"/>
    <xf numFmtId="0" fontId="0" fillId="0" borderId="12" xfId="0" applyFont="1" applyBorder="1"/>
    <xf numFmtId="0" fontId="0" fillId="0" borderId="13" xfId="0" applyFont="1" applyBorder="1"/>
    <xf numFmtId="0" fontId="0" fillId="0" borderId="0" xfId="0" applyAlignment="1">
      <alignment wrapText="1"/>
    </xf>
    <xf numFmtId="0" fontId="0" fillId="0" borderId="6" xfId="0" applyFont="1" applyBorder="1" applyAlignment="1">
      <alignment wrapText="1"/>
    </xf>
    <xf numFmtId="0" fontId="0" fillId="0" borderId="14" xfId="0" applyFont="1" applyBorder="1" applyAlignment="1">
      <alignment wrapText="1"/>
    </xf>
    <xf numFmtId="0" fontId="0" fillId="0" borderId="15" xfId="0" applyFont="1" applyBorder="1" applyAlignment="1">
      <alignment wrapText="1"/>
    </xf>
    <xf numFmtId="0" fontId="0" fillId="0" borderId="16" xfId="0" applyFont="1" applyBorder="1" applyAlignment="1">
      <alignment wrapText="1"/>
    </xf>
    <xf numFmtId="0" fontId="0" fillId="6" borderId="10" xfId="0" applyFill="1" applyBorder="1"/>
    <xf numFmtId="0" fontId="0" fillId="2" borderId="17" xfId="0" applyFill="1" applyBorder="1"/>
    <xf numFmtId="9" fontId="0" fillId="2" borderId="11" xfId="2" applyFont="1" applyFill="1" applyBorder="1" applyAlignment="1" applyProtection="1"/>
    <xf numFmtId="9" fontId="0" fillId="0" borderId="12" xfId="2" applyFont="1" applyBorder="1" applyAlignment="1" applyProtection="1"/>
    <xf numFmtId="0" fontId="0" fillId="0" borderId="18" xfId="0" applyBorder="1"/>
    <xf numFmtId="0" fontId="0" fillId="2" borderId="11" xfId="0" applyFill="1" applyBorder="1"/>
    <xf numFmtId="0" fontId="4" fillId="0" borderId="0" xfId="0" applyFont="1"/>
    <xf numFmtId="0" fontId="4" fillId="0" borderId="18" xfId="0" applyFont="1" applyBorder="1"/>
    <xf numFmtId="0" fontId="4" fillId="0" borderId="0" xfId="0" applyFont="1" applyBorder="1"/>
    <xf numFmtId="0" fontId="4" fillId="0" borderId="13" xfId="0" applyFont="1" applyBorder="1"/>
    <xf numFmtId="9" fontId="4" fillId="0" borderId="0" xfId="2" applyFont="1" applyBorder="1" applyAlignment="1" applyProtection="1"/>
    <xf numFmtId="9" fontId="4" fillId="0" borderId="13" xfId="2" applyFont="1" applyBorder="1" applyAlignment="1" applyProtection="1"/>
    <xf numFmtId="0" fontId="4" fillId="0" borderId="18" xfId="0" applyFont="1" applyBorder="1" applyAlignment="1">
      <alignment wrapText="1"/>
    </xf>
    <xf numFmtId="0" fontId="4" fillId="0" borderId="0" xfId="0" applyFont="1" applyBorder="1" applyAlignment="1">
      <alignment wrapText="1"/>
    </xf>
    <xf numFmtId="0" fontId="4" fillId="0" borderId="0" xfId="0" applyFont="1" applyBorder="1" applyAlignment="1">
      <alignment horizontal="right" wrapText="1"/>
    </xf>
    <xf numFmtId="0" fontId="4" fillId="0" borderId="13" xfId="0" applyFont="1" applyBorder="1" applyAlignment="1">
      <alignment wrapText="1"/>
    </xf>
    <xf numFmtId="0" fontId="0" fillId="0" borderId="18" xfId="0" applyFont="1" applyBorder="1"/>
    <xf numFmtId="0" fontId="0" fillId="0" borderId="13" xfId="0" applyBorder="1"/>
    <xf numFmtId="9" fontId="0" fillId="0" borderId="0" xfId="2" applyFont="1" applyBorder="1" applyAlignment="1" applyProtection="1"/>
    <xf numFmtId="9" fontId="0" fillId="0" borderId="13" xfId="2" applyFont="1" applyBorder="1" applyAlignment="1" applyProtection="1"/>
    <xf numFmtId="1" fontId="4" fillId="0" borderId="0" xfId="0" applyNumberFormat="1" applyFont="1" applyBorder="1"/>
    <xf numFmtId="0" fontId="0" fillId="0" borderId="0" xfId="0" applyBorder="1" applyAlignment="1">
      <alignment horizontal="right"/>
    </xf>
    <xf numFmtId="0" fontId="5" fillId="0" borderId="0" xfId="0" applyFont="1" applyBorder="1"/>
    <xf numFmtId="165" fontId="4" fillId="0" borderId="0" xfId="0" applyNumberFormat="1" applyFont="1" applyBorder="1"/>
    <xf numFmtId="49" fontId="4" fillId="0" borderId="0" xfId="0" applyNumberFormat="1" applyFont="1" applyBorder="1"/>
    <xf numFmtId="166" fontId="0" fillId="0" borderId="0" xfId="0" applyNumberFormat="1" applyBorder="1"/>
    <xf numFmtId="0" fontId="3" fillId="0" borderId="0" xfId="0" applyFont="1" applyBorder="1"/>
    <xf numFmtId="2" fontId="0" fillId="0" borderId="0" xfId="0" applyNumberFormat="1" applyBorder="1"/>
    <xf numFmtId="165" fontId="0" fillId="0" borderId="0" xfId="0" applyNumberFormat="1" applyFont="1" applyBorder="1"/>
    <xf numFmtId="1" fontId="0" fillId="0" borderId="18" xfId="0" applyNumberFormat="1" applyFont="1" applyBorder="1"/>
    <xf numFmtId="1" fontId="0" fillId="0" borderId="0" xfId="0" applyNumberFormat="1" applyFont="1" applyBorder="1"/>
    <xf numFmtId="9" fontId="0" fillId="0" borderId="0" xfId="0" applyNumberFormat="1" applyFont="1" applyBorder="1"/>
    <xf numFmtId="2" fontId="3" fillId="0" borderId="0" xfId="0" applyNumberFormat="1" applyFont="1" applyBorder="1" applyAlignment="1">
      <alignment horizontal="right"/>
    </xf>
    <xf numFmtId="2" fontId="3" fillId="0" borderId="18" xfId="0" applyNumberFormat="1" applyFont="1" applyBorder="1" applyAlignment="1">
      <alignment horizontal="right"/>
    </xf>
    <xf numFmtId="0" fontId="6" fillId="0" borderId="0" xfId="0" applyFont="1" applyBorder="1"/>
    <xf numFmtId="0" fontId="6" fillId="0" borderId="0" xfId="0" applyFont="1"/>
    <xf numFmtId="0" fontId="6" fillId="0" borderId="18" xfId="0" applyFont="1" applyBorder="1"/>
    <xf numFmtId="0" fontId="6" fillId="0" borderId="13" xfId="0" applyFont="1" applyBorder="1"/>
    <xf numFmtId="1" fontId="6" fillId="0" borderId="0" xfId="0" applyNumberFormat="1" applyFont="1"/>
    <xf numFmtId="9" fontId="6" fillId="0" borderId="0" xfId="2" applyFont="1" applyBorder="1" applyAlignment="1" applyProtection="1"/>
    <xf numFmtId="9" fontId="6" fillId="0" borderId="13" xfId="2" applyFont="1" applyBorder="1" applyAlignment="1" applyProtection="1"/>
    <xf numFmtId="166" fontId="0" fillId="0" borderId="0" xfId="0" applyNumberFormat="1" applyFont="1" applyBorder="1"/>
    <xf numFmtId="2" fontId="0" fillId="0" borderId="0" xfId="0" applyNumberFormat="1" applyFont="1" applyBorder="1"/>
    <xf numFmtId="0" fontId="7" fillId="2" borderId="0" xfId="0" applyFont="1" applyFill="1" applyBorder="1"/>
    <xf numFmtId="0" fontId="0" fillId="0" borderId="14" xfId="0" applyFont="1" applyBorder="1"/>
    <xf numFmtId="0" fontId="0" fillId="0" borderId="15" xfId="0" applyFont="1" applyBorder="1"/>
    <xf numFmtId="0" fontId="0" fillId="0" borderId="16" xfId="0" applyFont="1" applyBorder="1"/>
    <xf numFmtId="9" fontId="0" fillId="0" borderId="15" xfId="2" applyFont="1" applyBorder="1" applyAlignment="1" applyProtection="1"/>
    <xf numFmtId="9" fontId="0" fillId="0" borderId="16" xfId="2" applyFont="1" applyBorder="1" applyAlignment="1" applyProtection="1"/>
    <xf numFmtId="0" fontId="1" fillId="7" borderId="0" xfId="0" applyFont="1" applyFill="1"/>
    <xf numFmtId="0" fontId="0" fillId="7" borderId="0" xfId="0" applyFill="1"/>
    <xf numFmtId="0" fontId="1" fillId="0" borderId="15" xfId="0" applyFont="1" applyBorder="1"/>
    <xf numFmtId="0" fontId="8" fillId="0" borderId="0" xfId="0" applyFont="1"/>
    <xf numFmtId="1" fontId="0" fillId="0" borderId="0" xfId="0" applyNumberFormat="1"/>
    <xf numFmtId="1" fontId="1" fillId="0" borderId="0" xfId="0" applyNumberFormat="1" applyFont="1"/>
    <xf numFmtId="2" fontId="0" fillId="0" borderId="0" xfId="0" applyNumberFormat="1"/>
    <xf numFmtId="2" fontId="1" fillId="0" borderId="0" xfId="0" applyNumberFormat="1" applyFont="1"/>
    <xf numFmtId="1" fontId="0" fillId="0" borderId="0" xfId="2" applyNumberFormat="1" applyFont="1" applyBorder="1" applyAlignment="1" applyProtection="1"/>
    <xf numFmtId="0" fontId="0" fillId="0" borderId="3" xfId="0" applyFont="1" applyBorder="1"/>
    <xf numFmtId="1" fontId="0" fillId="0" borderId="0" xfId="0" applyNumberFormat="1" applyBorder="1"/>
    <xf numFmtId="166" fontId="0" fillId="0" borderId="0" xfId="0" applyNumberFormat="1"/>
    <xf numFmtId="0" fontId="1" fillId="0" borderId="0" xfId="0" applyFont="1" applyAlignment="1">
      <alignment horizontal="right"/>
    </xf>
    <xf numFmtId="0" fontId="9" fillId="0" borderId="0" xfId="0" applyFont="1" applyAlignment="1">
      <alignment horizontal="right"/>
    </xf>
    <xf numFmtId="0" fontId="9" fillId="0" borderId="1" xfId="0" applyFont="1" applyBorder="1"/>
    <xf numFmtId="165" fontId="0" fillId="0" borderId="1" xfId="0" applyNumberFormat="1" applyFont="1" applyBorder="1"/>
    <xf numFmtId="166" fontId="4" fillId="0" borderId="0" xfId="0" applyNumberFormat="1" applyFont="1"/>
    <xf numFmtId="165" fontId="0" fillId="0" borderId="0" xfId="0" applyNumberFormat="1"/>
    <xf numFmtId="0" fontId="1" fillId="0" borderId="17" xfId="0" applyFont="1" applyBorder="1"/>
    <xf numFmtId="0" fontId="1" fillId="0" borderId="11" xfId="0" applyFont="1" applyBorder="1"/>
    <xf numFmtId="0" fontId="0" fillId="0" borderId="20" xfId="0" applyFont="1" applyBorder="1"/>
    <xf numFmtId="0" fontId="0" fillId="0" borderId="2" xfId="0" applyBorder="1"/>
    <xf numFmtId="167" fontId="0" fillId="0" borderId="2" xfId="2" applyNumberFormat="1" applyFont="1" applyBorder="1" applyAlignment="1" applyProtection="1"/>
    <xf numFmtId="167" fontId="0" fillId="0" borderId="0" xfId="2" applyNumberFormat="1" applyFont="1" applyBorder="1" applyAlignment="1" applyProtection="1"/>
    <xf numFmtId="1" fontId="0" fillId="0" borderId="2" xfId="2" applyNumberFormat="1" applyFont="1" applyBorder="1" applyAlignment="1" applyProtection="1"/>
    <xf numFmtId="0" fontId="1" fillId="0" borderId="10" xfId="0" applyFont="1" applyBorder="1"/>
    <xf numFmtId="0" fontId="1" fillId="0" borderId="9" xfId="0" applyFont="1" applyBorder="1"/>
    <xf numFmtId="0" fontId="0" fillId="0" borderId="21" xfId="0" applyBorder="1" applyAlignment="1">
      <alignment vertical="top" wrapText="1"/>
    </xf>
    <xf numFmtId="0" fontId="1" fillId="0" borderId="22" xfId="0" applyFont="1" applyBorder="1" applyAlignment="1">
      <alignment horizontal="center"/>
    </xf>
    <xf numFmtId="0" fontId="0" fillId="0" borderId="20" xfId="0" applyFont="1" applyBorder="1" applyAlignment="1"/>
    <xf numFmtId="0" fontId="1" fillId="0" borderId="0" xfId="0" applyFont="1" applyBorder="1" applyAlignment="1">
      <alignment horizontal="center"/>
    </xf>
    <xf numFmtId="0" fontId="1" fillId="0" borderId="23" xfId="0" applyFont="1" applyBorder="1"/>
    <xf numFmtId="0" fontId="0" fillId="0" borderId="24" xfId="0" applyFont="1" applyBorder="1"/>
    <xf numFmtId="0" fontId="0" fillId="0" borderId="25" xfId="0" applyBorder="1"/>
    <xf numFmtId="2" fontId="4" fillId="0" borderId="0" xfId="0" applyNumberFormat="1" applyFont="1" applyBorder="1"/>
    <xf numFmtId="0" fontId="4" fillId="0" borderId="2" xfId="0" applyFont="1" applyBorder="1"/>
    <xf numFmtId="0" fontId="4" fillId="0" borderId="25" xfId="0" applyFont="1" applyBorder="1"/>
    <xf numFmtId="0" fontId="0" fillId="0" borderId="0" xfId="0" applyBorder="1" applyAlignment="1">
      <alignment vertical="top" wrapText="1"/>
    </xf>
    <xf numFmtId="0" fontId="0" fillId="0" borderId="5"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1" xfId="0" applyFont="1" applyBorder="1" applyAlignment="1">
      <alignment wrapText="1"/>
    </xf>
    <xf numFmtId="0" fontId="0" fillId="0" borderId="20" xfId="0" applyFont="1" applyBorder="1" applyAlignment="1">
      <alignment wrapText="1"/>
    </xf>
    <xf numFmtId="9" fontId="0" fillId="0" borderId="2" xfId="2" applyFont="1" applyBorder="1" applyAlignment="1" applyProtection="1"/>
    <xf numFmtId="167" fontId="4" fillId="0" borderId="0" xfId="2" applyNumberFormat="1" applyFont="1" applyBorder="1" applyAlignment="1" applyProtection="1"/>
    <xf numFmtId="0" fontId="1" fillId="0" borderId="14" xfId="0" applyFont="1" applyBorder="1"/>
    <xf numFmtId="0" fontId="0" fillId="0" borderId="15" xfId="0" applyBorder="1"/>
    <xf numFmtId="0" fontId="0" fillId="0" borderId="16" xfId="0" applyBorder="1"/>
    <xf numFmtId="0" fontId="0" fillId="0" borderId="1" xfId="0" applyFont="1" applyBorder="1" applyAlignment="1"/>
    <xf numFmtId="0" fontId="1" fillId="0" borderId="2" xfId="0" applyFont="1" applyBorder="1"/>
    <xf numFmtId="0" fontId="0" fillId="0" borderId="27" xfId="0" applyBorder="1"/>
    <xf numFmtId="9" fontId="4" fillId="0" borderId="0" xfId="0" applyNumberFormat="1" applyFont="1"/>
    <xf numFmtId="0" fontId="1" fillId="0" borderId="14" xfId="0" applyFont="1" applyBorder="1" applyAlignment="1">
      <alignment vertical="top" wrapText="1"/>
    </xf>
    <xf numFmtId="0" fontId="0" fillId="0" borderId="28" xfId="0" applyBorder="1"/>
    <xf numFmtId="0" fontId="0" fillId="0" borderId="4" xfId="0" applyBorder="1"/>
    <xf numFmtId="0" fontId="0" fillId="0" borderId="29" xfId="0" applyBorder="1"/>
    <xf numFmtId="49" fontId="0" fillId="0" borderId="0" xfId="0" applyNumberFormat="1"/>
    <xf numFmtId="0" fontId="0" fillId="8" borderId="0" xfId="0" applyFill="1"/>
    <xf numFmtId="0" fontId="0" fillId="9" borderId="3" xfId="0" applyFont="1" applyFill="1" applyBorder="1"/>
    <xf numFmtId="0" fontId="0" fillId="9" borderId="0" xfId="0" applyFill="1"/>
    <xf numFmtId="0" fontId="0" fillId="0" borderId="0" xfId="0" applyFont="1" applyFill="1" applyBorder="1"/>
    <xf numFmtId="0" fontId="0" fillId="0" borderId="0" xfId="0" applyFill="1" applyBorder="1"/>
    <xf numFmtId="0" fontId="0" fillId="10" borderId="0" xfId="0" applyFill="1"/>
    <xf numFmtId="0" fontId="0" fillId="11" borderId="0" xfId="0" applyFill="1"/>
    <xf numFmtId="0" fontId="0" fillId="12" borderId="0" xfId="0" applyFill="1" applyBorder="1"/>
    <xf numFmtId="0" fontId="0" fillId="10" borderId="0" xfId="0" applyFont="1" applyFill="1" applyBorder="1"/>
    <xf numFmtId="0" fontId="0" fillId="9" borderId="0" xfId="0" applyFont="1" applyFill="1" applyBorder="1"/>
    <xf numFmtId="0" fontId="0" fillId="13" borderId="0" xfId="0" applyFill="1" applyBorder="1"/>
    <xf numFmtId="0" fontId="0" fillId="14" borderId="0" xfId="0" applyFill="1"/>
    <xf numFmtId="0" fontId="0" fillId="15" borderId="0" xfId="0" applyFill="1" applyBorder="1"/>
    <xf numFmtId="0" fontId="0" fillId="14" borderId="15" xfId="0" applyFill="1" applyBorder="1"/>
    <xf numFmtId="0" fontId="0" fillId="11" borderId="15" xfId="0" applyFont="1" applyFill="1" applyBorder="1"/>
    <xf numFmtId="165" fontId="0" fillId="5" borderId="15" xfId="2" applyNumberFormat="1" applyFont="1" applyFill="1" applyBorder="1" applyAlignment="1" applyProtection="1"/>
    <xf numFmtId="0" fontId="0" fillId="4" borderId="15" xfId="0" applyFill="1" applyBorder="1"/>
    <xf numFmtId="0" fontId="2" fillId="0" borderId="15" xfId="3" applyFont="1" applyBorder="1" applyAlignment="1" applyProtection="1"/>
    <xf numFmtId="0" fontId="0" fillId="10" borderId="15" xfId="0" applyFill="1" applyBorder="1"/>
    <xf numFmtId="0" fontId="0" fillId="3" borderId="15" xfId="0" applyFont="1" applyFill="1" applyBorder="1" applyAlignment="1">
      <alignment wrapText="1"/>
    </xf>
    <xf numFmtId="0" fontId="0" fillId="3" borderId="15" xfId="0" applyFill="1" applyBorder="1"/>
    <xf numFmtId="0" fontId="0" fillId="6" borderId="15" xfId="0" applyFont="1" applyFill="1" applyBorder="1"/>
    <xf numFmtId="11" fontId="0" fillId="0" borderId="15" xfId="1" applyNumberFormat="1" applyFont="1" applyBorder="1" applyAlignment="1" applyProtection="1"/>
    <xf numFmtId="11" fontId="0" fillId="0" borderId="15" xfId="0" applyNumberFormat="1" applyBorder="1"/>
    <xf numFmtId="0" fontId="0" fillId="16" borderId="0" xfId="0" applyFill="1" applyBorder="1"/>
    <xf numFmtId="0" fontId="0" fillId="10" borderId="0" xfId="0" applyFill="1" applyBorder="1"/>
    <xf numFmtId="0" fontId="0" fillId="11" borderId="0" xfId="0" applyFill="1" applyBorder="1"/>
    <xf numFmtId="0" fontId="0" fillId="11" borderId="15" xfId="0" applyFill="1" applyBorder="1"/>
    <xf numFmtId="0" fontId="0" fillId="12" borderId="15" xfId="0" applyFill="1" applyBorder="1"/>
    <xf numFmtId="0" fontId="0" fillId="12" borderId="15" xfId="0" applyFont="1" applyFill="1" applyBorder="1"/>
    <xf numFmtId="0" fontId="0" fillId="0" borderId="15" xfId="0" applyFill="1" applyBorder="1"/>
    <xf numFmtId="0" fontId="0" fillId="0" borderId="15" xfId="0" applyFont="1" applyFill="1" applyBorder="1"/>
    <xf numFmtId="0" fontId="0" fillId="10" borderId="0" xfId="0" applyFont="1" applyFill="1"/>
    <xf numFmtId="0" fontId="0" fillId="11" borderId="0" xfId="0" applyFont="1" applyFill="1"/>
    <xf numFmtId="0" fontId="0" fillId="12" borderId="0" xfId="0" applyFill="1"/>
    <xf numFmtId="1" fontId="0" fillId="9" borderId="0" xfId="0" applyNumberFormat="1" applyFill="1" applyBorder="1"/>
    <xf numFmtId="2" fontId="0" fillId="3" borderId="0" xfId="0" applyNumberFormat="1" applyFill="1" applyBorder="1"/>
    <xf numFmtId="0" fontId="0" fillId="9" borderId="0" xfId="0" applyFill="1" applyBorder="1"/>
    <xf numFmtId="0" fontId="0" fillId="9" borderId="15" xfId="0" applyFill="1" applyBorder="1"/>
    <xf numFmtId="0" fontId="0" fillId="17" borderId="0" xfId="0" applyFill="1" applyBorder="1"/>
    <xf numFmtId="0" fontId="0" fillId="17" borderId="0" xfId="0" applyFont="1" applyFill="1"/>
    <xf numFmtId="0" fontId="0" fillId="17" borderId="0" xfId="0" applyFont="1" applyFill="1" applyBorder="1"/>
    <xf numFmtId="0" fontId="0" fillId="0" borderId="11" xfId="0" applyBorder="1"/>
    <xf numFmtId="0" fontId="0" fillId="0" borderId="30" xfId="0" applyBorder="1"/>
    <xf numFmtId="0" fontId="0" fillId="0" borderId="31" xfId="0" applyBorder="1"/>
    <xf numFmtId="0" fontId="0" fillId="0" borderId="10" xfId="0" applyFill="1" applyBorder="1"/>
    <xf numFmtId="0" fontId="0" fillId="0" borderId="14" xfId="0" applyBorder="1"/>
    <xf numFmtId="0" fontId="0" fillId="0" borderId="10" xfId="0" applyBorder="1"/>
    <xf numFmtId="0" fontId="0" fillId="0" borderId="14" xfId="0" applyFont="1" applyFill="1" applyBorder="1"/>
    <xf numFmtId="0" fontId="0" fillId="0" borderId="32" xfId="0" applyFont="1" applyBorder="1"/>
    <xf numFmtId="1" fontId="0" fillId="14" borderId="0" xfId="0" applyNumberFormat="1" applyFill="1"/>
    <xf numFmtId="1" fontId="0" fillId="9" borderId="0" xfId="0" applyNumberFormat="1" applyFill="1"/>
    <xf numFmtId="168" fontId="0" fillId="0" borderId="10" xfId="0" applyNumberFormat="1" applyFont="1" applyBorder="1"/>
    <xf numFmtId="168" fontId="0" fillId="0" borderId="18" xfId="0" applyNumberFormat="1" applyFont="1" applyBorder="1"/>
    <xf numFmtId="168" fontId="0" fillId="0" borderId="14" xfId="0" applyNumberFormat="1" applyFont="1" applyBorder="1"/>
    <xf numFmtId="169" fontId="0" fillId="0" borderId="15" xfId="0" applyNumberFormat="1" applyBorder="1"/>
    <xf numFmtId="0" fontId="0" fillId="0" borderId="16" xfId="0" applyFont="1" applyFill="1" applyBorder="1"/>
    <xf numFmtId="168" fontId="11" fillId="0" borderId="10" xfId="1" applyNumberFormat="1" applyBorder="1"/>
    <xf numFmtId="168" fontId="11" fillId="0" borderId="18" xfId="1" applyNumberFormat="1" applyBorder="1"/>
    <xf numFmtId="169" fontId="0" fillId="0" borderId="15" xfId="0" applyNumberFormat="1" applyFont="1" applyBorder="1"/>
    <xf numFmtId="168" fontId="11" fillId="0" borderId="5" xfId="1" applyNumberFormat="1" applyBorder="1"/>
    <xf numFmtId="0" fontId="0" fillId="0" borderId="7" xfId="0" applyFont="1" applyBorder="1"/>
    <xf numFmtId="168" fontId="11" fillId="0" borderId="7" xfId="1" applyNumberFormat="1" applyBorder="1"/>
    <xf numFmtId="0" fontId="0" fillId="0" borderId="8" xfId="0" applyFont="1" applyBorder="1"/>
    <xf numFmtId="168" fontId="11" fillId="0" borderId="11" xfId="1" applyNumberFormat="1" applyBorder="1"/>
    <xf numFmtId="168" fontId="0" fillId="0" borderId="11" xfId="0" applyNumberFormat="1" applyFont="1" applyBorder="1"/>
    <xf numFmtId="169" fontId="0" fillId="0" borderId="11" xfId="0" applyNumberFormat="1" applyFont="1" applyBorder="1"/>
    <xf numFmtId="169" fontId="0" fillId="0" borderId="11" xfId="0" applyNumberFormat="1" applyBorder="1"/>
    <xf numFmtId="0" fontId="0" fillId="0" borderId="12" xfId="0" applyBorder="1"/>
    <xf numFmtId="0" fontId="0" fillId="0" borderId="8" xfId="0" applyBorder="1"/>
    <xf numFmtId="0" fontId="1" fillId="0" borderId="5" xfId="0"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4" fillId="0" borderId="0" xfId="0" applyFont="1" applyBorder="1" applyAlignment="1">
      <alignment horizontal="center"/>
    </xf>
    <xf numFmtId="0" fontId="3" fillId="0" borderId="0" xfId="0" applyFont="1" applyBorder="1" applyAlignment="1">
      <alignment horizontal="center" wrapText="1"/>
    </xf>
    <xf numFmtId="0" fontId="1" fillId="0" borderId="19" xfId="0" applyFont="1" applyBorder="1" applyAlignment="1">
      <alignment horizontal="center"/>
    </xf>
    <xf numFmtId="0" fontId="10" fillId="0" borderId="6" xfId="0" applyFont="1" applyBorder="1" applyAlignment="1">
      <alignment horizontal="center"/>
    </xf>
    <xf numFmtId="0" fontId="0" fillId="0" borderId="21" xfId="0" applyFont="1" applyBorder="1" applyAlignment="1">
      <alignment horizontal="left" vertical="top" wrapText="1"/>
    </xf>
    <xf numFmtId="0" fontId="1" fillId="0" borderId="22" xfId="0" applyFont="1" applyBorder="1" applyAlignment="1">
      <alignment horizontal="center"/>
    </xf>
    <xf numFmtId="0" fontId="10" fillId="0" borderId="5" xfId="0" applyFont="1" applyBorder="1" applyAlignment="1">
      <alignment horizontal="center"/>
    </xf>
    <xf numFmtId="0" fontId="1" fillId="0" borderId="26" xfId="0" applyFont="1" applyBorder="1" applyAlignment="1">
      <alignment horizontal="center"/>
    </xf>
    <xf numFmtId="0" fontId="10" fillId="0" borderId="18" xfId="0" applyFont="1" applyBorder="1" applyAlignment="1">
      <alignment horizontal="center"/>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7F7F7F"/>
      <rgbColor rgb="FF800080"/>
      <rgbColor rgb="FF008080"/>
      <rgbColor rgb="FFBFBFBF"/>
      <rgbColor rgb="FF808080"/>
      <rgbColor rgb="FFA5A5A5"/>
      <rgbColor rgb="FF7030A0"/>
      <rgbColor rgb="FFE7E6E6"/>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5B9BD5"/>
      <rgbColor rgb="FF70AD47"/>
      <rgbColor rgb="FFFFC000"/>
      <rgbColor rgb="FFFF9900"/>
      <rgbColor rgb="FFED7D31"/>
      <rgbColor rgb="FF595959"/>
      <rgbColor rgb="FF8B8B8B"/>
      <rgbColor rgb="FF003366"/>
      <rgbColor rgb="FF00B050"/>
      <rgbColor rgb="FF003300"/>
      <rgbColor rgb="FF333300"/>
      <rgbColor rgb="FF843C0B"/>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679" b="0" strike="noStrike" spc="-1">
                <a:solidFill>
                  <a:srgbClr val="595959"/>
                </a:solidFill>
                <a:latin typeface="Calibri"/>
              </a:defRPr>
            </a:pPr>
            <a:r>
              <a:rPr lang="de-DE" sz="1679" b="0" strike="noStrike" spc="-1">
                <a:solidFill>
                  <a:srgbClr val="595959"/>
                </a:solidFill>
                <a:latin typeface="Calibri"/>
              </a:rPr>
              <a:t>Utility-Scale PV lifetime in years:
High / low scenario </a:t>
            </a:r>
          </a:p>
        </c:rich>
      </c:tx>
      <c:overlay val="0"/>
      <c:spPr>
        <a:noFill/>
        <a:ln>
          <a:noFill/>
        </a:ln>
      </c:spPr>
    </c:title>
    <c:autoTitleDeleted val="0"/>
    <c:plotArea>
      <c:layout/>
      <c:barChart>
        <c:barDir val="col"/>
        <c:grouping val="clustered"/>
        <c:varyColors val="0"/>
        <c:ser>
          <c:idx val="0"/>
          <c:order val="0"/>
          <c:tx>
            <c:strRef>
              <c:f>PV!$H$3</c:f>
              <c:strCache>
                <c:ptCount val="1"/>
                <c:pt idx="0">
                  <c:v>Vartiainen, 2020</c:v>
                </c:pt>
              </c:strCache>
            </c:strRef>
          </c:tx>
          <c:spPr>
            <a:solidFill>
              <a:srgbClr val="4472C4"/>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PV!$A$5</c:f>
              <c:numCache>
                <c:formatCode>General</c:formatCode>
                <c:ptCount val="1"/>
                <c:pt idx="0">
                  <c:v>2015</c:v>
                </c:pt>
              </c:numCache>
            </c:numRef>
          </c:cat>
          <c:val>
            <c:numRef>
              <c:f>PV!$H$5</c:f>
              <c:numCache>
                <c:formatCode>0</c:formatCode>
                <c:ptCount val="1"/>
                <c:pt idx="0">
                  <c:v>30</c:v>
                </c:pt>
              </c:numCache>
            </c:numRef>
          </c:val>
          <c:extLst>
            <c:ext xmlns:c16="http://schemas.microsoft.com/office/drawing/2014/chart" uri="{C3380CC4-5D6E-409C-BE32-E72D297353CC}">
              <c16:uniqueId val="{00000000-BD12-4F6B-A0F1-FDD98A547C66}"/>
            </c:ext>
          </c:extLst>
        </c:ser>
        <c:ser>
          <c:idx val="1"/>
          <c:order val="1"/>
          <c:tx>
            <c:strRef>
              <c:f>PV!$I$3</c:f>
              <c:strCache>
                <c:ptCount val="1"/>
                <c:pt idx="0">
                  <c:v>Tsiropoulos, 2018 (ProRES scenario)</c:v>
                </c:pt>
              </c:strCache>
            </c:strRef>
          </c:tx>
          <c:spPr>
            <a:solidFill>
              <a:srgbClr val="A5A5A5"/>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PV!$A$5</c:f>
              <c:numCache>
                <c:formatCode>General</c:formatCode>
                <c:ptCount val="1"/>
                <c:pt idx="0">
                  <c:v>2015</c:v>
                </c:pt>
              </c:numCache>
            </c:numRef>
          </c:cat>
          <c:val>
            <c:numRef>
              <c:f>PV!$I$5</c:f>
              <c:numCache>
                <c:formatCode>0</c:formatCode>
                <c:ptCount val="1"/>
                <c:pt idx="0">
                  <c:v>25</c:v>
                </c:pt>
              </c:numCache>
            </c:numRef>
          </c:val>
          <c:extLst>
            <c:ext xmlns:c16="http://schemas.microsoft.com/office/drawing/2014/chart" uri="{C3380CC4-5D6E-409C-BE32-E72D297353CC}">
              <c16:uniqueId val="{00000001-BD12-4F6B-A0F1-FDD98A547C66}"/>
            </c:ext>
          </c:extLst>
        </c:ser>
        <c:ser>
          <c:idx val="2"/>
          <c:order val="2"/>
          <c:tx>
            <c:strRef>
              <c:f>PV!$J$3</c:f>
              <c:strCache>
                <c:ptCount val="1"/>
                <c:pt idx="0">
                  <c:v>Agora, 2019 (reference scenario)</c:v>
                </c:pt>
              </c:strCache>
            </c:strRef>
          </c:tx>
          <c:spPr>
            <a:solidFill>
              <a:srgbClr val="FFC000"/>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PV!$A$5</c:f>
              <c:numCache>
                <c:formatCode>General</c:formatCode>
                <c:ptCount val="1"/>
                <c:pt idx="0">
                  <c:v>2015</c:v>
                </c:pt>
              </c:numCache>
            </c:numRef>
          </c:cat>
          <c:val>
            <c:numRef>
              <c:f>PV!$J$5</c:f>
              <c:numCache>
                <c:formatCode>0</c:formatCode>
                <c:ptCount val="1"/>
                <c:pt idx="0">
                  <c:v>25</c:v>
                </c:pt>
              </c:numCache>
            </c:numRef>
          </c:val>
          <c:extLst>
            <c:ext xmlns:c16="http://schemas.microsoft.com/office/drawing/2014/chart" uri="{C3380CC4-5D6E-409C-BE32-E72D297353CC}">
              <c16:uniqueId val="{00000002-BD12-4F6B-A0F1-FDD98A547C66}"/>
            </c:ext>
          </c:extLst>
        </c:ser>
        <c:dLbls>
          <c:showLegendKey val="0"/>
          <c:showVal val="0"/>
          <c:showCatName val="0"/>
          <c:showSerName val="0"/>
          <c:showPercent val="0"/>
          <c:showBubbleSize val="0"/>
        </c:dLbls>
        <c:gapWidth val="150"/>
        <c:overlap val="-54"/>
        <c:axId val="88455679"/>
        <c:axId val="97648993"/>
      </c:barChart>
      <c:catAx>
        <c:axId val="88455679"/>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sz="1400" b="0" strike="noStrike" spc="-1">
                <a:solidFill>
                  <a:srgbClr val="595959"/>
                </a:solidFill>
                <a:latin typeface="Calibri"/>
              </a:defRPr>
            </a:pPr>
            <a:endParaRPr lang="en-US"/>
          </a:p>
        </c:txPr>
        <c:crossAx val="97648993"/>
        <c:crosses val="autoZero"/>
        <c:auto val="1"/>
        <c:lblAlgn val="ctr"/>
        <c:lblOffset val="100"/>
        <c:noMultiLvlLbl val="1"/>
      </c:catAx>
      <c:valAx>
        <c:axId val="97648993"/>
        <c:scaling>
          <c:orientation val="minMax"/>
          <c:min val="0"/>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sz="1400" b="0" strike="noStrike" spc="-1">
                <a:solidFill>
                  <a:srgbClr val="595959"/>
                </a:solidFill>
                <a:latin typeface="Calibri"/>
              </a:defRPr>
            </a:pPr>
            <a:endParaRPr lang="en-US"/>
          </a:p>
        </c:txPr>
        <c:crossAx val="88455679"/>
        <c:crosses val="autoZero"/>
        <c:crossBetween val="between"/>
      </c:valAx>
      <c:spPr>
        <a:noFill/>
        <a:ln>
          <a:noFill/>
        </a:ln>
      </c:spPr>
    </c:plotArea>
    <c:legend>
      <c:legendPos val="b"/>
      <c:overlay val="0"/>
      <c:spPr>
        <a:noFill/>
        <a:ln>
          <a:noFill/>
        </a:ln>
      </c:spPr>
      <c:txPr>
        <a:bodyPr/>
        <a:lstStyle/>
        <a:p>
          <a:pPr>
            <a:defRPr sz="1400" b="0" strike="noStrike" spc="-1">
              <a:solidFill>
                <a:srgbClr val="595959"/>
              </a:solidFill>
              <a:latin typeface="Calibri"/>
            </a:defRPr>
          </a:pPr>
          <a:endParaRPr lang="en-US"/>
        </a:p>
      </c:txPr>
    </c:legend>
    <c:plotVisOnly val="1"/>
    <c:dispBlanksAs val="span"/>
    <c:showDLblsOverMax val="1"/>
  </c:chart>
  <c:spPr>
    <a:solidFill>
      <a:srgbClr val="FFFFFF"/>
    </a:solidFill>
    <a:ln w="9360">
      <a:solidFill>
        <a:srgbClr val="D9D9D9"/>
      </a:solidFill>
      <a:round/>
    </a:ln>
  </c:spPr>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679" b="0" strike="noStrike" spc="-1">
                <a:solidFill>
                  <a:srgbClr val="595959"/>
                </a:solidFill>
                <a:latin typeface="Calibri"/>
              </a:defRPr>
            </a:pPr>
            <a:r>
              <a:rPr lang="de-DE" sz="1679" b="0" strike="noStrike" spc="-1">
                <a:solidFill>
                  <a:srgbClr val="595959"/>
                </a:solidFill>
                <a:latin typeface="Calibri"/>
              </a:rPr>
              <a:t>off-shore wind CAPEX in EUR/kWp</a:t>
            </a:r>
          </a:p>
        </c:rich>
      </c:tx>
      <c:overlay val="0"/>
      <c:spPr>
        <a:noFill/>
        <a:ln>
          <a:noFill/>
        </a:ln>
      </c:spPr>
    </c:title>
    <c:autoTitleDeleted val="0"/>
    <c:plotArea>
      <c:layout/>
      <c:lineChart>
        <c:grouping val="standard"/>
        <c:varyColors val="0"/>
        <c:ser>
          <c:idx val="0"/>
          <c:order val="0"/>
          <c:tx>
            <c:strRef>
              <c:f>electrolyser!$B$3</c:f>
              <c:strCache>
                <c:ptCount val="1"/>
                <c:pt idx="0">
                  <c:v>Agora, 2019 (reference scenario)</c:v>
                </c:pt>
              </c:strCache>
            </c:strRef>
          </c:tx>
          <c:spPr>
            <a:ln w="28440">
              <a:solidFill>
                <a:srgbClr val="4472C4"/>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electrolyser!$B$5:$B$40</c:f>
              <c:numCache>
                <c:formatCode>General</c:formatCode>
                <c:ptCount val="36"/>
                <c:pt idx="5">
                  <c:v>737</c:v>
                </c:pt>
                <c:pt idx="15">
                  <c:v>625</c:v>
                </c:pt>
                <c:pt idx="35">
                  <c:v>500</c:v>
                </c:pt>
              </c:numCache>
            </c:numRef>
          </c:val>
          <c:smooth val="0"/>
          <c:extLst>
            <c:ext xmlns:c16="http://schemas.microsoft.com/office/drawing/2014/chart" uri="{C3380CC4-5D6E-409C-BE32-E72D297353CC}">
              <c16:uniqueId val="{00000000-DE65-4043-A6B3-B0B64CEC22CE}"/>
            </c:ext>
          </c:extLst>
        </c:ser>
        <c:dLbls>
          <c:showLegendKey val="0"/>
          <c:showVal val="0"/>
          <c:showCatName val="0"/>
          <c:showSerName val="0"/>
          <c:showPercent val="0"/>
          <c:showBubbleSize val="0"/>
        </c:dLbls>
        <c:hiLowLines>
          <c:spPr>
            <a:ln>
              <a:noFill/>
            </a:ln>
          </c:spPr>
        </c:hiLowLines>
        <c:smooth val="0"/>
        <c:axId val="30937260"/>
        <c:axId val="5267226"/>
      </c:lineChart>
      <c:catAx>
        <c:axId val="3093726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sz="1400" b="0" strike="noStrike" spc="-1">
                <a:solidFill>
                  <a:srgbClr val="595959"/>
                </a:solidFill>
                <a:latin typeface="Calibri"/>
              </a:defRPr>
            </a:pPr>
            <a:endParaRPr lang="en-US"/>
          </a:p>
        </c:txPr>
        <c:crossAx val="5267226"/>
        <c:crosses val="autoZero"/>
        <c:auto val="1"/>
        <c:lblAlgn val="ctr"/>
        <c:lblOffset val="100"/>
        <c:noMultiLvlLbl val="1"/>
      </c:catAx>
      <c:valAx>
        <c:axId val="5267226"/>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sz="1400" b="0" strike="noStrike" spc="-1">
                <a:solidFill>
                  <a:srgbClr val="595959"/>
                </a:solidFill>
                <a:latin typeface="Calibri"/>
              </a:defRPr>
            </a:pPr>
            <a:endParaRPr lang="en-US"/>
          </a:p>
        </c:txPr>
        <c:crossAx val="30937260"/>
        <c:crosses val="autoZero"/>
        <c:crossBetween val="midCat"/>
      </c:valAx>
      <c:spPr>
        <a:noFill/>
        <a:ln>
          <a:noFill/>
        </a:ln>
      </c:spPr>
    </c:plotArea>
    <c:legend>
      <c:legendPos val="b"/>
      <c:overlay val="0"/>
      <c:spPr>
        <a:noFill/>
        <a:ln>
          <a:noFill/>
        </a:ln>
      </c:spPr>
      <c:txPr>
        <a:bodyPr/>
        <a:lstStyle/>
        <a:p>
          <a:pPr>
            <a:defRPr sz="1400" b="0" strike="noStrike" spc="-1">
              <a:solidFill>
                <a:srgbClr val="595959"/>
              </a:solidFill>
              <a:latin typeface="Calibri"/>
            </a:defRPr>
          </a:pPr>
          <a:endParaRPr lang="en-US"/>
        </a:p>
      </c:txPr>
    </c:legend>
    <c:plotVisOnly val="1"/>
    <c:dispBlanksAs val="span"/>
    <c:showDLblsOverMax val="1"/>
  </c:chart>
  <c:spPr>
    <a:solidFill>
      <a:srgbClr val="FFFFFF"/>
    </a:solidFill>
    <a:ln w="9360">
      <a:solidFill>
        <a:srgbClr val="D9D9D9"/>
      </a:solidFill>
      <a:round/>
    </a:ln>
  </c:spPr>
  <c:printSettings>
    <c:headerFooter/>
    <c:pageMargins b="0.78740157499999996" l="0.7" r="0.7" t="0.78740157499999996"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679" b="0" strike="noStrike" spc="-1">
                <a:solidFill>
                  <a:srgbClr val="595959"/>
                </a:solidFill>
                <a:latin typeface="Calibri"/>
              </a:defRPr>
            </a:pPr>
            <a:r>
              <a:rPr lang="de-DE" sz="1679" b="0" strike="noStrike" spc="-1">
                <a:solidFill>
                  <a:srgbClr val="595959"/>
                </a:solidFill>
                <a:latin typeface="Calibri"/>
              </a:rPr>
              <a:t>Utility-Scale PV OPEX in % of CAPEX p.a.:
High / medium / low scenario </a:t>
            </a:r>
          </a:p>
        </c:rich>
      </c:tx>
      <c:overlay val="0"/>
      <c:spPr>
        <a:noFill/>
        <a:ln>
          <a:noFill/>
        </a:ln>
      </c:spPr>
    </c:title>
    <c:autoTitleDeleted val="0"/>
    <c:plotArea>
      <c:layout/>
      <c:lineChart>
        <c:grouping val="standard"/>
        <c:varyColors val="0"/>
        <c:ser>
          <c:idx val="0"/>
          <c:order val="0"/>
          <c:tx>
            <c:strRef>
              <c:f>PV!$E$3</c:f>
              <c:strCache>
                <c:ptCount val="1"/>
                <c:pt idx="0">
                  <c:v>Vartiainen, 2020</c:v>
                </c:pt>
              </c:strCache>
            </c:strRef>
          </c:tx>
          <c:spPr>
            <a:ln w="28440">
              <a:solidFill>
                <a:srgbClr val="4472C4"/>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PV!$E$5:$E$40</c:f>
              <c:numCache>
                <c:formatCode>0.0%</c:formatCode>
                <c:ptCount val="36"/>
                <c:pt idx="4">
                  <c:v>1.9913419913419911E-2</c:v>
                </c:pt>
                <c:pt idx="5">
                  <c:v>2.0417633410672854E-2</c:v>
                </c:pt>
                <c:pt idx="6">
                  <c:v>2.0689655172413793E-2</c:v>
                </c:pt>
                <c:pt idx="7">
                  <c:v>2.1093749999999998E-2</c:v>
                </c:pt>
                <c:pt idx="8">
                  <c:v>2.1369863013698628E-2</c:v>
                </c:pt>
                <c:pt idx="9">
                  <c:v>2.1839080459770115E-2</c:v>
                </c:pt>
                <c:pt idx="10">
                  <c:v>2.2222222222222223E-2</c:v>
                </c:pt>
                <c:pt idx="11">
                  <c:v>2.2257053291536048E-2</c:v>
                </c:pt>
                <c:pt idx="12">
                  <c:v>2.2475570032573292E-2</c:v>
                </c:pt>
                <c:pt idx="13">
                  <c:v>2.2635135135135136E-2</c:v>
                </c:pt>
                <c:pt idx="14">
                  <c:v>2.3157894736842103E-2</c:v>
                </c:pt>
                <c:pt idx="15">
                  <c:v>2.3272727272727275E-2</c:v>
                </c:pt>
                <c:pt idx="16">
                  <c:v>2.3308270676691729E-2</c:v>
                </c:pt>
                <c:pt idx="17">
                  <c:v>2.3735408560311283E-2</c:v>
                </c:pt>
                <c:pt idx="18">
                  <c:v>2.3694779116465864E-2</c:v>
                </c:pt>
                <c:pt idx="19">
                  <c:v>2.3966942148760328E-2</c:v>
                </c:pt>
                <c:pt idx="20">
                  <c:v>2.3829787234042551E-2</c:v>
                </c:pt>
                <c:pt idx="21">
                  <c:v>2.4122807017543858E-2</c:v>
                </c:pt>
                <c:pt idx="22">
                  <c:v>2.4434389140271493E-2</c:v>
                </c:pt>
                <c:pt idx="23">
                  <c:v>2.4651162790697675E-2</c:v>
                </c:pt>
                <c:pt idx="24">
                  <c:v>2.4401913875598084E-2</c:v>
                </c:pt>
                <c:pt idx="25">
                  <c:v>2.4509803921568627E-2</c:v>
                </c:pt>
                <c:pt idx="26">
                  <c:v>2.4623115577889449E-2</c:v>
                </c:pt>
                <c:pt idx="27">
                  <c:v>2.4742268041237112E-2</c:v>
                </c:pt>
                <c:pt idx="28">
                  <c:v>2.4867724867724868E-2</c:v>
                </c:pt>
                <c:pt idx="29">
                  <c:v>2.4864864864864864E-2</c:v>
                </c:pt>
                <c:pt idx="30">
                  <c:v>2.5414364640883976E-2</c:v>
                </c:pt>
                <c:pt idx="31">
                  <c:v>2.5423728813559324E-2</c:v>
                </c:pt>
                <c:pt idx="32">
                  <c:v>2.5287356321839084E-2</c:v>
                </c:pt>
                <c:pt idx="33">
                  <c:v>2.5294117647058821E-2</c:v>
                </c:pt>
                <c:pt idx="34">
                  <c:v>2.5149700598802397E-2</c:v>
                </c:pt>
                <c:pt idx="35">
                  <c:v>2.5609756097560978E-2</c:v>
                </c:pt>
              </c:numCache>
            </c:numRef>
          </c:val>
          <c:smooth val="0"/>
          <c:extLst>
            <c:ext xmlns:c16="http://schemas.microsoft.com/office/drawing/2014/chart" uri="{C3380CC4-5D6E-409C-BE32-E72D297353CC}">
              <c16:uniqueId val="{00000000-DF68-4972-BB1A-FCB58582C242}"/>
            </c:ext>
          </c:extLst>
        </c:ser>
        <c:ser>
          <c:idx val="1"/>
          <c:order val="1"/>
          <c:tx>
            <c:strRef>
              <c:f>PV!$F$3</c:f>
              <c:strCache>
                <c:ptCount val="1"/>
                <c:pt idx="0">
                  <c:v>Tsiropoulos, 2018 (ProRES scenario)</c:v>
                </c:pt>
              </c:strCache>
            </c:strRef>
          </c:tx>
          <c:spPr>
            <a:ln w="28440">
              <a:solidFill>
                <a:srgbClr val="A5A5A5"/>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PV!$F$5:$F$40</c:f>
              <c:numCache>
                <c:formatCode>0.0%</c:formatCode>
                <c:ptCount val="36"/>
                <c:pt idx="0">
                  <c:v>1.7000000000000001E-2</c:v>
                </c:pt>
                <c:pt idx="5">
                  <c:v>1.7000000000000001E-2</c:v>
                </c:pt>
                <c:pt idx="16">
                  <c:v>1.7000000000000001E-2</c:v>
                </c:pt>
                <c:pt idx="25">
                  <c:v>1.7000000000000001E-2</c:v>
                </c:pt>
                <c:pt idx="35">
                  <c:v>1.7000000000000001E-2</c:v>
                </c:pt>
              </c:numCache>
            </c:numRef>
          </c:val>
          <c:smooth val="0"/>
          <c:extLst>
            <c:ext xmlns:c16="http://schemas.microsoft.com/office/drawing/2014/chart" uri="{C3380CC4-5D6E-409C-BE32-E72D297353CC}">
              <c16:uniqueId val="{00000001-DF68-4972-BB1A-FCB58582C242}"/>
            </c:ext>
          </c:extLst>
        </c:ser>
        <c:ser>
          <c:idx val="2"/>
          <c:order val="2"/>
          <c:tx>
            <c:strRef>
              <c:f>PV!$G$3</c:f>
              <c:strCache>
                <c:ptCount val="1"/>
                <c:pt idx="0">
                  <c:v>Agora, 2019 (reference scenario)</c:v>
                </c:pt>
              </c:strCache>
            </c:strRef>
          </c:tx>
          <c:spPr>
            <a:ln w="28440">
              <a:solidFill>
                <a:srgbClr val="FFC000"/>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PV!$G$5:$G$40</c:f>
              <c:numCache>
                <c:formatCode>General</c:formatCode>
                <c:ptCount val="36"/>
                <c:pt idx="5" formatCode="0.0%">
                  <c:v>1.4999999999999999E-2</c:v>
                </c:pt>
                <c:pt idx="16" formatCode="0.0%">
                  <c:v>1.4999999999999999E-2</c:v>
                </c:pt>
                <c:pt idx="35" formatCode="0.0%">
                  <c:v>1.4999999999999999E-2</c:v>
                </c:pt>
              </c:numCache>
            </c:numRef>
          </c:val>
          <c:smooth val="0"/>
          <c:extLst>
            <c:ext xmlns:c16="http://schemas.microsoft.com/office/drawing/2014/chart" uri="{C3380CC4-5D6E-409C-BE32-E72D297353CC}">
              <c16:uniqueId val="{00000002-DF68-4972-BB1A-FCB58582C242}"/>
            </c:ext>
          </c:extLst>
        </c:ser>
        <c:dLbls>
          <c:showLegendKey val="0"/>
          <c:showVal val="0"/>
          <c:showCatName val="0"/>
          <c:showSerName val="0"/>
          <c:showPercent val="0"/>
          <c:showBubbleSize val="0"/>
        </c:dLbls>
        <c:hiLowLines>
          <c:spPr>
            <a:ln>
              <a:noFill/>
            </a:ln>
          </c:spPr>
        </c:hiLowLines>
        <c:smooth val="0"/>
        <c:axId val="20691216"/>
        <c:axId val="78269572"/>
      </c:lineChart>
      <c:catAx>
        <c:axId val="2069121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sz="1400" b="0" strike="noStrike" spc="-1">
                <a:solidFill>
                  <a:srgbClr val="595959"/>
                </a:solidFill>
                <a:latin typeface="Calibri"/>
              </a:defRPr>
            </a:pPr>
            <a:endParaRPr lang="en-US"/>
          </a:p>
        </c:txPr>
        <c:crossAx val="78269572"/>
        <c:crosses val="autoZero"/>
        <c:auto val="1"/>
        <c:lblAlgn val="ctr"/>
        <c:lblOffset val="100"/>
        <c:noMultiLvlLbl val="1"/>
      </c:catAx>
      <c:valAx>
        <c:axId val="78269572"/>
        <c:scaling>
          <c:orientation val="minMax"/>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sz="1400" b="0" strike="noStrike" spc="-1">
                <a:solidFill>
                  <a:srgbClr val="595959"/>
                </a:solidFill>
                <a:latin typeface="Calibri"/>
              </a:defRPr>
            </a:pPr>
            <a:endParaRPr lang="en-US"/>
          </a:p>
        </c:txPr>
        <c:crossAx val="20691216"/>
        <c:crosses val="autoZero"/>
        <c:crossBetween val="midCat"/>
      </c:valAx>
      <c:spPr>
        <a:noFill/>
        <a:ln>
          <a:noFill/>
        </a:ln>
      </c:spPr>
    </c:plotArea>
    <c:legend>
      <c:legendPos val="b"/>
      <c:overlay val="0"/>
      <c:spPr>
        <a:noFill/>
        <a:ln>
          <a:noFill/>
        </a:ln>
      </c:spPr>
      <c:txPr>
        <a:bodyPr/>
        <a:lstStyle/>
        <a:p>
          <a:pPr>
            <a:defRPr sz="1400" b="0" strike="noStrike" spc="-1">
              <a:solidFill>
                <a:srgbClr val="595959"/>
              </a:solidFill>
              <a:latin typeface="Calibri"/>
            </a:defRPr>
          </a:pPr>
          <a:endParaRPr lang="en-US"/>
        </a:p>
      </c:txPr>
    </c:legend>
    <c:plotVisOnly val="1"/>
    <c:dispBlanksAs val="span"/>
    <c:showDLblsOverMax val="1"/>
  </c:chart>
  <c:spPr>
    <a:solidFill>
      <a:srgbClr val="FFFFFF"/>
    </a:solidFill>
    <a:ln w="9360">
      <a:solidFill>
        <a:srgbClr val="D9D9D9"/>
      </a:solidFill>
      <a:round/>
    </a:ln>
  </c:spPr>
  <c:printSettings>
    <c:headerFooter/>
    <c:pageMargins b="0.78740157499999996" l="0.7" r="0.7" t="0.78740157499999996"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679" b="0" strike="noStrike" spc="-1">
                <a:solidFill>
                  <a:srgbClr val="595959"/>
                </a:solidFill>
                <a:latin typeface="Calibri"/>
              </a:defRPr>
            </a:pPr>
            <a:r>
              <a:rPr lang="de-DE" sz="1679" b="0" strike="noStrike" spc="-1">
                <a:solidFill>
                  <a:srgbClr val="595959"/>
                </a:solidFill>
                <a:latin typeface="Calibri"/>
              </a:rPr>
              <a:t>Utility-Scale PV lifetime in years:
High / low scenario </a:t>
            </a:r>
          </a:p>
        </c:rich>
      </c:tx>
      <c:overlay val="0"/>
      <c:spPr>
        <a:noFill/>
        <a:ln>
          <a:noFill/>
        </a:ln>
      </c:spPr>
    </c:title>
    <c:autoTitleDeleted val="0"/>
    <c:plotArea>
      <c:layout/>
      <c:barChart>
        <c:barDir val="col"/>
        <c:grouping val="clustered"/>
        <c:varyColors val="0"/>
        <c:ser>
          <c:idx val="0"/>
          <c:order val="0"/>
          <c:tx>
            <c:strRef>
              <c:f>PV!$H$3</c:f>
              <c:strCache>
                <c:ptCount val="1"/>
                <c:pt idx="0">
                  <c:v>Vartiainen, 2020</c:v>
                </c:pt>
              </c:strCache>
            </c:strRef>
          </c:tx>
          <c:spPr>
            <a:solidFill>
              <a:srgbClr val="4472C4"/>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PV!$A$5</c:f>
              <c:numCache>
                <c:formatCode>General</c:formatCode>
                <c:ptCount val="1"/>
                <c:pt idx="0">
                  <c:v>2015</c:v>
                </c:pt>
              </c:numCache>
            </c:numRef>
          </c:cat>
          <c:val>
            <c:numRef>
              <c:f>PV!$H$5</c:f>
              <c:numCache>
                <c:formatCode>0</c:formatCode>
                <c:ptCount val="1"/>
                <c:pt idx="0">
                  <c:v>30</c:v>
                </c:pt>
              </c:numCache>
            </c:numRef>
          </c:val>
          <c:extLst>
            <c:ext xmlns:c16="http://schemas.microsoft.com/office/drawing/2014/chart" uri="{C3380CC4-5D6E-409C-BE32-E72D297353CC}">
              <c16:uniqueId val="{00000000-3598-4B91-ACA9-36AD0E575467}"/>
            </c:ext>
          </c:extLst>
        </c:ser>
        <c:ser>
          <c:idx val="1"/>
          <c:order val="1"/>
          <c:tx>
            <c:strRef>
              <c:f>PV!$I$3</c:f>
              <c:strCache>
                <c:ptCount val="1"/>
                <c:pt idx="0">
                  <c:v>Tsiropoulos, 2018 (ProRES scenario)</c:v>
                </c:pt>
              </c:strCache>
            </c:strRef>
          </c:tx>
          <c:spPr>
            <a:solidFill>
              <a:srgbClr val="A5A5A5"/>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PV!$A$5</c:f>
              <c:numCache>
                <c:formatCode>General</c:formatCode>
                <c:ptCount val="1"/>
                <c:pt idx="0">
                  <c:v>2015</c:v>
                </c:pt>
              </c:numCache>
            </c:numRef>
          </c:cat>
          <c:val>
            <c:numRef>
              <c:f>PV!$I$5</c:f>
              <c:numCache>
                <c:formatCode>0</c:formatCode>
                <c:ptCount val="1"/>
                <c:pt idx="0">
                  <c:v>25</c:v>
                </c:pt>
              </c:numCache>
            </c:numRef>
          </c:val>
          <c:extLst>
            <c:ext xmlns:c16="http://schemas.microsoft.com/office/drawing/2014/chart" uri="{C3380CC4-5D6E-409C-BE32-E72D297353CC}">
              <c16:uniqueId val="{00000001-3598-4B91-ACA9-36AD0E575467}"/>
            </c:ext>
          </c:extLst>
        </c:ser>
        <c:ser>
          <c:idx val="2"/>
          <c:order val="2"/>
          <c:tx>
            <c:strRef>
              <c:f>PV!$J$3</c:f>
              <c:strCache>
                <c:ptCount val="1"/>
                <c:pt idx="0">
                  <c:v>Agora, 2019 (reference scenario)</c:v>
                </c:pt>
              </c:strCache>
            </c:strRef>
          </c:tx>
          <c:spPr>
            <a:solidFill>
              <a:srgbClr val="FFC000"/>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PV!$A$5</c:f>
              <c:numCache>
                <c:formatCode>General</c:formatCode>
                <c:ptCount val="1"/>
                <c:pt idx="0">
                  <c:v>2015</c:v>
                </c:pt>
              </c:numCache>
            </c:numRef>
          </c:cat>
          <c:val>
            <c:numRef>
              <c:f>PV!$J$5</c:f>
              <c:numCache>
                <c:formatCode>0</c:formatCode>
                <c:ptCount val="1"/>
                <c:pt idx="0">
                  <c:v>25</c:v>
                </c:pt>
              </c:numCache>
            </c:numRef>
          </c:val>
          <c:extLst>
            <c:ext xmlns:c16="http://schemas.microsoft.com/office/drawing/2014/chart" uri="{C3380CC4-5D6E-409C-BE32-E72D297353CC}">
              <c16:uniqueId val="{00000002-3598-4B91-ACA9-36AD0E575467}"/>
            </c:ext>
          </c:extLst>
        </c:ser>
        <c:dLbls>
          <c:showLegendKey val="0"/>
          <c:showVal val="0"/>
          <c:showCatName val="0"/>
          <c:showSerName val="0"/>
          <c:showPercent val="0"/>
          <c:showBubbleSize val="0"/>
        </c:dLbls>
        <c:gapWidth val="150"/>
        <c:overlap val="-54"/>
        <c:axId val="15589621"/>
        <c:axId val="74049720"/>
      </c:barChart>
      <c:catAx>
        <c:axId val="15589621"/>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sz="1400" b="0" strike="noStrike" spc="-1">
                <a:solidFill>
                  <a:srgbClr val="595959"/>
                </a:solidFill>
                <a:latin typeface="Calibri"/>
              </a:defRPr>
            </a:pPr>
            <a:endParaRPr lang="en-US"/>
          </a:p>
        </c:txPr>
        <c:crossAx val="74049720"/>
        <c:crosses val="autoZero"/>
        <c:auto val="1"/>
        <c:lblAlgn val="ctr"/>
        <c:lblOffset val="100"/>
        <c:noMultiLvlLbl val="1"/>
      </c:catAx>
      <c:valAx>
        <c:axId val="74049720"/>
        <c:scaling>
          <c:orientation val="minMax"/>
          <c:min val="0"/>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sz="1400" b="0" strike="noStrike" spc="-1">
                <a:solidFill>
                  <a:srgbClr val="595959"/>
                </a:solidFill>
                <a:latin typeface="Calibri"/>
              </a:defRPr>
            </a:pPr>
            <a:endParaRPr lang="en-US"/>
          </a:p>
        </c:txPr>
        <c:crossAx val="15589621"/>
        <c:crosses val="autoZero"/>
        <c:crossBetween val="between"/>
      </c:valAx>
      <c:spPr>
        <a:noFill/>
        <a:ln>
          <a:noFill/>
        </a:ln>
      </c:spPr>
    </c:plotArea>
    <c:legend>
      <c:legendPos val="b"/>
      <c:overlay val="0"/>
      <c:spPr>
        <a:noFill/>
        <a:ln>
          <a:noFill/>
        </a:ln>
      </c:spPr>
      <c:txPr>
        <a:bodyPr/>
        <a:lstStyle/>
        <a:p>
          <a:pPr>
            <a:defRPr sz="1400" b="0" strike="noStrike" spc="-1">
              <a:solidFill>
                <a:srgbClr val="595959"/>
              </a:solidFill>
              <a:latin typeface="Calibri"/>
            </a:defRPr>
          </a:pPr>
          <a:endParaRPr lang="en-US"/>
        </a:p>
      </c:txPr>
    </c:legend>
    <c:plotVisOnly val="1"/>
    <c:dispBlanksAs val="span"/>
    <c:showDLblsOverMax val="1"/>
  </c:chart>
  <c:spPr>
    <a:solidFill>
      <a:srgbClr val="FFFFFF"/>
    </a:solidFill>
    <a:ln w="9360">
      <a:solidFill>
        <a:srgbClr val="D9D9D9"/>
      </a:solidFill>
      <a:round/>
    </a:ln>
  </c:spPr>
  <c:printSettings>
    <c:headerFooter/>
    <c:pageMargins b="0.78740157499999996" l="0.7" r="0.7" t="0.78740157499999996"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679" b="0" strike="noStrike" spc="-1">
                <a:solidFill>
                  <a:srgbClr val="595959"/>
                </a:solidFill>
                <a:latin typeface="Calibri"/>
              </a:defRPr>
            </a:pPr>
            <a:r>
              <a:rPr lang="de-DE" sz="1679" b="0" strike="noStrike" spc="-1">
                <a:solidFill>
                  <a:srgbClr val="595959"/>
                </a:solidFill>
                <a:latin typeface="Calibri"/>
              </a:rPr>
              <a:t>off-shore wind OPEX in % of CAPEX p.a.</a:t>
            </a:r>
          </a:p>
        </c:rich>
      </c:tx>
      <c:overlay val="0"/>
      <c:spPr>
        <a:noFill/>
        <a:ln>
          <a:noFill/>
        </a:ln>
      </c:spPr>
    </c:title>
    <c:autoTitleDeleted val="0"/>
    <c:plotArea>
      <c:layout/>
      <c:lineChart>
        <c:grouping val="standard"/>
        <c:varyColors val="0"/>
        <c:ser>
          <c:idx val="0"/>
          <c:order val="0"/>
          <c:tx>
            <c:strRef>
              <c:f>electrolyser!$J$3</c:f>
              <c:strCache>
                <c:ptCount val="1"/>
                <c:pt idx="0">
                  <c:v>Agora, 2019 (reference scenario)</c:v>
                </c:pt>
              </c:strCache>
            </c:strRef>
          </c:tx>
          <c:spPr>
            <a:ln w="28440">
              <a:solidFill>
                <a:srgbClr val="4472C4"/>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electrolyser!$J$5:$J$40</c:f>
              <c:numCache>
                <c:formatCode>0.0%</c:formatCode>
                <c:ptCount val="36"/>
                <c:pt idx="5">
                  <c:v>0.03</c:v>
                </c:pt>
                <c:pt idx="15">
                  <c:v>0.03</c:v>
                </c:pt>
                <c:pt idx="35">
                  <c:v>0.03</c:v>
                </c:pt>
              </c:numCache>
            </c:numRef>
          </c:val>
          <c:smooth val="0"/>
          <c:extLst>
            <c:ext xmlns:c16="http://schemas.microsoft.com/office/drawing/2014/chart" uri="{C3380CC4-5D6E-409C-BE32-E72D297353CC}">
              <c16:uniqueId val="{00000000-025E-4AFE-86D3-C8380576E175}"/>
            </c:ext>
          </c:extLst>
        </c:ser>
        <c:dLbls>
          <c:showLegendKey val="0"/>
          <c:showVal val="0"/>
          <c:showCatName val="0"/>
          <c:showSerName val="0"/>
          <c:showPercent val="0"/>
          <c:showBubbleSize val="0"/>
        </c:dLbls>
        <c:hiLowLines>
          <c:spPr>
            <a:ln>
              <a:noFill/>
            </a:ln>
          </c:spPr>
        </c:hiLowLines>
        <c:smooth val="0"/>
        <c:axId val="89993980"/>
        <c:axId val="79120041"/>
      </c:lineChart>
      <c:catAx>
        <c:axId val="8999398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sz="1400" b="0" strike="noStrike" spc="-1">
                <a:solidFill>
                  <a:srgbClr val="595959"/>
                </a:solidFill>
                <a:latin typeface="Calibri"/>
              </a:defRPr>
            </a:pPr>
            <a:endParaRPr lang="en-US"/>
          </a:p>
        </c:txPr>
        <c:crossAx val="79120041"/>
        <c:crosses val="autoZero"/>
        <c:auto val="1"/>
        <c:lblAlgn val="ctr"/>
        <c:lblOffset val="100"/>
        <c:noMultiLvlLbl val="1"/>
      </c:catAx>
      <c:valAx>
        <c:axId val="79120041"/>
        <c:scaling>
          <c:orientation val="minMax"/>
          <c:min val="0"/>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sz="1400" b="0" strike="noStrike" spc="-1">
                <a:solidFill>
                  <a:srgbClr val="595959"/>
                </a:solidFill>
                <a:latin typeface="Calibri"/>
              </a:defRPr>
            </a:pPr>
            <a:endParaRPr lang="en-US"/>
          </a:p>
        </c:txPr>
        <c:crossAx val="89993980"/>
        <c:crosses val="autoZero"/>
        <c:crossBetween val="midCat"/>
      </c:valAx>
      <c:spPr>
        <a:noFill/>
        <a:ln>
          <a:noFill/>
        </a:ln>
      </c:spPr>
    </c:plotArea>
    <c:legend>
      <c:legendPos val="b"/>
      <c:overlay val="0"/>
      <c:spPr>
        <a:noFill/>
        <a:ln>
          <a:noFill/>
        </a:ln>
      </c:spPr>
      <c:txPr>
        <a:bodyPr/>
        <a:lstStyle/>
        <a:p>
          <a:pPr>
            <a:defRPr sz="1400" b="0" strike="noStrike" spc="-1">
              <a:solidFill>
                <a:srgbClr val="595959"/>
              </a:solidFill>
              <a:latin typeface="Calibri"/>
            </a:defRPr>
          </a:pPr>
          <a:endParaRPr lang="en-US"/>
        </a:p>
      </c:txPr>
    </c:legend>
    <c:plotVisOnly val="1"/>
    <c:dispBlanksAs val="span"/>
    <c:showDLblsOverMax val="1"/>
  </c:chart>
  <c:spPr>
    <a:solidFill>
      <a:srgbClr val="FFFFFF"/>
    </a:solidFill>
    <a:ln w="9360">
      <a:solidFill>
        <a:srgbClr val="D9D9D9"/>
      </a:solidFill>
      <a:round/>
    </a:ln>
  </c:spPr>
  <c:printSettings>
    <c:headerFooter/>
    <c:pageMargins b="0.78740157499999996" l="0.7" r="0.7" t="0.78740157499999996"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679" b="0" strike="noStrike" spc="-1">
                <a:solidFill>
                  <a:srgbClr val="595959"/>
                </a:solidFill>
                <a:latin typeface="Calibri"/>
              </a:defRPr>
            </a:pPr>
            <a:r>
              <a:rPr lang="de-DE" sz="1679" b="0" strike="noStrike" spc="-1">
                <a:solidFill>
                  <a:srgbClr val="595959"/>
                </a:solidFill>
                <a:latin typeface="Calibri"/>
              </a:rPr>
              <a:t>off-shore wind lifetime in years</a:t>
            </a:r>
          </a:p>
        </c:rich>
      </c:tx>
      <c:overlay val="0"/>
      <c:spPr>
        <a:noFill/>
        <a:ln>
          <a:noFill/>
        </a:ln>
      </c:spPr>
    </c:title>
    <c:autoTitleDeleted val="0"/>
    <c:plotArea>
      <c:layout/>
      <c:barChart>
        <c:barDir val="col"/>
        <c:grouping val="clustered"/>
        <c:varyColors val="0"/>
        <c:ser>
          <c:idx val="0"/>
          <c:order val="0"/>
          <c:tx>
            <c:strRef>
              <c:f>electrolyser!$R$3</c:f>
              <c:strCache>
                <c:ptCount val="1"/>
                <c:pt idx="0">
                  <c:v>Agora, 2019 (reference scenario)</c:v>
                </c:pt>
              </c:strCache>
            </c:strRef>
          </c:tx>
          <c:spPr>
            <a:solidFill>
              <a:srgbClr val="4472C4"/>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electrolyser!$R$5</c:f>
              <c:numCache>
                <c:formatCode>0</c:formatCode>
                <c:ptCount val="1"/>
              </c:numCache>
            </c:numRef>
          </c:val>
          <c:extLst>
            <c:ext xmlns:c16="http://schemas.microsoft.com/office/drawing/2014/chart" uri="{C3380CC4-5D6E-409C-BE32-E72D297353CC}">
              <c16:uniqueId val="{00000000-435F-4997-803A-6BB0AFE65FC1}"/>
            </c:ext>
          </c:extLst>
        </c:ser>
        <c:dLbls>
          <c:showLegendKey val="0"/>
          <c:showVal val="0"/>
          <c:showCatName val="0"/>
          <c:showSerName val="0"/>
          <c:showPercent val="0"/>
          <c:showBubbleSize val="0"/>
        </c:dLbls>
        <c:gapWidth val="150"/>
        <c:overlap val="-54"/>
        <c:axId val="23617699"/>
        <c:axId val="99843721"/>
      </c:barChart>
      <c:catAx>
        <c:axId val="23617699"/>
        <c:scaling>
          <c:orientation val="minMax"/>
        </c:scaling>
        <c:delete val="1"/>
        <c:axPos val="b"/>
        <c:numFmt formatCode="General" sourceLinked="1"/>
        <c:majorTickMark val="none"/>
        <c:minorTickMark val="none"/>
        <c:tickLblPos val="nextTo"/>
        <c:crossAx val="99843721"/>
        <c:crosses val="autoZero"/>
        <c:auto val="1"/>
        <c:lblAlgn val="ctr"/>
        <c:lblOffset val="100"/>
        <c:noMultiLvlLbl val="1"/>
      </c:catAx>
      <c:valAx>
        <c:axId val="99843721"/>
        <c:scaling>
          <c:orientation val="minMax"/>
          <c:min val="0"/>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sz="1400" b="0" strike="noStrike" spc="-1">
                <a:solidFill>
                  <a:srgbClr val="595959"/>
                </a:solidFill>
                <a:latin typeface="Calibri"/>
              </a:defRPr>
            </a:pPr>
            <a:endParaRPr lang="en-US"/>
          </a:p>
        </c:txPr>
        <c:crossAx val="23617699"/>
        <c:crosses val="autoZero"/>
        <c:crossBetween val="between"/>
      </c:valAx>
      <c:spPr>
        <a:noFill/>
        <a:ln>
          <a:noFill/>
        </a:ln>
      </c:spPr>
    </c:plotArea>
    <c:legend>
      <c:legendPos val="b"/>
      <c:overlay val="0"/>
      <c:spPr>
        <a:noFill/>
        <a:ln>
          <a:noFill/>
        </a:ln>
      </c:spPr>
      <c:txPr>
        <a:bodyPr/>
        <a:lstStyle/>
        <a:p>
          <a:pPr>
            <a:defRPr sz="1400" b="0" strike="noStrike" spc="-1">
              <a:solidFill>
                <a:srgbClr val="595959"/>
              </a:solidFill>
              <a:latin typeface="Calibri"/>
            </a:defRPr>
          </a:pPr>
          <a:endParaRPr lang="en-US"/>
        </a:p>
      </c:txPr>
    </c:legend>
    <c:plotVisOnly val="1"/>
    <c:dispBlanksAs val="span"/>
    <c:showDLblsOverMax val="1"/>
  </c:chart>
  <c:spPr>
    <a:solidFill>
      <a:srgbClr val="FFFFFF"/>
    </a:solidFill>
    <a:ln w="9360">
      <a:solidFill>
        <a:srgbClr val="D9D9D9"/>
      </a:solidFill>
      <a:round/>
    </a:ln>
  </c:spPr>
  <c:printSettings>
    <c:headerFooter/>
    <c:pageMargins b="0.78740157499999996" l="0.7" r="0.7" t="0.78740157499999996"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679" b="0" strike="noStrike" spc="-1">
                <a:solidFill>
                  <a:srgbClr val="595959"/>
                </a:solidFill>
                <a:latin typeface="Calibri"/>
              </a:defRPr>
            </a:pPr>
            <a:r>
              <a:rPr lang="de-DE" sz="1679" b="0" strike="noStrike" spc="-1">
                <a:solidFill>
                  <a:srgbClr val="595959"/>
                </a:solidFill>
                <a:latin typeface="Calibri"/>
              </a:rPr>
              <a:t>Fischer-Tropsch CAPEX in EUR/kW_liquid_HC</a:t>
            </a:r>
          </a:p>
        </c:rich>
      </c:tx>
      <c:overlay val="0"/>
      <c:spPr>
        <a:noFill/>
        <a:ln>
          <a:noFill/>
        </a:ln>
      </c:spPr>
    </c:title>
    <c:autoTitleDeleted val="0"/>
    <c:plotArea>
      <c:layout/>
      <c:lineChart>
        <c:grouping val="standard"/>
        <c:varyColors val="0"/>
        <c:ser>
          <c:idx val="0"/>
          <c:order val="0"/>
          <c:tx>
            <c:strRef>
              <c:f>FT!$B$3</c:f>
              <c:strCache>
                <c:ptCount val="1"/>
                <c:pt idx="0">
                  <c:v>Agora, 2019 (reference scenario)</c:v>
                </c:pt>
              </c:strCache>
            </c:strRef>
          </c:tx>
          <c:spPr>
            <a:ln w="28440">
              <a:solidFill>
                <a:srgbClr val="ED7D31"/>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FT!$A$5:$A$40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FT!$B$5:$B$40</c:f>
              <c:numCache>
                <c:formatCode>General</c:formatCode>
                <c:ptCount val="36"/>
                <c:pt idx="5">
                  <c:v>788</c:v>
                </c:pt>
                <c:pt idx="15">
                  <c:v>677</c:v>
                </c:pt>
                <c:pt idx="35">
                  <c:v>500</c:v>
                </c:pt>
              </c:numCache>
            </c:numRef>
          </c:val>
          <c:smooth val="0"/>
          <c:extLst>
            <c:ext xmlns:c16="http://schemas.microsoft.com/office/drawing/2014/chart" uri="{C3380CC4-5D6E-409C-BE32-E72D297353CC}">
              <c16:uniqueId val="{00000000-67FB-410E-A18F-4DA722E651C2}"/>
            </c:ext>
          </c:extLst>
        </c:ser>
        <c:ser>
          <c:idx val="1"/>
          <c:order val="1"/>
          <c:tx>
            <c:strRef>
              <c:f>FT!$C$3</c:f>
              <c:strCache>
                <c:ptCount val="1"/>
                <c:pt idx="0">
                  <c:v>IEA, 2019</c:v>
                </c:pt>
              </c:strCache>
            </c:strRef>
          </c:tx>
          <c:spPr>
            <a:ln w="28440">
              <a:solidFill>
                <a:srgbClr val="4472C4"/>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FT!$A$5:$A$40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FT!$C$5:$C$40</c:f>
              <c:numCache>
                <c:formatCode>General</c:formatCode>
                <c:ptCount val="36"/>
                <c:pt idx="5">
                  <c:v>810</c:v>
                </c:pt>
                <c:pt idx="15">
                  <c:v>630</c:v>
                </c:pt>
                <c:pt idx="35">
                  <c:v>405</c:v>
                </c:pt>
              </c:numCache>
            </c:numRef>
          </c:val>
          <c:smooth val="0"/>
          <c:extLst>
            <c:ext xmlns:c16="http://schemas.microsoft.com/office/drawing/2014/chart" uri="{C3380CC4-5D6E-409C-BE32-E72D297353CC}">
              <c16:uniqueId val="{00000001-67FB-410E-A18F-4DA722E651C2}"/>
            </c:ext>
          </c:extLst>
        </c:ser>
        <c:ser>
          <c:idx val="2"/>
          <c:order val="2"/>
          <c:tx>
            <c:strRef>
              <c:f>FT!$D$3</c:f>
              <c:strCache>
                <c:ptCount val="1"/>
                <c:pt idx="0">
                  <c:v>Runge, 2020</c:v>
                </c:pt>
              </c:strCache>
            </c:strRef>
          </c:tx>
          <c:spPr>
            <a:ln w="38160">
              <a:solidFill>
                <a:srgbClr val="A5A5A5"/>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FT!$A$5:$A$40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FT!$D$5:$D$40</c:f>
              <c:numCache>
                <c:formatCode>General</c:formatCode>
                <c:ptCount val="36"/>
                <c:pt idx="19">
                  <c:v>183</c:v>
                </c:pt>
                <c:pt idx="20">
                  <c:v>183</c:v>
                </c:pt>
              </c:numCache>
            </c:numRef>
          </c:val>
          <c:smooth val="0"/>
          <c:extLst>
            <c:ext xmlns:c16="http://schemas.microsoft.com/office/drawing/2014/chart" uri="{C3380CC4-5D6E-409C-BE32-E72D297353CC}">
              <c16:uniqueId val="{00000002-67FB-410E-A18F-4DA722E651C2}"/>
            </c:ext>
          </c:extLst>
        </c:ser>
        <c:dLbls>
          <c:showLegendKey val="0"/>
          <c:showVal val="0"/>
          <c:showCatName val="0"/>
          <c:showSerName val="0"/>
          <c:showPercent val="0"/>
          <c:showBubbleSize val="0"/>
        </c:dLbls>
        <c:hiLowLines>
          <c:spPr>
            <a:ln>
              <a:noFill/>
            </a:ln>
          </c:spPr>
        </c:hiLowLines>
        <c:smooth val="0"/>
        <c:axId val="9783821"/>
        <c:axId val="19772173"/>
      </c:lineChart>
      <c:catAx>
        <c:axId val="9783821"/>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sz="1400" b="0" strike="noStrike" spc="-1">
                <a:solidFill>
                  <a:srgbClr val="595959"/>
                </a:solidFill>
                <a:latin typeface="Calibri"/>
              </a:defRPr>
            </a:pPr>
            <a:endParaRPr lang="en-US"/>
          </a:p>
        </c:txPr>
        <c:crossAx val="19772173"/>
        <c:crosses val="autoZero"/>
        <c:auto val="1"/>
        <c:lblAlgn val="ctr"/>
        <c:lblOffset val="100"/>
        <c:noMultiLvlLbl val="1"/>
      </c:catAx>
      <c:valAx>
        <c:axId val="19772173"/>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sz="1400" b="0" strike="noStrike" spc="-1">
                <a:solidFill>
                  <a:srgbClr val="595959"/>
                </a:solidFill>
                <a:latin typeface="Calibri"/>
              </a:defRPr>
            </a:pPr>
            <a:endParaRPr lang="en-US"/>
          </a:p>
        </c:txPr>
        <c:crossAx val="9783821"/>
        <c:crosses val="autoZero"/>
        <c:crossBetween val="midCat"/>
      </c:valAx>
      <c:spPr>
        <a:noFill/>
        <a:ln>
          <a:noFill/>
        </a:ln>
      </c:spPr>
    </c:plotArea>
    <c:legend>
      <c:legendPos val="b"/>
      <c:overlay val="0"/>
      <c:spPr>
        <a:noFill/>
        <a:ln>
          <a:noFill/>
        </a:ln>
      </c:spPr>
      <c:txPr>
        <a:bodyPr/>
        <a:lstStyle/>
        <a:p>
          <a:pPr>
            <a:defRPr sz="1400" b="0" strike="noStrike" spc="-1">
              <a:solidFill>
                <a:srgbClr val="595959"/>
              </a:solidFill>
              <a:latin typeface="Calibri"/>
            </a:defRPr>
          </a:pPr>
          <a:endParaRPr lang="en-US"/>
        </a:p>
      </c:txPr>
    </c:legend>
    <c:plotVisOnly val="1"/>
    <c:dispBlanksAs val="span"/>
    <c:showDLblsOverMax val="1"/>
  </c:chart>
  <c:spPr>
    <a:solidFill>
      <a:srgbClr val="FFFFFF"/>
    </a:solidFill>
    <a:ln w="9360">
      <a:solidFill>
        <a:srgbClr val="D9D9D9"/>
      </a:solidFill>
      <a:round/>
    </a:ln>
  </c:spPr>
  <c:printSettings>
    <c:headerFooter/>
    <c:pageMargins b="0.78740157499999996" l="0.7" r="0.7" t="0.78740157499999996"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679" b="0" strike="noStrike" spc="-1">
                <a:solidFill>
                  <a:srgbClr val="595959"/>
                </a:solidFill>
                <a:latin typeface="Calibri"/>
              </a:defRPr>
            </a:pPr>
            <a:r>
              <a:rPr lang="de-DE" sz="1679" b="0" strike="noStrike" spc="-1">
                <a:solidFill>
                  <a:srgbClr val="595959"/>
                </a:solidFill>
                <a:latin typeface="Calibri"/>
              </a:rPr>
              <a:t>Utility-Scale PV OPEX in % of CAPEX p.a.:
High / medium / low scenario </a:t>
            </a:r>
          </a:p>
        </c:rich>
      </c:tx>
      <c:overlay val="0"/>
      <c:spPr>
        <a:noFill/>
        <a:ln>
          <a:noFill/>
        </a:ln>
      </c:spPr>
    </c:title>
    <c:autoTitleDeleted val="0"/>
    <c:plotArea>
      <c:layout/>
      <c:lineChart>
        <c:grouping val="standard"/>
        <c:varyColors val="0"/>
        <c:ser>
          <c:idx val="0"/>
          <c:order val="0"/>
          <c:tx>
            <c:strRef>
              <c:f>PV!$E$3</c:f>
              <c:strCache>
                <c:ptCount val="1"/>
                <c:pt idx="0">
                  <c:v>Vartiainen, 2020</c:v>
                </c:pt>
              </c:strCache>
            </c:strRef>
          </c:tx>
          <c:spPr>
            <a:ln w="28440">
              <a:solidFill>
                <a:srgbClr val="4472C4"/>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PV!$E$5:$E$40</c:f>
              <c:numCache>
                <c:formatCode>0.0%</c:formatCode>
                <c:ptCount val="36"/>
                <c:pt idx="4">
                  <c:v>1.9913419913419911E-2</c:v>
                </c:pt>
                <c:pt idx="5">
                  <c:v>2.0417633410672854E-2</c:v>
                </c:pt>
                <c:pt idx="6">
                  <c:v>2.0689655172413793E-2</c:v>
                </c:pt>
                <c:pt idx="7">
                  <c:v>2.1093749999999998E-2</c:v>
                </c:pt>
                <c:pt idx="8">
                  <c:v>2.1369863013698628E-2</c:v>
                </c:pt>
                <c:pt idx="9">
                  <c:v>2.1839080459770115E-2</c:v>
                </c:pt>
                <c:pt idx="10">
                  <c:v>2.2222222222222223E-2</c:v>
                </c:pt>
                <c:pt idx="11">
                  <c:v>2.2257053291536048E-2</c:v>
                </c:pt>
                <c:pt idx="12">
                  <c:v>2.2475570032573292E-2</c:v>
                </c:pt>
                <c:pt idx="13">
                  <c:v>2.2635135135135136E-2</c:v>
                </c:pt>
                <c:pt idx="14">
                  <c:v>2.3157894736842103E-2</c:v>
                </c:pt>
                <c:pt idx="15">
                  <c:v>2.3272727272727275E-2</c:v>
                </c:pt>
                <c:pt idx="16">
                  <c:v>2.3308270676691729E-2</c:v>
                </c:pt>
                <c:pt idx="17">
                  <c:v>2.3735408560311283E-2</c:v>
                </c:pt>
                <c:pt idx="18">
                  <c:v>2.3694779116465864E-2</c:v>
                </c:pt>
                <c:pt idx="19">
                  <c:v>2.3966942148760328E-2</c:v>
                </c:pt>
                <c:pt idx="20">
                  <c:v>2.3829787234042551E-2</c:v>
                </c:pt>
                <c:pt idx="21">
                  <c:v>2.4122807017543858E-2</c:v>
                </c:pt>
                <c:pt idx="22">
                  <c:v>2.4434389140271493E-2</c:v>
                </c:pt>
                <c:pt idx="23">
                  <c:v>2.4651162790697675E-2</c:v>
                </c:pt>
                <c:pt idx="24">
                  <c:v>2.4401913875598084E-2</c:v>
                </c:pt>
                <c:pt idx="25">
                  <c:v>2.4509803921568627E-2</c:v>
                </c:pt>
                <c:pt idx="26">
                  <c:v>2.4623115577889449E-2</c:v>
                </c:pt>
                <c:pt idx="27">
                  <c:v>2.4742268041237112E-2</c:v>
                </c:pt>
                <c:pt idx="28">
                  <c:v>2.4867724867724868E-2</c:v>
                </c:pt>
                <c:pt idx="29">
                  <c:v>2.4864864864864864E-2</c:v>
                </c:pt>
                <c:pt idx="30">
                  <c:v>2.5414364640883976E-2</c:v>
                </c:pt>
                <c:pt idx="31">
                  <c:v>2.5423728813559324E-2</c:v>
                </c:pt>
                <c:pt idx="32">
                  <c:v>2.5287356321839084E-2</c:v>
                </c:pt>
                <c:pt idx="33">
                  <c:v>2.5294117647058821E-2</c:v>
                </c:pt>
                <c:pt idx="34">
                  <c:v>2.5149700598802397E-2</c:v>
                </c:pt>
                <c:pt idx="35">
                  <c:v>2.5609756097560978E-2</c:v>
                </c:pt>
              </c:numCache>
            </c:numRef>
          </c:val>
          <c:smooth val="0"/>
          <c:extLst>
            <c:ext xmlns:c16="http://schemas.microsoft.com/office/drawing/2014/chart" uri="{C3380CC4-5D6E-409C-BE32-E72D297353CC}">
              <c16:uniqueId val="{00000000-BC66-4566-8BA6-255F9079652E}"/>
            </c:ext>
          </c:extLst>
        </c:ser>
        <c:ser>
          <c:idx val="1"/>
          <c:order val="1"/>
          <c:tx>
            <c:strRef>
              <c:f>PV!$F$3</c:f>
              <c:strCache>
                <c:ptCount val="1"/>
                <c:pt idx="0">
                  <c:v>Tsiropoulos, 2018 (ProRES scenario)</c:v>
                </c:pt>
              </c:strCache>
            </c:strRef>
          </c:tx>
          <c:spPr>
            <a:ln w="28440">
              <a:solidFill>
                <a:srgbClr val="A5A5A5"/>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PV!$F$5:$F$40</c:f>
              <c:numCache>
                <c:formatCode>0.0%</c:formatCode>
                <c:ptCount val="36"/>
                <c:pt idx="0">
                  <c:v>1.7000000000000001E-2</c:v>
                </c:pt>
                <c:pt idx="5">
                  <c:v>1.7000000000000001E-2</c:v>
                </c:pt>
                <c:pt idx="16">
                  <c:v>1.7000000000000001E-2</c:v>
                </c:pt>
                <c:pt idx="25">
                  <c:v>1.7000000000000001E-2</c:v>
                </c:pt>
                <c:pt idx="35">
                  <c:v>1.7000000000000001E-2</c:v>
                </c:pt>
              </c:numCache>
            </c:numRef>
          </c:val>
          <c:smooth val="0"/>
          <c:extLst>
            <c:ext xmlns:c16="http://schemas.microsoft.com/office/drawing/2014/chart" uri="{C3380CC4-5D6E-409C-BE32-E72D297353CC}">
              <c16:uniqueId val="{00000001-BC66-4566-8BA6-255F9079652E}"/>
            </c:ext>
          </c:extLst>
        </c:ser>
        <c:ser>
          <c:idx val="2"/>
          <c:order val="2"/>
          <c:tx>
            <c:strRef>
              <c:f>PV!$G$3</c:f>
              <c:strCache>
                <c:ptCount val="1"/>
                <c:pt idx="0">
                  <c:v>Agora, 2019 (reference scenario)</c:v>
                </c:pt>
              </c:strCache>
            </c:strRef>
          </c:tx>
          <c:spPr>
            <a:ln w="28440">
              <a:solidFill>
                <a:srgbClr val="FFC000"/>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PV!$G$5:$G$40</c:f>
              <c:numCache>
                <c:formatCode>General</c:formatCode>
                <c:ptCount val="36"/>
                <c:pt idx="5" formatCode="0.0%">
                  <c:v>1.4999999999999999E-2</c:v>
                </c:pt>
                <c:pt idx="16" formatCode="0.0%">
                  <c:v>1.4999999999999999E-2</c:v>
                </c:pt>
                <c:pt idx="35" formatCode="0.0%">
                  <c:v>1.4999999999999999E-2</c:v>
                </c:pt>
              </c:numCache>
            </c:numRef>
          </c:val>
          <c:smooth val="0"/>
          <c:extLst>
            <c:ext xmlns:c16="http://schemas.microsoft.com/office/drawing/2014/chart" uri="{C3380CC4-5D6E-409C-BE32-E72D297353CC}">
              <c16:uniqueId val="{00000002-BC66-4566-8BA6-255F9079652E}"/>
            </c:ext>
          </c:extLst>
        </c:ser>
        <c:dLbls>
          <c:showLegendKey val="0"/>
          <c:showVal val="0"/>
          <c:showCatName val="0"/>
          <c:showSerName val="0"/>
          <c:showPercent val="0"/>
          <c:showBubbleSize val="0"/>
        </c:dLbls>
        <c:hiLowLines>
          <c:spPr>
            <a:ln>
              <a:noFill/>
            </a:ln>
          </c:spPr>
        </c:hiLowLines>
        <c:smooth val="0"/>
        <c:axId val="49998807"/>
        <c:axId val="12114509"/>
      </c:lineChart>
      <c:catAx>
        <c:axId val="49998807"/>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sz="1400" b="0" strike="noStrike" spc="-1">
                <a:solidFill>
                  <a:srgbClr val="595959"/>
                </a:solidFill>
                <a:latin typeface="Calibri"/>
              </a:defRPr>
            </a:pPr>
            <a:endParaRPr lang="en-US"/>
          </a:p>
        </c:txPr>
        <c:crossAx val="12114509"/>
        <c:crosses val="autoZero"/>
        <c:auto val="1"/>
        <c:lblAlgn val="ctr"/>
        <c:lblOffset val="100"/>
        <c:noMultiLvlLbl val="1"/>
      </c:catAx>
      <c:valAx>
        <c:axId val="12114509"/>
        <c:scaling>
          <c:orientation val="minMax"/>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sz="1400" b="0" strike="noStrike" spc="-1">
                <a:solidFill>
                  <a:srgbClr val="595959"/>
                </a:solidFill>
                <a:latin typeface="Calibri"/>
              </a:defRPr>
            </a:pPr>
            <a:endParaRPr lang="en-US"/>
          </a:p>
        </c:txPr>
        <c:crossAx val="49998807"/>
        <c:crosses val="autoZero"/>
        <c:crossBetween val="midCat"/>
      </c:valAx>
      <c:spPr>
        <a:noFill/>
        <a:ln>
          <a:noFill/>
        </a:ln>
      </c:spPr>
    </c:plotArea>
    <c:legend>
      <c:legendPos val="b"/>
      <c:overlay val="0"/>
      <c:spPr>
        <a:noFill/>
        <a:ln>
          <a:noFill/>
        </a:ln>
      </c:spPr>
      <c:txPr>
        <a:bodyPr/>
        <a:lstStyle/>
        <a:p>
          <a:pPr>
            <a:defRPr sz="1400" b="0" strike="noStrike" spc="-1">
              <a:solidFill>
                <a:srgbClr val="595959"/>
              </a:solidFill>
              <a:latin typeface="Calibri"/>
            </a:defRPr>
          </a:pPr>
          <a:endParaRPr lang="en-US"/>
        </a:p>
      </c:txPr>
    </c:legend>
    <c:plotVisOnly val="1"/>
    <c:dispBlanksAs val="span"/>
    <c:showDLblsOverMax val="1"/>
  </c:chart>
  <c:spPr>
    <a:solidFill>
      <a:srgbClr val="FFFFFF"/>
    </a:solidFill>
    <a:ln w="9360">
      <a:solidFill>
        <a:srgbClr val="D9D9D9"/>
      </a:solidFill>
      <a:round/>
    </a:ln>
  </c:spPr>
  <c:printSettings>
    <c:headerFooter/>
    <c:pageMargins b="0.78740157499999996" l="0.7" r="0.7" t="0.78740157499999996"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679" b="0" strike="noStrike" spc="-1">
                <a:solidFill>
                  <a:srgbClr val="595959"/>
                </a:solidFill>
                <a:latin typeface="Calibri"/>
              </a:defRPr>
            </a:pPr>
            <a:r>
              <a:rPr lang="de-DE" sz="1679" b="0" strike="noStrike" spc="-1">
                <a:solidFill>
                  <a:srgbClr val="595959"/>
                </a:solidFill>
                <a:latin typeface="Calibri"/>
              </a:rPr>
              <a:t>Utility-Scale PV lifetime in years:
High / low scenario </a:t>
            </a:r>
          </a:p>
        </c:rich>
      </c:tx>
      <c:overlay val="0"/>
      <c:spPr>
        <a:noFill/>
        <a:ln>
          <a:noFill/>
        </a:ln>
      </c:spPr>
    </c:title>
    <c:autoTitleDeleted val="0"/>
    <c:plotArea>
      <c:layout/>
      <c:barChart>
        <c:barDir val="col"/>
        <c:grouping val="clustered"/>
        <c:varyColors val="0"/>
        <c:ser>
          <c:idx val="0"/>
          <c:order val="0"/>
          <c:tx>
            <c:strRef>
              <c:f>PV!$H$3</c:f>
              <c:strCache>
                <c:ptCount val="1"/>
                <c:pt idx="0">
                  <c:v>Vartiainen, 2020</c:v>
                </c:pt>
              </c:strCache>
            </c:strRef>
          </c:tx>
          <c:spPr>
            <a:solidFill>
              <a:srgbClr val="4472C4"/>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PV!$A$5</c:f>
              <c:numCache>
                <c:formatCode>General</c:formatCode>
                <c:ptCount val="1"/>
                <c:pt idx="0">
                  <c:v>2015</c:v>
                </c:pt>
              </c:numCache>
            </c:numRef>
          </c:cat>
          <c:val>
            <c:numRef>
              <c:f>PV!$H$5</c:f>
              <c:numCache>
                <c:formatCode>0</c:formatCode>
                <c:ptCount val="1"/>
                <c:pt idx="0">
                  <c:v>30</c:v>
                </c:pt>
              </c:numCache>
            </c:numRef>
          </c:val>
          <c:extLst>
            <c:ext xmlns:c16="http://schemas.microsoft.com/office/drawing/2014/chart" uri="{C3380CC4-5D6E-409C-BE32-E72D297353CC}">
              <c16:uniqueId val="{00000000-AD9F-484E-8ED5-C03EB30C30DD}"/>
            </c:ext>
          </c:extLst>
        </c:ser>
        <c:ser>
          <c:idx val="1"/>
          <c:order val="1"/>
          <c:tx>
            <c:strRef>
              <c:f>PV!$I$3</c:f>
              <c:strCache>
                <c:ptCount val="1"/>
                <c:pt idx="0">
                  <c:v>Tsiropoulos, 2018 (ProRES scenario)</c:v>
                </c:pt>
              </c:strCache>
            </c:strRef>
          </c:tx>
          <c:spPr>
            <a:solidFill>
              <a:srgbClr val="A5A5A5"/>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PV!$A$5</c:f>
              <c:numCache>
                <c:formatCode>General</c:formatCode>
                <c:ptCount val="1"/>
                <c:pt idx="0">
                  <c:v>2015</c:v>
                </c:pt>
              </c:numCache>
            </c:numRef>
          </c:cat>
          <c:val>
            <c:numRef>
              <c:f>PV!$I$5</c:f>
              <c:numCache>
                <c:formatCode>0</c:formatCode>
                <c:ptCount val="1"/>
                <c:pt idx="0">
                  <c:v>25</c:v>
                </c:pt>
              </c:numCache>
            </c:numRef>
          </c:val>
          <c:extLst>
            <c:ext xmlns:c16="http://schemas.microsoft.com/office/drawing/2014/chart" uri="{C3380CC4-5D6E-409C-BE32-E72D297353CC}">
              <c16:uniqueId val="{00000001-AD9F-484E-8ED5-C03EB30C30DD}"/>
            </c:ext>
          </c:extLst>
        </c:ser>
        <c:ser>
          <c:idx val="2"/>
          <c:order val="2"/>
          <c:tx>
            <c:strRef>
              <c:f>PV!$J$3</c:f>
              <c:strCache>
                <c:ptCount val="1"/>
                <c:pt idx="0">
                  <c:v>Agora, 2019 (reference scenario)</c:v>
                </c:pt>
              </c:strCache>
            </c:strRef>
          </c:tx>
          <c:spPr>
            <a:solidFill>
              <a:srgbClr val="FFC000"/>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PV!$A$5</c:f>
              <c:numCache>
                <c:formatCode>General</c:formatCode>
                <c:ptCount val="1"/>
                <c:pt idx="0">
                  <c:v>2015</c:v>
                </c:pt>
              </c:numCache>
            </c:numRef>
          </c:cat>
          <c:val>
            <c:numRef>
              <c:f>PV!$J$5</c:f>
              <c:numCache>
                <c:formatCode>0</c:formatCode>
                <c:ptCount val="1"/>
                <c:pt idx="0">
                  <c:v>25</c:v>
                </c:pt>
              </c:numCache>
            </c:numRef>
          </c:val>
          <c:extLst>
            <c:ext xmlns:c16="http://schemas.microsoft.com/office/drawing/2014/chart" uri="{C3380CC4-5D6E-409C-BE32-E72D297353CC}">
              <c16:uniqueId val="{00000002-AD9F-484E-8ED5-C03EB30C30DD}"/>
            </c:ext>
          </c:extLst>
        </c:ser>
        <c:dLbls>
          <c:showLegendKey val="0"/>
          <c:showVal val="0"/>
          <c:showCatName val="0"/>
          <c:showSerName val="0"/>
          <c:showPercent val="0"/>
          <c:showBubbleSize val="0"/>
        </c:dLbls>
        <c:gapWidth val="150"/>
        <c:overlap val="-54"/>
        <c:axId val="54592303"/>
        <c:axId val="72785193"/>
      </c:barChart>
      <c:catAx>
        <c:axId val="54592303"/>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sz="1400" b="0" strike="noStrike" spc="-1">
                <a:solidFill>
                  <a:srgbClr val="595959"/>
                </a:solidFill>
                <a:latin typeface="Calibri"/>
              </a:defRPr>
            </a:pPr>
            <a:endParaRPr lang="en-US"/>
          </a:p>
        </c:txPr>
        <c:crossAx val="72785193"/>
        <c:crosses val="autoZero"/>
        <c:auto val="1"/>
        <c:lblAlgn val="ctr"/>
        <c:lblOffset val="100"/>
        <c:noMultiLvlLbl val="1"/>
      </c:catAx>
      <c:valAx>
        <c:axId val="72785193"/>
        <c:scaling>
          <c:orientation val="minMax"/>
          <c:min val="0"/>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sz="1400" b="0" strike="noStrike" spc="-1">
                <a:solidFill>
                  <a:srgbClr val="595959"/>
                </a:solidFill>
                <a:latin typeface="Calibri"/>
              </a:defRPr>
            </a:pPr>
            <a:endParaRPr lang="en-US"/>
          </a:p>
        </c:txPr>
        <c:crossAx val="54592303"/>
        <c:crosses val="autoZero"/>
        <c:crossBetween val="between"/>
      </c:valAx>
      <c:spPr>
        <a:noFill/>
        <a:ln>
          <a:noFill/>
        </a:ln>
      </c:spPr>
    </c:plotArea>
    <c:legend>
      <c:legendPos val="b"/>
      <c:overlay val="0"/>
      <c:spPr>
        <a:noFill/>
        <a:ln>
          <a:noFill/>
        </a:ln>
      </c:spPr>
      <c:txPr>
        <a:bodyPr/>
        <a:lstStyle/>
        <a:p>
          <a:pPr>
            <a:defRPr sz="1400" b="0" strike="noStrike" spc="-1">
              <a:solidFill>
                <a:srgbClr val="595959"/>
              </a:solidFill>
              <a:latin typeface="Calibri"/>
            </a:defRPr>
          </a:pPr>
          <a:endParaRPr lang="en-US"/>
        </a:p>
      </c:txPr>
    </c:legend>
    <c:plotVisOnly val="1"/>
    <c:dispBlanksAs val="span"/>
    <c:showDLblsOverMax val="1"/>
  </c:chart>
  <c:spPr>
    <a:solidFill>
      <a:srgbClr val="FFFFFF"/>
    </a:solidFill>
    <a:ln w="9360">
      <a:solidFill>
        <a:srgbClr val="D9D9D9"/>
      </a:solidFill>
      <a:round/>
    </a:ln>
  </c:spPr>
  <c:printSettings>
    <c:headerFooter/>
    <c:pageMargins b="0.78740157499999996" l="0.7" r="0.7" t="0.78740157499999996"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679" b="0" strike="noStrike" spc="-1">
                <a:solidFill>
                  <a:srgbClr val="595959"/>
                </a:solidFill>
                <a:latin typeface="Calibri"/>
              </a:defRPr>
            </a:pPr>
            <a:r>
              <a:rPr lang="de-DE" sz="1679" b="0" strike="noStrike" spc="-1">
                <a:solidFill>
                  <a:srgbClr val="595959"/>
                </a:solidFill>
                <a:latin typeface="Calibri"/>
              </a:rPr>
              <a:t>Fischer-Tropsch OPEX in % of CAPEX p.a.</a:t>
            </a:r>
          </a:p>
        </c:rich>
      </c:tx>
      <c:overlay val="0"/>
      <c:spPr>
        <a:noFill/>
        <a:ln>
          <a:noFill/>
        </a:ln>
      </c:spPr>
    </c:title>
    <c:autoTitleDeleted val="0"/>
    <c:plotArea>
      <c:layout/>
      <c:lineChart>
        <c:grouping val="standard"/>
        <c:varyColors val="0"/>
        <c:ser>
          <c:idx val="0"/>
          <c:order val="0"/>
          <c:tx>
            <c:strRef>
              <c:f>FT!$F$3</c:f>
              <c:strCache>
                <c:ptCount val="1"/>
                <c:pt idx="0">
                  <c:v>Agora, 2019 (reference scenario)</c:v>
                </c:pt>
              </c:strCache>
            </c:strRef>
          </c:tx>
          <c:spPr>
            <a:ln w="28440">
              <a:solidFill>
                <a:srgbClr val="ED7D31"/>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FT!$A$5:$A$40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FT!$F$5:$F$40</c:f>
              <c:numCache>
                <c:formatCode>0.0%</c:formatCode>
                <c:ptCount val="36"/>
                <c:pt idx="5">
                  <c:v>0.03</c:v>
                </c:pt>
                <c:pt idx="15">
                  <c:v>0.03</c:v>
                </c:pt>
                <c:pt idx="35">
                  <c:v>0.03</c:v>
                </c:pt>
              </c:numCache>
            </c:numRef>
          </c:val>
          <c:smooth val="0"/>
          <c:extLst>
            <c:ext xmlns:c16="http://schemas.microsoft.com/office/drawing/2014/chart" uri="{C3380CC4-5D6E-409C-BE32-E72D297353CC}">
              <c16:uniqueId val="{00000000-A13F-4D98-A239-C9B273B0A0FD}"/>
            </c:ext>
          </c:extLst>
        </c:ser>
        <c:ser>
          <c:idx val="1"/>
          <c:order val="1"/>
          <c:tx>
            <c:strRef>
              <c:f>FT!$G$3</c:f>
              <c:strCache>
                <c:ptCount val="1"/>
                <c:pt idx="0">
                  <c:v>IEA, 2019</c:v>
                </c:pt>
              </c:strCache>
            </c:strRef>
          </c:tx>
          <c:spPr>
            <a:ln w="28440">
              <a:solidFill>
                <a:srgbClr val="4472C4"/>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FT!$A$5:$A$40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FT!$G$5:$G$40</c:f>
              <c:numCache>
                <c:formatCode>0.0%</c:formatCode>
                <c:ptCount val="36"/>
                <c:pt idx="5">
                  <c:v>1.4999999999999999E-2</c:v>
                </c:pt>
                <c:pt idx="15">
                  <c:v>1.4999999999999999E-2</c:v>
                </c:pt>
                <c:pt idx="35">
                  <c:v>1.4999999999999999E-2</c:v>
                </c:pt>
              </c:numCache>
            </c:numRef>
          </c:val>
          <c:smooth val="0"/>
          <c:extLst>
            <c:ext xmlns:c16="http://schemas.microsoft.com/office/drawing/2014/chart" uri="{C3380CC4-5D6E-409C-BE32-E72D297353CC}">
              <c16:uniqueId val="{00000001-A13F-4D98-A239-C9B273B0A0FD}"/>
            </c:ext>
          </c:extLst>
        </c:ser>
        <c:ser>
          <c:idx val="2"/>
          <c:order val="2"/>
          <c:tx>
            <c:strRef>
              <c:f>FT!$H$3</c:f>
              <c:strCache>
                <c:ptCount val="1"/>
                <c:pt idx="0">
                  <c:v>Runge, 2020</c:v>
                </c:pt>
              </c:strCache>
            </c:strRef>
          </c:tx>
          <c:spPr>
            <a:ln w="38160">
              <a:solidFill>
                <a:srgbClr val="A5A5A5"/>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FT!$A$5:$A$40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FT!$H$5:$H$40</c:f>
              <c:numCache>
                <c:formatCode>0.0%</c:formatCode>
                <c:ptCount val="36"/>
                <c:pt idx="19">
                  <c:v>0.04</c:v>
                </c:pt>
                <c:pt idx="20">
                  <c:v>0.04</c:v>
                </c:pt>
              </c:numCache>
            </c:numRef>
          </c:val>
          <c:smooth val="0"/>
          <c:extLst>
            <c:ext xmlns:c16="http://schemas.microsoft.com/office/drawing/2014/chart" uri="{C3380CC4-5D6E-409C-BE32-E72D297353CC}">
              <c16:uniqueId val="{00000002-A13F-4D98-A239-C9B273B0A0FD}"/>
            </c:ext>
          </c:extLst>
        </c:ser>
        <c:dLbls>
          <c:showLegendKey val="0"/>
          <c:showVal val="0"/>
          <c:showCatName val="0"/>
          <c:showSerName val="0"/>
          <c:showPercent val="0"/>
          <c:showBubbleSize val="0"/>
        </c:dLbls>
        <c:hiLowLines>
          <c:spPr>
            <a:ln>
              <a:noFill/>
            </a:ln>
          </c:spPr>
        </c:hiLowLines>
        <c:smooth val="0"/>
        <c:axId val="29143816"/>
        <c:axId val="4772131"/>
      </c:lineChart>
      <c:catAx>
        <c:axId val="2914381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sz="1400" b="0" strike="noStrike" spc="-1">
                <a:solidFill>
                  <a:srgbClr val="595959"/>
                </a:solidFill>
                <a:latin typeface="Calibri"/>
              </a:defRPr>
            </a:pPr>
            <a:endParaRPr lang="en-US"/>
          </a:p>
        </c:txPr>
        <c:crossAx val="4772131"/>
        <c:crosses val="autoZero"/>
        <c:auto val="1"/>
        <c:lblAlgn val="ctr"/>
        <c:lblOffset val="100"/>
        <c:noMultiLvlLbl val="1"/>
      </c:catAx>
      <c:valAx>
        <c:axId val="4772131"/>
        <c:scaling>
          <c:orientation val="minMax"/>
          <c:min val="0"/>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sz="1400" b="0" strike="noStrike" spc="-1">
                <a:solidFill>
                  <a:srgbClr val="595959"/>
                </a:solidFill>
                <a:latin typeface="Calibri"/>
              </a:defRPr>
            </a:pPr>
            <a:endParaRPr lang="en-US"/>
          </a:p>
        </c:txPr>
        <c:crossAx val="29143816"/>
        <c:crosses val="autoZero"/>
        <c:crossBetween val="midCat"/>
      </c:valAx>
      <c:spPr>
        <a:noFill/>
        <a:ln>
          <a:noFill/>
        </a:ln>
      </c:spPr>
    </c:plotArea>
    <c:legend>
      <c:legendPos val="b"/>
      <c:overlay val="0"/>
      <c:spPr>
        <a:noFill/>
        <a:ln>
          <a:noFill/>
        </a:ln>
      </c:spPr>
      <c:txPr>
        <a:bodyPr/>
        <a:lstStyle/>
        <a:p>
          <a:pPr>
            <a:defRPr sz="1400" b="0" strike="noStrike" spc="-1">
              <a:solidFill>
                <a:srgbClr val="595959"/>
              </a:solidFill>
              <a:latin typeface="Calibri"/>
            </a:defRPr>
          </a:pPr>
          <a:endParaRPr lang="en-US"/>
        </a:p>
      </c:txPr>
    </c:legend>
    <c:plotVisOnly val="1"/>
    <c:dispBlanksAs val="span"/>
    <c:showDLblsOverMax val="1"/>
  </c:chart>
  <c:spPr>
    <a:solidFill>
      <a:srgbClr val="FFFFFF"/>
    </a:solidFill>
    <a:ln w="9360">
      <a:solidFill>
        <a:srgbClr val="D9D9D9"/>
      </a:solidFill>
      <a:round/>
    </a:ln>
  </c:spPr>
  <c:printSettings>
    <c:headerFooter/>
    <c:pageMargins b="0.78740157499999996" l="0.7" r="0.7" t="0.78740157499999996"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679" b="0" strike="noStrike" spc="-1">
                <a:solidFill>
                  <a:srgbClr val="595959"/>
                </a:solidFill>
                <a:latin typeface="Calibri"/>
              </a:defRPr>
            </a:pPr>
            <a:r>
              <a:rPr lang="de-DE" sz="1679" b="0" strike="noStrike" spc="-1">
                <a:solidFill>
                  <a:srgbClr val="595959"/>
                </a:solidFill>
                <a:latin typeface="Calibri"/>
              </a:rPr>
              <a:t>Fischer-Tropsch lifetime in years</a:t>
            </a:r>
          </a:p>
        </c:rich>
      </c:tx>
      <c:overlay val="0"/>
      <c:spPr>
        <a:noFill/>
        <a:ln>
          <a:noFill/>
        </a:ln>
      </c:spPr>
    </c:title>
    <c:autoTitleDeleted val="0"/>
    <c:plotArea>
      <c:layout/>
      <c:barChart>
        <c:barDir val="col"/>
        <c:grouping val="clustered"/>
        <c:varyColors val="0"/>
        <c:ser>
          <c:idx val="0"/>
          <c:order val="0"/>
          <c:tx>
            <c:strRef>
              <c:f>FT!$K$3</c:f>
              <c:strCache>
                <c:ptCount val="1"/>
                <c:pt idx="0">
                  <c:v>IEA, 2019</c:v>
                </c:pt>
              </c:strCache>
            </c:strRef>
          </c:tx>
          <c:spPr>
            <a:solidFill>
              <a:srgbClr val="4472C4"/>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FT!$K$5</c:f>
              <c:numCache>
                <c:formatCode>0</c:formatCode>
                <c:ptCount val="1"/>
                <c:pt idx="0">
                  <c:v>30</c:v>
                </c:pt>
              </c:numCache>
            </c:numRef>
          </c:val>
          <c:extLst>
            <c:ext xmlns:c16="http://schemas.microsoft.com/office/drawing/2014/chart" uri="{C3380CC4-5D6E-409C-BE32-E72D297353CC}">
              <c16:uniqueId val="{00000000-E2E7-40D1-943E-F087D30E7C59}"/>
            </c:ext>
          </c:extLst>
        </c:ser>
        <c:ser>
          <c:idx val="1"/>
          <c:order val="1"/>
          <c:tx>
            <c:strRef>
              <c:f>FT!$L$3</c:f>
              <c:strCache>
                <c:ptCount val="1"/>
                <c:pt idx="0">
                  <c:v>Runge, 2020</c:v>
                </c:pt>
              </c:strCache>
            </c:strRef>
          </c:tx>
          <c:spPr>
            <a:solidFill>
              <a:srgbClr val="ED7D31"/>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FT!$L$25</c:f>
              <c:numCache>
                <c:formatCode>General</c:formatCode>
                <c:ptCount val="1"/>
                <c:pt idx="0">
                  <c:v>20</c:v>
                </c:pt>
              </c:numCache>
            </c:numRef>
          </c:val>
          <c:extLst>
            <c:ext xmlns:c16="http://schemas.microsoft.com/office/drawing/2014/chart" uri="{C3380CC4-5D6E-409C-BE32-E72D297353CC}">
              <c16:uniqueId val="{00000001-E2E7-40D1-943E-F087D30E7C59}"/>
            </c:ext>
          </c:extLst>
        </c:ser>
        <c:dLbls>
          <c:showLegendKey val="0"/>
          <c:showVal val="0"/>
          <c:showCatName val="0"/>
          <c:showSerName val="0"/>
          <c:showPercent val="0"/>
          <c:showBubbleSize val="0"/>
        </c:dLbls>
        <c:gapWidth val="150"/>
        <c:overlap val="-54"/>
        <c:axId val="81859994"/>
        <c:axId val="30029856"/>
      </c:barChart>
      <c:catAx>
        <c:axId val="81859994"/>
        <c:scaling>
          <c:orientation val="minMax"/>
        </c:scaling>
        <c:delete val="1"/>
        <c:axPos val="b"/>
        <c:numFmt formatCode="General" sourceLinked="1"/>
        <c:majorTickMark val="none"/>
        <c:minorTickMark val="none"/>
        <c:tickLblPos val="nextTo"/>
        <c:crossAx val="30029856"/>
        <c:crosses val="autoZero"/>
        <c:auto val="1"/>
        <c:lblAlgn val="ctr"/>
        <c:lblOffset val="100"/>
        <c:noMultiLvlLbl val="1"/>
      </c:catAx>
      <c:valAx>
        <c:axId val="30029856"/>
        <c:scaling>
          <c:orientation val="minMax"/>
          <c:min val="0"/>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sz="1400" b="0" strike="noStrike" spc="-1">
                <a:solidFill>
                  <a:srgbClr val="595959"/>
                </a:solidFill>
                <a:latin typeface="Calibri"/>
              </a:defRPr>
            </a:pPr>
            <a:endParaRPr lang="en-US"/>
          </a:p>
        </c:txPr>
        <c:crossAx val="81859994"/>
        <c:crosses val="autoZero"/>
        <c:crossBetween val="between"/>
      </c:valAx>
      <c:spPr>
        <a:noFill/>
        <a:ln>
          <a:noFill/>
        </a:ln>
      </c:spPr>
    </c:plotArea>
    <c:legend>
      <c:legendPos val="b"/>
      <c:overlay val="0"/>
      <c:spPr>
        <a:noFill/>
        <a:ln>
          <a:noFill/>
        </a:ln>
      </c:spPr>
      <c:txPr>
        <a:bodyPr/>
        <a:lstStyle/>
        <a:p>
          <a:pPr>
            <a:defRPr sz="1400" b="0" strike="noStrike" spc="-1">
              <a:solidFill>
                <a:srgbClr val="595959"/>
              </a:solidFill>
              <a:latin typeface="Calibri"/>
            </a:defRPr>
          </a:pPr>
          <a:endParaRPr lang="en-US"/>
        </a:p>
      </c:txPr>
    </c:legend>
    <c:plotVisOnly val="1"/>
    <c:dispBlanksAs val="span"/>
    <c:showDLblsOverMax val="1"/>
  </c:chart>
  <c:spPr>
    <a:solidFill>
      <a:srgbClr val="FFFFFF"/>
    </a:solidFill>
    <a:ln w="9360">
      <a:solidFill>
        <a:srgbClr val="D9D9D9"/>
      </a:solidFill>
      <a:round/>
    </a:ln>
  </c:sp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679" b="0" strike="noStrike" spc="-1">
                <a:solidFill>
                  <a:srgbClr val="595959"/>
                </a:solidFill>
                <a:latin typeface="Calibri"/>
              </a:defRPr>
            </a:pPr>
            <a:r>
              <a:rPr lang="de-DE" sz="1679" b="0" strike="noStrike" spc="-1">
                <a:solidFill>
                  <a:srgbClr val="595959"/>
                </a:solidFill>
                <a:latin typeface="Calibri"/>
              </a:rPr>
              <a:t>Electrolyser efficiency in kWh_H2/kWh_el (LHV)</a:t>
            </a:r>
          </a:p>
        </c:rich>
      </c:tx>
      <c:overlay val="0"/>
      <c:spPr>
        <a:noFill/>
        <a:ln>
          <a:noFill/>
        </a:ln>
      </c:spPr>
    </c:title>
    <c:autoTitleDeleted val="0"/>
    <c:plotArea>
      <c:layout/>
      <c:lineChart>
        <c:grouping val="standard"/>
        <c:varyColors val="0"/>
        <c:ser>
          <c:idx val="0"/>
          <c:order val="0"/>
          <c:tx>
            <c:strRef>
              <c:f>electrolyser!$X$3</c:f>
              <c:strCache>
                <c:ptCount val="1"/>
                <c:pt idx="0">
                  <c:v>Agora, 2019 (reference scenario)</c:v>
                </c:pt>
              </c:strCache>
            </c:strRef>
          </c:tx>
          <c:spPr>
            <a:ln w="28440">
              <a:solidFill>
                <a:srgbClr val="ED7D31"/>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electrolyser!$X$5:$X$40</c:f>
              <c:numCache>
                <c:formatCode>0%</c:formatCode>
                <c:ptCount val="36"/>
                <c:pt idx="5">
                  <c:v>0.67</c:v>
                </c:pt>
                <c:pt idx="15">
                  <c:v>0.71</c:v>
                </c:pt>
                <c:pt idx="35">
                  <c:v>0.8</c:v>
                </c:pt>
              </c:numCache>
            </c:numRef>
          </c:val>
          <c:smooth val="0"/>
          <c:extLst>
            <c:ext xmlns:c16="http://schemas.microsoft.com/office/drawing/2014/chart" uri="{C3380CC4-5D6E-409C-BE32-E72D297353CC}">
              <c16:uniqueId val="{00000000-4CCC-45C7-ADBF-2C99BC01B821}"/>
            </c:ext>
          </c:extLst>
        </c:ser>
        <c:ser>
          <c:idx val="1"/>
          <c:order val="1"/>
          <c:tx>
            <c:strRef>
              <c:f>electrolyser!$Y$3</c:f>
              <c:strCache>
                <c:ptCount val="1"/>
                <c:pt idx="0">
                  <c:v>IEA, 2019</c:v>
                </c:pt>
              </c:strCache>
            </c:strRef>
          </c:tx>
          <c:spPr>
            <a:ln w="28440">
              <a:solidFill>
                <a:srgbClr val="A5A5A5"/>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electrolyser!$Y$5:$Y$40</c:f>
              <c:numCache>
                <c:formatCode>0%</c:formatCode>
                <c:ptCount val="36"/>
                <c:pt idx="5">
                  <c:v>0.64</c:v>
                </c:pt>
                <c:pt idx="15">
                  <c:v>0.69</c:v>
                </c:pt>
                <c:pt idx="35">
                  <c:v>0.74</c:v>
                </c:pt>
              </c:numCache>
            </c:numRef>
          </c:val>
          <c:smooth val="0"/>
          <c:extLst>
            <c:ext xmlns:c16="http://schemas.microsoft.com/office/drawing/2014/chart" uri="{C3380CC4-5D6E-409C-BE32-E72D297353CC}">
              <c16:uniqueId val="{00000001-4CCC-45C7-ADBF-2C99BC01B821}"/>
            </c:ext>
          </c:extLst>
        </c:ser>
        <c:ser>
          <c:idx val="2"/>
          <c:order val="2"/>
          <c:tx>
            <c:strRef>
              <c:f>electrolyser!$Z$3</c:f>
              <c:strCache>
                <c:ptCount val="1"/>
                <c:pt idx="0">
                  <c:v>Matute, 2019</c:v>
                </c:pt>
              </c:strCache>
            </c:strRef>
          </c:tx>
          <c:spPr>
            <a:ln w="28440">
              <a:solidFill>
                <a:srgbClr val="5B9BD5"/>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electrolyser!$Z$5:$Z$40</c:f>
              <c:numCache>
                <c:formatCode>0%</c:formatCode>
                <c:ptCount val="36"/>
                <c:pt idx="2">
                  <c:v>0.54590163934426228</c:v>
                </c:pt>
                <c:pt idx="10">
                  <c:v>0.6283018867924528</c:v>
                </c:pt>
              </c:numCache>
            </c:numRef>
          </c:val>
          <c:smooth val="0"/>
          <c:extLst>
            <c:ext xmlns:c16="http://schemas.microsoft.com/office/drawing/2014/chart" uri="{C3380CC4-5D6E-409C-BE32-E72D297353CC}">
              <c16:uniqueId val="{00000002-4CCC-45C7-ADBF-2C99BC01B821}"/>
            </c:ext>
          </c:extLst>
        </c:ser>
        <c:ser>
          <c:idx val="3"/>
          <c:order val="3"/>
          <c:tx>
            <c:strRef>
              <c:f>electrolyser!$AE$3</c:f>
              <c:strCache>
                <c:ptCount val="1"/>
                <c:pt idx="0">
                  <c:v>Buttler, 2018</c:v>
                </c:pt>
              </c:strCache>
            </c:strRef>
          </c:tx>
          <c:spPr>
            <a:ln w="38160">
              <a:solidFill>
                <a:srgbClr val="70AD47"/>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electrolyser!$AE$5:$AE$40</c:f>
              <c:numCache>
                <c:formatCode>0%</c:formatCode>
                <c:ptCount val="36"/>
                <c:pt idx="2">
                  <c:v>0.6</c:v>
                </c:pt>
                <c:pt idx="3">
                  <c:v>0.6</c:v>
                </c:pt>
              </c:numCache>
            </c:numRef>
          </c:val>
          <c:smooth val="0"/>
          <c:extLst>
            <c:ext xmlns:c16="http://schemas.microsoft.com/office/drawing/2014/chart" uri="{C3380CC4-5D6E-409C-BE32-E72D297353CC}">
              <c16:uniqueId val="{00000003-4CCC-45C7-ADBF-2C99BC01B821}"/>
            </c:ext>
          </c:extLst>
        </c:ser>
        <c:ser>
          <c:idx val="4"/>
          <c:order val="4"/>
          <c:tx>
            <c:strRef>
              <c:f>electrolyser!$AB$3</c:f>
              <c:strCache>
                <c:ptCount val="1"/>
                <c:pt idx="0">
                  <c:v>Gorre, 2019</c:v>
                </c:pt>
              </c:strCache>
            </c:strRef>
          </c:tx>
          <c:spPr>
            <a:ln w="28440">
              <a:solidFill>
                <a:srgbClr val="7030A0"/>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electrolyser!$AB$5:$AB$40</c:f>
              <c:numCache>
                <c:formatCode>0%</c:formatCode>
                <c:ptCount val="36"/>
                <c:pt idx="2">
                  <c:v>0.64</c:v>
                </c:pt>
                <c:pt idx="15">
                  <c:v>0.75</c:v>
                </c:pt>
                <c:pt idx="35">
                  <c:v>0.78</c:v>
                </c:pt>
              </c:numCache>
            </c:numRef>
          </c:val>
          <c:smooth val="0"/>
          <c:extLst>
            <c:ext xmlns:c16="http://schemas.microsoft.com/office/drawing/2014/chart" uri="{C3380CC4-5D6E-409C-BE32-E72D297353CC}">
              <c16:uniqueId val="{00000004-4CCC-45C7-ADBF-2C99BC01B821}"/>
            </c:ext>
          </c:extLst>
        </c:ser>
        <c:ser>
          <c:idx val="5"/>
          <c:order val="5"/>
          <c:tx>
            <c:strRef>
              <c:f>electrolyser!$AC$3</c:f>
              <c:strCache>
                <c:ptCount val="1"/>
                <c:pt idx="0">
                  <c:v>Michalski, 2017</c:v>
                </c:pt>
              </c:strCache>
            </c:strRef>
          </c:tx>
          <c:spPr>
            <a:ln w="28440">
              <a:solidFill>
                <a:srgbClr val="4472C4"/>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electrolyser!$AC$5:$AC$40</c:f>
              <c:numCache>
                <c:formatCode>0%</c:formatCode>
                <c:ptCount val="36"/>
                <c:pt idx="10">
                  <c:v>0.57999999999999996</c:v>
                </c:pt>
                <c:pt idx="35">
                  <c:v>0.7</c:v>
                </c:pt>
              </c:numCache>
            </c:numRef>
          </c:val>
          <c:smooth val="0"/>
          <c:extLst>
            <c:ext xmlns:c16="http://schemas.microsoft.com/office/drawing/2014/chart" uri="{C3380CC4-5D6E-409C-BE32-E72D297353CC}">
              <c16:uniqueId val="{00000005-4CCC-45C7-ADBF-2C99BC01B821}"/>
            </c:ext>
          </c:extLst>
        </c:ser>
        <c:ser>
          <c:idx val="6"/>
          <c:order val="6"/>
          <c:tx>
            <c:strRef>
              <c:f>electrolyser!$AD$3</c:f>
              <c:strCache>
                <c:ptCount val="1"/>
                <c:pt idx="0">
                  <c:v>Brynolf, 2018</c:v>
                </c:pt>
              </c:strCache>
            </c:strRef>
          </c:tx>
          <c:spPr>
            <a:ln w="28440">
              <a:solidFill>
                <a:srgbClr val="843C0B"/>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electrolyser!$A$5:$A$40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electrolyser!$AD$5:$AD$40</c:f>
              <c:numCache>
                <c:formatCode>0%</c:formatCode>
                <c:ptCount val="36"/>
                <c:pt idx="3">
                  <c:v>0.62</c:v>
                </c:pt>
                <c:pt idx="13">
                  <c:v>0.69</c:v>
                </c:pt>
              </c:numCache>
            </c:numRef>
          </c:val>
          <c:smooth val="0"/>
          <c:extLst>
            <c:ext xmlns:c16="http://schemas.microsoft.com/office/drawing/2014/chart" uri="{C3380CC4-5D6E-409C-BE32-E72D297353CC}">
              <c16:uniqueId val="{00000006-4CCC-45C7-ADBF-2C99BC01B821}"/>
            </c:ext>
          </c:extLst>
        </c:ser>
        <c:dLbls>
          <c:showLegendKey val="0"/>
          <c:showVal val="0"/>
          <c:showCatName val="0"/>
          <c:showSerName val="0"/>
          <c:showPercent val="0"/>
          <c:showBubbleSize val="0"/>
        </c:dLbls>
        <c:hiLowLines>
          <c:spPr>
            <a:ln>
              <a:noFill/>
            </a:ln>
          </c:spPr>
        </c:hiLowLines>
        <c:smooth val="0"/>
        <c:axId val="88321495"/>
        <c:axId val="90532019"/>
      </c:lineChart>
      <c:catAx>
        <c:axId val="88321495"/>
        <c:scaling>
          <c:orientation val="minMax"/>
        </c:scaling>
        <c:delete val="0"/>
        <c:axPos val="b"/>
        <c:numFmt formatCode="General" sourceLinked="1"/>
        <c:majorTickMark val="out"/>
        <c:minorTickMark val="none"/>
        <c:tickLblPos val="nextTo"/>
        <c:spPr>
          <a:ln w="9360">
            <a:solidFill>
              <a:srgbClr val="D9D9D9"/>
            </a:solidFill>
            <a:round/>
          </a:ln>
        </c:spPr>
        <c:txPr>
          <a:bodyPr/>
          <a:lstStyle/>
          <a:p>
            <a:pPr>
              <a:defRPr sz="1400" b="0" strike="noStrike" spc="-1">
                <a:solidFill>
                  <a:srgbClr val="595959"/>
                </a:solidFill>
                <a:latin typeface="Calibri"/>
              </a:defRPr>
            </a:pPr>
            <a:endParaRPr lang="en-US"/>
          </a:p>
        </c:txPr>
        <c:crossAx val="90532019"/>
        <c:crosses val="autoZero"/>
        <c:auto val="1"/>
        <c:lblAlgn val="ctr"/>
        <c:lblOffset val="100"/>
        <c:noMultiLvlLbl val="1"/>
      </c:catAx>
      <c:valAx>
        <c:axId val="90532019"/>
        <c:scaling>
          <c:orientation val="minMax"/>
          <c:min val="0"/>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sz="1400" b="0" strike="noStrike" spc="-1">
                <a:solidFill>
                  <a:srgbClr val="595959"/>
                </a:solidFill>
                <a:latin typeface="Calibri"/>
              </a:defRPr>
            </a:pPr>
            <a:endParaRPr lang="en-US"/>
          </a:p>
        </c:txPr>
        <c:crossAx val="88321495"/>
        <c:crosses val="autoZero"/>
        <c:crossBetween val="midCat"/>
      </c:valAx>
      <c:spPr>
        <a:noFill/>
        <a:ln>
          <a:noFill/>
        </a:ln>
      </c:spPr>
    </c:plotArea>
    <c:legend>
      <c:legendPos val="r"/>
      <c:layout>
        <c:manualLayout>
          <c:xMode val="edge"/>
          <c:yMode val="edge"/>
          <c:x val="5.57765090769132E-2"/>
          <c:y val="0.77522530482417396"/>
          <c:w val="0.91827308592873003"/>
          <c:h val="0.22435274365998101"/>
        </c:manualLayout>
      </c:layout>
      <c:overlay val="1"/>
      <c:spPr>
        <a:noFill/>
        <a:ln>
          <a:noFill/>
        </a:ln>
      </c:spPr>
      <c:txPr>
        <a:bodyPr/>
        <a:lstStyle/>
        <a:p>
          <a:pPr>
            <a:defRPr sz="1400" b="0" strike="noStrike" spc="-1">
              <a:solidFill>
                <a:srgbClr val="595959"/>
              </a:solidFill>
              <a:latin typeface="Calibri"/>
            </a:defRPr>
          </a:pPr>
          <a:endParaRPr lang="en-US"/>
        </a:p>
      </c:txPr>
    </c:legend>
    <c:plotVisOnly val="1"/>
    <c:dispBlanksAs val="span"/>
    <c:showDLblsOverMax val="1"/>
  </c:chart>
  <c:spPr>
    <a:solidFill>
      <a:srgbClr val="FFFFFF"/>
    </a:solidFill>
    <a:ln w="9360">
      <a:solidFill>
        <a:srgbClr val="D9D9D9"/>
      </a:solidFill>
      <a:round/>
    </a:ln>
  </c:spPr>
  <c:printSettings>
    <c:headerFooter/>
    <c:pageMargins b="0.78740157499999996" l="0.7" r="0.7" t="0.78740157499999996"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679" b="0" strike="noStrike" spc="-1">
                <a:solidFill>
                  <a:srgbClr val="595959"/>
                </a:solidFill>
                <a:latin typeface="Calibri"/>
              </a:defRPr>
            </a:pPr>
            <a:r>
              <a:rPr sz="1679" b="0" strike="noStrike" spc="-1">
                <a:solidFill>
                  <a:srgbClr val="595959"/>
                </a:solidFill>
                <a:latin typeface="Calibri"/>
              </a:rPr>
              <a:t>Fischer-Tropsch efficiency in % (LHV)</a:t>
            </a:r>
          </a:p>
        </c:rich>
      </c:tx>
      <c:overlay val="0"/>
      <c:spPr>
        <a:noFill/>
        <a:ln>
          <a:noFill/>
        </a:ln>
      </c:spPr>
    </c:title>
    <c:autoTitleDeleted val="0"/>
    <c:plotArea>
      <c:layout/>
      <c:lineChart>
        <c:grouping val="standard"/>
        <c:varyColors val="0"/>
        <c:ser>
          <c:idx val="0"/>
          <c:order val="0"/>
          <c:tx>
            <c:strRef>
              <c:f>FT!$N$3</c:f>
              <c:strCache>
                <c:ptCount val="1"/>
                <c:pt idx="0">
                  <c:v>Agora, 2019 (reference scenario)</c:v>
                </c:pt>
              </c:strCache>
            </c:strRef>
          </c:tx>
          <c:spPr>
            <a:ln w="28440">
              <a:solidFill>
                <a:srgbClr val="ED7D31"/>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FT!$A$5:$A$40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FT!$N$5:$N$40</c:f>
              <c:numCache>
                <c:formatCode>General</c:formatCode>
                <c:ptCount val="36"/>
                <c:pt idx="5" formatCode="0%">
                  <c:v>0.8</c:v>
                </c:pt>
                <c:pt idx="15" formatCode="0%">
                  <c:v>0.8</c:v>
                </c:pt>
                <c:pt idx="35" formatCode="0%">
                  <c:v>0.8</c:v>
                </c:pt>
              </c:numCache>
            </c:numRef>
          </c:val>
          <c:smooth val="0"/>
          <c:extLst>
            <c:ext xmlns:c16="http://schemas.microsoft.com/office/drawing/2014/chart" uri="{C3380CC4-5D6E-409C-BE32-E72D297353CC}">
              <c16:uniqueId val="{00000000-F86B-4851-B5A0-501FD86118E6}"/>
            </c:ext>
          </c:extLst>
        </c:ser>
        <c:ser>
          <c:idx val="1"/>
          <c:order val="1"/>
          <c:tx>
            <c:strRef>
              <c:f>FT!$O$3</c:f>
              <c:strCache>
                <c:ptCount val="1"/>
                <c:pt idx="0">
                  <c:v>IEA, 2019</c:v>
                </c:pt>
              </c:strCache>
            </c:strRef>
          </c:tx>
          <c:spPr>
            <a:ln w="28440">
              <a:solidFill>
                <a:srgbClr val="4472C4"/>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FT!$A$5:$A$40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FT!$O$5:$O$40</c:f>
              <c:numCache>
                <c:formatCode>General</c:formatCode>
                <c:ptCount val="36"/>
                <c:pt idx="5" formatCode="0%">
                  <c:v>0.64</c:v>
                </c:pt>
                <c:pt idx="15" formatCode="0%">
                  <c:v>0.69</c:v>
                </c:pt>
                <c:pt idx="35" formatCode="0%">
                  <c:v>0.74</c:v>
                </c:pt>
              </c:numCache>
            </c:numRef>
          </c:val>
          <c:smooth val="0"/>
          <c:extLst>
            <c:ext xmlns:c16="http://schemas.microsoft.com/office/drawing/2014/chart" uri="{C3380CC4-5D6E-409C-BE32-E72D297353CC}">
              <c16:uniqueId val="{00000001-F86B-4851-B5A0-501FD86118E6}"/>
            </c:ext>
          </c:extLst>
        </c:ser>
        <c:ser>
          <c:idx val="2"/>
          <c:order val="2"/>
          <c:tx>
            <c:strRef>
              <c:f>FT!$P$3</c:f>
              <c:strCache>
                <c:ptCount val="1"/>
                <c:pt idx="0">
                  <c:v>Runge, 2020</c:v>
                </c:pt>
              </c:strCache>
            </c:strRef>
          </c:tx>
          <c:spPr>
            <a:ln w="38160">
              <a:solidFill>
                <a:srgbClr val="A5A5A5"/>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FT!$A$5:$A$40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FT!$P$5:$P$40</c:f>
              <c:numCache>
                <c:formatCode>General</c:formatCode>
                <c:ptCount val="36"/>
                <c:pt idx="19" formatCode="0%">
                  <c:v>0.83399999999999996</c:v>
                </c:pt>
                <c:pt idx="20" formatCode="0%">
                  <c:v>0.83399999999999996</c:v>
                </c:pt>
              </c:numCache>
            </c:numRef>
          </c:val>
          <c:smooth val="0"/>
          <c:extLst>
            <c:ext xmlns:c16="http://schemas.microsoft.com/office/drawing/2014/chart" uri="{C3380CC4-5D6E-409C-BE32-E72D297353CC}">
              <c16:uniqueId val="{00000002-F86B-4851-B5A0-501FD86118E6}"/>
            </c:ext>
          </c:extLst>
        </c:ser>
        <c:dLbls>
          <c:showLegendKey val="0"/>
          <c:showVal val="0"/>
          <c:showCatName val="0"/>
          <c:showSerName val="0"/>
          <c:showPercent val="0"/>
          <c:showBubbleSize val="0"/>
        </c:dLbls>
        <c:hiLowLines>
          <c:spPr>
            <a:ln>
              <a:noFill/>
            </a:ln>
          </c:spPr>
        </c:hiLowLines>
        <c:smooth val="0"/>
        <c:axId val="96816425"/>
        <c:axId val="4615749"/>
      </c:lineChart>
      <c:catAx>
        <c:axId val="96816425"/>
        <c:scaling>
          <c:orientation val="minMax"/>
        </c:scaling>
        <c:delete val="1"/>
        <c:axPos val="b"/>
        <c:numFmt formatCode="General" sourceLinked="1"/>
        <c:majorTickMark val="none"/>
        <c:minorTickMark val="none"/>
        <c:tickLblPos val="nextTo"/>
        <c:crossAx val="4615749"/>
        <c:crosses val="autoZero"/>
        <c:auto val="1"/>
        <c:lblAlgn val="ctr"/>
        <c:lblOffset val="100"/>
        <c:noMultiLvlLbl val="1"/>
      </c:catAx>
      <c:valAx>
        <c:axId val="4615749"/>
        <c:scaling>
          <c:orientation val="minMax"/>
          <c:min val="0"/>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sz="1400" b="0" strike="noStrike" spc="-1">
                <a:solidFill>
                  <a:srgbClr val="595959"/>
                </a:solidFill>
                <a:latin typeface="Calibri"/>
              </a:defRPr>
            </a:pPr>
            <a:endParaRPr lang="en-US"/>
          </a:p>
        </c:txPr>
        <c:crossAx val="96816425"/>
        <c:crosses val="autoZero"/>
        <c:crossBetween val="midCat"/>
      </c:valAx>
      <c:spPr>
        <a:noFill/>
        <a:ln>
          <a:noFill/>
        </a:ln>
      </c:spPr>
    </c:plotArea>
    <c:legend>
      <c:legendPos val="b"/>
      <c:overlay val="0"/>
      <c:spPr>
        <a:noFill/>
        <a:ln>
          <a:noFill/>
        </a:ln>
      </c:spPr>
      <c:txPr>
        <a:bodyPr/>
        <a:lstStyle/>
        <a:p>
          <a:pPr>
            <a:defRPr sz="1400" b="0" strike="noStrike" spc="-1">
              <a:solidFill>
                <a:srgbClr val="595959"/>
              </a:solidFill>
              <a:latin typeface="Calibri"/>
            </a:defRPr>
          </a:pPr>
          <a:endParaRPr lang="en-US"/>
        </a:p>
      </c:txPr>
    </c:legend>
    <c:plotVisOnly val="1"/>
    <c:dispBlanksAs val="span"/>
    <c:showDLblsOverMax val="1"/>
  </c:chart>
  <c:spPr>
    <a:solidFill>
      <a:srgbClr val="FFFFFF"/>
    </a:solidFill>
    <a:ln w="9360">
      <a:solidFill>
        <a:srgbClr val="D9D9D9"/>
      </a:solidFill>
      <a:round/>
    </a:ln>
  </c:sp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679" b="0" strike="noStrike" spc="-1">
                <a:solidFill>
                  <a:srgbClr val="595959"/>
                </a:solidFill>
                <a:latin typeface="Calibri"/>
              </a:defRPr>
            </a:pPr>
            <a:r>
              <a:rPr sz="1679" b="0" strike="noStrike" spc="-1">
                <a:solidFill>
                  <a:srgbClr val="595959"/>
                </a:solidFill>
                <a:latin typeface="Calibri"/>
              </a:rPr>
              <a:t>H2 storage CAPEX in EUR/kWp</a:t>
            </a:r>
          </a:p>
        </c:rich>
      </c:tx>
      <c:overlay val="0"/>
      <c:spPr>
        <a:noFill/>
        <a:ln>
          <a:noFill/>
        </a:ln>
      </c:spPr>
    </c:title>
    <c:autoTitleDeleted val="0"/>
    <c:plotArea>
      <c:layout/>
      <c:lineChart>
        <c:grouping val="standard"/>
        <c:varyColors val="0"/>
        <c:ser>
          <c:idx val="0"/>
          <c:order val="0"/>
          <c:tx>
            <c:strRef>
              <c:f>'H2 storage'!$B$3</c:f>
              <c:strCache>
                <c:ptCount val="1"/>
              </c:strCache>
            </c:strRef>
          </c:tx>
          <c:spPr>
            <a:ln w="28440">
              <a:solidFill>
                <a:srgbClr val="4472C4"/>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'H2 storage'!$A$5:$A$40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'H2 storage'!$B$5:$B$40</c:f>
              <c:numCache>
                <c:formatCode>General</c:formatCode>
                <c:ptCount val="36"/>
              </c:numCache>
            </c:numRef>
          </c:val>
          <c:smooth val="0"/>
          <c:extLst>
            <c:ext xmlns:c16="http://schemas.microsoft.com/office/drawing/2014/chart" uri="{C3380CC4-5D6E-409C-BE32-E72D297353CC}">
              <c16:uniqueId val="{00000000-A70E-43E9-BE5E-D26478786D79}"/>
            </c:ext>
          </c:extLst>
        </c:ser>
        <c:ser>
          <c:idx val="1"/>
          <c:order val="1"/>
          <c:tx>
            <c:strRef>
              <c:f>'H2 storage'!$C$3</c:f>
              <c:strCache>
                <c:ptCount val="1"/>
              </c:strCache>
            </c:strRef>
          </c:tx>
          <c:spPr>
            <a:ln w="28440">
              <a:solidFill>
                <a:srgbClr val="ED7D31"/>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'H2 storage'!$A$5:$A$40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'H2 storage'!$C$5:$C$40</c:f>
              <c:numCache>
                <c:formatCode>General</c:formatCode>
                <c:ptCount val="36"/>
              </c:numCache>
            </c:numRef>
          </c:val>
          <c:smooth val="0"/>
          <c:extLst>
            <c:ext xmlns:c16="http://schemas.microsoft.com/office/drawing/2014/chart" uri="{C3380CC4-5D6E-409C-BE32-E72D297353CC}">
              <c16:uniqueId val="{00000001-A70E-43E9-BE5E-D26478786D79}"/>
            </c:ext>
          </c:extLst>
        </c:ser>
        <c:ser>
          <c:idx val="2"/>
          <c:order val="2"/>
          <c:tx>
            <c:strRef>
              <c:f>'H2 storage'!$D$3</c:f>
              <c:strCache>
                <c:ptCount val="1"/>
              </c:strCache>
            </c:strRef>
          </c:tx>
          <c:spPr>
            <a:ln w="28440">
              <a:solidFill>
                <a:srgbClr val="A5A5A5"/>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'H2 storage'!$A$5:$A$40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'H2 storage'!$D$5:$D$40</c:f>
              <c:numCache>
                <c:formatCode>General</c:formatCode>
                <c:ptCount val="36"/>
              </c:numCache>
            </c:numRef>
          </c:val>
          <c:smooth val="0"/>
          <c:extLst>
            <c:ext xmlns:c16="http://schemas.microsoft.com/office/drawing/2014/chart" uri="{C3380CC4-5D6E-409C-BE32-E72D297353CC}">
              <c16:uniqueId val="{00000002-A70E-43E9-BE5E-D26478786D79}"/>
            </c:ext>
          </c:extLst>
        </c:ser>
        <c:ser>
          <c:idx val="3"/>
          <c:order val="3"/>
          <c:tx>
            <c:strRef>
              <c:f>'H2 storage'!$E$3</c:f>
              <c:strCache>
                <c:ptCount val="1"/>
              </c:strCache>
            </c:strRef>
          </c:tx>
          <c:spPr>
            <a:ln w="28440">
              <a:solidFill>
                <a:srgbClr val="FFC000"/>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'H2 storage'!$A$5:$A$40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'H2 storage'!$E$5:$E$40</c:f>
              <c:numCache>
                <c:formatCode>General</c:formatCode>
                <c:ptCount val="36"/>
              </c:numCache>
            </c:numRef>
          </c:val>
          <c:smooth val="0"/>
          <c:extLst>
            <c:ext xmlns:c16="http://schemas.microsoft.com/office/drawing/2014/chart" uri="{C3380CC4-5D6E-409C-BE32-E72D297353CC}">
              <c16:uniqueId val="{00000003-A70E-43E9-BE5E-D26478786D79}"/>
            </c:ext>
          </c:extLst>
        </c:ser>
        <c:ser>
          <c:idx val="4"/>
          <c:order val="4"/>
          <c:tx>
            <c:strRef>
              <c:f>'H2 storage'!$F$3</c:f>
              <c:strCache>
                <c:ptCount val="1"/>
              </c:strCache>
            </c:strRef>
          </c:tx>
          <c:spPr>
            <a:ln w="28440">
              <a:solidFill>
                <a:srgbClr val="5B9BD5"/>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'H2 storage'!$A$5:$A$40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'H2 storage'!$F$5:$F$40</c:f>
              <c:numCache>
                <c:formatCode>General</c:formatCode>
                <c:ptCount val="36"/>
              </c:numCache>
            </c:numRef>
          </c:val>
          <c:smooth val="0"/>
          <c:extLst>
            <c:ext xmlns:c16="http://schemas.microsoft.com/office/drawing/2014/chart" uri="{C3380CC4-5D6E-409C-BE32-E72D297353CC}">
              <c16:uniqueId val="{00000004-A70E-43E9-BE5E-D26478786D79}"/>
            </c:ext>
          </c:extLst>
        </c:ser>
        <c:dLbls>
          <c:showLegendKey val="0"/>
          <c:showVal val="0"/>
          <c:showCatName val="0"/>
          <c:showSerName val="0"/>
          <c:showPercent val="0"/>
          <c:showBubbleSize val="0"/>
        </c:dLbls>
        <c:hiLowLines>
          <c:spPr>
            <a:ln>
              <a:noFill/>
            </a:ln>
          </c:spPr>
        </c:hiLowLines>
        <c:smooth val="0"/>
        <c:axId val="2674799"/>
        <c:axId val="73355291"/>
      </c:lineChart>
      <c:catAx>
        <c:axId val="2674799"/>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sz="1400" b="0" strike="noStrike" spc="-1">
                <a:solidFill>
                  <a:srgbClr val="595959"/>
                </a:solidFill>
                <a:latin typeface="Calibri"/>
              </a:defRPr>
            </a:pPr>
            <a:endParaRPr lang="en-US"/>
          </a:p>
        </c:txPr>
        <c:crossAx val="73355291"/>
        <c:crosses val="autoZero"/>
        <c:auto val="1"/>
        <c:lblAlgn val="ctr"/>
        <c:lblOffset val="100"/>
        <c:noMultiLvlLbl val="1"/>
      </c:catAx>
      <c:valAx>
        <c:axId val="73355291"/>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sz="1400" b="0" strike="noStrike" spc="-1">
                <a:solidFill>
                  <a:srgbClr val="595959"/>
                </a:solidFill>
                <a:latin typeface="Calibri"/>
              </a:defRPr>
            </a:pPr>
            <a:endParaRPr lang="en-US"/>
          </a:p>
        </c:txPr>
        <c:crossAx val="2674799"/>
        <c:crosses val="autoZero"/>
        <c:crossBetween val="midCat"/>
      </c:valAx>
      <c:spPr>
        <a:noFill/>
        <a:ln>
          <a:noFill/>
        </a:ln>
      </c:spPr>
    </c:plotArea>
    <c:legend>
      <c:legendPos val="b"/>
      <c:overlay val="0"/>
      <c:spPr>
        <a:noFill/>
        <a:ln>
          <a:noFill/>
        </a:ln>
      </c:spPr>
      <c:txPr>
        <a:bodyPr/>
        <a:lstStyle/>
        <a:p>
          <a:pPr>
            <a:defRPr sz="1400" b="0" strike="noStrike" spc="-1">
              <a:solidFill>
                <a:srgbClr val="595959"/>
              </a:solidFill>
              <a:latin typeface="Calibri"/>
            </a:defRPr>
          </a:pPr>
          <a:endParaRPr lang="en-US"/>
        </a:p>
      </c:txPr>
    </c:legend>
    <c:plotVisOnly val="1"/>
    <c:dispBlanksAs val="span"/>
    <c:showDLblsOverMax val="1"/>
  </c:chart>
  <c:spPr>
    <a:solidFill>
      <a:srgbClr val="FFFFFF"/>
    </a:solidFill>
    <a:ln w="9360">
      <a:solidFill>
        <a:srgbClr val="D9D9D9"/>
      </a:solidFill>
      <a:round/>
    </a:ln>
  </c:sp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679" b="0" strike="noStrike" spc="-1">
                <a:solidFill>
                  <a:srgbClr val="595959"/>
                </a:solidFill>
                <a:latin typeface="Calibri"/>
              </a:defRPr>
            </a:pPr>
            <a:r>
              <a:rPr sz="1679" b="0" strike="noStrike" spc="-1">
                <a:solidFill>
                  <a:srgbClr val="595959"/>
                </a:solidFill>
                <a:latin typeface="Calibri"/>
              </a:rPr>
              <a:t>Utility-Scale PV OPEX in % of CAPEX p.a.:
High / medium / low scenario </a:t>
            </a:r>
          </a:p>
        </c:rich>
      </c:tx>
      <c:overlay val="0"/>
      <c:spPr>
        <a:noFill/>
        <a:ln>
          <a:noFill/>
        </a:ln>
      </c:spPr>
    </c:title>
    <c:autoTitleDeleted val="0"/>
    <c:plotArea>
      <c:layout/>
      <c:lineChart>
        <c:grouping val="standard"/>
        <c:varyColors val="0"/>
        <c:ser>
          <c:idx val="0"/>
          <c:order val="0"/>
          <c:tx>
            <c:strRef>
              <c:f>PV!$E$3</c:f>
              <c:strCache>
                <c:ptCount val="1"/>
                <c:pt idx="0">
                  <c:v>Vartiainen, 2020</c:v>
                </c:pt>
              </c:strCache>
            </c:strRef>
          </c:tx>
          <c:spPr>
            <a:ln w="28440">
              <a:solidFill>
                <a:srgbClr val="4472C4"/>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PV!$E$5:$E$40</c:f>
              <c:numCache>
                <c:formatCode>0.0%</c:formatCode>
                <c:ptCount val="36"/>
                <c:pt idx="4">
                  <c:v>1.9913419913419911E-2</c:v>
                </c:pt>
                <c:pt idx="5">
                  <c:v>2.0417633410672854E-2</c:v>
                </c:pt>
                <c:pt idx="6">
                  <c:v>2.0689655172413793E-2</c:v>
                </c:pt>
                <c:pt idx="7">
                  <c:v>2.1093749999999998E-2</c:v>
                </c:pt>
                <c:pt idx="8">
                  <c:v>2.1369863013698628E-2</c:v>
                </c:pt>
                <c:pt idx="9">
                  <c:v>2.1839080459770115E-2</c:v>
                </c:pt>
                <c:pt idx="10">
                  <c:v>2.2222222222222223E-2</c:v>
                </c:pt>
                <c:pt idx="11">
                  <c:v>2.2257053291536048E-2</c:v>
                </c:pt>
                <c:pt idx="12">
                  <c:v>2.2475570032573292E-2</c:v>
                </c:pt>
                <c:pt idx="13">
                  <c:v>2.2635135135135136E-2</c:v>
                </c:pt>
                <c:pt idx="14">
                  <c:v>2.3157894736842103E-2</c:v>
                </c:pt>
                <c:pt idx="15">
                  <c:v>2.3272727272727275E-2</c:v>
                </c:pt>
                <c:pt idx="16">
                  <c:v>2.3308270676691729E-2</c:v>
                </c:pt>
                <c:pt idx="17">
                  <c:v>2.3735408560311283E-2</c:v>
                </c:pt>
                <c:pt idx="18">
                  <c:v>2.3694779116465864E-2</c:v>
                </c:pt>
                <c:pt idx="19">
                  <c:v>2.3966942148760328E-2</c:v>
                </c:pt>
                <c:pt idx="20">
                  <c:v>2.3829787234042551E-2</c:v>
                </c:pt>
                <c:pt idx="21">
                  <c:v>2.4122807017543858E-2</c:v>
                </c:pt>
                <c:pt idx="22">
                  <c:v>2.4434389140271493E-2</c:v>
                </c:pt>
                <c:pt idx="23">
                  <c:v>2.4651162790697675E-2</c:v>
                </c:pt>
                <c:pt idx="24">
                  <c:v>2.4401913875598084E-2</c:v>
                </c:pt>
                <c:pt idx="25">
                  <c:v>2.4509803921568627E-2</c:v>
                </c:pt>
                <c:pt idx="26">
                  <c:v>2.4623115577889449E-2</c:v>
                </c:pt>
                <c:pt idx="27">
                  <c:v>2.4742268041237112E-2</c:v>
                </c:pt>
                <c:pt idx="28">
                  <c:v>2.4867724867724868E-2</c:v>
                </c:pt>
                <c:pt idx="29">
                  <c:v>2.4864864864864864E-2</c:v>
                </c:pt>
                <c:pt idx="30">
                  <c:v>2.5414364640883976E-2</c:v>
                </c:pt>
                <c:pt idx="31">
                  <c:v>2.5423728813559324E-2</c:v>
                </c:pt>
                <c:pt idx="32">
                  <c:v>2.5287356321839084E-2</c:v>
                </c:pt>
                <c:pt idx="33">
                  <c:v>2.5294117647058821E-2</c:v>
                </c:pt>
                <c:pt idx="34">
                  <c:v>2.5149700598802397E-2</c:v>
                </c:pt>
                <c:pt idx="35">
                  <c:v>2.5609756097560978E-2</c:v>
                </c:pt>
              </c:numCache>
            </c:numRef>
          </c:val>
          <c:smooth val="0"/>
          <c:extLst>
            <c:ext xmlns:c16="http://schemas.microsoft.com/office/drawing/2014/chart" uri="{C3380CC4-5D6E-409C-BE32-E72D297353CC}">
              <c16:uniqueId val="{00000000-4737-4479-B4FF-C967DADD28F8}"/>
            </c:ext>
          </c:extLst>
        </c:ser>
        <c:ser>
          <c:idx val="1"/>
          <c:order val="1"/>
          <c:tx>
            <c:strRef>
              <c:f>PV!$F$3</c:f>
              <c:strCache>
                <c:ptCount val="1"/>
                <c:pt idx="0">
                  <c:v>Tsiropoulos, 2018 (ProRES scenario)</c:v>
                </c:pt>
              </c:strCache>
            </c:strRef>
          </c:tx>
          <c:spPr>
            <a:ln w="28440">
              <a:solidFill>
                <a:srgbClr val="A5A5A5"/>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PV!$F$5:$F$40</c:f>
              <c:numCache>
                <c:formatCode>0.0%</c:formatCode>
                <c:ptCount val="36"/>
                <c:pt idx="0">
                  <c:v>1.7000000000000001E-2</c:v>
                </c:pt>
                <c:pt idx="5">
                  <c:v>1.7000000000000001E-2</c:v>
                </c:pt>
                <c:pt idx="16">
                  <c:v>1.7000000000000001E-2</c:v>
                </c:pt>
                <c:pt idx="25">
                  <c:v>1.7000000000000001E-2</c:v>
                </c:pt>
                <c:pt idx="35">
                  <c:v>1.7000000000000001E-2</c:v>
                </c:pt>
              </c:numCache>
            </c:numRef>
          </c:val>
          <c:smooth val="0"/>
          <c:extLst>
            <c:ext xmlns:c16="http://schemas.microsoft.com/office/drawing/2014/chart" uri="{C3380CC4-5D6E-409C-BE32-E72D297353CC}">
              <c16:uniqueId val="{00000001-4737-4479-B4FF-C967DADD28F8}"/>
            </c:ext>
          </c:extLst>
        </c:ser>
        <c:ser>
          <c:idx val="2"/>
          <c:order val="2"/>
          <c:tx>
            <c:strRef>
              <c:f>PV!$G$3</c:f>
              <c:strCache>
                <c:ptCount val="1"/>
                <c:pt idx="0">
                  <c:v>Agora, 2019 (reference scenario)</c:v>
                </c:pt>
              </c:strCache>
            </c:strRef>
          </c:tx>
          <c:spPr>
            <a:ln w="28440">
              <a:solidFill>
                <a:srgbClr val="FFC000"/>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PV!$A$5:$A$40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PV!$G$5:$G$40</c:f>
              <c:numCache>
                <c:formatCode>General</c:formatCode>
                <c:ptCount val="36"/>
                <c:pt idx="5" formatCode="0.0%">
                  <c:v>1.4999999999999999E-2</c:v>
                </c:pt>
                <c:pt idx="16" formatCode="0.0%">
                  <c:v>1.4999999999999999E-2</c:v>
                </c:pt>
                <c:pt idx="35" formatCode="0.0%">
                  <c:v>1.4999999999999999E-2</c:v>
                </c:pt>
              </c:numCache>
            </c:numRef>
          </c:val>
          <c:smooth val="0"/>
          <c:extLst>
            <c:ext xmlns:c16="http://schemas.microsoft.com/office/drawing/2014/chart" uri="{C3380CC4-5D6E-409C-BE32-E72D297353CC}">
              <c16:uniqueId val="{00000002-4737-4479-B4FF-C967DADD28F8}"/>
            </c:ext>
          </c:extLst>
        </c:ser>
        <c:dLbls>
          <c:showLegendKey val="0"/>
          <c:showVal val="0"/>
          <c:showCatName val="0"/>
          <c:showSerName val="0"/>
          <c:showPercent val="0"/>
          <c:showBubbleSize val="0"/>
        </c:dLbls>
        <c:hiLowLines>
          <c:spPr>
            <a:ln>
              <a:noFill/>
            </a:ln>
          </c:spPr>
        </c:hiLowLines>
        <c:smooth val="0"/>
        <c:axId val="3998910"/>
        <c:axId val="91611724"/>
      </c:lineChart>
      <c:catAx>
        <c:axId val="399891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sz="1400" b="0" strike="noStrike" spc="-1">
                <a:solidFill>
                  <a:srgbClr val="595959"/>
                </a:solidFill>
                <a:latin typeface="Calibri"/>
              </a:defRPr>
            </a:pPr>
            <a:endParaRPr lang="en-US"/>
          </a:p>
        </c:txPr>
        <c:crossAx val="91611724"/>
        <c:crosses val="autoZero"/>
        <c:auto val="1"/>
        <c:lblAlgn val="ctr"/>
        <c:lblOffset val="100"/>
        <c:noMultiLvlLbl val="1"/>
      </c:catAx>
      <c:valAx>
        <c:axId val="91611724"/>
        <c:scaling>
          <c:orientation val="minMax"/>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sz="1400" b="0" strike="noStrike" spc="-1">
                <a:solidFill>
                  <a:srgbClr val="595959"/>
                </a:solidFill>
                <a:latin typeface="Calibri"/>
              </a:defRPr>
            </a:pPr>
            <a:endParaRPr lang="en-US"/>
          </a:p>
        </c:txPr>
        <c:crossAx val="3998910"/>
        <c:crosses val="autoZero"/>
        <c:crossBetween val="midCat"/>
      </c:valAx>
      <c:spPr>
        <a:noFill/>
        <a:ln>
          <a:noFill/>
        </a:ln>
      </c:spPr>
    </c:plotArea>
    <c:legend>
      <c:legendPos val="b"/>
      <c:overlay val="0"/>
      <c:spPr>
        <a:noFill/>
        <a:ln>
          <a:noFill/>
        </a:ln>
      </c:spPr>
      <c:txPr>
        <a:bodyPr/>
        <a:lstStyle/>
        <a:p>
          <a:pPr>
            <a:defRPr sz="1400" b="0" strike="noStrike" spc="-1">
              <a:solidFill>
                <a:srgbClr val="595959"/>
              </a:solidFill>
              <a:latin typeface="Calibri"/>
            </a:defRPr>
          </a:pPr>
          <a:endParaRPr lang="en-US"/>
        </a:p>
      </c:txPr>
    </c:legend>
    <c:plotVisOnly val="1"/>
    <c:dispBlanksAs val="span"/>
    <c:showDLblsOverMax val="1"/>
  </c:chart>
  <c:spPr>
    <a:solidFill>
      <a:srgbClr val="FFFFFF"/>
    </a:solidFill>
    <a:ln w="9360">
      <a:solidFill>
        <a:srgbClr val="D9D9D9"/>
      </a:solidFill>
      <a:round/>
    </a:ln>
  </c:sp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679" b="0" strike="noStrike" spc="-1">
                <a:solidFill>
                  <a:srgbClr val="595959"/>
                </a:solidFill>
                <a:latin typeface="Calibri"/>
              </a:defRPr>
            </a:pPr>
            <a:r>
              <a:rPr sz="1679" b="0" strike="noStrike" spc="-1">
                <a:solidFill>
                  <a:srgbClr val="595959"/>
                </a:solidFill>
                <a:latin typeface="Calibri"/>
              </a:rPr>
              <a:t>Utility-Scale PV lifetime in years:
High / low scenario </a:t>
            </a:r>
          </a:p>
        </c:rich>
      </c:tx>
      <c:overlay val="0"/>
      <c:spPr>
        <a:noFill/>
        <a:ln>
          <a:noFill/>
        </a:ln>
      </c:spPr>
    </c:title>
    <c:autoTitleDeleted val="0"/>
    <c:plotArea>
      <c:layout/>
      <c:barChart>
        <c:barDir val="col"/>
        <c:grouping val="clustered"/>
        <c:varyColors val="0"/>
        <c:ser>
          <c:idx val="0"/>
          <c:order val="0"/>
          <c:tx>
            <c:strRef>
              <c:f>PV!$H$3</c:f>
              <c:strCache>
                <c:ptCount val="1"/>
                <c:pt idx="0">
                  <c:v>Vartiainen, 2020</c:v>
                </c:pt>
              </c:strCache>
            </c:strRef>
          </c:tx>
          <c:spPr>
            <a:solidFill>
              <a:srgbClr val="4472C4"/>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PV!$A$5</c:f>
              <c:numCache>
                <c:formatCode>General</c:formatCode>
                <c:ptCount val="1"/>
                <c:pt idx="0">
                  <c:v>2015</c:v>
                </c:pt>
              </c:numCache>
            </c:numRef>
          </c:cat>
          <c:val>
            <c:numRef>
              <c:f>PV!$H$5</c:f>
              <c:numCache>
                <c:formatCode>0</c:formatCode>
                <c:ptCount val="1"/>
                <c:pt idx="0">
                  <c:v>30</c:v>
                </c:pt>
              </c:numCache>
            </c:numRef>
          </c:val>
          <c:extLst>
            <c:ext xmlns:c16="http://schemas.microsoft.com/office/drawing/2014/chart" uri="{C3380CC4-5D6E-409C-BE32-E72D297353CC}">
              <c16:uniqueId val="{00000000-5AEE-4E11-99CD-E08945CFDA66}"/>
            </c:ext>
          </c:extLst>
        </c:ser>
        <c:ser>
          <c:idx val="1"/>
          <c:order val="1"/>
          <c:tx>
            <c:strRef>
              <c:f>PV!$I$3</c:f>
              <c:strCache>
                <c:ptCount val="1"/>
                <c:pt idx="0">
                  <c:v>Tsiropoulos, 2018 (ProRES scenario)</c:v>
                </c:pt>
              </c:strCache>
            </c:strRef>
          </c:tx>
          <c:spPr>
            <a:solidFill>
              <a:srgbClr val="A5A5A5"/>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PV!$A$5</c:f>
              <c:numCache>
                <c:formatCode>General</c:formatCode>
                <c:ptCount val="1"/>
                <c:pt idx="0">
                  <c:v>2015</c:v>
                </c:pt>
              </c:numCache>
            </c:numRef>
          </c:cat>
          <c:val>
            <c:numRef>
              <c:f>PV!$I$5</c:f>
              <c:numCache>
                <c:formatCode>0</c:formatCode>
                <c:ptCount val="1"/>
                <c:pt idx="0">
                  <c:v>25</c:v>
                </c:pt>
              </c:numCache>
            </c:numRef>
          </c:val>
          <c:extLst>
            <c:ext xmlns:c16="http://schemas.microsoft.com/office/drawing/2014/chart" uri="{C3380CC4-5D6E-409C-BE32-E72D297353CC}">
              <c16:uniqueId val="{00000001-5AEE-4E11-99CD-E08945CFDA66}"/>
            </c:ext>
          </c:extLst>
        </c:ser>
        <c:ser>
          <c:idx val="2"/>
          <c:order val="2"/>
          <c:tx>
            <c:strRef>
              <c:f>PV!$J$3</c:f>
              <c:strCache>
                <c:ptCount val="1"/>
                <c:pt idx="0">
                  <c:v>Agora, 2019 (reference scenario)</c:v>
                </c:pt>
              </c:strCache>
            </c:strRef>
          </c:tx>
          <c:spPr>
            <a:solidFill>
              <a:srgbClr val="FFC000"/>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PV!$A$5</c:f>
              <c:numCache>
                <c:formatCode>General</c:formatCode>
                <c:ptCount val="1"/>
                <c:pt idx="0">
                  <c:v>2015</c:v>
                </c:pt>
              </c:numCache>
            </c:numRef>
          </c:cat>
          <c:val>
            <c:numRef>
              <c:f>PV!$J$5</c:f>
              <c:numCache>
                <c:formatCode>0</c:formatCode>
                <c:ptCount val="1"/>
                <c:pt idx="0">
                  <c:v>25</c:v>
                </c:pt>
              </c:numCache>
            </c:numRef>
          </c:val>
          <c:extLst>
            <c:ext xmlns:c16="http://schemas.microsoft.com/office/drawing/2014/chart" uri="{C3380CC4-5D6E-409C-BE32-E72D297353CC}">
              <c16:uniqueId val="{00000002-5AEE-4E11-99CD-E08945CFDA66}"/>
            </c:ext>
          </c:extLst>
        </c:ser>
        <c:dLbls>
          <c:showLegendKey val="0"/>
          <c:showVal val="0"/>
          <c:showCatName val="0"/>
          <c:showSerName val="0"/>
          <c:showPercent val="0"/>
          <c:showBubbleSize val="0"/>
        </c:dLbls>
        <c:gapWidth val="150"/>
        <c:overlap val="-54"/>
        <c:axId val="77730473"/>
        <c:axId val="37707463"/>
      </c:barChart>
      <c:catAx>
        <c:axId val="77730473"/>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sz="1400" b="0" strike="noStrike" spc="-1">
                <a:solidFill>
                  <a:srgbClr val="595959"/>
                </a:solidFill>
                <a:latin typeface="Calibri"/>
              </a:defRPr>
            </a:pPr>
            <a:endParaRPr lang="en-US"/>
          </a:p>
        </c:txPr>
        <c:crossAx val="37707463"/>
        <c:crosses val="autoZero"/>
        <c:auto val="1"/>
        <c:lblAlgn val="ctr"/>
        <c:lblOffset val="100"/>
        <c:noMultiLvlLbl val="1"/>
      </c:catAx>
      <c:valAx>
        <c:axId val="37707463"/>
        <c:scaling>
          <c:orientation val="minMax"/>
          <c:min val="0"/>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sz="1400" b="0" strike="noStrike" spc="-1">
                <a:solidFill>
                  <a:srgbClr val="595959"/>
                </a:solidFill>
                <a:latin typeface="Calibri"/>
              </a:defRPr>
            </a:pPr>
            <a:endParaRPr lang="en-US"/>
          </a:p>
        </c:txPr>
        <c:crossAx val="77730473"/>
        <c:crosses val="autoZero"/>
        <c:crossBetween val="between"/>
      </c:valAx>
      <c:spPr>
        <a:noFill/>
        <a:ln>
          <a:noFill/>
        </a:ln>
      </c:spPr>
    </c:plotArea>
    <c:legend>
      <c:legendPos val="b"/>
      <c:overlay val="0"/>
      <c:spPr>
        <a:noFill/>
        <a:ln>
          <a:noFill/>
        </a:ln>
      </c:spPr>
      <c:txPr>
        <a:bodyPr/>
        <a:lstStyle/>
        <a:p>
          <a:pPr>
            <a:defRPr sz="1400" b="0" strike="noStrike" spc="-1">
              <a:solidFill>
                <a:srgbClr val="595959"/>
              </a:solidFill>
              <a:latin typeface="Calibri"/>
            </a:defRPr>
          </a:pPr>
          <a:endParaRPr lang="en-US"/>
        </a:p>
      </c:txPr>
    </c:legend>
    <c:plotVisOnly val="1"/>
    <c:dispBlanksAs val="span"/>
    <c:showDLblsOverMax val="1"/>
  </c:chart>
  <c:spPr>
    <a:solidFill>
      <a:srgbClr val="FFFFFF"/>
    </a:solidFill>
    <a:ln w="9360">
      <a:solidFill>
        <a:srgbClr val="D9D9D9"/>
      </a:solidFill>
      <a:round/>
    </a:ln>
  </c:sp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679" b="0" strike="noStrike" spc="-1">
                <a:solidFill>
                  <a:srgbClr val="595959"/>
                </a:solidFill>
                <a:latin typeface="Calibri"/>
              </a:defRPr>
            </a:pPr>
            <a:r>
              <a:rPr sz="1679" b="0" strike="noStrike" spc="-1">
                <a:solidFill>
                  <a:srgbClr val="595959"/>
                </a:solidFill>
                <a:latin typeface="Calibri"/>
              </a:rPr>
              <a:t>H2 storage OPEX in % of CAPEX p.a.</a:t>
            </a:r>
          </a:p>
        </c:rich>
      </c:tx>
      <c:overlay val="0"/>
      <c:spPr>
        <a:noFill/>
        <a:ln>
          <a:noFill/>
        </a:ln>
      </c:spPr>
    </c:title>
    <c:autoTitleDeleted val="0"/>
    <c:plotArea>
      <c:layout/>
      <c:lineChart>
        <c:grouping val="standard"/>
        <c:varyColors val="0"/>
        <c:ser>
          <c:idx val="0"/>
          <c:order val="0"/>
          <c:tx>
            <c:strRef>
              <c:f>'H2 storage'!$G$3</c:f>
              <c:strCache>
                <c:ptCount val="1"/>
              </c:strCache>
            </c:strRef>
          </c:tx>
          <c:spPr>
            <a:ln w="28440">
              <a:solidFill>
                <a:srgbClr val="4472C4"/>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'H2 storage'!$A$5:$A$40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'H2 storage'!$G$5:$G$40</c:f>
              <c:numCache>
                <c:formatCode>0.0%</c:formatCode>
                <c:ptCount val="36"/>
              </c:numCache>
            </c:numRef>
          </c:val>
          <c:smooth val="0"/>
          <c:extLst>
            <c:ext xmlns:c16="http://schemas.microsoft.com/office/drawing/2014/chart" uri="{C3380CC4-5D6E-409C-BE32-E72D297353CC}">
              <c16:uniqueId val="{00000000-8AA4-4247-844F-4C192B05D877}"/>
            </c:ext>
          </c:extLst>
        </c:ser>
        <c:ser>
          <c:idx val="1"/>
          <c:order val="1"/>
          <c:tx>
            <c:strRef>
              <c:f>'H2 storage'!$H$3</c:f>
              <c:strCache>
                <c:ptCount val="1"/>
              </c:strCache>
            </c:strRef>
          </c:tx>
          <c:spPr>
            <a:ln w="28440">
              <a:solidFill>
                <a:srgbClr val="ED7D31"/>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'H2 storage'!$A$5:$A$40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'H2 storage'!$H$5:$H$40</c:f>
              <c:numCache>
                <c:formatCode>0.0%</c:formatCode>
                <c:ptCount val="36"/>
              </c:numCache>
            </c:numRef>
          </c:val>
          <c:smooth val="0"/>
          <c:extLst>
            <c:ext xmlns:c16="http://schemas.microsoft.com/office/drawing/2014/chart" uri="{C3380CC4-5D6E-409C-BE32-E72D297353CC}">
              <c16:uniqueId val="{00000001-8AA4-4247-844F-4C192B05D877}"/>
            </c:ext>
          </c:extLst>
        </c:ser>
        <c:ser>
          <c:idx val="2"/>
          <c:order val="2"/>
          <c:tx>
            <c:strRef>
              <c:f>'H2 storage'!$I$3</c:f>
              <c:strCache>
                <c:ptCount val="1"/>
              </c:strCache>
            </c:strRef>
          </c:tx>
          <c:spPr>
            <a:ln w="28440">
              <a:solidFill>
                <a:srgbClr val="A5A5A5"/>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'H2 storage'!$A$5:$A$40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'H2 storage'!$I$5:$I$40</c:f>
              <c:numCache>
                <c:formatCode>0.0%</c:formatCode>
                <c:ptCount val="36"/>
              </c:numCache>
            </c:numRef>
          </c:val>
          <c:smooth val="0"/>
          <c:extLst>
            <c:ext xmlns:c16="http://schemas.microsoft.com/office/drawing/2014/chart" uri="{C3380CC4-5D6E-409C-BE32-E72D297353CC}">
              <c16:uniqueId val="{00000002-8AA4-4247-844F-4C192B05D877}"/>
            </c:ext>
          </c:extLst>
        </c:ser>
        <c:ser>
          <c:idx val="3"/>
          <c:order val="3"/>
          <c:tx>
            <c:strRef>
              <c:f>'H2 storage'!$J$3</c:f>
              <c:strCache>
                <c:ptCount val="1"/>
              </c:strCache>
            </c:strRef>
          </c:tx>
          <c:spPr>
            <a:ln w="28440">
              <a:solidFill>
                <a:srgbClr val="FFC000"/>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'H2 storage'!$A$5:$A$40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'H2 storage'!$J$5:$J$40</c:f>
              <c:numCache>
                <c:formatCode>0.0%</c:formatCode>
                <c:ptCount val="36"/>
              </c:numCache>
            </c:numRef>
          </c:val>
          <c:smooth val="0"/>
          <c:extLst>
            <c:ext xmlns:c16="http://schemas.microsoft.com/office/drawing/2014/chart" uri="{C3380CC4-5D6E-409C-BE32-E72D297353CC}">
              <c16:uniqueId val="{00000003-8AA4-4247-844F-4C192B05D877}"/>
            </c:ext>
          </c:extLst>
        </c:ser>
        <c:ser>
          <c:idx val="4"/>
          <c:order val="4"/>
          <c:tx>
            <c:strRef>
              <c:f>'H2 storage'!$K$3</c:f>
              <c:strCache>
                <c:ptCount val="1"/>
              </c:strCache>
            </c:strRef>
          </c:tx>
          <c:spPr>
            <a:ln w="38160">
              <a:solidFill>
                <a:srgbClr val="70AD47"/>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'H2 storage'!$A$5:$A$40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'H2 storage'!$K$5:$K$40</c:f>
              <c:numCache>
                <c:formatCode>0.0%</c:formatCode>
                <c:ptCount val="36"/>
              </c:numCache>
            </c:numRef>
          </c:val>
          <c:smooth val="0"/>
          <c:extLst>
            <c:ext xmlns:c16="http://schemas.microsoft.com/office/drawing/2014/chart" uri="{C3380CC4-5D6E-409C-BE32-E72D297353CC}">
              <c16:uniqueId val="{00000004-8AA4-4247-844F-4C192B05D877}"/>
            </c:ext>
          </c:extLst>
        </c:ser>
        <c:dLbls>
          <c:showLegendKey val="0"/>
          <c:showVal val="0"/>
          <c:showCatName val="0"/>
          <c:showSerName val="0"/>
          <c:showPercent val="0"/>
          <c:showBubbleSize val="0"/>
        </c:dLbls>
        <c:hiLowLines>
          <c:spPr>
            <a:ln>
              <a:noFill/>
            </a:ln>
          </c:spPr>
        </c:hiLowLines>
        <c:smooth val="0"/>
        <c:axId val="67587734"/>
        <c:axId val="22794728"/>
      </c:lineChart>
      <c:catAx>
        <c:axId val="67587734"/>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sz="1400" b="0" strike="noStrike" spc="-1">
                <a:solidFill>
                  <a:srgbClr val="595959"/>
                </a:solidFill>
                <a:latin typeface="Calibri"/>
              </a:defRPr>
            </a:pPr>
            <a:endParaRPr lang="en-US"/>
          </a:p>
        </c:txPr>
        <c:crossAx val="22794728"/>
        <c:crosses val="autoZero"/>
        <c:auto val="1"/>
        <c:lblAlgn val="ctr"/>
        <c:lblOffset val="100"/>
        <c:noMultiLvlLbl val="1"/>
      </c:catAx>
      <c:valAx>
        <c:axId val="22794728"/>
        <c:scaling>
          <c:orientation val="minMax"/>
          <c:min val="0"/>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sz="1400" b="0" strike="noStrike" spc="-1">
                <a:solidFill>
                  <a:srgbClr val="595959"/>
                </a:solidFill>
                <a:latin typeface="Calibri"/>
              </a:defRPr>
            </a:pPr>
            <a:endParaRPr lang="en-US"/>
          </a:p>
        </c:txPr>
        <c:crossAx val="67587734"/>
        <c:crosses val="autoZero"/>
        <c:crossBetween val="midCat"/>
      </c:valAx>
      <c:spPr>
        <a:noFill/>
        <a:ln>
          <a:noFill/>
        </a:ln>
      </c:spPr>
    </c:plotArea>
    <c:legend>
      <c:legendPos val="b"/>
      <c:overlay val="0"/>
      <c:spPr>
        <a:noFill/>
        <a:ln>
          <a:noFill/>
        </a:ln>
      </c:spPr>
      <c:txPr>
        <a:bodyPr/>
        <a:lstStyle/>
        <a:p>
          <a:pPr>
            <a:defRPr sz="1400" b="0" strike="noStrike" spc="-1">
              <a:solidFill>
                <a:srgbClr val="595959"/>
              </a:solidFill>
              <a:latin typeface="Calibri"/>
            </a:defRPr>
          </a:pPr>
          <a:endParaRPr lang="en-US"/>
        </a:p>
      </c:txPr>
    </c:legend>
    <c:plotVisOnly val="1"/>
    <c:dispBlanksAs val="span"/>
    <c:showDLblsOverMax val="1"/>
  </c:chart>
  <c:spPr>
    <a:solidFill>
      <a:srgbClr val="FFFFFF"/>
    </a:solidFill>
    <a:ln w="9360">
      <a:solidFill>
        <a:srgbClr val="D9D9D9"/>
      </a:solidFill>
      <a:round/>
    </a:ln>
  </c:sp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679" b="0" strike="noStrike" spc="-1">
                <a:solidFill>
                  <a:srgbClr val="595959"/>
                </a:solidFill>
                <a:latin typeface="Calibri"/>
              </a:defRPr>
            </a:pPr>
            <a:r>
              <a:rPr sz="1679" b="0" strike="noStrike" spc="-1">
                <a:solidFill>
                  <a:srgbClr val="595959"/>
                </a:solidFill>
                <a:latin typeface="Calibri"/>
              </a:rPr>
              <a:t>H2 storage lifetime in years</a:t>
            </a:r>
          </a:p>
        </c:rich>
      </c:tx>
      <c:overlay val="0"/>
      <c:spPr>
        <a:noFill/>
        <a:ln>
          <a:noFill/>
        </a:ln>
      </c:spPr>
    </c:title>
    <c:autoTitleDeleted val="0"/>
    <c:plotArea>
      <c:layout/>
      <c:barChart>
        <c:barDir val="col"/>
        <c:grouping val="clustered"/>
        <c:varyColors val="0"/>
        <c:ser>
          <c:idx val="0"/>
          <c:order val="0"/>
          <c:tx>
            <c:strRef>
              <c:f>'H2 storage'!$M$3</c:f>
              <c:strCache>
                <c:ptCount val="1"/>
              </c:strCache>
            </c:strRef>
          </c:tx>
          <c:spPr>
            <a:solidFill>
              <a:srgbClr val="ED7D31"/>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'H2 storage'!$M$10</c:f>
              <c:numCache>
                <c:formatCode>General</c:formatCode>
                <c:ptCount val="1"/>
              </c:numCache>
            </c:numRef>
          </c:val>
          <c:extLst>
            <c:ext xmlns:c16="http://schemas.microsoft.com/office/drawing/2014/chart" uri="{C3380CC4-5D6E-409C-BE32-E72D297353CC}">
              <c16:uniqueId val="{00000000-15A3-4C8B-9BB5-ECEC7E2C3018}"/>
            </c:ext>
          </c:extLst>
        </c:ser>
        <c:ser>
          <c:idx val="1"/>
          <c:order val="1"/>
          <c:tx>
            <c:strRef>
              <c:f>'H2 storage'!$N$3</c:f>
              <c:strCache>
                <c:ptCount val="1"/>
              </c:strCache>
            </c:strRef>
          </c:tx>
          <c:spPr>
            <a:solidFill>
              <a:srgbClr val="A5A5A5"/>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'H2 storage'!$N$7</c:f>
              <c:numCache>
                <c:formatCode>General</c:formatCode>
                <c:ptCount val="1"/>
              </c:numCache>
            </c:numRef>
          </c:val>
          <c:extLst>
            <c:ext xmlns:c16="http://schemas.microsoft.com/office/drawing/2014/chart" uri="{C3380CC4-5D6E-409C-BE32-E72D297353CC}">
              <c16:uniqueId val="{00000001-15A3-4C8B-9BB5-ECEC7E2C3018}"/>
            </c:ext>
          </c:extLst>
        </c:ser>
        <c:dLbls>
          <c:showLegendKey val="0"/>
          <c:showVal val="0"/>
          <c:showCatName val="0"/>
          <c:showSerName val="0"/>
          <c:showPercent val="0"/>
          <c:showBubbleSize val="0"/>
        </c:dLbls>
        <c:gapWidth val="150"/>
        <c:overlap val="-100"/>
        <c:axId val="80968022"/>
        <c:axId val="20121728"/>
      </c:barChart>
      <c:catAx>
        <c:axId val="80968022"/>
        <c:scaling>
          <c:orientation val="minMax"/>
        </c:scaling>
        <c:delete val="1"/>
        <c:axPos val="b"/>
        <c:numFmt formatCode="General" sourceLinked="1"/>
        <c:majorTickMark val="none"/>
        <c:minorTickMark val="none"/>
        <c:tickLblPos val="nextTo"/>
        <c:crossAx val="20121728"/>
        <c:crosses val="autoZero"/>
        <c:auto val="1"/>
        <c:lblAlgn val="ctr"/>
        <c:lblOffset val="100"/>
        <c:noMultiLvlLbl val="1"/>
      </c:catAx>
      <c:valAx>
        <c:axId val="20121728"/>
        <c:scaling>
          <c:orientation val="minMax"/>
          <c:min val="0"/>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sz="1400" b="0" strike="noStrike" spc="-1">
                <a:solidFill>
                  <a:srgbClr val="595959"/>
                </a:solidFill>
                <a:latin typeface="Calibri"/>
              </a:defRPr>
            </a:pPr>
            <a:endParaRPr lang="en-US"/>
          </a:p>
        </c:txPr>
        <c:crossAx val="80968022"/>
        <c:crosses val="autoZero"/>
        <c:crossBetween val="between"/>
      </c:valAx>
      <c:spPr>
        <a:noFill/>
        <a:ln>
          <a:noFill/>
        </a:ln>
      </c:spPr>
    </c:plotArea>
    <c:legend>
      <c:legendPos val="b"/>
      <c:overlay val="0"/>
      <c:spPr>
        <a:noFill/>
        <a:ln>
          <a:noFill/>
        </a:ln>
      </c:spPr>
      <c:txPr>
        <a:bodyPr/>
        <a:lstStyle/>
        <a:p>
          <a:pPr>
            <a:defRPr sz="1400" b="0" strike="noStrike" spc="-1">
              <a:solidFill>
                <a:srgbClr val="595959"/>
              </a:solidFill>
              <a:latin typeface="Calibri"/>
            </a:defRPr>
          </a:pPr>
          <a:endParaRPr lang="en-US"/>
        </a:p>
      </c:txPr>
    </c:legend>
    <c:plotVisOnly val="1"/>
    <c:dispBlanksAs val="span"/>
    <c:showDLblsOverMax val="1"/>
  </c:chart>
  <c:spPr>
    <a:solidFill>
      <a:srgbClr val="FFFFFF"/>
    </a:solidFill>
    <a:ln w="9360">
      <a:solidFill>
        <a:srgbClr val="D9D9D9"/>
      </a:solidFill>
      <a:round/>
    </a:ln>
  </c:sp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679" b="0" strike="noStrike" spc="-1">
                <a:solidFill>
                  <a:srgbClr val="595959"/>
                </a:solidFill>
                <a:latin typeface="Calibri"/>
              </a:defRPr>
            </a:pPr>
            <a:r>
              <a:rPr sz="1679" b="0" strike="noStrike" spc="-1">
                <a:solidFill>
                  <a:srgbClr val="595959"/>
                </a:solidFill>
                <a:latin typeface="Calibri"/>
              </a:rPr>
              <a:t>Utility-Scale PV lifetime in years:
High / low scenario </a:t>
            </a:r>
          </a:p>
        </c:rich>
      </c:tx>
      <c:overlay val="0"/>
      <c:spPr>
        <a:noFill/>
        <a:ln>
          <a:noFill/>
        </a:ln>
      </c:spPr>
    </c:title>
    <c:autoTitleDeleted val="0"/>
    <c:plotArea>
      <c:layout/>
      <c:barChart>
        <c:barDir val="col"/>
        <c:grouping val="clustered"/>
        <c:varyColors val="0"/>
        <c:ser>
          <c:idx val="0"/>
          <c:order val="0"/>
          <c:tx>
            <c:strRef>
              <c:f>PV!$H$3</c:f>
              <c:strCache>
                <c:ptCount val="1"/>
                <c:pt idx="0">
                  <c:v>Vartiainen, 2020</c:v>
                </c:pt>
              </c:strCache>
            </c:strRef>
          </c:tx>
          <c:spPr>
            <a:solidFill>
              <a:srgbClr val="4472C4"/>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PV!$A$5</c:f>
              <c:numCache>
                <c:formatCode>General</c:formatCode>
                <c:ptCount val="1"/>
                <c:pt idx="0">
                  <c:v>2015</c:v>
                </c:pt>
              </c:numCache>
            </c:numRef>
          </c:cat>
          <c:val>
            <c:numRef>
              <c:f>PV!$H$5</c:f>
              <c:numCache>
                <c:formatCode>0</c:formatCode>
                <c:ptCount val="1"/>
                <c:pt idx="0">
                  <c:v>30</c:v>
                </c:pt>
              </c:numCache>
            </c:numRef>
          </c:val>
          <c:extLst>
            <c:ext xmlns:c16="http://schemas.microsoft.com/office/drawing/2014/chart" uri="{C3380CC4-5D6E-409C-BE32-E72D297353CC}">
              <c16:uniqueId val="{00000000-5A6E-493A-9864-58EF01913F4E}"/>
            </c:ext>
          </c:extLst>
        </c:ser>
        <c:ser>
          <c:idx val="1"/>
          <c:order val="1"/>
          <c:tx>
            <c:strRef>
              <c:f>PV!$I$3</c:f>
              <c:strCache>
                <c:ptCount val="1"/>
                <c:pt idx="0">
                  <c:v>Tsiropoulos, 2018 (ProRES scenario)</c:v>
                </c:pt>
              </c:strCache>
            </c:strRef>
          </c:tx>
          <c:spPr>
            <a:solidFill>
              <a:srgbClr val="A5A5A5"/>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PV!$A$5</c:f>
              <c:numCache>
                <c:formatCode>General</c:formatCode>
                <c:ptCount val="1"/>
                <c:pt idx="0">
                  <c:v>2015</c:v>
                </c:pt>
              </c:numCache>
            </c:numRef>
          </c:cat>
          <c:val>
            <c:numRef>
              <c:f>PV!$I$5</c:f>
              <c:numCache>
                <c:formatCode>0</c:formatCode>
                <c:ptCount val="1"/>
                <c:pt idx="0">
                  <c:v>25</c:v>
                </c:pt>
              </c:numCache>
            </c:numRef>
          </c:val>
          <c:extLst>
            <c:ext xmlns:c16="http://schemas.microsoft.com/office/drawing/2014/chart" uri="{C3380CC4-5D6E-409C-BE32-E72D297353CC}">
              <c16:uniqueId val="{00000001-5A6E-493A-9864-58EF01913F4E}"/>
            </c:ext>
          </c:extLst>
        </c:ser>
        <c:ser>
          <c:idx val="2"/>
          <c:order val="2"/>
          <c:tx>
            <c:strRef>
              <c:f>PV!$J$3</c:f>
              <c:strCache>
                <c:ptCount val="1"/>
                <c:pt idx="0">
                  <c:v>Agora, 2019 (reference scenario)</c:v>
                </c:pt>
              </c:strCache>
            </c:strRef>
          </c:tx>
          <c:spPr>
            <a:solidFill>
              <a:srgbClr val="FFC000"/>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PV!$A$5</c:f>
              <c:numCache>
                <c:formatCode>General</c:formatCode>
                <c:ptCount val="1"/>
                <c:pt idx="0">
                  <c:v>2015</c:v>
                </c:pt>
              </c:numCache>
            </c:numRef>
          </c:cat>
          <c:val>
            <c:numRef>
              <c:f>PV!$J$5</c:f>
              <c:numCache>
                <c:formatCode>0</c:formatCode>
                <c:ptCount val="1"/>
                <c:pt idx="0">
                  <c:v>25</c:v>
                </c:pt>
              </c:numCache>
            </c:numRef>
          </c:val>
          <c:extLst>
            <c:ext xmlns:c16="http://schemas.microsoft.com/office/drawing/2014/chart" uri="{C3380CC4-5D6E-409C-BE32-E72D297353CC}">
              <c16:uniqueId val="{00000002-5A6E-493A-9864-58EF01913F4E}"/>
            </c:ext>
          </c:extLst>
        </c:ser>
        <c:dLbls>
          <c:showLegendKey val="0"/>
          <c:showVal val="0"/>
          <c:showCatName val="0"/>
          <c:showSerName val="0"/>
          <c:showPercent val="0"/>
          <c:showBubbleSize val="0"/>
        </c:dLbls>
        <c:gapWidth val="150"/>
        <c:overlap val="-54"/>
        <c:axId val="81719577"/>
        <c:axId val="39251785"/>
      </c:barChart>
      <c:catAx>
        <c:axId val="81719577"/>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sz="1400" b="0" strike="noStrike" spc="-1">
                <a:solidFill>
                  <a:srgbClr val="595959"/>
                </a:solidFill>
                <a:latin typeface="Calibri"/>
              </a:defRPr>
            </a:pPr>
            <a:endParaRPr lang="en-US"/>
          </a:p>
        </c:txPr>
        <c:crossAx val="39251785"/>
        <c:crosses val="autoZero"/>
        <c:auto val="1"/>
        <c:lblAlgn val="ctr"/>
        <c:lblOffset val="100"/>
        <c:noMultiLvlLbl val="1"/>
      </c:catAx>
      <c:valAx>
        <c:axId val="39251785"/>
        <c:scaling>
          <c:orientation val="minMax"/>
          <c:min val="0"/>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sz="1400" b="0" strike="noStrike" spc="-1">
                <a:solidFill>
                  <a:srgbClr val="595959"/>
                </a:solidFill>
                <a:latin typeface="Calibri"/>
              </a:defRPr>
            </a:pPr>
            <a:endParaRPr lang="en-US"/>
          </a:p>
        </c:txPr>
        <c:crossAx val="81719577"/>
        <c:crosses val="autoZero"/>
        <c:crossBetween val="between"/>
      </c:valAx>
      <c:spPr>
        <a:noFill/>
        <a:ln>
          <a:noFill/>
        </a:ln>
      </c:spPr>
    </c:plotArea>
    <c:legend>
      <c:legendPos val="b"/>
      <c:overlay val="0"/>
      <c:spPr>
        <a:noFill/>
        <a:ln>
          <a:noFill/>
        </a:ln>
      </c:spPr>
      <c:txPr>
        <a:bodyPr/>
        <a:lstStyle/>
        <a:p>
          <a:pPr>
            <a:defRPr sz="1400" b="0" strike="noStrike" spc="-1">
              <a:solidFill>
                <a:srgbClr val="595959"/>
              </a:solidFill>
              <a:latin typeface="Calibri"/>
            </a:defRPr>
          </a:pPr>
          <a:endParaRPr lang="en-US"/>
        </a:p>
      </c:txPr>
    </c:legend>
    <c:plotVisOnly val="1"/>
    <c:dispBlanksAs val="span"/>
    <c:showDLblsOverMax val="1"/>
  </c:chart>
  <c:spPr>
    <a:solidFill>
      <a:srgbClr val="FFFFFF"/>
    </a:solidFill>
    <a:ln w="9360">
      <a:solidFill>
        <a:srgbClr val="D9D9D9"/>
      </a:solidFill>
      <a:round/>
    </a:ln>
  </c:spPr>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679" b="0" strike="noStrike" spc="-1">
                <a:solidFill>
                  <a:srgbClr val="595959"/>
                </a:solidFill>
                <a:latin typeface="Calibri"/>
              </a:defRPr>
            </a:pPr>
            <a:r>
              <a:rPr sz="1679" b="0" strike="noStrike" spc="-1">
                <a:solidFill>
                  <a:srgbClr val="595959"/>
                </a:solidFill>
                <a:latin typeface="Calibri"/>
              </a:rPr>
              <a:t>H2 storage cycle efficiency</a:t>
            </a:r>
          </a:p>
        </c:rich>
      </c:tx>
      <c:overlay val="0"/>
      <c:spPr>
        <a:noFill/>
        <a:ln>
          <a:noFill/>
        </a:ln>
      </c:spPr>
    </c:title>
    <c:autoTitleDeleted val="0"/>
    <c:plotArea>
      <c:layout/>
      <c:lineChart>
        <c:grouping val="standard"/>
        <c:varyColors val="0"/>
        <c:ser>
          <c:idx val="0"/>
          <c:order val="0"/>
          <c:tx>
            <c:strRef>
              <c:f>'H2 storage'!$Q$3</c:f>
              <c:strCache>
                <c:ptCount val="1"/>
              </c:strCache>
            </c:strRef>
          </c:tx>
          <c:spPr>
            <a:ln w="28440">
              <a:solidFill>
                <a:srgbClr val="4472C4"/>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'H2 storage'!$A$5:$A$40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'H2 storage'!$Q$5:$Q$40</c:f>
              <c:numCache>
                <c:formatCode>0%</c:formatCode>
                <c:ptCount val="36"/>
              </c:numCache>
            </c:numRef>
          </c:val>
          <c:smooth val="0"/>
          <c:extLst>
            <c:ext xmlns:c16="http://schemas.microsoft.com/office/drawing/2014/chart" uri="{C3380CC4-5D6E-409C-BE32-E72D297353CC}">
              <c16:uniqueId val="{00000000-400E-4B92-8E01-C753657AE9AC}"/>
            </c:ext>
          </c:extLst>
        </c:ser>
        <c:ser>
          <c:idx val="1"/>
          <c:order val="1"/>
          <c:tx>
            <c:strRef>
              <c:f>'H2 storage'!$R$3</c:f>
              <c:strCache>
                <c:ptCount val="1"/>
              </c:strCache>
            </c:strRef>
          </c:tx>
          <c:spPr>
            <a:ln w="28440">
              <a:solidFill>
                <a:srgbClr val="ED7D31"/>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'H2 storage'!$A$5:$A$40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'H2 storage'!$R$5:$R$40</c:f>
              <c:numCache>
                <c:formatCode>0%</c:formatCode>
                <c:ptCount val="36"/>
              </c:numCache>
            </c:numRef>
          </c:val>
          <c:smooth val="0"/>
          <c:extLst>
            <c:ext xmlns:c16="http://schemas.microsoft.com/office/drawing/2014/chart" uri="{C3380CC4-5D6E-409C-BE32-E72D297353CC}">
              <c16:uniqueId val="{00000001-400E-4B92-8E01-C753657AE9AC}"/>
            </c:ext>
          </c:extLst>
        </c:ser>
        <c:ser>
          <c:idx val="2"/>
          <c:order val="2"/>
          <c:tx>
            <c:strRef>
              <c:f>'H2 storage'!$S$3</c:f>
              <c:strCache>
                <c:ptCount val="1"/>
              </c:strCache>
            </c:strRef>
          </c:tx>
          <c:spPr>
            <a:ln w="28440">
              <a:solidFill>
                <a:srgbClr val="A5A5A5"/>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'H2 storage'!$A$5:$A$40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'H2 storage'!$S$5:$S$40</c:f>
              <c:numCache>
                <c:formatCode>0%</c:formatCode>
                <c:ptCount val="36"/>
              </c:numCache>
            </c:numRef>
          </c:val>
          <c:smooth val="0"/>
          <c:extLst>
            <c:ext xmlns:c16="http://schemas.microsoft.com/office/drawing/2014/chart" uri="{C3380CC4-5D6E-409C-BE32-E72D297353CC}">
              <c16:uniqueId val="{00000002-400E-4B92-8E01-C753657AE9AC}"/>
            </c:ext>
          </c:extLst>
        </c:ser>
        <c:ser>
          <c:idx val="3"/>
          <c:order val="3"/>
          <c:tx>
            <c:strRef>
              <c:f>'H2 storage'!$U$3</c:f>
              <c:strCache>
                <c:ptCount val="1"/>
              </c:strCache>
            </c:strRef>
          </c:tx>
          <c:spPr>
            <a:ln w="38160">
              <a:solidFill>
                <a:srgbClr val="70AD47"/>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'H2 storage'!$A$5:$A$40</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cat>
          <c:val>
            <c:numRef>
              <c:f>'H2 storage'!$U$5:$U$40</c:f>
              <c:numCache>
                <c:formatCode>0%</c:formatCode>
                <c:ptCount val="36"/>
              </c:numCache>
            </c:numRef>
          </c:val>
          <c:smooth val="0"/>
          <c:extLst>
            <c:ext xmlns:c16="http://schemas.microsoft.com/office/drawing/2014/chart" uri="{C3380CC4-5D6E-409C-BE32-E72D297353CC}">
              <c16:uniqueId val="{00000003-400E-4B92-8E01-C753657AE9AC}"/>
            </c:ext>
          </c:extLst>
        </c:ser>
        <c:dLbls>
          <c:showLegendKey val="0"/>
          <c:showVal val="0"/>
          <c:showCatName val="0"/>
          <c:showSerName val="0"/>
          <c:showPercent val="0"/>
          <c:showBubbleSize val="0"/>
        </c:dLbls>
        <c:hiLowLines>
          <c:spPr>
            <a:ln>
              <a:noFill/>
            </a:ln>
          </c:spPr>
        </c:hiLowLines>
        <c:smooth val="0"/>
        <c:axId val="62935584"/>
        <c:axId val="20329578"/>
      </c:lineChart>
      <c:catAx>
        <c:axId val="62935584"/>
        <c:scaling>
          <c:orientation val="minMax"/>
        </c:scaling>
        <c:delete val="0"/>
        <c:axPos val="b"/>
        <c:numFmt formatCode="General" sourceLinked="1"/>
        <c:majorTickMark val="out"/>
        <c:minorTickMark val="none"/>
        <c:tickLblPos val="nextTo"/>
        <c:spPr>
          <a:ln w="9360">
            <a:solidFill>
              <a:srgbClr val="D9D9D9"/>
            </a:solidFill>
            <a:round/>
          </a:ln>
        </c:spPr>
        <c:txPr>
          <a:bodyPr/>
          <a:lstStyle/>
          <a:p>
            <a:pPr>
              <a:defRPr sz="1400" b="0" strike="noStrike" spc="-1">
                <a:solidFill>
                  <a:srgbClr val="595959"/>
                </a:solidFill>
                <a:latin typeface="Calibri"/>
              </a:defRPr>
            </a:pPr>
            <a:endParaRPr lang="en-US"/>
          </a:p>
        </c:txPr>
        <c:crossAx val="20329578"/>
        <c:crosses val="autoZero"/>
        <c:auto val="1"/>
        <c:lblAlgn val="ctr"/>
        <c:lblOffset val="100"/>
        <c:noMultiLvlLbl val="1"/>
      </c:catAx>
      <c:valAx>
        <c:axId val="20329578"/>
        <c:scaling>
          <c:orientation val="minMax"/>
          <c:min val="0"/>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sz="1400" b="0" strike="noStrike" spc="-1">
                <a:solidFill>
                  <a:srgbClr val="595959"/>
                </a:solidFill>
                <a:latin typeface="Calibri"/>
              </a:defRPr>
            </a:pPr>
            <a:endParaRPr lang="en-US"/>
          </a:p>
        </c:txPr>
        <c:crossAx val="62935584"/>
        <c:crosses val="autoZero"/>
        <c:crossBetween val="midCat"/>
      </c:valAx>
      <c:spPr>
        <a:noFill/>
        <a:ln>
          <a:noFill/>
        </a:ln>
      </c:spPr>
    </c:plotArea>
    <c:legend>
      <c:legendPos val="b"/>
      <c:overlay val="0"/>
      <c:spPr>
        <a:noFill/>
        <a:ln>
          <a:noFill/>
        </a:ln>
      </c:spPr>
      <c:txPr>
        <a:bodyPr/>
        <a:lstStyle/>
        <a:p>
          <a:pPr>
            <a:defRPr sz="1400" b="0" strike="noStrike" spc="-1">
              <a:solidFill>
                <a:srgbClr val="595959"/>
              </a:solidFill>
              <a:latin typeface="Calibri"/>
            </a:defRPr>
          </a:pPr>
          <a:endParaRPr lang="en-US"/>
        </a:p>
      </c:txPr>
    </c:legend>
    <c:plotVisOnly val="1"/>
    <c:dispBlanksAs val="span"/>
    <c:showDLblsOverMax val="1"/>
  </c:chart>
  <c:spPr>
    <a:solidFill>
      <a:srgbClr val="FFFFFF"/>
    </a:solidFill>
    <a:ln w="9360">
      <a:solidFill>
        <a:srgbClr val="D9D9D9"/>
      </a:solidFill>
      <a:round/>
    </a:ln>
  </c:spPr>
  <c:printSettings>
    <c:headerFooter/>
    <c:pageMargins b="0.78740157499999996" l="0.7" r="0.7" t="0.78740157499999996" header="0.3" footer="0.3"/>
    <c:pageSetup/>
  </c:printSettings>
</c:chartSpace>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6.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11" Type="http://schemas.openxmlformats.org/officeDocument/2006/relationships/chart" Target="../charts/chart20.xml"/><Relationship Id="rId5" Type="http://schemas.openxmlformats.org/officeDocument/2006/relationships/chart" Target="../charts/chart14.xml"/><Relationship Id="rId10" Type="http://schemas.openxmlformats.org/officeDocument/2006/relationships/chart" Target="../charts/chart19.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6</xdr:col>
      <xdr:colOff>342900</xdr:colOff>
      <xdr:row>124</xdr:row>
      <xdr:rowOff>152400</xdr:rowOff>
    </xdr:from>
    <xdr:to>
      <xdr:col>7</xdr:col>
      <xdr:colOff>438150</xdr:colOff>
      <xdr:row>126</xdr:row>
      <xdr:rowOff>19050</xdr:rowOff>
    </xdr:to>
    <xdr:sp macro="" textlink="">
      <xdr:nvSpPr>
        <xdr:cNvPr id="2" name="Textfeld 1">
          <a:extLst>
            <a:ext uri="{FF2B5EF4-FFF2-40B4-BE49-F238E27FC236}">
              <a16:creationId xmlns:a16="http://schemas.microsoft.com/office/drawing/2014/main" id="{FD4E4F99-8074-4867-9EAE-8C9266803567}"/>
            </a:ext>
          </a:extLst>
        </xdr:cNvPr>
        <xdr:cNvSpPr txBox="1"/>
      </xdr:nvSpPr>
      <xdr:spPr>
        <a:xfrm>
          <a:off x="14839950" y="25736550"/>
          <a:ext cx="1000125"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Schmidt</a:t>
          </a:r>
        </a:p>
      </xdr:txBody>
    </xdr:sp>
    <xdr:clientData/>
  </xdr:twoCellAnchor>
  <xdr:twoCellAnchor>
    <xdr:from>
      <xdr:col>12</xdr:col>
      <xdr:colOff>1362075</xdr:colOff>
      <xdr:row>126</xdr:row>
      <xdr:rowOff>85725</xdr:rowOff>
    </xdr:from>
    <xdr:to>
      <xdr:col>12</xdr:col>
      <xdr:colOff>2362200</xdr:colOff>
      <xdr:row>127</xdr:row>
      <xdr:rowOff>152400</xdr:rowOff>
    </xdr:to>
    <xdr:sp macro="" textlink="">
      <xdr:nvSpPr>
        <xdr:cNvPr id="3" name="Textfeld 2">
          <a:extLst>
            <a:ext uri="{FF2B5EF4-FFF2-40B4-BE49-F238E27FC236}">
              <a16:creationId xmlns:a16="http://schemas.microsoft.com/office/drawing/2014/main" id="{55BB975E-B97F-4885-8A76-AF93038C00AC}"/>
            </a:ext>
          </a:extLst>
        </xdr:cNvPr>
        <xdr:cNvSpPr txBox="1"/>
      </xdr:nvSpPr>
      <xdr:spPr>
        <a:xfrm>
          <a:off x="21516975" y="26079450"/>
          <a:ext cx="1000125"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Fasihi</a:t>
          </a:r>
        </a:p>
      </xdr:txBody>
    </xdr:sp>
    <xdr:clientData/>
  </xdr:twoCellAnchor>
  <xdr:twoCellAnchor>
    <xdr:from>
      <xdr:col>8</xdr:col>
      <xdr:colOff>895350</xdr:colOff>
      <xdr:row>130</xdr:row>
      <xdr:rowOff>76200</xdr:rowOff>
    </xdr:from>
    <xdr:to>
      <xdr:col>9</xdr:col>
      <xdr:colOff>542925</xdr:colOff>
      <xdr:row>131</xdr:row>
      <xdr:rowOff>152400</xdr:rowOff>
    </xdr:to>
    <xdr:sp macro="" textlink="">
      <xdr:nvSpPr>
        <xdr:cNvPr id="4" name="Textfeld 3">
          <a:extLst>
            <a:ext uri="{FF2B5EF4-FFF2-40B4-BE49-F238E27FC236}">
              <a16:creationId xmlns:a16="http://schemas.microsoft.com/office/drawing/2014/main" id="{2D568695-B367-49FB-A509-8BC8DD5CD18A}"/>
            </a:ext>
          </a:extLst>
        </xdr:cNvPr>
        <xdr:cNvSpPr txBox="1"/>
      </xdr:nvSpPr>
      <xdr:spPr>
        <a:xfrm>
          <a:off x="17202150" y="26889075"/>
          <a:ext cx="1000125"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König</a:t>
          </a:r>
        </a:p>
      </xdr:txBody>
    </xdr:sp>
    <xdr:clientData/>
  </xdr:twoCellAnchor>
  <xdr:twoCellAnchor>
    <xdr:from>
      <xdr:col>8</xdr:col>
      <xdr:colOff>904875</xdr:colOff>
      <xdr:row>134</xdr:row>
      <xdr:rowOff>76200</xdr:rowOff>
    </xdr:from>
    <xdr:to>
      <xdr:col>9</xdr:col>
      <xdr:colOff>552450</xdr:colOff>
      <xdr:row>135</xdr:row>
      <xdr:rowOff>152400</xdr:rowOff>
    </xdr:to>
    <xdr:sp macro="" textlink="">
      <xdr:nvSpPr>
        <xdr:cNvPr id="5" name="Textfeld 4">
          <a:extLst>
            <a:ext uri="{FF2B5EF4-FFF2-40B4-BE49-F238E27FC236}">
              <a16:creationId xmlns:a16="http://schemas.microsoft.com/office/drawing/2014/main" id="{1C7BD6D1-420F-4D7B-B2B8-60A0EF458A3F}"/>
            </a:ext>
          </a:extLst>
        </xdr:cNvPr>
        <xdr:cNvSpPr txBox="1"/>
      </xdr:nvSpPr>
      <xdr:spPr>
        <a:xfrm>
          <a:off x="17211675" y="27698700"/>
          <a:ext cx="1000125"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Müller-Langer</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543600</xdr:colOff>
      <xdr:row>59</xdr:row>
      <xdr:rowOff>48240</xdr:rowOff>
    </xdr:to>
    <xdr:sp macro="" textlink="">
      <xdr:nvSpPr>
        <xdr:cNvPr id="2" name="CustomShape 1" hidden="1">
          <a:extLst>
            <a:ext uri="{FF2B5EF4-FFF2-40B4-BE49-F238E27FC236}">
              <a16:creationId xmlns:a16="http://schemas.microsoft.com/office/drawing/2014/main" id="{00000000-0008-0000-0100-000002000000}"/>
            </a:ext>
          </a:extLst>
        </xdr:cNvPr>
        <xdr:cNvSpPr/>
      </xdr:nvSpPr>
      <xdr:spPr>
        <a:xfrm>
          <a:off x="0" y="0"/>
          <a:ext cx="16044480" cy="1269720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4</xdr:col>
      <xdr:colOff>962025</xdr:colOff>
      <xdr:row>44</xdr:row>
      <xdr:rowOff>76200</xdr:rowOff>
    </xdr:to>
    <xdr:sp macro="" textlink="">
      <xdr:nvSpPr>
        <xdr:cNvPr id="1026" name="shapetype_202" hidden="1">
          <a:extLst>
            <a:ext uri="{FF2B5EF4-FFF2-40B4-BE49-F238E27FC236}">
              <a16:creationId xmlns:a16="http://schemas.microsoft.com/office/drawing/2014/main" id="{00000000-0008-0000-01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101520</xdr:colOff>
      <xdr:row>32</xdr:row>
      <xdr:rowOff>88920</xdr:rowOff>
    </xdr:from>
    <xdr:to>
      <xdr:col>16</xdr:col>
      <xdr:colOff>632160</xdr:colOff>
      <xdr:row>48</xdr:row>
      <xdr:rowOff>73440</xdr:rowOff>
    </xdr:to>
    <xdr:pic>
      <xdr:nvPicPr>
        <xdr:cNvPr id="2" name="Grafik 1">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10595880" y="6591240"/>
          <a:ext cx="9857520" cy="470880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23</xdr:col>
      <xdr:colOff>495720</xdr:colOff>
      <xdr:row>40</xdr:row>
      <xdr:rowOff>139680</xdr:rowOff>
    </xdr:from>
    <xdr:to>
      <xdr:col>30</xdr:col>
      <xdr:colOff>848520</xdr:colOff>
      <xdr:row>60</xdr:row>
      <xdr:rowOff>149760</xdr:rowOff>
    </xdr:to>
    <xdr:graphicFrame macro="">
      <xdr:nvGraphicFramePr>
        <xdr:cNvPr id="2" name="Diagramm 6">
          <a:extLst>
            <a:ext uri="{FF2B5EF4-FFF2-40B4-BE49-F238E27FC236}">
              <a16:creationId xmlns:a16="http://schemas.microsoft.com/office/drawing/2014/main" id="{00000000-0008-0000-0E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23</xdr:col>
      <xdr:colOff>152640</xdr:colOff>
      <xdr:row>40</xdr:row>
      <xdr:rowOff>139680</xdr:rowOff>
    </xdr:from>
    <xdr:to>
      <xdr:col>33</xdr:col>
      <xdr:colOff>263880</xdr:colOff>
      <xdr:row>60</xdr:row>
      <xdr:rowOff>149760</xdr:rowOff>
    </xdr:to>
    <xdr:graphicFrame macro="">
      <xdr:nvGraphicFramePr>
        <xdr:cNvPr id="3" name="Diagramm 7">
          <a:extLst>
            <a:ext uri="{FF2B5EF4-FFF2-40B4-BE49-F238E27FC236}">
              <a16:creationId xmlns:a16="http://schemas.microsoft.com/office/drawing/2014/main" id="{00000000-0008-0000-0E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241200</xdr:colOff>
      <xdr:row>40</xdr:row>
      <xdr:rowOff>165240</xdr:rowOff>
    </xdr:from>
    <xdr:to>
      <xdr:col>5</xdr:col>
      <xdr:colOff>848520</xdr:colOff>
      <xdr:row>60</xdr:row>
      <xdr:rowOff>174960</xdr:rowOff>
    </xdr:to>
    <xdr:graphicFrame macro="">
      <xdr:nvGraphicFramePr>
        <xdr:cNvPr id="4" name="Diagramm 1">
          <a:extLst>
            <a:ext uri="{FF2B5EF4-FFF2-40B4-BE49-F238E27FC236}">
              <a16:creationId xmlns:a16="http://schemas.microsoft.com/office/drawing/2014/main" id="{00000000-0008-0000-0F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152280</xdr:colOff>
      <xdr:row>40</xdr:row>
      <xdr:rowOff>165240</xdr:rowOff>
    </xdr:from>
    <xdr:to>
      <xdr:col>10</xdr:col>
      <xdr:colOff>848520</xdr:colOff>
      <xdr:row>60</xdr:row>
      <xdr:rowOff>174960</xdr:rowOff>
    </xdr:to>
    <xdr:graphicFrame macro="">
      <xdr:nvGraphicFramePr>
        <xdr:cNvPr id="5" name="Diagramm 2">
          <a:extLst>
            <a:ext uri="{FF2B5EF4-FFF2-40B4-BE49-F238E27FC236}">
              <a16:creationId xmlns:a16="http://schemas.microsoft.com/office/drawing/2014/main" id="{00000000-0008-0000-0F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495360</xdr:colOff>
      <xdr:row>40</xdr:row>
      <xdr:rowOff>139680</xdr:rowOff>
    </xdr:from>
    <xdr:to>
      <xdr:col>15</xdr:col>
      <xdr:colOff>848520</xdr:colOff>
      <xdr:row>60</xdr:row>
      <xdr:rowOff>149400</xdr:rowOff>
    </xdr:to>
    <xdr:graphicFrame macro="">
      <xdr:nvGraphicFramePr>
        <xdr:cNvPr id="6" name="Diagramm 3">
          <a:extLst>
            <a:ext uri="{FF2B5EF4-FFF2-40B4-BE49-F238E27FC236}">
              <a16:creationId xmlns:a16="http://schemas.microsoft.com/office/drawing/2014/main" id="{00000000-0008-0000-0F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152280</xdr:colOff>
      <xdr:row>40</xdr:row>
      <xdr:rowOff>165240</xdr:rowOff>
    </xdr:from>
    <xdr:to>
      <xdr:col>10</xdr:col>
      <xdr:colOff>848520</xdr:colOff>
      <xdr:row>60</xdr:row>
      <xdr:rowOff>174960</xdr:rowOff>
    </xdr:to>
    <xdr:graphicFrame macro="">
      <xdr:nvGraphicFramePr>
        <xdr:cNvPr id="7" name="Diagramm 4">
          <a:extLst>
            <a:ext uri="{FF2B5EF4-FFF2-40B4-BE49-F238E27FC236}">
              <a16:creationId xmlns:a16="http://schemas.microsoft.com/office/drawing/2014/main" id="{00000000-0008-0000-0F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152280</xdr:colOff>
      <xdr:row>40</xdr:row>
      <xdr:rowOff>139680</xdr:rowOff>
    </xdr:from>
    <xdr:to>
      <xdr:col>15</xdr:col>
      <xdr:colOff>848520</xdr:colOff>
      <xdr:row>60</xdr:row>
      <xdr:rowOff>149400</xdr:rowOff>
    </xdr:to>
    <xdr:graphicFrame macro="">
      <xdr:nvGraphicFramePr>
        <xdr:cNvPr id="8" name="Diagramm 5">
          <a:extLst>
            <a:ext uri="{FF2B5EF4-FFF2-40B4-BE49-F238E27FC236}">
              <a16:creationId xmlns:a16="http://schemas.microsoft.com/office/drawing/2014/main" id="{00000000-0008-0000-0F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495360</xdr:colOff>
      <xdr:row>40</xdr:row>
      <xdr:rowOff>139680</xdr:rowOff>
    </xdr:from>
    <xdr:to>
      <xdr:col>20</xdr:col>
      <xdr:colOff>848880</xdr:colOff>
      <xdr:row>60</xdr:row>
      <xdr:rowOff>149400</xdr:rowOff>
    </xdr:to>
    <xdr:graphicFrame macro="">
      <xdr:nvGraphicFramePr>
        <xdr:cNvPr id="9" name="Diagramm 6">
          <a:extLst>
            <a:ext uri="{FF2B5EF4-FFF2-40B4-BE49-F238E27FC236}">
              <a16:creationId xmlns:a16="http://schemas.microsoft.com/office/drawing/2014/main" id="{00000000-0008-0000-0F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16</xdr:col>
      <xdr:colOff>152280</xdr:colOff>
      <xdr:row>40</xdr:row>
      <xdr:rowOff>139680</xdr:rowOff>
    </xdr:from>
    <xdr:to>
      <xdr:col>20</xdr:col>
      <xdr:colOff>848880</xdr:colOff>
      <xdr:row>60</xdr:row>
      <xdr:rowOff>149400</xdr:rowOff>
    </xdr:to>
    <xdr:graphicFrame macro="">
      <xdr:nvGraphicFramePr>
        <xdr:cNvPr id="10" name="Diagramm 7">
          <a:extLst>
            <a:ext uri="{FF2B5EF4-FFF2-40B4-BE49-F238E27FC236}">
              <a16:creationId xmlns:a16="http://schemas.microsoft.com/office/drawing/2014/main" id="{00000000-0008-0000-0F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241200</xdr:colOff>
      <xdr:row>40</xdr:row>
      <xdr:rowOff>165240</xdr:rowOff>
    </xdr:from>
    <xdr:to>
      <xdr:col>3</xdr:col>
      <xdr:colOff>146970</xdr:colOff>
      <xdr:row>60</xdr:row>
      <xdr:rowOff>174960</xdr:rowOff>
    </xdr:to>
    <xdr:graphicFrame macro="">
      <xdr:nvGraphicFramePr>
        <xdr:cNvPr id="11" name="Diagramm 6">
          <a:extLst>
            <a:ext uri="{FF2B5EF4-FFF2-40B4-BE49-F238E27FC236}">
              <a16:creationId xmlns:a16="http://schemas.microsoft.com/office/drawing/2014/main" id="{00000000-0008-0000-1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152280</xdr:colOff>
      <xdr:row>40</xdr:row>
      <xdr:rowOff>165240</xdr:rowOff>
    </xdr:from>
    <xdr:to>
      <xdr:col>7</xdr:col>
      <xdr:colOff>3270</xdr:colOff>
      <xdr:row>60</xdr:row>
      <xdr:rowOff>174960</xdr:rowOff>
    </xdr:to>
    <xdr:graphicFrame macro="">
      <xdr:nvGraphicFramePr>
        <xdr:cNvPr id="12" name="Diagramm 7">
          <a:extLst>
            <a:ext uri="{FF2B5EF4-FFF2-40B4-BE49-F238E27FC236}">
              <a16:creationId xmlns:a16="http://schemas.microsoft.com/office/drawing/2014/main" id="{00000000-0008-0000-10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495360</xdr:colOff>
      <xdr:row>40</xdr:row>
      <xdr:rowOff>139680</xdr:rowOff>
    </xdr:from>
    <xdr:to>
      <xdr:col>11</xdr:col>
      <xdr:colOff>2925</xdr:colOff>
      <xdr:row>60</xdr:row>
      <xdr:rowOff>149400</xdr:rowOff>
    </xdr:to>
    <xdr:graphicFrame macro="">
      <xdr:nvGraphicFramePr>
        <xdr:cNvPr id="13" name="Diagramm 8">
          <a:extLst>
            <a:ext uri="{FF2B5EF4-FFF2-40B4-BE49-F238E27FC236}">
              <a16:creationId xmlns:a16="http://schemas.microsoft.com/office/drawing/2014/main" id="{00000000-0008-0000-10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152280</xdr:colOff>
      <xdr:row>40</xdr:row>
      <xdr:rowOff>165240</xdr:rowOff>
    </xdr:from>
    <xdr:to>
      <xdr:col>7</xdr:col>
      <xdr:colOff>3270</xdr:colOff>
      <xdr:row>60</xdr:row>
      <xdr:rowOff>174960</xdr:rowOff>
    </xdr:to>
    <xdr:graphicFrame macro="">
      <xdr:nvGraphicFramePr>
        <xdr:cNvPr id="14" name="Diagramm 9">
          <a:extLst>
            <a:ext uri="{FF2B5EF4-FFF2-40B4-BE49-F238E27FC236}">
              <a16:creationId xmlns:a16="http://schemas.microsoft.com/office/drawing/2014/main" id="{00000000-0008-0000-10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152280</xdr:colOff>
      <xdr:row>40</xdr:row>
      <xdr:rowOff>139680</xdr:rowOff>
    </xdr:from>
    <xdr:to>
      <xdr:col>11</xdr:col>
      <xdr:colOff>115200</xdr:colOff>
      <xdr:row>60</xdr:row>
      <xdr:rowOff>149400</xdr:rowOff>
    </xdr:to>
    <xdr:graphicFrame macro="">
      <xdr:nvGraphicFramePr>
        <xdr:cNvPr id="15" name="Diagramm 10">
          <a:extLst>
            <a:ext uri="{FF2B5EF4-FFF2-40B4-BE49-F238E27FC236}">
              <a16:creationId xmlns:a16="http://schemas.microsoft.com/office/drawing/2014/main" id="{00000000-0008-0000-10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241200</xdr:colOff>
      <xdr:row>40</xdr:row>
      <xdr:rowOff>165240</xdr:rowOff>
    </xdr:from>
    <xdr:to>
      <xdr:col>3</xdr:col>
      <xdr:colOff>146970</xdr:colOff>
      <xdr:row>60</xdr:row>
      <xdr:rowOff>174960</xdr:rowOff>
    </xdr:to>
    <xdr:graphicFrame macro="">
      <xdr:nvGraphicFramePr>
        <xdr:cNvPr id="16" name="Diagramm 11">
          <a:extLst>
            <a:ext uri="{FF2B5EF4-FFF2-40B4-BE49-F238E27FC236}">
              <a16:creationId xmlns:a16="http://schemas.microsoft.com/office/drawing/2014/main" id="{00000000-0008-0000-10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5</xdr:col>
      <xdr:colOff>152280</xdr:colOff>
      <xdr:row>40</xdr:row>
      <xdr:rowOff>165240</xdr:rowOff>
    </xdr:from>
    <xdr:to>
      <xdr:col>7</xdr:col>
      <xdr:colOff>3270</xdr:colOff>
      <xdr:row>60</xdr:row>
      <xdr:rowOff>174960</xdr:rowOff>
    </xdr:to>
    <xdr:graphicFrame macro="">
      <xdr:nvGraphicFramePr>
        <xdr:cNvPr id="17" name="Diagramm 12">
          <a:extLst>
            <a:ext uri="{FF2B5EF4-FFF2-40B4-BE49-F238E27FC236}">
              <a16:creationId xmlns:a16="http://schemas.microsoft.com/office/drawing/2014/main" id="{00000000-0008-0000-10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9</xdr:col>
      <xdr:colOff>495360</xdr:colOff>
      <xdr:row>40</xdr:row>
      <xdr:rowOff>139680</xdr:rowOff>
    </xdr:from>
    <xdr:to>
      <xdr:col>11</xdr:col>
      <xdr:colOff>2925</xdr:colOff>
      <xdr:row>60</xdr:row>
      <xdr:rowOff>149400</xdr:rowOff>
    </xdr:to>
    <xdr:graphicFrame macro="">
      <xdr:nvGraphicFramePr>
        <xdr:cNvPr id="18" name="Diagramm 13">
          <a:extLst>
            <a:ext uri="{FF2B5EF4-FFF2-40B4-BE49-F238E27FC236}">
              <a16:creationId xmlns:a16="http://schemas.microsoft.com/office/drawing/2014/main" id="{00000000-0008-0000-10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5</xdr:col>
      <xdr:colOff>152280</xdr:colOff>
      <xdr:row>40</xdr:row>
      <xdr:rowOff>165240</xdr:rowOff>
    </xdr:from>
    <xdr:to>
      <xdr:col>7</xdr:col>
      <xdr:colOff>1000440</xdr:colOff>
      <xdr:row>60</xdr:row>
      <xdr:rowOff>174960</xdr:rowOff>
    </xdr:to>
    <xdr:graphicFrame macro="">
      <xdr:nvGraphicFramePr>
        <xdr:cNvPr id="19" name="Diagramm 14">
          <a:extLst>
            <a:ext uri="{FF2B5EF4-FFF2-40B4-BE49-F238E27FC236}">
              <a16:creationId xmlns:a16="http://schemas.microsoft.com/office/drawing/2014/main" id="{00000000-0008-0000-10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9</xdr:col>
      <xdr:colOff>152280</xdr:colOff>
      <xdr:row>40</xdr:row>
      <xdr:rowOff>139680</xdr:rowOff>
    </xdr:from>
    <xdr:to>
      <xdr:col>11</xdr:col>
      <xdr:colOff>115200</xdr:colOff>
      <xdr:row>60</xdr:row>
      <xdr:rowOff>149400</xdr:rowOff>
    </xdr:to>
    <xdr:graphicFrame macro="">
      <xdr:nvGraphicFramePr>
        <xdr:cNvPr id="20" name="Diagramm 15">
          <a:extLst>
            <a:ext uri="{FF2B5EF4-FFF2-40B4-BE49-F238E27FC236}">
              <a16:creationId xmlns:a16="http://schemas.microsoft.com/office/drawing/2014/main" id="{00000000-0008-0000-10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13</xdr:col>
      <xdr:colOff>177840</xdr:colOff>
      <xdr:row>40</xdr:row>
      <xdr:rowOff>139680</xdr:rowOff>
    </xdr:from>
    <xdr:to>
      <xdr:col>14</xdr:col>
      <xdr:colOff>2257920</xdr:colOff>
      <xdr:row>60</xdr:row>
      <xdr:rowOff>149400</xdr:rowOff>
    </xdr:to>
    <xdr:graphicFrame macro="">
      <xdr:nvGraphicFramePr>
        <xdr:cNvPr id="21" name="Diagramm 16">
          <a:extLst>
            <a:ext uri="{FF2B5EF4-FFF2-40B4-BE49-F238E27FC236}">
              <a16:creationId xmlns:a16="http://schemas.microsoft.com/office/drawing/2014/main" id="{00000000-0008-0000-10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engineeringtoolbox.com/fuels-higher-calorific-values-d_169.html" TargetMode="External"/><Relationship Id="rId7" Type="http://schemas.openxmlformats.org/officeDocument/2006/relationships/hyperlink" Target="https://www.engineeringtoolbox.com/fuels-higher-calorific-values-d_169.html" TargetMode="External"/><Relationship Id="rId2" Type="http://schemas.openxmlformats.org/officeDocument/2006/relationships/hyperlink" Target="https://www.engineeringtoolbox.com/fuels-higher-calorific-values-d_169.html" TargetMode="External"/><Relationship Id="rId1" Type="http://schemas.openxmlformats.org/officeDocument/2006/relationships/hyperlink" Target="https://www.tesla.com/en_AU/blog/introducing-megapack-utility-scale-energy-storage" TargetMode="External"/><Relationship Id="rId6" Type="http://schemas.openxmlformats.org/officeDocument/2006/relationships/hyperlink" Target="https://www.engineeringtoolbox.com/fuels-higher-calorific-values-d_169.html" TargetMode="External"/><Relationship Id="rId5" Type="http://schemas.openxmlformats.org/officeDocument/2006/relationships/hyperlink" Target="https://www.engineeringtoolbox.com/fuels-higher-calorific-values-d_169.html" TargetMode="External"/><Relationship Id="rId4" Type="http://schemas.openxmlformats.org/officeDocument/2006/relationships/hyperlink" Target="https://www.engineeringtoolbox.com/fuels-higher-calorific-values-d_169.html" TargetMode="External"/><Relationship Id="rId9"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8.xml.rels><?xml version="1.0" encoding="UTF-8" standalone="yes"?>
<Relationships xmlns="http://schemas.openxmlformats.org/package/2006/relationships"><Relationship Id="rId2" Type="http://schemas.openxmlformats.org/officeDocument/2006/relationships/hyperlink" Target="https://www.engineeringtoolbox.com/fuels-higher-calorific-values-d_169.html" TargetMode="External"/><Relationship Id="rId1" Type="http://schemas.openxmlformats.org/officeDocument/2006/relationships/hyperlink" Target="https://www.engineeringtoolbox.com/fuels-higher-calorific-values-d_169.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s://www.tesla.com/en_AU/blog/introducing-megapack-utility-scale-energy-storage" TargetMode="External"/><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75"/>
  <sheetViews>
    <sheetView tabSelected="1" topLeftCell="A126" zoomScaleNormal="100" workbookViewId="0">
      <selection activeCell="D167" sqref="D167"/>
    </sheetView>
  </sheetViews>
  <sheetFormatPr baseColWidth="10" defaultColWidth="9" defaultRowHeight="16"/>
  <cols>
    <col min="1" max="1" width="44.83203125" customWidth="1"/>
    <col min="2" max="2" width="34.6640625" customWidth="1"/>
    <col min="3" max="3" width="11.6640625" customWidth="1"/>
    <col min="4" max="4" width="71.5" customWidth="1"/>
    <col min="5" max="5" width="11.83203125" customWidth="1"/>
    <col min="6" max="6" width="15.6640625" customWidth="1"/>
    <col min="7" max="8" width="11.83203125" customWidth="1"/>
    <col min="9" max="9" width="17.6640625" customWidth="1"/>
    <col min="10" max="11" width="10.6640625" customWidth="1"/>
    <col min="12" max="12" width="11.5" customWidth="1"/>
    <col min="13" max="13" width="32" customWidth="1"/>
    <col min="14" max="14" width="16.33203125" customWidth="1"/>
    <col min="15" max="15" width="30.83203125" customWidth="1"/>
    <col min="16" max="1029" width="10.6640625" customWidth="1"/>
  </cols>
  <sheetData>
    <row r="1" spans="1:19" ht="68">
      <c r="A1" s="1" t="s">
        <v>0</v>
      </c>
      <c r="B1" s="2" t="s">
        <v>1</v>
      </c>
      <c r="C1" s="3" t="s">
        <v>2</v>
      </c>
      <c r="D1" s="4" t="s">
        <v>3</v>
      </c>
      <c r="E1" s="5" t="s">
        <v>4</v>
      </c>
      <c r="F1" s="5"/>
      <c r="G1" s="5"/>
      <c r="H1" s="5"/>
      <c r="I1" s="5"/>
      <c r="J1" s="5"/>
      <c r="K1" s="6" t="s">
        <v>5</v>
      </c>
    </row>
    <row r="3" spans="1:19" s="137" customFormat="1" ht="17" thickBot="1">
      <c r="A3" s="93" t="s">
        <v>6</v>
      </c>
      <c r="B3" s="93" t="s">
        <v>7</v>
      </c>
      <c r="C3" s="93" t="s">
        <v>8</v>
      </c>
      <c r="D3" s="93" t="s">
        <v>9</v>
      </c>
      <c r="E3" s="93" t="s">
        <v>10</v>
      </c>
      <c r="F3" s="93"/>
      <c r="G3" s="93"/>
      <c r="H3" s="93"/>
      <c r="I3" s="93"/>
      <c r="J3" s="93"/>
      <c r="K3" s="93" t="s">
        <v>11</v>
      </c>
    </row>
    <row r="4" spans="1:19" s="137" customFormat="1" ht="17" thickBot="1">
      <c r="A4" s="87" t="s">
        <v>12</v>
      </c>
      <c r="B4" s="137" t="s">
        <v>13</v>
      </c>
      <c r="C4" s="169">
        <v>10</v>
      </c>
      <c r="D4" s="87" t="s">
        <v>546</v>
      </c>
      <c r="E4" s="93"/>
      <c r="F4" s="93"/>
      <c r="G4" s="93"/>
      <c r="H4" s="93"/>
      <c r="I4" s="93"/>
      <c r="J4" s="93"/>
      <c r="K4" s="93"/>
      <c r="L4" s="170">
        <f>C4*10^9*3600/C142</f>
        <v>837209.30232558143</v>
      </c>
      <c r="M4" s="137" t="s">
        <v>14</v>
      </c>
      <c r="N4" s="171">
        <f>L4/C145</f>
        <v>269372.36239561823</v>
      </c>
      <c r="O4" s="137" t="s">
        <v>15</v>
      </c>
      <c r="P4" s="171">
        <f>N4/constants!C3</f>
        <v>6413.6276760861483</v>
      </c>
      <c r="Q4" s="137" t="s">
        <v>16</v>
      </c>
      <c r="R4" s="171">
        <f>N4*3.79</f>
        <v>1020921.2534793931</v>
      </c>
      <c r="S4" s="137" t="s">
        <v>17</v>
      </c>
    </row>
    <row r="5" spans="1:19" s="10" customFormat="1">
      <c r="A5" s="9"/>
      <c r="C5" s="9"/>
      <c r="D5" s="9"/>
      <c r="E5" s="9"/>
      <c r="F5" s="9"/>
      <c r="G5" s="9"/>
      <c r="H5" s="9"/>
      <c r="I5" s="9"/>
      <c r="J5" s="9"/>
      <c r="K5" s="9"/>
    </row>
    <row r="6" spans="1:19" s="137" customFormat="1" ht="17" thickBot="1">
      <c r="A6" s="87" t="s">
        <v>18</v>
      </c>
      <c r="C6" s="87"/>
      <c r="D6" s="87"/>
      <c r="E6" s="87"/>
      <c r="F6" s="87"/>
      <c r="G6" s="87"/>
      <c r="H6" s="87"/>
      <c r="I6" s="87"/>
      <c r="J6" s="87"/>
      <c r="K6" s="87"/>
    </row>
    <row r="7" spans="1:19">
      <c r="A7" t="s">
        <v>19</v>
      </c>
      <c r="B7" t="s">
        <v>20</v>
      </c>
      <c r="C7" s="12">
        <v>6</v>
      </c>
      <c r="D7" t="s">
        <v>21</v>
      </c>
      <c r="E7" t="s">
        <v>22</v>
      </c>
      <c r="F7" s="147" t="s">
        <v>548</v>
      </c>
      <c r="G7" t="s">
        <v>544</v>
      </c>
      <c r="I7">
        <v>15</v>
      </c>
      <c r="J7" t="s">
        <v>545</v>
      </c>
    </row>
    <row r="8" spans="1:19">
      <c r="A8" t="s">
        <v>23</v>
      </c>
      <c r="B8" t="s">
        <v>24</v>
      </c>
      <c r="C8" s="13">
        <v>1000000</v>
      </c>
      <c r="D8" t="s">
        <v>25</v>
      </c>
    </row>
    <row r="9" spans="1:19">
      <c r="A9" t="s">
        <v>26</v>
      </c>
      <c r="B9" t="s">
        <v>27</v>
      </c>
      <c r="C9" s="14">
        <v>0</v>
      </c>
      <c r="D9" t="s">
        <v>25</v>
      </c>
    </row>
    <row r="10" spans="1:19">
      <c r="A10" t="s">
        <v>28</v>
      </c>
      <c r="B10" t="s">
        <v>29</v>
      </c>
      <c r="C10" s="15">
        <v>1760</v>
      </c>
      <c r="D10" t="s">
        <v>30</v>
      </c>
      <c r="E10" t="s">
        <v>31</v>
      </c>
    </row>
    <row r="11" spans="1:19">
      <c r="A11" t="s">
        <v>32</v>
      </c>
      <c r="B11" t="s">
        <v>33</v>
      </c>
      <c r="C11" s="12">
        <v>0.03</v>
      </c>
      <c r="D11" t="s">
        <v>34</v>
      </c>
      <c r="E11" t="s">
        <v>31</v>
      </c>
    </row>
    <row r="12" spans="1:19">
      <c r="A12" t="s">
        <v>35</v>
      </c>
      <c r="B12" t="s">
        <v>36</v>
      </c>
      <c r="C12" s="12">
        <v>1290</v>
      </c>
      <c r="D12" t="s">
        <v>30</v>
      </c>
      <c r="E12" t="s">
        <v>31</v>
      </c>
    </row>
    <row r="13" spans="1:19">
      <c r="A13" t="s">
        <v>37</v>
      </c>
      <c r="B13" t="s">
        <v>38</v>
      </c>
      <c r="C13" s="12">
        <v>0.03</v>
      </c>
      <c r="D13" t="s">
        <v>34</v>
      </c>
      <c r="E13" t="s">
        <v>31</v>
      </c>
    </row>
    <row r="14" spans="1:19">
      <c r="A14" t="s">
        <v>39</v>
      </c>
      <c r="B14" t="s">
        <v>40</v>
      </c>
      <c r="C14" s="12">
        <v>1040</v>
      </c>
      <c r="D14" t="s">
        <v>30</v>
      </c>
      <c r="E14" t="s">
        <v>31</v>
      </c>
    </row>
    <row r="15" spans="1:19">
      <c r="A15" t="s">
        <v>41</v>
      </c>
      <c r="B15" t="s">
        <v>42</v>
      </c>
      <c r="C15" s="12">
        <v>0.03</v>
      </c>
      <c r="D15" t="s">
        <v>34</v>
      </c>
      <c r="E15" t="s">
        <v>31</v>
      </c>
    </row>
    <row r="16" spans="1:19">
      <c r="A16" t="s">
        <v>43</v>
      </c>
      <c r="B16" s="16" t="s">
        <v>44</v>
      </c>
      <c r="C16" s="148">
        <v>30</v>
      </c>
      <c r="D16" t="s">
        <v>45</v>
      </c>
    </row>
    <row r="17" spans="1:11">
      <c r="A17" t="s">
        <v>46</v>
      </c>
      <c r="B17" t="s">
        <v>47</v>
      </c>
      <c r="C17" s="12">
        <v>25</v>
      </c>
      <c r="D17" t="s">
        <v>45</v>
      </c>
      <c r="E17" t="s">
        <v>31</v>
      </c>
    </row>
    <row r="18" spans="1:11" s="137" customFormat="1" ht="17" thickBot="1">
      <c r="A18" s="137" t="s">
        <v>49</v>
      </c>
      <c r="B18" s="87" t="s">
        <v>50</v>
      </c>
      <c r="C18" s="168">
        <v>20</v>
      </c>
      <c r="D18" s="137" t="s">
        <v>45</v>
      </c>
      <c r="E18" s="137" t="s">
        <v>547</v>
      </c>
      <c r="F18" s="137">
        <v>20</v>
      </c>
      <c r="G18" s="137" t="s">
        <v>549</v>
      </c>
    </row>
    <row r="19" spans="1:11">
      <c r="B19" s="16"/>
    </row>
    <row r="20" spans="1:11" s="137" customFormat="1" ht="17" thickBot="1">
      <c r="A20" s="87" t="s">
        <v>51</v>
      </c>
      <c r="C20" s="87"/>
      <c r="D20" s="87"/>
      <c r="E20" s="87"/>
      <c r="F20" s="87"/>
      <c r="G20" s="87"/>
      <c r="H20" s="87"/>
      <c r="I20" s="87"/>
      <c r="J20" s="87"/>
      <c r="K20" s="87"/>
    </row>
    <row r="21" spans="1:11">
      <c r="A21" t="s">
        <v>19</v>
      </c>
      <c r="B21" t="s">
        <v>52</v>
      </c>
      <c r="C21" s="3">
        <v>7</v>
      </c>
      <c r="D21" t="s">
        <v>21</v>
      </c>
      <c r="E21" s="8" t="s">
        <v>53</v>
      </c>
      <c r="F21" s="8"/>
      <c r="G21" s="8"/>
      <c r="H21" s="8"/>
      <c r="I21" s="8"/>
      <c r="J21" s="8"/>
    </row>
    <row r="22" spans="1:11">
      <c r="A22" t="s">
        <v>23</v>
      </c>
      <c r="B22" t="s">
        <v>54</v>
      </c>
      <c r="C22" s="13">
        <v>1000000</v>
      </c>
      <c r="D22" t="s">
        <v>25</v>
      </c>
      <c r="E22" s="8"/>
      <c r="F22" s="8"/>
      <c r="G22" s="8"/>
      <c r="H22" s="8"/>
      <c r="I22" s="8"/>
      <c r="J22" s="8"/>
    </row>
    <row r="23" spans="1:11">
      <c r="A23" t="s">
        <v>26</v>
      </c>
      <c r="B23" t="s">
        <v>55</v>
      </c>
      <c r="C23" s="14">
        <v>0</v>
      </c>
      <c r="D23" t="s">
        <v>25</v>
      </c>
      <c r="E23" s="8"/>
      <c r="F23" s="8"/>
      <c r="G23" s="8"/>
      <c r="H23" s="8"/>
      <c r="I23" s="8"/>
      <c r="J23" s="8"/>
    </row>
    <row r="24" spans="1:11">
      <c r="A24" t="s">
        <v>39</v>
      </c>
      <c r="B24" t="s">
        <v>56</v>
      </c>
      <c r="C24" s="3">
        <v>2870</v>
      </c>
      <c r="D24" t="s">
        <v>30</v>
      </c>
      <c r="E24" t="s">
        <v>31</v>
      </c>
      <c r="F24" s="8"/>
      <c r="G24" s="8"/>
      <c r="H24" s="8"/>
      <c r="I24" s="8"/>
      <c r="J24" s="8"/>
      <c r="K24" s="8"/>
    </row>
    <row r="25" spans="1:11">
      <c r="A25" t="s">
        <v>41</v>
      </c>
      <c r="B25" t="s">
        <v>57</v>
      </c>
      <c r="C25" s="17">
        <v>0.02</v>
      </c>
      <c r="D25" t="s">
        <v>34</v>
      </c>
      <c r="E25" t="s">
        <v>31</v>
      </c>
      <c r="F25" s="8"/>
      <c r="G25" s="8"/>
      <c r="H25" s="8"/>
      <c r="I25" s="8"/>
      <c r="J25" s="8"/>
      <c r="K25" s="8"/>
    </row>
    <row r="26" spans="1:11">
      <c r="A26" t="s">
        <v>58</v>
      </c>
      <c r="B26" t="s">
        <v>59</v>
      </c>
      <c r="C26" s="18">
        <v>2870</v>
      </c>
      <c r="D26" t="s">
        <v>30</v>
      </c>
      <c r="E26" t="s">
        <v>31</v>
      </c>
      <c r="F26" s="8"/>
      <c r="G26" s="8"/>
      <c r="H26" s="8"/>
      <c r="I26" s="8"/>
      <c r="J26" s="8"/>
      <c r="K26" s="8"/>
    </row>
    <row r="27" spans="1:11">
      <c r="A27" t="s">
        <v>60</v>
      </c>
      <c r="B27" t="s">
        <v>61</v>
      </c>
      <c r="C27" s="17">
        <v>0.02</v>
      </c>
      <c r="D27" t="s">
        <v>34</v>
      </c>
      <c r="E27" t="s">
        <v>31</v>
      </c>
      <c r="F27" s="8"/>
      <c r="G27" s="8"/>
      <c r="H27" s="8"/>
      <c r="I27" s="8"/>
      <c r="J27" s="8"/>
      <c r="K27" s="8"/>
    </row>
    <row r="28" spans="1:11">
      <c r="A28" t="s">
        <v>62</v>
      </c>
      <c r="B28" t="s">
        <v>63</v>
      </c>
      <c r="C28" s="18">
        <v>4510</v>
      </c>
      <c r="D28" t="s">
        <v>30</v>
      </c>
      <c r="E28" t="s">
        <v>31</v>
      </c>
      <c r="F28" s="8"/>
      <c r="G28" s="8"/>
      <c r="H28" s="8"/>
      <c r="I28" s="8"/>
      <c r="J28" s="8"/>
      <c r="K28" s="8"/>
    </row>
    <row r="29" spans="1:11">
      <c r="A29" t="s">
        <v>32</v>
      </c>
      <c r="B29" t="s">
        <v>64</v>
      </c>
      <c r="C29" s="3">
        <v>0.02</v>
      </c>
      <c r="D29" t="s">
        <v>34</v>
      </c>
      <c r="E29" t="s">
        <v>31</v>
      </c>
      <c r="F29" s="8"/>
      <c r="G29" s="8"/>
      <c r="H29" s="8"/>
      <c r="I29" s="8"/>
      <c r="J29" s="8"/>
      <c r="K29" s="8"/>
    </row>
    <row r="30" spans="1:11">
      <c r="A30" t="s">
        <v>43</v>
      </c>
      <c r="B30" s="16" t="s">
        <v>65</v>
      </c>
      <c r="C30" s="17">
        <v>30</v>
      </c>
      <c r="D30" t="s">
        <v>45</v>
      </c>
      <c r="E30" t="s">
        <v>31</v>
      </c>
      <c r="F30" s="8"/>
      <c r="G30" s="8"/>
      <c r="H30" s="8"/>
      <c r="I30" s="8"/>
      <c r="J30" s="8"/>
      <c r="K30" s="8"/>
    </row>
    <row r="31" spans="1:11">
      <c r="A31" t="s">
        <v>46</v>
      </c>
      <c r="B31" t="s">
        <v>66</v>
      </c>
      <c r="C31" s="19">
        <v>25</v>
      </c>
      <c r="D31" t="s">
        <v>45</v>
      </c>
      <c r="E31" s="8" t="s">
        <v>53</v>
      </c>
      <c r="F31" s="8"/>
      <c r="G31" s="8"/>
      <c r="H31" s="8"/>
      <c r="I31" s="8"/>
      <c r="J31" s="8"/>
    </row>
    <row r="32" spans="1:11">
      <c r="A32" t="s">
        <v>49</v>
      </c>
      <c r="B32" s="16" t="s">
        <v>67</v>
      </c>
      <c r="C32" s="19">
        <v>20</v>
      </c>
      <c r="D32" t="s">
        <v>45</v>
      </c>
      <c r="E32" t="s">
        <v>547</v>
      </c>
      <c r="F32" s="8"/>
      <c r="G32" s="8"/>
      <c r="H32" s="8"/>
      <c r="I32" s="8"/>
      <c r="J32" s="8"/>
    </row>
    <row r="33" spans="1:11">
      <c r="A33" t="s">
        <v>68</v>
      </c>
      <c r="B33" t="s">
        <v>69</v>
      </c>
      <c r="C33" s="19">
        <v>0.23</v>
      </c>
      <c r="D33" t="s">
        <v>550</v>
      </c>
      <c r="E33" s="8" t="s">
        <v>53</v>
      </c>
      <c r="F33" s="8"/>
      <c r="G33" s="8"/>
      <c r="H33" s="8"/>
      <c r="I33" s="8"/>
      <c r="J33" s="8"/>
    </row>
    <row r="34" spans="1:11">
      <c r="A34" s="16" t="s">
        <v>70</v>
      </c>
      <c r="B34" s="16" t="s">
        <v>71</v>
      </c>
      <c r="C34" s="3">
        <v>0.15</v>
      </c>
      <c r="D34" t="s">
        <v>550</v>
      </c>
      <c r="E34" s="8" t="s">
        <v>53</v>
      </c>
      <c r="F34" s="8"/>
      <c r="G34" s="8"/>
      <c r="H34" s="8"/>
      <c r="I34" s="8"/>
      <c r="J34" s="8"/>
    </row>
    <row r="35" spans="1:11" s="137" customFormat="1" ht="17" thickBot="1">
      <c r="A35" s="87" t="s">
        <v>72</v>
      </c>
      <c r="B35" s="87" t="s">
        <v>73</v>
      </c>
      <c r="C35" s="167">
        <v>0.05</v>
      </c>
      <c r="D35" s="137" t="s">
        <v>550</v>
      </c>
      <c r="E35" s="87" t="s">
        <v>53</v>
      </c>
      <c r="F35" s="87"/>
      <c r="G35" s="87"/>
      <c r="H35" s="87"/>
      <c r="I35" s="87"/>
      <c r="J35" s="87"/>
    </row>
    <row r="36" spans="1:11">
      <c r="B36" s="16"/>
    </row>
    <row r="37" spans="1:11" s="137" customFormat="1" ht="17" thickBot="1">
      <c r="A37" s="87" t="s">
        <v>74</v>
      </c>
      <c r="C37" s="87"/>
      <c r="D37" s="87"/>
      <c r="E37" s="87"/>
      <c r="F37" s="87"/>
      <c r="G37" s="87"/>
      <c r="H37" s="87"/>
      <c r="I37" s="87"/>
      <c r="J37" s="87"/>
      <c r="K37" s="87"/>
    </row>
    <row r="38" spans="1:11">
      <c r="A38" s="151" t="s">
        <v>552</v>
      </c>
      <c r="B38" s="152" t="s">
        <v>551</v>
      </c>
      <c r="D38" s="151" t="s">
        <v>553</v>
      </c>
    </row>
    <row r="39" spans="1:11">
      <c r="A39" s="8" t="s">
        <v>75</v>
      </c>
      <c r="B39" t="s">
        <v>76</v>
      </c>
      <c r="C39" s="14">
        <v>1</v>
      </c>
      <c r="D39" s="8" t="s">
        <v>77</v>
      </c>
      <c r="E39" s="10"/>
      <c r="F39" s="10"/>
      <c r="G39" s="10"/>
      <c r="H39" s="10"/>
      <c r="I39" s="10"/>
      <c r="J39" s="10"/>
      <c r="K39" s="10"/>
    </row>
    <row r="40" spans="1:11">
      <c r="A40" t="s">
        <v>23</v>
      </c>
      <c r="B40" t="s">
        <v>78</v>
      </c>
      <c r="C40" s="13">
        <v>1000000</v>
      </c>
      <c r="D40" t="s">
        <v>25</v>
      </c>
    </row>
    <row r="41" spans="1:11">
      <c r="A41" t="s">
        <v>26</v>
      </c>
      <c r="B41" t="s">
        <v>79</v>
      </c>
      <c r="C41" s="14">
        <v>0</v>
      </c>
      <c r="D41" t="s">
        <v>25</v>
      </c>
    </row>
    <row r="42" spans="1:11">
      <c r="A42" t="s">
        <v>82</v>
      </c>
      <c r="B42" t="s">
        <v>83</v>
      </c>
      <c r="C42" s="149">
        <v>760</v>
      </c>
      <c r="D42" t="s">
        <v>84</v>
      </c>
      <c r="E42" t="s">
        <v>31</v>
      </c>
    </row>
    <row r="43" spans="1:11">
      <c r="A43" t="s">
        <v>85</v>
      </c>
      <c r="B43" t="s">
        <v>86</v>
      </c>
      <c r="C43" s="150">
        <v>2.3E-2</v>
      </c>
      <c r="D43" t="s">
        <v>34</v>
      </c>
      <c r="E43" t="s">
        <v>31</v>
      </c>
    </row>
    <row r="44" spans="1:11">
      <c r="A44" t="s">
        <v>62</v>
      </c>
      <c r="B44" t="s">
        <v>87</v>
      </c>
      <c r="C44" s="150">
        <v>770</v>
      </c>
      <c r="D44" t="s">
        <v>84</v>
      </c>
      <c r="E44" t="s">
        <v>31</v>
      </c>
    </row>
    <row r="45" spans="1:11">
      <c r="A45" t="s">
        <v>32</v>
      </c>
      <c r="B45" t="s">
        <v>88</v>
      </c>
      <c r="C45" s="150">
        <v>2.5000000000000001E-2</v>
      </c>
      <c r="D45" t="s">
        <v>34</v>
      </c>
      <c r="E45" t="s">
        <v>31</v>
      </c>
    </row>
    <row r="46" spans="1:11">
      <c r="A46" t="s">
        <v>39</v>
      </c>
      <c r="B46" t="s">
        <v>89</v>
      </c>
      <c r="C46" s="150">
        <v>690</v>
      </c>
      <c r="D46" t="s">
        <v>84</v>
      </c>
      <c r="E46" t="s">
        <v>31</v>
      </c>
    </row>
    <row r="47" spans="1:11">
      <c r="A47" t="s">
        <v>41</v>
      </c>
      <c r="B47" t="s">
        <v>90</v>
      </c>
      <c r="C47" s="150">
        <v>1.7000000000000001E-2</v>
      </c>
      <c r="D47" t="s">
        <v>34</v>
      </c>
      <c r="E47" t="s">
        <v>31</v>
      </c>
    </row>
    <row r="48" spans="1:11">
      <c r="A48" t="s">
        <v>43</v>
      </c>
      <c r="B48" t="s">
        <v>91</v>
      </c>
      <c r="C48" s="148">
        <v>40</v>
      </c>
      <c r="D48" t="s">
        <v>45</v>
      </c>
      <c r="F48" s="147" t="s">
        <v>555</v>
      </c>
      <c r="G48" s="16" t="s">
        <v>554</v>
      </c>
      <c r="H48" s="16"/>
    </row>
    <row r="49" spans="1:11">
      <c r="A49" t="s">
        <v>92</v>
      </c>
      <c r="B49" t="s">
        <v>93</v>
      </c>
      <c r="C49" s="153">
        <v>35</v>
      </c>
      <c r="D49" t="s">
        <v>45</v>
      </c>
      <c r="E49" s="16" t="s">
        <v>48</v>
      </c>
      <c r="F49" s="16"/>
      <c r="G49" s="16"/>
      <c r="H49" s="16"/>
      <c r="I49" s="16"/>
      <c r="J49" s="16"/>
    </row>
    <row r="50" spans="1:11" s="137" customFormat="1" ht="17" thickBot="1">
      <c r="A50" s="137" t="s">
        <v>49</v>
      </c>
      <c r="B50" s="137" t="s">
        <v>94</v>
      </c>
      <c r="C50" s="166">
        <v>25</v>
      </c>
      <c r="D50" s="137" t="s">
        <v>45</v>
      </c>
      <c r="E50" s="137" t="s">
        <v>31</v>
      </c>
      <c r="F50" s="87">
        <v>25</v>
      </c>
      <c r="G50" s="87" t="s">
        <v>556</v>
      </c>
      <c r="H50" s="87"/>
      <c r="I50" s="87"/>
      <c r="J50" s="87"/>
    </row>
    <row r="51" spans="1:11">
      <c r="B51" s="16"/>
    </row>
    <row r="52" spans="1:11" s="137" customFormat="1" ht="17" thickBot="1">
      <c r="A52" s="87" t="s">
        <v>95</v>
      </c>
      <c r="C52" s="87"/>
      <c r="D52" s="87"/>
      <c r="E52" s="87"/>
      <c r="F52" s="87"/>
      <c r="G52" s="87"/>
      <c r="H52" s="87"/>
      <c r="I52" s="87"/>
      <c r="J52" s="87"/>
      <c r="K52" s="87"/>
    </row>
    <row r="53" spans="1:11">
      <c r="A53" s="8" t="s">
        <v>96</v>
      </c>
      <c r="B53" t="s">
        <v>97</v>
      </c>
      <c r="C53" s="14">
        <v>1</v>
      </c>
      <c r="D53" s="8" t="s">
        <v>98</v>
      </c>
      <c r="E53" s="10"/>
      <c r="F53" s="10"/>
      <c r="G53" s="10"/>
      <c r="H53" s="10"/>
      <c r="I53" s="10"/>
      <c r="J53" s="10"/>
      <c r="K53" s="10"/>
    </row>
    <row r="54" spans="1:11">
      <c r="A54" t="s">
        <v>23</v>
      </c>
      <c r="B54" t="s">
        <v>99</v>
      </c>
      <c r="C54" s="13">
        <v>1000000</v>
      </c>
      <c r="D54" t="s">
        <v>25</v>
      </c>
    </row>
    <row r="55" spans="1:11">
      <c r="A55" t="s">
        <v>26</v>
      </c>
      <c r="B55" t="s">
        <v>100</v>
      </c>
      <c r="C55" s="14">
        <v>0</v>
      </c>
      <c r="D55" t="s">
        <v>25</v>
      </c>
    </row>
    <row r="56" spans="1:11">
      <c r="A56" t="s">
        <v>101</v>
      </c>
      <c r="B56" t="s">
        <v>102</v>
      </c>
      <c r="C56" s="183">
        <v>297</v>
      </c>
      <c r="D56" t="s">
        <v>103</v>
      </c>
      <c r="E56" s="16" t="s">
        <v>441</v>
      </c>
      <c r="F56" s="16"/>
      <c r="G56" s="16"/>
      <c r="H56" s="16"/>
      <c r="I56" s="16"/>
      <c r="J56" s="16"/>
    </row>
    <row r="57" spans="1:11">
      <c r="A57" t="s">
        <v>105</v>
      </c>
      <c r="B57" t="s">
        <v>106</v>
      </c>
      <c r="C57" s="22">
        <v>0.04</v>
      </c>
      <c r="D57" t="s">
        <v>34</v>
      </c>
      <c r="E57" s="16" t="s">
        <v>441</v>
      </c>
      <c r="F57" s="16"/>
      <c r="G57" s="16"/>
      <c r="H57" s="16"/>
      <c r="I57" s="16"/>
      <c r="J57" s="16"/>
    </row>
    <row r="58" spans="1:11">
      <c r="A58" t="s">
        <v>62</v>
      </c>
      <c r="B58" t="s">
        <v>107</v>
      </c>
      <c r="C58" s="183">
        <v>323</v>
      </c>
      <c r="D58" t="s">
        <v>103</v>
      </c>
      <c r="E58" s="16" t="s">
        <v>441</v>
      </c>
      <c r="F58" s="16"/>
      <c r="G58" s="16"/>
      <c r="H58" s="16"/>
      <c r="I58" s="16"/>
      <c r="J58" s="16"/>
    </row>
    <row r="59" spans="1:11">
      <c r="A59" t="s">
        <v>32</v>
      </c>
      <c r="B59" t="s">
        <v>108</v>
      </c>
      <c r="C59" s="22">
        <v>0.04</v>
      </c>
      <c r="D59" t="s">
        <v>34</v>
      </c>
      <c r="E59" s="16" t="s">
        <v>441</v>
      </c>
      <c r="F59" s="16"/>
      <c r="G59" s="16"/>
      <c r="H59" s="16"/>
      <c r="I59" s="16"/>
      <c r="J59" s="16"/>
    </row>
    <row r="60" spans="1:11">
      <c r="A60" t="s">
        <v>39</v>
      </c>
      <c r="B60" t="s">
        <v>109</v>
      </c>
      <c r="C60" s="12">
        <v>267</v>
      </c>
      <c r="D60" t="s">
        <v>103</v>
      </c>
      <c r="E60" s="16" t="s">
        <v>441</v>
      </c>
      <c r="F60" s="16"/>
      <c r="G60" s="16"/>
      <c r="H60" s="16"/>
      <c r="I60" s="16"/>
      <c r="J60" s="16"/>
    </row>
    <row r="61" spans="1:11">
      <c r="A61" t="s">
        <v>41</v>
      </c>
      <c r="B61" t="s">
        <v>110</v>
      </c>
      <c r="C61" s="22">
        <v>0.04</v>
      </c>
      <c r="D61" t="s">
        <v>34</v>
      </c>
      <c r="E61" s="16" t="s">
        <v>441</v>
      </c>
      <c r="F61" s="16"/>
      <c r="G61" s="16"/>
      <c r="H61" s="16"/>
      <c r="I61" s="16"/>
      <c r="J61" s="16"/>
    </row>
    <row r="62" spans="1:11">
      <c r="A62" t="s">
        <v>43</v>
      </c>
      <c r="B62" t="s">
        <v>111</v>
      </c>
      <c r="C62" s="148">
        <v>15</v>
      </c>
      <c r="D62" t="s">
        <v>45</v>
      </c>
      <c r="E62" s="16"/>
      <c r="F62" s="16"/>
      <c r="G62" s="16"/>
      <c r="H62" s="16"/>
      <c r="I62" s="16"/>
      <c r="J62" s="16"/>
    </row>
    <row r="63" spans="1:11">
      <c r="A63" t="s">
        <v>112</v>
      </c>
      <c r="B63" t="s">
        <v>113</v>
      </c>
      <c r="C63" s="153">
        <v>15</v>
      </c>
      <c r="D63" t="s">
        <v>45</v>
      </c>
      <c r="E63" s="16" t="s">
        <v>48</v>
      </c>
      <c r="F63" s="16">
        <v>15</v>
      </c>
      <c r="G63" t="s">
        <v>560</v>
      </c>
      <c r="H63" s="16">
        <v>15</v>
      </c>
      <c r="I63" s="16" t="s">
        <v>104</v>
      </c>
    </row>
    <row r="64" spans="1:11">
      <c r="A64" t="s">
        <v>49</v>
      </c>
      <c r="B64" t="s">
        <v>114</v>
      </c>
      <c r="C64" s="154">
        <v>10</v>
      </c>
      <c r="D64" t="s">
        <v>45</v>
      </c>
      <c r="E64" s="16"/>
      <c r="F64" s="16"/>
      <c r="G64" s="16"/>
      <c r="H64" s="16"/>
      <c r="I64" s="16"/>
      <c r="J64" s="16"/>
    </row>
    <row r="65" spans="1:11">
      <c r="A65" t="s">
        <v>557</v>
      </c>
      <c r="B65" t="s">
        <v>558</v>
      </c>
      <c r="C65" s="21">
        <v>200</v>
      </c>
      <c r="D65" t="s">
        <v>559</v>
      </c>
      <c r="E65" t="s">
        <v>560</v>
      </c>
      <c r="F65" s="16"/>
      <c r="G65" s="16"/>
      <c r="H65" s="16"/>
      <c r="I65" s="16"/>
      <c r="J65" s="16"/>
    </row>
    <row r="66" spans="1:11">
      <c r="A66" t="s">
        <v>115</v>
      </c>
      <c r="B66" t="s">
        <v>116</v>
      </c>
      <c r="C66" s="21">
        <v>0.9</v>
      </c>
      <c r="E66" s="16" t="s">
        <v>48</v>
      </c>
      <c r="F66" s="16">
        <v>0.9</v>
      </c>
      <c r="G66" t="s">
        <v>560</v>
      </c>
      <c r="I66" s="16"/>
      <c r="J66" s="16"/>
    </row>
    <row r="67" spans="1:11" s="137" customFormat="1" ht="17" thickBot="1">
      <c r="A67" s="137" t="s">
        <v>117</v>
      </c>
      <c r="B67" s="137" t="s">
        <v>118</v>
      </c>
      <c r="C67" s="164" t="s">
        <v>604</v>
      </c>
      <c r="D67" s="137" t="s">
        <v>119</v>
      </c>
      <c r="E67" s="137" t="s">
        <v>603</v>
      </c>
      <c r="F67" s="165" t="s">
        <v>120</v>
      </c>
      <c r="G67" s="165"/>
      <c r="H67" s="165"/>
      <c r="I67" s="165"/>
      <c r="J67" s="165"/>
      <c r="K67" s="137" t="s">
        <v>121</v>
      </c>
    </row>
    <row r="68" spans="1:11">
      <c r="B68" s="16"/>
    </row>
    <row r="69" spans="1:11" s="137" customFormat="1" ht="17" thickBot="1">
      <c r="A69" s="87" t="s">
        <v>122</v>
      </c>
      <c r="C69" s="87"/>
      <c r="D69" s="87"/>
      <c r="E69" s="87"/>
      <c r="F69" s="87"/>
      <c r="G69" s="87"/>
      <c r="H69" s="87"/>
      <c r="I69" s="87"/>
      <c r="J69" s="87"/>
      <c r="K69" s="87"/>
    </row>
    <row r="70" spans="1:11">
      <c r="A70" s="8" t="s">
        <v>123</v>
      </c>
      <c r="B70" t="s">
        <v>124</v>
      </c>
      <c r="C70" s="14">
        <v>1</v>
      </c>
      <c r="D70" s="10" t="s">
        <v>77</v>
      </c>
      <c r="E70" s="10"/>
      <c r="F70" s="10"/>
      <c r="G70" s="10"/>
      <c r="H70" s="10"/>
      <c r="I70" s="10"/>
      <c r="J70" s="10"/>
      <c r="K70" s="10"/>
    </row>
    <row r="71" spans="1:11">
      <c r="A71" t="s">
        <v>23</v>
      </c>
      <c r="B71" t="s">
        <v>125</v>
      </c>
      <c r="C71" s="13">
        <v>100000</v>
      </c>
      <c r="D71" t="s">
        <v>25</v>
      </c>
    </row>
    <row r="72" spans="1:11">
      <c r="A72" t="s">
        <v>26</v>
      </c>
      <c r="B72" t="s">
        <v>126</v>
      </c>
      <c r="C72" s="14">
        <v>0</v>
      </c>
      <c r="D72" t="s">
        <v>25</v>
      </c>
    </row>
    <row r="73" spans="1:11">
      <c r="A73" t="s">
        <v>35</v>
      </c>
      <c r="B73" t="s">
        <v>127</v>
      </c>
      <c r="C73" s="12">
        <v>900</v>
      </c>
      <c r="D73" t="s">
        <v>128</v>
      </c>
      <c r="E73" t="s">
        <v>129</v>
      </c>
    </row>
    <row r="74" spans="1:11">
      <c r="A74" t="s">
        <v>37</v>
      </c>
      <c r="B74" t="s">
        <v>130</v>
      </c>
      <c r="C74" s="12">
        <v>0.03</v>
      </c>
      <c r="D74" t="s">
        <v>34</v>
      </c>
      <c r="E74" t="s">
        <v>129</v>
      </c>
    </row>
    <row r="75" spans="1:11">
      <c r="A75" t="s">
        <v>62</v>
      </c>
      <c r="B75" t="s">
        <v>131</v>
      </c>
      <c r="C75" s="12">
        <v>1188</v>
      </c>
      <c r="D75" t="s">
        <v>128</v>
      </c>
      <c r="E75" s="16" t="s">
        <v>452</v>
      </c>
    </row>
    <row r="76" spans="1:11">
      <c r="A76" t="s">
        <v>32</v>
      </c>
      <c r="B76" t="s">
        <v>132</v>
      </c>
      <c r="C76" s="12">
        <v>0.03</v>
      </c>
      <c r="D76" t="s">
        <v>34</v>
      </c>
      <c r="E76" s="16" t="s">
        <v>452</v>
      </c>
    </row>
    <row r="77" spans="1:11">
      <c r="A77" t="s">
        <v>39</v>
      </c>
      <c r="B77" s="16" t="s">
        <v>133</v>
      </c>
      <c r="C77" s="12">
        <v>737</v>
      </c>
      <c r="D77" t="s">
        <v>128</v>
      </c>
      <c r="E77" s="16" t="s">
        <v>590</v>
      </c>
    </row>
    <row r="78" spans="1:11">
      <c r="A78" t="s">
        <v>41</v>
      </c>
      <c r="B78" s="16" t="s">
        <v>134</v>
      </c>
      <c r="C78" s="12">
        <v>0.03</v>
      </c>
      <c r="D78" t="s">
        <v>34</v>
      </c>
      <c r="E78" s="16" t="s">
        <v>590</v>
      </c>
    </row>
    <row r="79" spans="1:11">
      <c r="A79" t="s">
        <v>43</v>
      </c>
      <c r="B79" s="16" t="s">
        <v>135</v>
      </c>
      <c r="C79" s="12">
        <v>30</v>
      </c>
      <c r="D79" t="s">
        <v>45</v>
      </c>
      <c r="E79" s="16" t="s">
        <v>48</v>
      </c>
    </row>
    <row r="80" spans="1:11">
      <c r="A80" t="s">
        <v>112</v>
      </c>
      <c r="B80" t="s">
        <v>136</v>
      </c>
      <c r="C80" s="154">
        <v>25</v>
      </c>
      <c r="D80" t="s">
        <v>45</v>
      </c>
      <c r="F80" s="16"/>
      <c r="G80" s="16"/>
      <c r="H80" s="16"/>
      <c r="I80" s="16"/>
      <c r="J80" s="16"/>
    </row>
    <row r="81" spans="1:11">
      <c r="A81" t="s">
        <v>49</v>
      </c>
      <c r="B81" s="16" t="s">
        <v>137</v>
      </c>
      <c r="C81" s="153">
        <v>20</v>
      </c>
      <c r="D81" t="s">
        <v>45</v>
      </c>
      <c r="E81" t="s">
        <v>129</v>
      </c>
      <c r="F81" s="16"/>
      <c r="G81" s="16"/>
      <c r="H81" s="16"/>
      <c r="I81" s="16"/>
      <c r="J81" s="16"/>
    </row>
    <row r="82" spans="1:11">
      <c r="A82" t="s">
        <v>138</v>
      </c>
      <c r="B82" t="s">
        <v>139</v>
      </c>
      <c r="C82" s="182">
        <v>0.1</v>
      </c>
      <c r="D82" t="s">
        <v>140</v>
      </c>
      <c r="E82" t="s">
        <v>129</v>
      </c>
    </row>
    <row r="83" spans="1:11">
      <c r="A83" s="10" t="s">
        <v>576</v>
      </c>
      <c r="B83" s="10" t="s">
        <v>605</v>
      </c>
      <c r="C83" s="184">
        <v>0.757692307692308</v>
      </c>
      <c r="E83" s="8" t="s">
        <v>48</v>
      </c>
    </row>
    <row r="84" spans="1:11" s="10" customFormat="1">
      <c r="A84" s="10" t="s">
        <v>141</v>
      </c>
      <c r="B84" s="10" t="s">
        <v>142</v>
      </c>
      <c r="C84" s="185">
        <v>0.64</v>
      </c>
      <c r="D84" s="10" t="s">
        <v>143</v>
      </c>
      <c r="E84" s="151" t="s">
        <v>452</v>
      </c>
      <c r="F84" s="8"/>
      <c r="G84" s="8"/>
      <c r="H84" s="8"/>
      <c r="I84" s="8"/>
      <c r="J84" s="8"/>
    </row>
    <row r="85" spans="1:11" s="137" customFormat="1" ht="17" thickBot="1">
      <c r="A85" s="137" t="s">
        <v>577</v>
      </c>
      <c r="B85" s="137" t="s">
        <v>606</v>
      </c>
      <c r="C85" s="186">
        <v>0.53</v>
      </c>
      <c r="E85" s="137" t="s">
        <v>129</v>
      </c>
    </row>
    <row r="86" spans="1:11">
      <c r="B86" s="16"/>
    </row>
    <row r="87" spans="1:11" s="137" customFormat="1" ht="17" thickBot="1">
      <c r="A87" s="87" t="s">
        <v>144</v>
      </c>
      <c r="C87" s="87"/>
      <c r="D87" s="87"/>
      <c r="E87" s="87"/>
      <c r="F87" s="87"/>
      <c r="G87" s="87"/>
      <c r="H87" s="87"/>
      <c r="I87" s="87"/>
      <c r="J87" s="87"/>
      <c r="K87" s="87"/>
    </row>
    <row r="88" spans="1:11">
      <c r="A88" s="8" t="s">
        <v>145</v>
      </c>
      <c r="B88" s="10" t="s">
        <v>146</v>
      </c>
      <c r="C88" s="14">
        <v>1</v>
      </c>
      <c r="D88" s="8" t="s">
        <v>98</v>
      </c>
      <c r="E88" s="10"/>
      <c r="F88" s="10"/>
      <c r="G88" s="10"/>
      <c r="H88" s="10"/>
      <c r="I88" s="10"/>
      <c r="J88" s="10"/>
      <c r="K88" s="10"/>
    </row>
    <row r="89" spans="1:11">
      <c r="A89" t="s">
        <v>23</v>
      </c>
      <c r="B89" s="16" t="s">
        <v>147</v>
      </c>
      <c r="C89" s="13">
        <v>1000000</v>
      </c>
      <c r="D89" t="s">
        <v>25</v>
      </c>
    </row>
    <row r="90" spans="1:11">
      <c r="A90" t="s">
        <v>26</v>
      </c>
      <c r="B90" s="16" t="s">
        <v>148</v>
      </c>
      <c r="C90" s="14">
        <v>0</v>
      </c>
      <c r="D90" t="s">
        <v>25</v>
      </c>
    </row>
    <row r="91" spans="1:11">
      <c r="A91" t="s">
        <v>58</v>
      </c>
      <c r="B91" s="16" t="s">
        <v>149</v>
      </c>
      <c r="C91" s="21">
        <v>0.06</v>
      </c>
      <c r="D91" t="s">
        <v>592</v>
      </c>
      <c r="E91" s="16" t="s">
        <v>452</v>
      </c>
      <c r="F91" s="16"/>
      <c r="G91" s="16"/>
      <c r="H91" s="16"/>
      <c r="I91" s="16"/>
      <c r="J91" s="16"/>
    </row>
    <row r="92" spans="1:11" s="10" customFormat="1">
      <c r="A92" s="10" t="s">
        <v>60</v>
      </c>
      <c r="B92" s="8" t="s">
        <v>150</v>
      </c>
      <c r="C92" s="187">
        <v>1.4999999999999999E-2</v>
      </c>
      <c r="D92" s="10" t="s">
        <v>34</v>
      </c>
      <c r="E92" s="8" t="s">
        <v>452</v>
      </c>
    </row>
    <row r="93" spans="1:11" s="137" customFormat="1" ht="17" thickBot="1">
      <c r="A93" s="178" t="s">
        <v>112</v>
      </c>
      <c r="B93" s="179" t="s">
        <v>594</v>
      </c>
      <c r="C93" s="176">
        <v>60</v>
      </c>
      <c r="D93" s="178" t="s">
        <v>45</v>
      </c>
      <c r="E93" s="87" t="s">
        <v>452</v>
      </c>
    </row>
    <row r="94" spans="1:11">
      <c r="B94" s="16"/>
    </row>
    <row r="95" spans="1:11" s="137" customFormat="1" ht="17" thickBot="1">
      <c r="A95" s="87" t="s">
        <v>151</v>
      </c>
      <c r="C95" s="87"/>
      <c r="D95" s="87"/>
      <c r="E95" s="87"/>
      <c r="F95" s="87"/>
      <c r="G95" s="87"/>
      <c r="H95" s="87"/>
      <c r="I95" s="87"/>
      <c r="J95" s="87"/>
      <c r="K95" s="87"/>
    </row>
    <row r="96" spans="1:11">
      <c r="A96" s="8" t="s">
        <v>152</v>
      </c>
      <c r="B96" t="s">
        <v>153</v>
      </c>
      <c r="C96" s="6">
        <v>1</v>
      </c>
      <c r="D96" s="10" t="s">
        <v>154</v>
      </c>
      <c r="E96" s="10"/>
      <c r="F96" s="10"/>
      <c r="G96" s="10"/>
      <c r="H96" s="10"/>
      <c r="I96" s="10"/>
      <c r="J96" s="10"/>
      <c r="K96" s="10"/>
    </row>
    <row r="97" spans="1:5">
      <c r="A97" t="s">
        <v>23</v>
      </c>
      <c r="B97" t="s">
        <v>155</v>
      </c>
      <c r="C97" s="13">
        <v>1000000</v>
      </c>
      <c r="D97" t="s">
        <v>25</v>
      </c>
    </row>
    <row r="98" spans="1:5">
      <c r="A98" t="s">
        <v>26</v>
      </c>
      <c r="B98" t="s">
        <v>156</v>
      </c>
      <c r="C98" s="14">
        <v>0</v>
      </c>
      <c r="D98" t="s">
        <v>25</v>
      </c>
    </row>
    <row r="99" spans="1:5" s="16" customFormat="1">
      <c r="A99" s="16" t="s">
        <v>58</v>
      </c>
      <c r="B99" t="s">
        <v>157</v>
      </c>
      <c r="C99" s="150">
        <v>730</v>
      </c>
      <c r="D99" s="16" t="s">
        <v>158</v>
      </c>
      <c r="E99" s="16" t="s">
        <v>159</v>
      </c>
    </row>
    <row r="100" spans="1:5" s="16" customFormat="1">
      <c r="A100" s="16" t="s">
        <v>60</v>
      </c>
      <c r="B100" t="s">
        <v>160</v>
      </c>
      <c r="C100" s="150">
        <v>0.04</v>
      </c>
      <c r="D100" s="16" t="s">
        <v>34</v>
      </c>
      <c r="E100" s="16" t="s">
        <v>159</v>
      </c>
    </row>
    <row r="101" spans="1:5" s="16" customFormat="1">
      <c r="A101" t="s">
        <v>62</v>
      </c>
      <c r="B101" t="s">
        <v>161</v>
      </c>
      <c r="C101" s="180">
        <f>C99+(C99-C103)</f>
        <v>1010</v>
      </c>
      <c r="D101" s="16" t="s">
        <v>158</v>
      </c>
      <c r="E101" s="16" t="s">
        <v>159</v>
      </c>
    </row>
    <row r="102" spans="1:5" s="16" customFormat="1">
      <c r="A102" t="s">
        <v>32</v>
      </c>
      <c r="B102" t="s">
        <v>162</v>
      </c>
      <c r="C102" s="180">
        <v>0.04</v>
      </c>
      <c r="D102" s="16" t="s">
        <v>34</v>
      </c>
      <c r="E102" s="16" t="s">
        <v>159</v>
      </c>
    </row>
    <row r="103" spans="1:5" s="16" customFormat="1">
      <c r="A103" t="s">
        <v>39</v>
      </c>
      <c r="B103" t="s">
        <v>163</v>
      </c>
      <c r="C103" s="180">
        <v>450</v>
      </c>
      <c r="D103" s="16" t="s">
        <v>158</v>
      </c>
      <c r="E103" s="16" t="s">
        <v>159</v>
      </c>
    </row>
    <row r="104" spans="1:5" s="16" customFormat="1">
      <c r="A104" t="s">
        <v>41</v>
      </c>
      <c r="B104" t="s">
        <v>164</v>
      </c>
      <c r="C104" s="180">
        <v>0.04</v>
      </c>
      <c r="D104" s="16" t="s">
        <v>34</v>
      </c>
      <c r="E104" s="16" t="s">
        <v>159</v>
      </c>
    </row>
    <row r="105" spans="1:5" s="16" customFormat="1">
      <c r="A105" t="s">
        <v>561</v>
      </c>
      <c r="B105" t="s">
        <v>596</v>
      </c>
      <c r="C105" s="24">
        <v>1.6</v>
      </c>
      <c r="D105" s="25" t="s">
        <v>595</v>
      </c>
      <c r="E105" s="16" t="s">
        <v>608</v>
      </c>
    </row>
    <row r="106" spans="1:5" s="16" customFormat="1">
      <c r="A106" s="16" t="s">
        <v>165</v>
      </c>
      <c r="B106" t="s">
        <v>166</v>
      </c>
      <c r="C106" s="24">
        <v>0.4</v>
      </c>
      <c r="D106" s="25" t="s">
        <v>595</v>
      </c>
      <c r="E106" s="16" t="s">
        <v>608</v>
      </c>
    </row>
    <row r="107" spans="1:5" s="16" customFormat="1">
      <c r="A107" s="16" t="s">
        <v>43</v>
      </c>
      <c r="B107" s="16" t="s">
        <v>167</v>
      </c>
      <c r="C107" s="181">
        <v>25</v>
      </c>
      <c r="D107" s="16" t="s">
        <v>45</v>
      </c>
    </row>
    <row r="108" spans="1:5" s="16" customFormat="1">
      <c r="A108" s="16" t="s">
        <v>112</v>
      </c>
      <c r="B108" t="s">
        <v>168</v>
      </c>
      <c r="C108" s="180">
        <v>20</v>
      </c>
      <c r="D108" s="16" t="s">
        <v>45</v>
      </c>
      <c r="E108" s="16" t="s">
        <v>159</v>
      </c>
    </row>
    <row r="109" spans="1:5" s="87" customFormat="1" ht="17" thickBot="1">
      <c r="A109" s="87" t="s">
        <v>49</v>
      </c>
      <c r="B109" s="87" t="s">
        <v>169</v>
      </c>
      <c r="C109" s="162">
        <v>15</v>
      </c>
      <c r="D109" s="87" t="s">
        <v>45</v>
      </c>
    </row>
    <row r="110" spans="1:5" s="16" customFormat="1"/>
    <row r="111" spans="1:5" s="87" customFormat="1" ht="17" thickBot="1">
      <c r="A111" s="87" t="s">
        <v>170</v>
      </c>
    </row>
    <row r="112" spans="1:5" s="16" customFormat="1">
      <c r="A112" s="8" t="s">
        <v>171</v>
      </c>
      <c r="B112" s="16" t="s">
        <v>172</v>
      </c>
      <c r="C112" s="6">
        <v>1</v>
      </c>
      <c r="D112" s="16" t="s">
        <v>173</v>
      </c>
    </row>
    <row r="113" spans="1:15">
      <c r="A113" t="s">
        <v>23</v>
      </c>
      <c r="B113" s="16" t="s">
        <v>174</v>
      </c>
      <c r="C113" s="13">
        <v>1000000000000</v>
      </c>
      <c r="D113" t="s">
        <v>25</v>
      </c>
    </row>
    <row r="114" spans="1:15">
      <c r="A114" t="s">
        <v>26</v>
      </c>
      <c r="B114" s="16" t="s">
        <v>175</v>
      </c>
      <c r="C114" s="14">
        <v>0</v>
      </c>
      <c r="D114" t="s">
        <v>25</v>
      </c>
    </row>
    <row r="115" spans="1:15" s="16" customFormat="1">
      <c r="A115" s="16" t="s">
        <v>58</v>
      </c>
      <c r="B115" s="16" t="s">
        <v>176</v>
      </c>
      <c r="C115" s="188">
        <v>1</v>
      </c>
      <c r="D115" s="16" t="s">
        <v>177</v>
      </c>
      <c r="E115" s="16" t="s">
        <v>452</v>
      </c>
    </row>
    <row r="116" spans="1:15" s="10" customFormat="1">
      <c r="A116" s="8" t="s">
        <v>60</v>
      </c>
      <c r="B116" s="8" t="s">
        <v>178</v>
      </c>
      <c r="C116" s="189">
        <v>3.5000000000000003E-2</v>
      </c>
      <c r="D116" s="10" t="s">
        <v>34</v>
      </c>
      <c r="E116" s="8" t="s">
        <v>452</v>
      </c>
    </row>
    <row r="117" spans="1:15" s="137" customFormat="1" ht="17" thickBot="1">
      <c r="A117" s="87" t="s">
        <v>112</v>
      </c>
      <c r="B117" s="87" t="s">
        <v>593</v>
      </c>
      <c r="C117" s="177">
        <v>60</v>
      </c>
      <c r="D117" s="137" t="s">
        <v>45</v>
      </c>
      <c r="E117" s="87" t="s">
        <v>452</v>
      </c>
    </row>
    <row r="118" spans="1:15">
      <c r="B118" s="16"/>
    </row>
    <row r="119" spans="1:15" s="137" customFormat="1" ht="17" thickBot="1">
      <c r="A119" s="87" t="s">
        <v>179</v>
      </c>
      <c r="C119" s="87"/>
      <c r="D119" s="87"/>
      <c r="E119" s="87"/>
      <c r="F119" s="87"/>
      <c r="G119" s="87"/>
      <c r="H119" s="87"/>
      <c r="I119" s="87"/>
      <c r="J119" s="87"/>
      <c r="K119" s="87"/>
    </row>
    <row r="120" spans="1:15">
      <c r="A120" s="8" t="s">
        <v>180</v>
      </c>
      <c r="B120" t="s">
        <v>181</v>
      </c>
      <c r="C120" s="172">
        <v>1</v>
      </c>
      <c r="D120" s="10" t="s">
        <v>182</v>
      </c>
      <c r="E120" s="10"/>
      <c r="F120" s="10"/>
      <c r="G120" s="10"/>
      <c r="H120" s="10"/>
      <c r="I120" s="10"/>
      <c r="J120" s="10"/>
      <c r="K120" s="10"/>
    </row>
    <row r="121" spans="1:15">
      <c r="A121" t="s">
        <v>23</v>
      </c>
      <c r="B121" t="s">
        <v>183</v>
      </c>
      <c r="C121" s="13">
        <v>1000000</v>
      </c>
      <c r="D121" t="s">
        <v>25</v>
      </c>
    </row>
    <row r="122" spans="1:15">
      <c r="A122" t="s">
        <v>26</v>
      </c>
      <c r="B122" t="s">
        <v>184</v>
      </c>
      <c r="C122" s="14">
        <v>0</v>
      </c>
      <c r="D122" t="s">
        <v>25</v>
      </c>
    </row>
    <row r="123" spans="1:15">
      <c r="A123" t="s">
        <v>58</v>
      </c>
      <c r="B123" t="s">
        <v>187</v>
      </c>
      <c r="C123" s="150">
        <v>788</v>
      </c>
      <c r="D123" t="s">
        <v>188</v>
      </c>
      <c r="E123" s="16" t="s">
        <v>590</v>
      </c>
      <c r="K123" t="s">
        <v>189</v>
      </c>
    </row>
    <row r="124" spans="1:15">
      <c r="A124" t="s">
        <v>60</v>
      </c>
      <c r="B124" t="s">
        <v>190</v>
      </c>
      <c r="C124" s="150">
        <v>0.03</v>
      </c>
      <c r="D124" t="s">
        <v>34</v>
      </c>
      <c r="E124" s="16" t="s">
        <v>590</v>
      </c>
      <c r="G124" s="16"/>
      <c r="H124" s="16"/>
      <c r="I124" s="16"/>
      <c r="J124" s="16"/>
    </row>
    <row r="125" spans="1:15">
      <c r="A125" t="s">
        <v>62</v>
      </c>
      <c r="B125" t="s">
        <v>191</v>
      </c>
      <c r="C125" s="198">
        <f>C123+(C123-C127)</f>
        <v>933.14285714285711</v>
      </c>
      <c r="G125" s="16"/>
      <c r="H125" s="16"/>
      <c r="I125" s="16"/>
      <c r="J125" s="16"/>
    </row>
    <row r="126" spans="1:15" ht="17" thickBot="1">
      <c r="A126" t="s">
        <v>32</v>
      </c>
      <c r="B126" t="s">
        <v>192</v>
      </c>
      <c r="C126" s="150">
        <v>0.03</v>
      </c>
      <c r="G126" s="16"/>
      <c r="H126" s="16"/>
      <c r="I126" s="16"/>
      <c r="J126" s="16"/>
    </row>
    <row r="127" spans="1:15" ht="17" thickBot="1">
      <c r="A127" t="s">
        <v>39</v>
      </c>
      <c r="B127" t="s">
        <v>193</v>
      </c>
      <c r="C127" s="199">
        <f>H127/F127</f>
        <v>642.85714285714289</v>
      </c>
      <c r="D127" t="s">
        <v>188</v>
      </c>
      <c r="E127" s="16" t="s">
        <v>591</v>
      </c>
      <c r="F127" s="208">
        <v>28000</v>
      </c>
      <c r="G127" s="209" t="s">
        <v>610</v>
      </c>
      <c r="H127" s="210">
        <v>18000000</v>
      </c>
      <c r="I127" s="211" t="s">
        <v>609</v>
      </c>
      <c r="J127" s="210">
        <f>H127/F127</f>
        <v>642.85714285714289</v>
      </c>
      <c r="K127" s="217" t="s">
        <v>614</v>
      </c>
    </row>
    <row r="128" spans="1:15">
      <c r="A128" t="s">
        <v>41</v>
      </c>
      <c r="B128" t="s">
        <v>194</v>
      </c>
      <c r="C128" s="150">
        <v>0.03</v>
      </c>
      <c r="D128" t="s">
        <v>34</v>
      </c>
      <c r="E128" t="s">
        <v>48</v>
      </c>
      <c r="F128" s="205">
        <v>60000</v>
      </c>
      <c r="G128" s="34" t="s">
        <v>611</v>
      </c>
      <c r="H128" s="213">
        <f>F128/H129</f>
        <v>2500</v>
      </c>
      <c r="I128" s="34" t="s">
        <v>612</v>
      </c>
      <c r="J128" s="214">
        <f>H128/J129</f>
        <v>59.523809523809526</v>
      </c>
      <c r="K128" s="34" t="s">
        <v>617</v>
      </c>
      <c r="L128" s="215">
        <f>J128/L129</f>
        <v>19.716595237385441</v>
      </c>
      <c r="M128" s="190" t="s">
        <v>613</v>
      </c>
      <c r="N128" s="215">
        <f>L128/N129</f>
        <v>5.4585199915183329E-3</v>
      </c>
      <c r="O128" s="216" t="s">
        <v>614</v>
      </c>
    </row>
    <row r="129" spans="1:15" ht="17" thickBot="1">
      <c r="A129" t="s">
        <v>583</v>
      </c>
      <c r="B129" t="s">
        <v>585</v>
      </c>
      <c r="C129" s="153">
        <v>0.13400000000000001</v>
      </c>
      <c r="D129" t="s">
        <v>586</v>
      </c>
      <c r="E129" s="16" t="s">
        <v>578</v>
      </c>
      <c r="F129" s="86"/>
      <c r="G129" s="87"/>
      <c r="H129" s="87">
        <v>24</v>
      </c>
      <c r="I129" s="87" t="s">
        <v>615</v>
      </c>
      <c r="J129" s="87">
        <v>42</v>
      </c>
      <c r="K129" s="137" t="s">
        <v>616</v>
      </c>
      <c r="L129" s="137">
        <f>(C134*C145+C135*C146+C136*C147)</f>
        <v>3.0189699999999999</v>
      </c>
      <c r="M129" s="137" t="s">
        <v>221</v>
      </c>
      <c r="N129" s="171">
        <f>((C142*C148+C143*C149+C144*C150)/12000)</f>
        <v>3612.0771322669652</v>
      </c>
      <c r="O129" s="138" t="s">
        <v>618</v>
      </c>
    </row>
    <row r="130" spans="1:15">
      <c r="A130" t="s">
        <v>581</v>
      </c>
      <c r="B130" t="s">
        <v>582</v>
      </c>
      <c r="C130" s="21">
        <v>0.32600000000000001</v>
      </c>
      <c r="D130" t="s">
        <v>584</v>
      </c>
      <c r="E130" s="16" t="s">
        <v>578</v>
      </c>
      <c r="F130" s="206">
        <v>202000000</v>
      </c>
      <c r="G130" s="8" t="s">
        <v>619</v>
      </c>
      <c r="H130" s="8">
        <v>690</v>
      </c>
      <c r="I130" s="36" t="s">
        <v>620</v>
      </c>
      <c r="J130" s="16"/>
    </row>
    <row r="131" spans="1:15">
      <c r="A131" t="s">
        <v>195</v>
      </c>
      <c r="B131" t="s">
        <v>196</v>
      </c>
      <c r="C131" s="153">
        <v>1.4970000000000001</v>
      </c>
      <c r="D131" t="s">
        <v>579</v>
      </c>
      <c r="E131" s="16" t="s">
        <v>578</v>
      </c>
      <c r="F131" s="206">
        <v>32000000</v>
      </c>
      <c r="G131" s="8"/>
      <c r="H131" s="8">
        <f>H130*1000</f>
        <v>690000</v>
      </c>
      <c r="I131" s="36" t="s">
        <v>77</v>
      </c>
      <c r="J131" s="16"/>
    </row>
    <row r="132" spans="1:15">
      <c r="A132" t="s">
        <v>198</v>
      </c>
      <c r="B132" t="s">
        <v>199</v>
      </c>
      <c r="C132" s="20">
        <v>0.2</v>
      </c>
      <c r="D132" t="s">
        <v>607</v>
      </c>
      <c r="F132" s="206">
        <v>32000000</v>
      </c>
      <c r="G132" s="10"/>
      <c r="H132" s="10"/>
      <c r="I132" s="59"/>
    </row>
    <row r="133" spans="1:15" ht="17" thickBot="1">
      <c r="A133" t="s">
        <v>201</v>
      </c>
      <c r="B133" t="s">
        <v>202</v>
      </c>
      <c r="C133" s="153">
        <v>0.34100000000000003</v>
      </c>
      <c r="D133" t="s">
        <v>580</v>
      </c>
      <c r="E133" s="16" t="s">
        <v>578</v>
      </c>
      <c r="F133" s="202">
        <f>SUM(F130:F132)</f>
        <v>266000000</v>
      </c>
      <c r="G133" s="87" t="s">
        <v>621</v>
      </c>
      <c r="H133" s="207">
        <f>F133/H131</f>
        <v>385.50724637681162</v>
      </c>
      <c r="I133" s="88" t="s">
        <v>614</v>
      </c>
      <c r="J133" s="16"/>
    </row>
    <row r="134" spans="1:15">
      <c r="A134" t="s">
        <v>203</v>
      </c>
      <c r="B134" t="s">
        <v>204</v>
      </c>
      <c r="C134" s="153">
        <v>0.44</v>
      </c>
      <c r="E134" s="16" t="s">
        <v>578</v>
      </c>
      <c r="F134" s="200">
        <v>668000000</v>
      </c>
      <c r="G134" s="212">
        <v>12200000</v>
      </c>
      <c r="H134" s="34">
        <v>2238</v>
      </c>
      <c r="I134" s="35" t="s">
        <v>620</v>
      </c>
      <c r="J134" s="16"/>
      <c r="K134" t="s">
        <v>205</v>
      </c>
    </row>
    <row r="135" spans="1:15">
      <c r="A135" t="s">
        <v>206</v>
      </c>
      <c r="B135" t="s">
        <v>207</v>
      </c>
      <c r="C135" s="153">
        <v>0.31</v>
      </c>
      <c r="E135" s="16" t="s">
        <v>578</v>
      </c>
      <c r="F135" s="201">
        <v>16500000</v>
      </c>
      <c r="G135" s="8"/>
      <c r="H135" s="8">
        <f>H134*1000</f>
        <v>2238000</v>
      </c>
      <c r="I135" s="36" t="s">
        <v>77</v>
      </c>
      <c r="J135" s="16"/>
      <c r="K135" t="s">
        <v>205</v>
      </c>
    </row>
    <row r="136" spans="1:15" s="10" customFormat="1">
      <c r="A136" s="10" t="s">
        <v>208</v>
      </c>
      <c r="B136" s="10" t="s">
        <v>209</v>
      </c>
      <c r="C136" s="173">
        <v>0.25</v>
      </c>
      <c r="E136" s="8" t="s">
        <v>578</v>
      </c>
      <c r="F136" s="201">
        <v>207000000</v>
      </c>
      <c r="G136" s="8"/>
      <c r="H136" s="8"/>
      <c r="I136" s="36"/>
      <c r="J136" s="8"/>
      <c r="K136" s="10" t="s">
        <v>205</v>
      </c>
    </row>
    <row r="137" spans="1:15" s="10" customFormat="1" ht="17" thickBot="1">
      <c r="A137" t="s">
        <v>43</v>
      </c>
      <c r="B137" t="s">
        <v>587</v>
      </c>
      <c r="C137" s="174">
        <v>35</v>
      </c>
      <c r="E137" s="8"/>
      <c r="F137" s="202">
        <f>SUM(F134:F136)+G134</f>
        <v>903700000</v>
      </c>
      <c r="G137" s="87" t="s">
        <v>609</v>
      </c>
      <c r="H137" s="203">
        <f>F137/H135</f>
        <v>403.79803395889189</v>
      </c>
      <c r="I137" s="204" t="s">
        <v>614</v>
      </c>
      <c r="J137" s="8"/>
    </row>
    <row r="138" spans="1:15" s="10" customFormat="1">
      <c r="A138" t="s">
        <v>112</v>
      </c>
      <c r="B138" t="s">
        <v>588</v>
      </c>
      <c r="C138" s="173">
        <v>30</v>
      </c>
      <c r="E138" s="16" t="s">
        <v>48</v>
      </c>
      <c r="F138" s="8"/>
      <c r="G138" s="8"/>
      <c r="H138" s="8"/>
      <c r="I138" s="8"/>
      <c r="J138" s="8"/>
    </row>
    <row r="139" spans="1:15" s="137" customFormat="1" ht="17" thickBot="1">
      <c r="A139" s="137" t="s">
        <v>49</v>
      </c>
      <c r="B139" s="137" t="s">
        <v>589</v>
      </c>
      <c r="C139" s="175">
        <v>25</v>
      </c>
      <c r="E139" s="87"/>
      <c r="F139" s="87"/>
      <c r="G139" s="87"/>
      <c r="H139" s="87"/>
      <c r="I139" s="87"/>
      <c r="J139" s="87"/>
    </row>
    <row r="140" spans="1:15">
      <c r="B140" s="16"/>
    </row>
    <row r="141" spans="1:15" s="137" customFormat="1" ht="17" thickBot="1">
      <c r="A141" s="87" t="s">
        <v>210</v>
      </c>
      <c r="C141" s="87"/>
      <c r="D141" s="87"/>
      <c r="E141" s="87"/>
      <c r="F141" s="87"/>
      <c r="G141" s="87"/>
      <c r="H141" s="87"/>
      <c r="I141" s="87"/>
      <c r="J141" s="87"/>
      <c r="K141" s="87"/>
    </row>
    <row r="142" spans="1:15">
      <c r="A142" t="s">
        <v>211</v>
      </c>
      <c r="B142" s="16" t="s">
        <v>212</v>
      </c>
      <c r="C142" s="26">
        <v>43000000</v>
      </c>
      <c r="D142" t="s">
        <v>213</v>
      </c>
      <c r="E142" s="23" t="s">
        <v>214</v>
      </c>
      <c r="F142" s="23"/>
      <c r="G142" s="23"/>
      <c r="H142" s="23"/>
      <c r="I142" s="23"/>
      <c r="J142" s="23"/>
    </row>
    <row r="143" spans="1:15">
      <c r="A143" t="s">
        <v>215</v>
      </c>
      <c r="B143" s="16" t="s">
        <v>216</v>
      </c>
      <c r="C143" s="26">
        <v>44600000</v>
      </c>
      <c r="D143" t="s">
        <v>213</v>
      </c>
      <c r="E143" s="23" t="s">
        <v>214</v>
      </c>
      <c r="F143" s="23"/>
      <c r="G143" s="23"/>
      <c r="H143" s="23"/>
      <c r="I143" s="23"/>
      <c r="J143" s="23"/>
    </row>
    <row r="144" spans="1:15">
      <c r="A144" t="s">
        <v>217</v>
      </c>
      <c r="B144" s="16" t="s">
        <v>218</v>
      </c>
      <c r="C144" s="26">
        <v>42600000</v>
      </c>
      <c r="D144" t="s">
        <v>213</v>
      </c>
      <c r="E144" s="23" t="s">
        <v>214</v>
      </c>
      <c r="F144" s="23"/>
      <c r="G144" s="23"/>
      <c r="H144" s="23"/>
      <c r="I144" s="23"/>
      <c r="J144" s="23"/>
    </row>
    <row r="145" spans="1:11">
      <c r="A145" t="s">
        <v>219</v>
      </c>
      <c r="B145" s="16" t="s">
        <v>220</v>
      </c>
      <c r="C145" s="12">
        <v>3.1080000000000001</v>
      </c>
      <c r="D145" t="s">
        <v>221</v>
      </c>
      <c r="E145" s="23" t="s">
        <v>214</v>
      </c>
      <c r="F145" s="23"/>
      <c r="G145" s="23"/>
      <c r="H145" s="23"/>
      <c r="I145" s="23"/>
      <c r="J145" s="23"/>
    </row>
    <row r="146" spans="1:11">
      <c r="A146" t="s">
        <v>222</v>
      </c>
      <c r="B146" s="16" t="s">
        <v>223</v>
      </c>
      <c r="C146" s="12">
        <v>2.7450000000000001</v>
      </c>
      <c r="D146" t="s">
        <v>221</v>
      </c>
      <c r="E146" s="23" t="s">
        <v>214</v>
      </c>
      <c r="F146" s="23"/>
      <c r="G146" s="23"/>
      <c r="H146" s="23"/>
      <c r="I146" s="23"/>
      <c r="J146" s="23"/>
    </row>
    <row r="147" spans="1:11">
      <c r="A147" t="s">
        <v>224</v>
      </c>
      <c r="B147" s="16" t="s">
        <v>225</v>
      </c>
      <c r="C147" s="12">
        <v>3.202</v>
      </c>
      <c r="D147" t="s">
        <v>221</v>
      </c>
      <c r="E147" s="23" t="s">
        <v>214</v>
      </c>
      <c r="F147" s="23"/>
      <c r="G147" s="23"/>
      <c r="H147" s="23"/>
      <c r="I147" s="23"/>
      <c r="J147" s="23"/>
    </row>
    <row r="148" spans="1:11">
      <c r="A148" t="s">
        <v>226</v>
      </c>
      <c r="B148" s="16" t="s">
        <v>227</v>
      </c>
      <c r="C148" s="27">
        <f>(C134*C145)/($C$134*$C$145+$C$135*$C$146+$C$136*$C$147)</f>
        <v>0.45297568375969288</v>
      </c>
      <c r="D148" t="str">
        <f>""</f>
        <v/>
      </c>
    </row>
    <row r="149" spans="1:11">
      <c r="A149" t="s">
        <v>228</v>
      </c>
      <c r="B149" s="16" t="s">
        <v>229</v>
      </c>
      <c r="C149" s="27">
        <f>(C135*C146)/($C$134*$C$145+$C$135*$C$146+$C$136*$C$147)</f>
        <v>0.28186765684985277</v>
      </c>
      <c r="D149" t="str">
        <f>""</f>
        <v/>
      </c>
    </row>
    <row r="150" spans="1:11">
      <c r="A150" t="s">
        <v>230</v>
      </c>
      <c r="B150" s="16" t="s">
        <v>231</v>
      </c>
      <c r="C150" s="27">
        <f>(C136*C147)/($C$134*$C$145+$C$135*$C$146+$C$136*$C$147)</f>
        <v>0.26515665939045435</v>
      </c>
      <c r="D150" t="str">
        <f>""</f>
        <v/>
      </c>
    </row>
    <row r="151" spans="1:11">
      <c r="A151" t="s">
        <v>232</v>
      </c>
      <c r="B151" s="16" t="s">
        <v>233</v>
      </c>
      <c r="C151" s="27">
        <f>(C142*C148)/($C$142*$C$148+$C$143*$C$149+$C$144*$C$150)</f>
        <v>0.44937104257982929</v>
      </c>
      <c r="D151" t="str">
        <f>""</f>
        <v/>
      </c>
    </row>
    <row r="152" spans="1:11">
      <c r="A152" t="s">
        <v>234</v>
      </c>
      <c r="B152" s="16" t="s">
        <v>235</v>
      </c>
      <c r="C152" s="27">
        <f>(C143*C149)/($C$142*$C$148+$C$143*$C$149+$C$144*$C$150)</f>
        <v>0.29002927851870086</v>
      </c>
      <c r="D152" t="str">
        <f>""</f>
        <v/>
      </c>
    </row>
    <row r="153" spans="1:11" s="137" customFormat="1" ht="17" thickBot="1">
      <c r="A153" s="137" t="s">
        <v>236</v>
      </c>
      <c r="B153" s="87" t="s">
        <v>237</v>
      </c>
      <c r="C153" s="163">
        <f>(C144*C150)/($C$142*$C$148+$C$143*$C$149+$C$144*$C$150)</f>
        <v>0.26059967890146979</v>
      </c>
      <c r="D153" s="137" t="str">
        <f>""</f>
        <v/>
      </c>
    </row>
    <row r="154" spans="1:11">
      <c r="B154" s="16"/>
    </row>
    <row r="155" spans="1:11" s="137" customFormat="1" ht="17" thickBot="1">
      <c r="A155" s="87" t="s">
        <v>238</v>
      </c>
      <c r="C155" s="87"/>
      <c r="D155" s="87"/>
      <c r="E155" s="87"/>
      <c r="F155" s="87"/>
      <c r="G155" s="87"/>
      <c r="H155" s="87"/>
      <c r="I155" s="87"/>
      <c r="J155" s="87"/>
      <c r="K155" s="87"/>
    </row>
    <row r="156" spans="1:11">
      <c r="A156" s="8" t="s">
        <v>239</v>
      </c>
      <c r="B156" s="8" t="s">
        <v>240</v>
      </c>
      <c r="C156" s="157">
        <v>7.0000000000000007E-2</v>
      </c>
      <c r="D156" s="8"/>
      <c r="E156" s="8"/>
      <c r="F156" s="8"/>
      <c r="G156" s="8"/>
      <c r="H156" s="8"/>
      <c r="I156" s="8"/>
      <c r="J156" s="8"/>
      <c r="K156" s="8"/>
    </row>
    <row r="157" spans="1:11">
      <c r="A157" s="8" t="s">
        <v>241</v>
      </c>
      <c r="B157" s="8" t="s">
        <v>242</v>
      </c>
      <c r="C157" s="155">
        <v>7.0000000000000007E-2</v>
      </c>
      <c r="E157" s="16" t="s">
        <v>563</v>
      </c>
    </row>
    <row r="158" spans="1:11">
      <c r="A158" s="8" t="s">
        <v>243</v>
      </c>
      <c r="B158" s="8" t="s">
        <v>244</v>
      </c>
      <c r="C158" s="155">
        <v>0.05</v>
      </c>
      <c r="D158" s="16"/>
    </row>
    <row r="159" spans="1:11">
      <c r="A159" s="8" t="s">
        <v>245</v>
      </c>
      <c r="B159" t="s">
        <v>246</v>
      </c>
      <c r="C159" s="28">
        <v>35</v>
      </c>
      <c r="D159" s="8" t="s">
        <v>45</v>
      </c>
    </row>
    <row r="160" spans="1:11">
      <c r="A160" s="8" t="s">
        <v>247</v>
      </c>
      <c r="B160" t="s">
        <v>248</v>
      </c>
      <c r="C160" s="156">
        <v>30</v>
      </c>
      <c r="D160" s="8" t="s">
        <v>45</v>
      </c>
      <c r="E160" s="9"/>
      <c r="F160" s="9"/>
      <c r="G160" s="9"/>
      <c r="H160" s="9"/>
      <c r="I160" s="9"/>
      <c r="J160" s="9"/>
      <c r="K160" s="9"/>
    </row>
    <row r="161" spans="1:11" s="137" customFormat="1" ht="17" thickBot="1">
      <c r="A161" s="87" t="s">
        <v>249</v>
      </c>
      <c r="B161" s="137" t="s">
        <v>250</v>
      </c>
      <c r="C161" s="162">
        <v>25</v>
      </c>
      <c r="D161" s="87" t="s">
        <v>45</v>
      </c>
      <c r="E161" s="93"/>
      <c r="F161" s="93"/>
      <c r="G161" s="93"/>
      <c r="H161" s="93"/>
      <c r="I161" s="93"/>
      <c r="J161" s="93"/>
      <c r="K161" s="93"/>
    </row>
    <row r="163" spans="1:11" s="87" customFormat="1" ht="17" thickBot="1">
      <c r="A163" s="87" t="s">
        <v>251</v>
      </c>
    </row>
    <row r="164" spans="1:11">
      <c r="A164" t="s">
        <v>23</v>
      </c>
      <c r="B164" t="s">
        <v>252</v>
      </c>
      <c r="C164" s="13">
        <v>1000000</v>
      </c>
      <c r="D164" t="s">
        <v>25</v>
      </c>
    </row>
    <row r="165" spans="1:11">
      <c r="A165" t="s">
        <v>26</v>
      </c>
      <c r="B165" t="s">
        <v>253</v>
      </c>
      <c r="C165" s="14">
        <v>0</v>
      </c>
      <c r="D165" t="s">
        <v>25</v>
      </c>
    </row>
    <row r="166" spans="1:11">
      <c r="A166" t="s">
        <v>141</v>
      </c>
      <c r="B166" t="s">
        <v>561</v>
      </c>
      <c r="C166" s="158">
        <v>1</v>
      </c>
      <c r="D166" t="s">
        <v>622</v>
      </c>
      <c r="E166" t="s">
        <v>564</v>
      </c>
      <c r="F166">
        <v>1.1000000000000001</v>
      </c>
      <c r="G166" t="s">
        <v>562</v>
      </c>
    </row>
    <row r="167" spans="1:11">
      <c r="A167" t="s">
        <v>62</v>
      </c>
      <c r="B167" t="s">
        <v>574</v>
      </c>
      <c r="C167" s="160">
        <f>1.2*C169</f>
        <v>1506</v>
      </c>
    </row>
    <row r="168" spans="1:11">
      <c r="A168" t="s">
        <v>569</v>
      </c>
      <c r="B168" t="s">
        <v>575</v>
      </c>
      <c r="C168" s="160">
        <f>1.2*C170</f>
        <v>1.2E-2</v>
      </c>
    </row>
    <row r="169" spans="1:11">
      <c r="A169" t="s">
        <v>58</v>
      </c>
      <c r="B169" t="s">
        <v>254</v>
      </c>
      <c r="C169" s="150">
        <v>1255</v>
      </c>
      <c r="D169" t="s">
        <v>565</v>
      </c>
      <c r="E169" t="s">
        <v>566</v>
      </c>
      <c r="I169">
        <v>0.08</v>
      </c>
      <c r="J169" t="s">
        <v>564</v>
      </c>
    </row>
    <row r="170" spans="1:11">
      <c r="A170" t="s">
        <v>60</v>
      </c>
      <c r="B170" t="s">
        <v>255</v>
      </c>
      <c r="C170" s="150">
        <v>0.01</v>
      </c>
      <c r="E170" t="s">
        <v>566</v>
      </c>
    </row>
    <row r="171" spans="1:11">
      <c r="A171" t="s">
        <v>570</v>
      </c>
      <c r="B171" t="s">
        <v>572</v>
      </c>
      <c r="C171" s="159">
        <f>0.8*C169</f>
        <v>1004</v>
      </c>
    </row>
    <row r="172" spans="1:11">
      <c r="A172" t="s">
        <v>571</v>
      </c>
      <c r="B172" t="s">
        <v>573</v>
      </c>
      <c r="C172" s="159">
        <f>0.8*C170</f>
        <v>8.0000000000000002E-3</v>
      </c>
    </row>
    <row r="173" spans="1:11">
      <c r="A173" t="s">
        <v>43</v>
      </c>
      <c r="B173" t="s">
        <v>567</v>
      </c>
      <c r="C173" s="159">
        <v>25</v>
      </c>
    </row>
    <row r="174" spans="1:11">
      <c r="A174" t="s">
        <v>112</v>
      </c>
      <c r="B174" t="s">
        <v>256</v>
      </c>
      <c r="C174" s="150">
        <v>20</v>
      </c>
      <c r="E174" t="s">
        <v>566</v>
      </c>
      <c r="I174">
        <v>20</v>
      </c>
      <c r="J174" t="s">
        <v>564</v>
      </c>
    </row>
    <row r="175" spans="1:11" s="137" customFormat="1" ht="17" thickBot="1">
      <c r="A175" s="137" t="s">
        <v>49</v>
      </c>
      <c r="B175" s="137" t="s">
        <v>568</v>
      </c>
      <c r="C175" s="161">
        <v>15</v>
      </c>
    </row>
  </sheetData>
  <hyperlinks>
    <hyperlink ref="F67" r:id="rId1" xr:uid="{00000000-0004-0000-0000-000000000000}"/>
    <hyperlink ref="E142" r:id="rId2" xr:uid="{00000000-0004-0000-0000-000001000000}"/>
    <hyperlink ref="E143" r:id="rId3" xr:uid="{00000000-0004-0000-0000-000002000000}"/>
    <hyperlink ref="E144" r:id="rId4" xr:uid="{00000000-0004-0000-0000-000003000000}"/>
    <hyperlink ref="E145" r:id="rId5" xr:uid="{00000000-0004-0000-0000-000004000000}"/>
    <hyperlink ref="E146" r:id="rId6" xr:uid="{00000000-0004-0000-0000-000005000000}"/>
    <hyperlink ref="E147" r:id="rId7" xr:uid="{00000000-0004-0000-0000-000006000000}"/>
  </hyperlinks>
  <pageMargins left="0.7" right="0.7" top="0.75" bottom="0.75" header="0.51180555555555496" footer="0.51180555555555496"/>
  <pageSetup paperSize="9" firstPageNumber="0" orientation="portrait" horizontalDpi="300" verticalDpi="300" r:id="rId8"/>
  <drawing r:id="rId9"/>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2000000}">
          <x14:formula1>
            <xm:f>data!$A$2:$A$192</xm:f>
          </x14:formula1>
          <x14:formula2>
            <xm:f>0</xm:f>
          </x14:formula2>
          <xm:sqref>B95 B5:B6 B86:B87 B19:B20 B36:B37 B51:B52 B68:B69 B110:B111 B113:B114 B119 B140:B155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70AD47"/>
  </sheetPr>
  <dimension ref="A2:K67"/>
  <sheetViews>
    <sheetView zoomScaleNormal="100" workbookViewId="0">
      <selection activeCell="E10" sqref="E10"/>
    </sheetView>
  </sheetViews>
  <sheetFormatPr baseColWidth="10" defaultColWidth="9" defaultRowHeight="16"/>
  <cols>
    <col min="1" max="1" width="10.6640625" customWidth="1"/>
    <col min="2" max="2" width="17" customWidth="1"/>
    <col min="3" max="3" width="35.1640625" customWidth="1"/>
    <col min="4" max="4" width="28.5" customWidth="1"/>
    <col min="5" max="5" width="21" customWidth="1"/>
    <col min="6" max="6" width="31" customWidth="1"/>
    <col min="7" max="7" width="28.5" customWidth="1"/>
    <col min="8" max="8" width="14.6640625" customWidth="1"/>
    <col min="9" max="9" width="31" customWidth="1"/>
    <col min="10" max="10" width="28.5" customWidth="1"/>
    <col min="11" max="1025" width="10.6640625" customWidth="1"/>
  </cols>
  <sheetData>
    <row r="2" spans="1:11" s="1" customFormat="1">
      <c r="B2" s="219" t="s">
        <v>497</v>
      </c>
      <c r="C2" s="219"/>
      <c r="D2" s="219"/>
      <c r="E2" s="218" t="s">
        <v>498</v>
      </c>
      <c r="F2" s="218"/>
      <c r="G2" s="218"/>
      <c r="H2" s="224" t="s">
        <v>499</v>
      </c>
      <c r="I2" s="224"/>
      <c r="J2" s="224"/>
    </row>
    <row r="3" spans="1:11" s="10" customFormat="1">
      <c r="A3" s="9" t="s">
        <v>500</v>
      </c>
      <c r="B3" s="109" t="str">
        <f>Vartiainen2020!B15</f>
        <v>Vartiainen, 2020</v>
      </c>
      <c r="C3" s="110" t="str">
        <f>'JRC2018'!B32</f>
        <v>Tsiropoulos, 2018 (ProRES scenario)</v>
      </c>
      <c r="D3" s="110" t="str">
        <f>Agora2019!B19</f>
        <v>Agora, 2019 (reference scenario)</v>
      </c>
      <c r="E3" s="109" t="str">
        <f>Vartiainen2020!B15</f>
        <v>Vartiainen, 2020</v>
      </c>
      <c r="F3" s="9" t="str">
        <f>'JRC2018'!B32</f>
        <v>Tsiropoulos, 2018 (ProRES scenario)</v>
      </c>
      <c r="G3" s="9" t="str">
        <f>Agora2019!B19</f>
        <v>Agora, 2019 (reference scenario)</v>
      </c>
      <c r="H3" s="109" t="str">
        <f>Vartiainen2020!B15</f>
        <v>Vartiainen, 2020</v>
      </c>
      <c r="I3" s="9" t="str">
        <f>'JRC2018'!B32</f>
        <v>Tsiropoulos, 2018 (ProRES scenario)</v>
      </c>
      <c r="J3" s="9" t="str">
        <f>Agora2019!B19</f>
        <v>Agora, 2019 (reference scenario)</v>
      </c>
      <c r="K3" s="9"/>
    </row>
    <row r="4" spans="1:11" s="16" customFormat="1">
      <c r="A4" s="11" t="s">
        <v>501</v>
      </c>
      <c r="B4" s="111"/>
      <c r="C4" s="11" t="str">
        <f>'JRC2018'!A16</f>
        <v>utility-scale PV without tracking</v>
      </c>
      <c r="D4" s="11"/>
      <c r="E4" s="111"/>
      <c r="F4" s="11" t="str">
        <f>C4</f>
        <v>utility-scale PV without tracking</v>
      </c>
      <c r="G4" s="11"/>
      <c r="H4" s="111"/>
      <c r="I4" s="11" t="str">
        <f>C4</f>
        <v>utility-scale PV without tracking</v>
      </c>
      <c r="J4" s="11"/>
    </row>
    <row r="5" spans="1:11">
      <c r="A5">
        <v>2015</v>
      </c>
      <c r="B5" s="112"/>
      <c r="C5">
        <f>'JRC2018'!D16</f>
        <v>1020</v>
      </c>
      <c r="E5" s="113"/>
      <c r="F5" s="114">
        <f>'JRC2018'!D17</f>
        <v>1.7000000000000001E-2</v>
      </c>
      <c r="H5" s="115">
        <f>Vartiainen2020!D11</f>
        <v>30</v>
      </c>
      <c r="I5" s="99">
        <f>'JRC2018'!D27</f>
        <v>25</v>
      </c>
      <c r="J5" s="101">
        <f>Agora2019!D4</f>
        <v>25</v>
      </c>
    </row>
    <row r="6" spans="1:11">
      <c r="A6">
        <v>2016</v>
      </c>
      <c r="B6" s="112"/>
      <c r="E6" s="113"/>
      <c r="F6" s="114"/>
      <c r="H6" s="113"/>
      <c r="I6" s="114"/>
      <c r="J6" s="10"/>
    </row>
    <row r="7" spans="1:11">
      <c r="A7">
        <v>2017</v>
      </c>
      <c r="B7" s="112"/>
      <c r="E7" s="113"/>
      <c r="F7" s="114"/>
      <c r="H7" s="112"/>
      <c r="I7" s="10"/>
      <c r="J7" s="10"/>
    </row>
    <row r="8" spans="1:11">
      <c r="A8">
        <v>2018</v>
      </c>
      <c r="B8" s="112"/>
      <c r="E8" s="113"/>
      <c r="F8" s="114"/>
      <c r="H8" s="112"/>
      <c r="I8" s="10"/>
      <c r="J8" s="10"/>
    </row>
    <row r="9" spans="1:11">
      <c r="A9">
        <v>2019</v>
      </c>
      <c r="B9" s="112">
        <f>Vartiainen2020!D3</f>
        <v>462</v>
      </c>
      <c r="E9" s="113">
        <f>Vartiainen2020!D5</f>
        <v>1.9913419913419911E-2</v>
      </c>
      <c r="F9" s="114"/>
      <c r="H9" s="112"/>
      <c r="I9" s="10"/>
      <c r="J9" s="10"/>
    </row>
    <row r="10" spans="1:11">
      <c r="A10">
        <v>2020</v>
      </c>
      <c r="B10" s="112">
        <f>HLOOKUP(A10,Vartiainen2020!$D$1:$AI$5,3,0)</f>
        <v>431</v>
      </c>
      <c r="C10">
        <f>'JRC2018'!E16</f>
        <v>690</v>
      </c>
      <c r="D10">
        <f>Agora2019!D2</f>
        <v>908</v>
      </c>
      <c r="E10" s="113">
        <f>HLOOKUP(A10,Vartiainen2020!$D$1:$AI$5,5,0)</f>
        <v>2.0417633410672854E-2</v>
      </c>
      <c r="F10" s="114">
        <f>'JRC2018'!E17</f>
        <v>1.7000000000000001E-2</v>
      </c>
      <c r="G10" s="114">
        <f>Agora2019!D3</f>
        <v>1.4999999999999999E-2</v>
      </c>
      <c r="H10" s="112"/>
      <c r="I10" s="10"/>
      <c r="J10" s="10"/>
    </row>
    <row r="11" spans="1:11">
      <c r="A11">
        <v>2021</v>
      </c>
      <c r="B11" s="112">
        <f>HLOOKUP(A11,Vartiainen2020!$D$1:$AI$5,3,0)</f>
        <v>406</v>
      </c>
      <c r="E11" s="113">
        <f>HLOOKUP(A11,Vartiainen2020!$D$1:$AI$5,5,0)</f>
        <v>2.0689655172413793E-2</v>
      </c>
      <c r="F11" s="114"/>
      <c r="G11" s="114"/>
      <c r="H11" s="112"/>
      <c r="I11" s="10"/>
      <c r="J11" s="10"/>
    </row>
    <row r="12" spans="1:11">
      <c r="A12">
        <v>2022</v>
      </c>
      <c r="B12" s="112">
        <f>HLOOKUP(A12,Vartiainen2020!$D$1:$AI$5,3,0)</f>
        <v>384</v>
      </c>
      <c r="E12" s="113">
        <f>HLOOKUP(A12,Vartiainen2020!$D$1:$AI$5,5,0)</f>
        <v>2.1093749999999998E-2</v>
      </c>
      <c r="F12" s="114"/>
      <c r="G12" s="114"/>
      <c r="H12" s="112"/>
      <c r="I12" s="10"/>
      <c r="J12" s="10"/>
    </row>
    <row r="13" spans="1:11">
      <c r="A13">
        <v>2023</v>
      </c>
      <c r="B13" s="112">
        <f>HLOOKUP(A13,Vartiainen2020!$D$1:$AI$5,3,0)</f>
        <v>365</v>
      </c>
      <c r="E13" s="113">
        <f>HLOOKUP(A13,Vartiainen2020!$D$1:$AI$5,5,0)</f>
        <v>2.1369863013698628E-2</v>
      </c>
      <c r="F13" s="114"/>
      <c r="G13" s="114"/>
      <c r="H13" s="112"/>
      <c r="I13" s="10"/>
      <c r="J13" s="10"/>
    </row>
    <row r="14" spans="1:11">
      <c r="A14">
        <v>2024</v>
      </c>
      <c r="B14" s="112">
        <f>HLOOKUP(A14,Vartiainen2020!$D$1:$AI$5,3,0)</f>
        <v>348</v>
      </c>
      <c r="E14" s="113">
        <f>HLOOKUP(A14,Vartiainen2020!$D$1:$AI$5,5,0)</f>
        <v>2.1839080459770115E-2</v>
      </c>
      <c r="F14" s="114"/>
      <c r="G14" s="114"/>
      <c r="H14" s="112"/>
      <c r="I14" s="10"/>
      <c r="J14" s="10"/>
    </row>
    <row r="15" spans="1:11">
      <c r="A15">
        <v>2025</v>
      </c>
      <c r="B15" s="112">
        <f>HLOOKUP(A15,Vartiainen2020!$D$1:$AI$5,3,0)</f>
        <v>333</v>
      </c>
      <c r="E15" s="113">
        <f>HLOOKUP(A15,Vartiainen2020!$D$1:$AI$5,5,0)</f>
        <v>2.2222222222222223E-2</v>
      </c>
      <c r="F15" s="114"/>
      <c r="G15" s="114"/>
      <c r="H15" s="112"/>
      <c r="I15" s="10"/>
      <c r="J15" s="10"/>
    </row>
    <row r="16" spans="1:11">
      <c r="A16">
        <v>2026</v>
      </c>
      <c r="B16" s="112">
        <f>HLOOKUP(A16,Vartiainen2020!$D$1:$AI$5,3,0)</f>
        <v>319</v>
      </c>
      <c r="E16" s="113">
        <f>HLOOKUP(A16,Vartiainen2020!$D$1:$AI$5,5,0)</f>
        <v>2.2257053291536048E-2</v>
      </c>
      <c r="F16" s="114"/>
      <c r="G16" s="114"/>
      <c r="H16" s="112"/>
      <c r="I16" s="10"/>
      <c r="J16" s="10"/>
    </row>
    <row r="17" spans="1:10">
      <c r="A17">
        <v>2027</v>
      </c>
      <c r="B17" s="112">
        <f>HLOOKUP(A17,Vartiainen2020!$D$1:$AI$5,3,0)</f>
        <v>307</v>
      </c>
      <c r="E17" s="113">
        <f>HLOOKUP(A17,Vartiainen2020!$D$1:$AI$5,5,0)</f>
        <v>2.2475570032573292E-2</v>
      </c>
      <c r="F17" s="114"/>
      <c r="G17" s="114"/>
      <c r="H17" s="112"/>
      <c r="I17" s="10"/>
      <c r="J17" s="10"/>
    </row>
    <row r="18" spans="1:10">
      <c r="A18">
        <v>2028</v>
      </c>
      <c r="B18" s="112">
        <f>HLOOKUP(A18,Vartiainen2020!$D$1:$AI$5,3,0)</f>
        <v>296</v>
      </c>
      <c r="E18" s="113">
        <f>HLOOKUP(A18,Vartiainen2020!$D$1:$AI$5,5,0)</f>
        <v>2.2635135135135136E-2</v>
      </c>
      <c r="F18" s="114"/>
      <c r="G18" s="114"/>
      <c r="H18" s="112"/>
      <c r="I18" s="10"/>
      <c r="J18" s="10"/>
    </row>
    <row r="19" spans="1:10">
      <c r="A19">
        <v>2029</v>
      </c>
      <c r="B19" s="112">
        <f>HLOOKUP(A19,Vartiainen2020!$D$1:$AI$5,3,0)</f>
        <v>285</v>
      </c>
      <c r="E19" s="113">
        <f>HLOOKUP(A19,Vartiainen2020!$D$1:$AI$5,5,0)</f>
        <v>2.3157894736842103E-2</v>
      </c>
      <c r="F19" s="114"/>
      <c r="G19" s="114"/>
      <c r="H19" s="112"/>
      <c r="I19" s="10"/>
      <c r="J19" s="10"/>
    </row>
    <row r="20" spans="1:10">
      <c r="A20">
        <v>2030</v>
      </c>
      <c r="B20" s="112">
        <f>HLOOKUP(A20,Vartiainen2020!$D$1:$AI$5,3,0)</f>
        <v>275</v>
      </c>
      <c r="C20">
        <f>'JRC2018'!F16</f>
        <v>450</v>
      </c>
      <c r="D20">
        <f>Agora2019!E2</f>
        <v>718</v>
      </c>
      <c r="E20" s="113">
        <f>HLOOKUP(A20,Vartiainen2020!$D$1:$AI$5,5,0)</f>
        <v>2.3272727272727275E-2</v>
      </c>
      <c r="F20" s="114"/>
      <c r="G20" s="114"/>
      <c r="H20" s="112"/>
      <c r="I20" s="10"/>
      <c r="J20" s="10"/>
    </row>
    <row r="21" spans="1:10">
      <c r="A21">
        <v>2031</v>
      </c>
      <c r="B21" s="112">
        <f>HLOOKUP(A21,Vartiainen2020!$D$1:$AI$5,3,0)</f>
        <v>266</v>
      </c>
      <c r="E21" s="113">
        <f>HLOOKUP(A21,Vartiainen2020!$D$1:$AI$5,5,0)</f>
        <v>2.3308270676691729E-2</v>
      </c>
      <c r="F21" s="114">
        <f>'JRC2018'!F17</f>
        <v>1.7000000000000001E-2</v>
      </c>
      <c r="G21" s="114">
        <f>Agora2019!E3</f>
        <v>1.4999999999999999E-2</v>
      </c>
      <c r="H21" s="112"/>
      <c r="I21" s="10"/>
      <c r="J21" s="10"/>
    </row>
    <row r="22" spans="1:10">
      <c r="A22">
        <v>2032</v>
      </c>
      <c r="B22" s="112">
        <f>HLOOKUP(A22,Vartiainen2020!$D$1:$AI$5,3,0)</f>
        <v>257</v>
      </c>
      <c r="E22" s="113">
        <f>HLOOKUP(A22,Vartiainen2020!$D$1:$AI$5,5,0)</f>
        <v>2.3735408560311283E-2</v>
      </c>
      <c r="F22" s="114"/>
      <c r="G22" s="114"/>
      <c r="H22" s="112"/>
      <c r="I22" s="10"/>
      <c r="J22" s="10"/>
    </row>
    <row r="23" spans="1:10">
      <c r="A23">
        <v>2033</v>
      </c>
      <c r="B23" s="112">
        <f>HLOOKUP(A23,Vartiainen2020!$D$1:$AI$5,3,0)</f>
        <v>249</v>
      </c>
      <c r="E23" s="113">
        <f>HLOOKUP(A23,Vartiainen2020!$D$1:$AI$5,5,0)</f>
        <v>2.3694779116465864E-2</v>
      </c>
      <c r="F23" s="114"/>
      <c r="G23" s="114"/>
      <c r="H23" s="112"/>
      <c r="I23" s="10"/>
      <c r="J23" s="10"/>
    </row>
    <row r="24" spans="1:10">
      <c r="A24">
        <v>2034</v>
      </c>
      <c r="B24" s="112">
        <f>HLOOKUP(A24,Vartiainen2020!$D$1:$AI$5,3,0)</f>
        <v>242</v>
      </c>
      <c r="E24" s="113">
        <f>HLOOKUP(A24,Vartiainen2020!$D$1:$AI$5,5,0)</f>
        <v>2.3966942148760328E-2</v>
      </c>
      <c r="F24" s="114"/>
      <c r="G24" s="114"/>
      <c r="H24" s="112"/>
      <c r="I24" s="10"/>
      <c r="J24" s="10"/>
    </row>
    <row r="25" spans="1:10">
      <c r="A25">
        <v>2035</v>
      </c>
      <c r="B25" s="112">
        <f>HLOOKUP(A25,Vartiainen2020!$D$1:$AI$5,3,0)</f>
        <v>235</v>
      </c>
      <c r="E25" s="113">
        <f>HLOOKUP(A25,Vartiainen2020!$D$1:$AI$5,5,0)</f>
        <v>2.3829787234042551E-2</v>
      </c>
      <c r="F25" s="114"/>
      <c r="G25" s="114"/>
      <c r="H25" s="112"/>
      <c r="I25" s="10"/>
      <c r="J25" s="10"/>
    </row>
    <row r="26" spans="1:10">
      <c r="A26">
        <v>2036</v>
      </c>
      <c r="B26" s="112">
        <f>HLOOKUP(A26,Vartiainen2020!$D$1:$AI$5,3,0)</f>
        <v>228</v>
      </c>
      <c r="E26" s="113">
        <f>HLOOKUP(A26,Vartiainen2020!$D$1:$AI$5,5,0)</f>
        <v>2.4122807017543858E-2</v>
      </c>
      <c r="F26" s="114"/>
      <c r="G26" s="114"/>
      <c r="H26" s="112"/>
      <c r="I26" s="10"/>
      <c r="J26" s="10"/>
    </row>
    <row r="27" spans="1:10">
      <c r="A27">
        <v>2037</v>
      </c>
      <c r="B27" s="112">
        <f>HLOOKUP(A27,Vartiainen2020!$D$1:$AI$5,3,0)</f>
        <v>221</v>
      </c>
      <c r="E27" s="113">
        <f>HLOOKUP(A27,Vartiainen2020!$D$1:$AI$5,5,0)</f>
        <v>2.4434389140271493E-2</v>
      </c>
      <c r="F27" s="114"/>
      <c r="G27" s="114"/>
      <c r="H27" s="112"/>
      <c r="I27" s="10"/>
      <c r="J27" s="10"/>
    </row>
    <row r="28" spans="1:10">
      <c r="A28">
        <v>2038</v>
      </c>
      <c r="B28" s="112">
        <f>HLOOKUP(A28,Vartiainen2020!$D$1:$AI$5,3,0)</f>
        <v>215</v>
      </c>
      <c r="E28" s="113">
        <f>HLOOKUP(A28,Vartiainen2020!$D$1:$AI$5,5,0)</f>
        <v>2.4651162790697675E-2</v>
      </c>
      <c r="F28" s="114"/>
      <c r="G28" s="114"/>
      <c r="H28" s="112"/>
      <c r="I28" s="10"/>
      <c r="J28" s="10"/>
    </row>
    <row r="29" spans="1:10">
      <c r="A29">
        <v>2039</v>
      </c>
      <c r="B29" s="112">
        <f>HLOOKUP(A29,Vartiainen2020!$D$1:$AI$5,3,0)</f>
        <v>209</v>
      </c>
      <c r="E29" s="113">
        <f>HLOOKUP(A29,Vartiainen2020!$D$1:$AI$5,5,0)</f>
        <v>2.4401913875598084E-2</v>
      </c>
      <c r="F29" s="114"/>
      <c r="G29" s="114"/>
      <c r="H29" s="112"/>
      <c r="I29" s="10"/>
      <c r="J29" s="10"/>
    </row>
    <row r="30" spans="1:10">
      <c r="A30">
        <v>2040</v>
      </c>
      <c r="B30" s="112">
        <f>HLOOKUP(A30,Vartiainen2020!$D$1:$AI$5,3,0)</f>
        <v>204</v>
      </c>
      <c r="C30">
        <f>'JRC2018'!G16</f>
        <v>370</v>
      </c>
      <c r="E30" s="113">
        <f>HLOOKUP(A30,Vartiainen2020!$D$1:$AI$5,5,0)</f>
        <v>2.4509803921568627E-2</v>
      </c>
      <c r="F30" s="114">
        <f>'JRC2018'!G17</f>
        <v>1.7000000000000001E-2</v>
      </c>
      <c r="G30" s="114"/>
      <c r="H30" s="112"/>
      <c r="I30" s="10"/>
      <c r="J30" s="10"/>
    </row>
    <row r="31" spans="1:10">
      <c r="A31">
        <v>2041</v>
      </c>
      <c r="B31" s="112">
        <f>HLOOKUP(A31,Vartiainen2020!$D$1:$AI$5,3,0)</f>
        <v>199</v>
      </c>
      <c r="E31" s="113">
        <f>HLOOKUP(A31,Vartiainen2020!$D$1:$AI$5,5,0)</f>
        <v>2.4623115577889449E-2</v>
      </c>
      <c r="F31" s="114"/>
      <c r="G31" s="114"/>
      <c r="H31" s="112"/>
      <c r="I31" s="10"/>
      <c r="J31" s="10"/>
    </row>
    <row r="32" spans="1:10">
      <c r="A32">
        <v>2042</v>
      </c>
      <c r="B32" s="112">
        <f>HLOOKUP(A32,Vartiainen2020!$D$1:$AI$5,3,0)</f>
        <v>194</v>
      </c>
      <c r="E32" s="113">
        <f>HLOOKUP(A32,Vartiainen2020!$D$1:$AI$5,5,0)</f>
        <v>2.4742268041237112E-2</v>
      </c>
      <c r="F32" s="114"/>
      <c r="G32" s="114"/>
      <c r="H32" s="112"/>
      <c r="I32" s="10"/>
      <c r="J32" s="10"/>
    </row>
    <row r="33" spans="1:10">
      <c r="A33">
        <v>2043</v>
      </c>
      <c r="B33" s="112">
        <f>HLOOKUP(A33,Vartiainen2020!$D$1:$AI$5,3,0)</f>
        <v>189</v>
      </c>
      <c r="E33" s="113">
        <f>HLOOKUP(A33,Vartiainen2020!$D$1:$AI$5,5,0)</f>
        <v>2.4867724867724868E-2</v>
      </c>
      <c r="F33" s="114"/>
      <c r="G33" s="114"/>
      <c r="H33" s="112"/>
      <c r="I33" s="10"/>
      <c r="J33" s="10"/>
    </row>
    <row r="34" spans="1:10">
      <c r="A34">
        <v>2044</v>
      </c>
      <c r="B34" s="112">
        <f>HLOOKUP(A34,Vartiainen2020!$D$1:$AI$5,3,0)</f>
        <v>185</v>
      </c>
      <c r="E34" s="113">
        <f>HLOOKUP(A34,Vartiainen2020!$D$1:$AI$5,5,0)</f>
        <v>2.4864864864864864E-2</v>
      </c>
      <c r="F34" s="114"/>
      <c r="G34" s="114"/>
      <c r="H34" s="112"/>
      <c r="I34" s="10"/>
      <c r="J34" s="10"/>
    </row>
    <row r="35" spans="1:10">
      <c r="A35">
        <v>2045</v>
      </c>
      <c r="B35" s="112">
        <f>HLOOKUP(A35,Vartiainen2020!$D$1:$AI$5,3,0)</f>
        <v>181</v>
      </c>
      <c r="E35" s="113">
        <f>HLOOKUP(A35,Vartiainen2020!$D$1:$AI$5,5,0)</f>
        <v>2.5414364640883976E-2</v>
      </c>
      <c r="F35" s="114"/>
      <c r="G35" s="114"/>
      <c r="H35" s="112"/>
      <c r="I35" s="10"/>
      <c r="J35" s="10"/>
    </row>
    <row r="36" spans="1:10">
      <c r="A36">
        <v>2046</v>
      </c>
      <c r="B36" s="112">
        <f>HLOOKUP(A36,Vartiainen2020!$D$1:$AI$5,3,0)</f>
        <v>177</v>
      </c>
      <c r="E36" s="113">
        <f>HLOOKUP(A36,Vartiainen2020!$D$1:$AI$5,5,0)</f>
        <v>2.5423728813559324E-2</v>
      </c>
      <c r="F36" s="114"/>
      <c r="G36" s="114"/>
      <c r="H36" s="112"/>
      <c r="I36" s="10"/>
      <c r="J36" s="10"/>
    </row>
    <row r="37" spans="1:10">
      <c r="A37">
        <v>2047</v>
      </c>
      <c r="B37" s="112">
        <f>HLOOKUP(A37,Vartiainen2020!$D$1:$AI$5,3,0)</f>
        <v>174</v>
      </c>
      <c r="E37" s="113">
        <f>HLOOKUP(A37,Vartiainen2020!$D$1:$AI$5,5,0)</f>
        <v>2.5287356321839084E-2</v>
      </c>
      <c r="F37" s="114"/>
      <c r="G37" s="114"/>
      <c r="H37" s="112"/>
      <c r="I37" s="10"/>
      <c r="J37" s="10"/>
    </row>
    <row r="38" spans="1:10">
      <c r="A38">
        <v>2048</v>
      </c>
      <c r="B38" s="112">
        <f>HLOOKUP(A38,Vartiainen2020!$D$1:$AI$5,3,0)</f>
        <v>170</v>
      </c>
      <c r="E38" s="113">
        <f>HLOOKUP(A38,Vartiainen2020!$D$1:$AI$5,5,0)</f>
        <v>2.5294117647058821E-2</v>
      </c>
      <c r="F38" s="114"/>
      <c r="G38" s="114"/>
      <c r="H38" s="112"/>
      <c r="I38" s="10"/>
      <c r="J38" s="10"/>
    </row>
    <row r="39" spans="1:10">
      <c r="A39">
        <v>2049</v>
      </c>
      <c r="B39" s="112">
        <f>HLOOKUP(A39,Vartiainen2020!$D$1:$AI$5,3,0)</f>
        <v>167</v>
      </c>
      <c r="E39" s="113">
        <f>HLOOKUP(A39,Vartiainen2020!$D$1:$AI$5,5,0)</f>
        <v>2.5149700598802397E-2</v>
      </c>
      <c r="F39" s="114"/>
      <c r="G39" s="114"/>
      <c r="H39" s="112"/>
      <c r="I39" s="10"/>
      <c r="J39" s="10"/>
    </row>
    <row r="40" spans="1:10">
      <c r="A40">
        <v>2050</v>
      </c>
      <c r="B40" s="112">
        <f>HLOOKUP(A40,Vartiainen2020!$D$1:$AI$5,3,0)</f>
        <v>164</v>
      </c>
      <c r="C40">
        <f>'JRC2018'!H16</f>
        <v>320</v>
      </c>
      <c r="D40">
        <f>Agora2019!F2</f>
        <v>486</v>
      </c>
      <c r="E40" s="113">
        <f>HLOOKUP(A40,Vartiainen2020!$D$1:$AI$5,5,0)</f>
        <v>2.5609756097560978E-2</v>
      </c>
      <c r="F40" s="114">
        <f>'JRC2018'!H17</f>
        <v>1.7000000000000001E-2</v>
      </c>
      <c r="G40" s="114">
        <f>Agora2019!F3</f>
        <v>1.4999999999999999E-2</v>
      </c>
      <c r="H40" s="112"/>
      <c r="I40" s="10"/>
      <c r="J40" s="10"/>
    </row>
    <row r="41" spans="1:10">
      <c r="G41" s="114"/>
    </row>
    <row r="42" spans="1:10">
      <c r="G42" s="114"/>
    </row>
    <row r="43" spans="1:10">
      <c r="G43" s="114"/>
    </row>
    <row r="44" spans="1:10">
      <c r="G44" s="114"/>
    </row>
    <row r="64" spans="2:7" ht="21">
      <c r="B64" s="225" t="s">
        <v>502</v>
      </c>
      <c r="C64" s="225"/>
      <c r="D64" s="225"/>
      <c r="E64" s="225"/>
      <c r="F64" s="225"/>
      <c r="G64" s="225"/>
    </row>
    <row r="65" spans="2:7" ht="7" customHeight="1"/>
    <row r="66" spans="2:7">
      <c r="B66" s="116" t="s">
        <v>503</v>
      </c>
      <c r="C66" s="34"/>
      <c r="D66" s="34"/>
      <c r="E66" s="35"/>
      <c r="G66" s="117" t="s">
        <v>504</v>
      </c>
    </row>
    <row r="67" spans="2:7" ht="51" customHeight="1">
      <c r="B67" s="226" t="s">
        <v>505</v>
      </c>
      <c r="C67" s="226"/>
      <c r="D67" s="226"/>
      <c r="E67" s="226"/>
      <c r="G67" s="118" t="str">
        <f>C3</f>
        <v>Tsiropoulos, 2018 (ProRES scenario)</v>
      </c>
    </row>
  </sheetData>
  <mergeCells count="5">
    <mergeCell ref="B2:D2"/>
    <mergeCell ref="E2:G2"/>
    <mergeCell ref="H2:J2"/>
    <mergeCell ref="B64:G64"/>
    <mergeCell ref="B67:E67"/>
  </mergeCells>
  <pageMargins left="0.7" right="0.7" top="0.78749999999999998" bottom="0.78749999999999998"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70AD47"/>
  </sheetPr>
  <dimension ref="A2:H66"/>
  <sheetViews>
    <sheetView topLeftCell="A30" zoomScaleNormal="100" workbookViewId="0">
      <selection activeCell="B66" sqref="B66"/>
    </sheetView>
  </sheetViews>
  <sheetFormatPr baseColWidth="10" defaultColWidth="9" defaultRowHeight="16"/>
  <cols>
    <col min="1" max="1" width="10.6640625" customWidth="1"/>
    <col min="2" max="2" width="31" customWidth="1"/>
    <col min="3" max="3" width="35.1640625" customWidth="1"/>
    <col min="4" max="4" width="21" customWidth="1"/>
    <col min="5" max="5" width="31" customWidth="1"/>
    <col min="6" max="6" width="14.6640625" customWidth="1"/>
    <col min="7" max="7" width="31" customWidth="1"/>
    <col min="8" max="1025" width="10.6640625" customWidth="1"/>
  </cols>
  <sheetData>
    <row r="2" spans="1:8">
      <c r="A2" s="1"/>
      <c r="B2" s="218" t="s">
        <v>497</v>
      </c>
      <c r="C2" s="218"/>
      <c r="D2" s="218" t="s">
        <v>498</v>
      </c>
      <c r="E2" s="218"/>
      <c r="F2" s="227" t="s">
        <v>499</v>
      </c>
      <c r="G2" s="227"/>
      <c r="H2" s="1"/>
    </row>
    <row r="3" spans="1:8" s="10" customFormat="1">
      <c r="A3" s="9" t="s">
        <v>500</v>
      </c>
      <c r="B3" s="109" t="str">
        <f>'JRC2018'!B32</f>
        <v>Tsiropoulos, 2018 (ProRES scenario)</v>
      </c>
      <c r="C3" s="110" t="str">
        <f>Agora2019!B19</f>
        <v>Agora, 2019 (reference scenario)</v>
      </c>
      <c r="D3" s="109" t="str">
        <f>'JRC2018'!B32</f>
        <v>Tsiropoulos, 2018 (ProRES scenario)</v>
      </c>
      <c r="E3" s="9" t="str">
        <f>Agora2019!B19</f>
        <v>Agora, 2019 (reference scenario)</v>
      </c>
      <c r="F3" s="109" t="str">
        <f>'JRC2018'!B32</f>
        <v>Tsiropoulos, 2018 (ProRES scenario)</v>
      </c>
      <c r="G3" s="9" t="str">
        <f>Agora2019!B19</f>
        <v>Agora, 2019 (reference scenario)</v>
      </c>
      <c r="H3" s="9"/>
    </row>
    <row r="4" spans="1:8" s="16" customFormat="1">
      <c r="A4" s="11" t="s">
        <v>501</v>
      </c>
      <c r="B4" s="120" t="str">
        <f>'JRC2018'!A4</f>
        <v>on-shore, medium specific capacity, medium hub height</v>
      </c>
      <c r="C4" s="11"/>
      <c r="D4" s="111" t="str">
        <f>'JRC2018'!A4</f>
        <v>on-shore, medium specific capacity, medium hub height</v>
      </c>
      <c r="E4" s="11"/>
      <c r="F4" s="111" t="str">
        <f>'JRC2018'!A4</f>
        <v>on-shore, medium specific capacity, medium hub height</v>
      </c>
      <c r="G4" s="11"/>
    </row>
    <row r="5" spans="1:8">
      <c r="A5">
        <v>2015</v>
      </c>
      <c r="B5" s="112">
        <f>'JRC2018'!D4</f>
        <v>1350</v>
      </c>
      <c r="D5" s="113">
        <f>'JRC2018'!D5</f>
        <v>0.03</v>
      </c>
      <c r="E5" s="114"/>
      <c r="F5" s="115">
        <f>'JRC2018'!D25</f>
        <v>25</v>
      </c>
      <c r="G5" s="99">
        <f>Agora2019!D7</f>
        <v>20</v>
      </c>
    </row>
    <row r="6" spans="1:8">
      <c r="A6">
        <v>2016</v>
      </c>
      <c r="B6" s="112"/>
      <c r="D6" s="113"/>
      <c r="E6" s="114"/>
      <c r="F6" s="113"/>
      <c r="G6" s="114"/>
    </row>
    <row r="7" spans="1:8">
      <c r="A7">
        <v>2017</v>
      </c>
      <c r="B7" s="112"/>
      <c r="D7" s="113"/>
      <c r="E7" s="114"/>
      <c r="F7" s="112"/>
      <c r="G7" s="10"/>
    </row>
    <row r="8" spans="1:8">
      <c r="A8">
        <v>2018</v>
      </c>
      <c r="B8" s="112"/>
      <c r="D8" s="113"/>
      <c r="E8" s="114"/>
      <c r="F8" s="112"/>
      <c r="G8" s="10"/>
    </row>
    <row r="9" spans="1:8">
      <c r="A9">
        <v>2019</v>
      </c>
      <c r="B9" s="112"/>
      <c r="D9" s="113"/>
      <c r="E9" s="114"/>
      <c r="F9" s="112"/>
      <c r="G9" s="10"/>
    </row>
    <row r="10" spans="1:8">
      <c r="A10">
        <v>2020</v>
      </c>
      <c r="B10" s="112">
        <f>'JRC2018'!E4</f>
        <v>1290</v>
      </c>
      <c r="C10">
        <f>Agora2019!D5</f>
        <v>1526</v>
      </c>
      <c r="D10" s="113">
        <f>'JRC2018'!E5</f>
        <v>0.03</v>
      </c>
      <c r="E10" s="114">
        <f>Agora2019!D6</f>
        <v>2.5000000000000001E-2</v>
      </c>
      <c r="F10" s="112"/>
      <c r="G10" s="10"/>
    </row>
    <row r="11" spans="1:8">
      <c r="A11">
        <v>2021</v>
      </c>
      <c r="B11" s="112"/>
      <c r="D11" s="113"/>
      <c r="E11" s="114"/>
      <c r="F11" s="112"/>
      <c r="G11" s="10"/>
    </row>
    <row r="12" spans="1:8">
      <c r="A12">
        <v>2022</v>
      </c>
      <c r="B12" s="112"/>
      <c r="D12" s="113"/>
      <c r="E12" s="114"/>
      <c r="F12" s="112"/>
      <c r="G12" s="10"/>
    </row>
    <row r="13" spans="1:8">
      <c r="A13">
        <v>2023</v>
      </c>
      <c r="B13" s="112"/>
      <c r="D13" s="113"/>
      <c r="E13" s="114"/>
      <c r="F13" s="112"/>
      <c r="G13" s="10"/>
    </row>
    <row r="14" spans="1:8">
      <c r="A14">
        <v>2024</v>
      </c>
      <c r="B14" s="112"/>
      <c r="D14" s="113"/>
      <c r="E14" s="114"/>
      <c r="F14" s="112"/>
      <c r="G14" s="10"/>
    </row>
    <row r="15" spans="1:8">
      <c r="A15">
        <v>2025</v>
      </c>
      <c r="B15" s="112"/>
      <c r="D15" s="113"/>
      <c r="E15" s="114"/>
      <c r="F15" s="112"/>
      <c r="G15" s="10"/>
    </row>
    <row r="16" spans="1:8">
      <c r="A16">
        <v>2026</v>
      </c>
      <c r="B16" s="112"/>
      <c r="D16" s="113"/>
      <c r="E16" s="114"/>
      <c r="F16" s="112"/>
      <c r="G16" s="10"/>
    </row>
    <row r="17" spans="1:7">
      <c r="A17">
        <v>2027</v>
      </c>
      <c r="B17" s="112"/>
      <c r="D17" s="113"/>
      <c r="E17" s="114"/>
      <c r="F17" s="112"/>
      <c r="G17" s="10"/>
    </row>
    <row r="18" spans="1:7">
      <c r="A18">
        <v>2028</v>
      </c>
      <c r="B18" s="112"/>
      <c r="D18" s="113"/>
      <c r="E18" s="114"/>
      <c r="F18" s="112"/>
      <c r="G18" s="10"/>
    </row>
    <row r="19" spans="1:7">
      <c r="A19">
        <v>2029</v>
      </c>
      <c r="B19" s="112"/>
      <c r="D19" s="113"/>
      <c r="E19" s="114"/>
      <c r="F19" s="112"/>
      <c r="G19" s="10"/>
    </row>
    <row r="20" spans="1:7">
      <c r="A20">
        <v>2030</v>
      </c>
      <c r="B20" s="112">
        <f>'JRC2018'!F4</f>
        <v>1190</v>
      </c>
      <c r="C20">
        <f>Agora2019!E5</f>
        <v>1260</v>
      </c>
      <c r="D20" s="113">
        <f>'JRC2018'!F5</f>
        <v>0.03</v>
      </c>
      <c r="E20" s="114">
        <f>Agora2019!E6</f>
        <v>2.5000000000000001E-2</v>
      </c>
      <c r="F20" s="112"/>
      <c r="G20" s="10"/>
    </row>
    <row r="21" spans="1:7">
      <c r="A21">
        <v>2031</v>
      </c>
      <c r="B21" s="112"/>
      <c r="D21" s="113"/>
      <c r="E21" s="114"/>
      <c r="F21" s="112"/>
      <c r="G21" s="10"/>
    </row>
    <row r="22" spans="1:7">
      <c r="A22">
        <v>2032</v>
      </c>
      <c r="B22" s="112"/>
      <c r="D22" s="113"/>
      <c r="E22" s="114"/>
      <c r="F22" s="112"/>
      <c r="G22" s="10"/>
    </row>
    <row r="23" spans="1:7">
      <c r="A23">
        <v>2033</v>
      </c>
      <c r="B23" s="112"/>
      <c r="D23" s="113"/>
      <c r="E23" s="114"/>
      <c r="F23" s="112"/>
      <c r="G23" s="10"/>
    </row>
    <row r="24" spans="1:7">
      <c r="A24">
        <v>2034</v>
      </c>
      <c r="B24" s="112"/>
      <c r="D24" s="113"/>
      <c r="E24" s="114"/>
      <c r="F24" s="112"/>
      <c r="G24" s="10"/>
    </row>
    <row r="25" spans="1:7">
      <c r="A25">
        <v>2035</v>
      </c>
      <c r="B25" s="112"/>
      <c r="D25" s="113"/>
      <c r="E25" s="114"/>
      <c r="F25" s="112"/>
      <c r="G25" s="10"/>
    </row>
    <row r="26" spans="1:7">
      <c r="A26">
        <v>2036</v>
      </c>
      <c r="B26" s="112"/>
      <c r="D26" s="113"/>
      <c r="E26" s="114"/>
      <c r="F26" s="112"/>
      <c r="G26" s="10"/>
    </row>
    <row r="27" spans="1:7">
      <c r="A27">
        <v>2037</v>
      </c>
      <c r="B27" s="112"/>
      <c r="D27" s="113"/>
      <c r="E27" s="114"/>
      <c r="F27" s="112"/>
      <c r="G27" s="10"/>
    </row>
    <row r="28" spans="1:7">
      <c r="A28">
        <v>2038</v>
      </c>
      <c r="B28" s="112"/>
      <c r="D28" s="113"/>
      <c r="E28" s="114"/>
      <c r="F28" s="112"/>
      <c r="G28" s="10"/>
    </row>
    <row r="29" spans="1:7">
      <c r="A29">
        <v>2039</v>
      </c>
      <c r="B29" s="112"/>
      <c r="D29" s="113"/>
      <c r="E29" s="114"/>
      <c r="F29" s="112"/>
      <c r="G29" s="10"/>
    </row>
    <row r="30" spans="1:7">
      <c r="A30">
        <v>2040</v>
      </c>
      <c r="B30" s="112">
        <f>'JRC2018'!G4</f>
        <v>1140</v>
      </c>
      <c r="D30" s="113">
        <f>'JRC2018'!G5</f>
        <v>0.03</v>
      </c>
      <c r="E30" s="114"/>
      <c r="F30" s="112"/>
      <c r="G30" s="10"/>
    </row>
    <row r="31" spans="1:7">
      <c r="A31">
        <v>2041</v>
      </c>
      <c r="B31" s="112"/>
      <c r="D31" s="113"/>
      <c r="E31" s="114"/>
      <c r="F31" s="112"/>
      <c r="G31" s="10"/>
    </row>
    <row r="32" spans="1:7">
      <c r="A32">
        <v>2042</v>
      </c>
      <c r="B32" s="112"/>
      <c r="D32" s="113"/>
      <c r="E32" s="114"/>
      <c r="F32" s="112"/>
      <c r="G32" s="10"/>
    </row>
    <row r="33" spans="1:7">
      <c r="A33">
        <v>2043</v>
      </c>
      <c r="B33" s="112"/>
      <c r="D33" s="113"/>
      <c r="E33" s="114"/>
      <c r="F33" s="112"/>
      <c r="G33" s="10"/>
    </row>
    <row r="34" spans="1:7">
      <c r="A34">
        <v>2044</v>
      </c>
      <c r="B34" s="112"/>
      <c r="D34" s="113"/>
      <c r="E34" s="114"/>
      <c r="F34" s="112"/>
      <c r="G34" s="10"/>
    </row>
    <row r="35" spans="1:7">
      <c r="A35">
        <v>2045</v>
      </c>
      <c r="B35" s="112"/>
      <c r="D35" s="113"/>
      <c r="E35" s="114"/>
      <c r="F35" s="112"/>
      <c r="G35" s="10"/>
    </row>
    <row r="36" spans="1:7">
      <c r="A36">
        <v>2046</v>
      </c>
      <c r="B36" s="112"/>
      <c r="D36" s="113"/>
      <c r="E36" s="114"/>
      <c r="F36" s="112"/>
      <c r="G36" s="10"/>
    </row>
    <row r="37" spans="1:7">
      <c r="A37">
        <v>2047</v>
      </c>
      <c r="B37" s="112"/>
      <c r="D37" s="113"/>
      <c r="E37" s="114"/>
      <c r="F37" s="112"/>
      <c r="G37" s="10"/>
    </row>
    <row r="38" spans="1:7">
      <c r="A38">
        <v>2048</v>
      </c>
      <c r="B38" s="112"/>
      <c r="D38" s="113"/>
      <c r="E38" s="114"/>
      <c r="F38" s="112"/>
      <c r="G38" s="10"/>
    </row>
    <row r="39" spans="1:7">
      <c r="A39">
        <v>2049</v>
      </c>
      <c r="B39" s="112"/>
      <c r="D39" s="113"/>
      <c r="E39" s="114"/>
      <c r="F39" s="112"/>
      <c r="G39" s="10"/>
    </row>
    <row r="40" spans="1:7">
      <c r="A40">
        <v>2050</v>
      </c>
      <c r="B40" s="112">
        <f>'JRC2018'!H4</f>
        <v>1110</v>
      </c>
      <c r="C40">
        <f>Agora2019!F5</f>
        <v>1078</v>
      </c>
      <c r="D40" s="113">
        <f>'JRC2018'!H5</f>
        <v>0.03</v>
      </c>
      <c r="E40" s="114">
        <f>Agora2019!F6</f>
        <v>2.5000000000000001E-2</v>
      </c>
      <c r="F40" s="112"/>
      <c r="G40" s="10"/>
    </row>
    <row r="63" spans="2:7" ht="21">
      <c r="B63" s="225" t="s">
        <v>502</v>
      </c>
      <c r="C63" s="225"/>
      <c r="D63" s="225"/>
      <c r="E63" s="225"/>
      <c r="F63" s="225"/>
      <c r="G63" s="225"/>
    </row>
    <row r="64" spans="2:7" ht="7" customHeight="1"/>
    <row r="65" spans="2:7">
      <c r="B65" s="116" t="s">
        <v>503</v>
      </c>
      <c r="C65" s="34"/>
      <c r="D65" s="34"/>
      <c r="E65" s="35"/>
      <c r="G65" s="117" t="s">
        <v>504</v>
      </c>
    </row>
    <row r="66" spans="2:7" ht="37" customHeight="1">
      <c r="B66" s="226" t="s">
        <v>506</v>
      </c>
      <c r="C66" s="226"/>
      <c r="D66" s="226"/>
      <c r="E66" s="226"/>
      <c r="G66" s="118" t="str">
        <f>B3</f>
        <v>Tsiropoulos, 2018 (ProRES scenario)</v>
      </c>
    </row>
  </sheetData>
  <mergeCells count="5">
    <mergeCell ref="B2:C2"/>
    <mergeCell ref="D2:E2"/>
    <mergeCell ref="F2:G2"/>
    <mergeCell ref="B63:G63"/>
    <mergeCell ref="B66:E66"/>
  </mergeCells>
  <pageMargins left="0.7" right="0.7" top="0.78749999999999998" bottom="0.78749999999999998"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70AD47"/>
  </sheetPr>
  <dimension ref="A2:H66"/>
  <sheetViews>
    <sheetView zoomScaleNormal="100" workbookViewId="0">
      <selection activeCell="E10" sqref="E10"/>
    </sheetView>
  </sheetViews>
  <sheetFormatPr baseColWidth="10" defaultColWidth="9" defaultRowHeight="16"/>
  <cols>
    <col min="1" max="1" width="10.6640625" customWidth="1"/>
    <col min="2" max="2" width="17" customWidth="1"/>
    <col min="3" max="3" width="35.1640625" customWidth="1"/>
    <col min="4" max="4" width="28.5" customWidth="1"/>
    <col min="5" max="5" width="21" customWidth="1"/>
    <col min="6" max="6" width="31" customWidth="1"/>
    <col min="7" max="7" width="28.5" customWidth="1"/>
    <col min="8" max="8" width="14.6640625" customWidth="1"/>
    <col min="9" max="9" width="31" customWidth="1"/>
    <col min="10" max="10" width="28.5" customWidth="1"/>
    <col min="11" max="1025" width="10.6640625" customWidth="1"/>
  </cols>
  <sheetData>
    <row r="2" spans="1:8">
      <c r="A2" s="1"/>
      <c r="B2" s="218" t="s">
        <v>497</v>
      </c>
      <c r="C2" s="218"/>
      <c r="D2" s="218" t="s">
        <v>498</v>
      </c>
      <c r="E2" s="218"/>
      <c r="F2" s="227" t="s">
        <v>499</v>
      </c>
      <c r="G2" s="227"/>
      <c r="H2" s="1"/>
    </row>
    <row r="3" spans="1:8">
      <c r="A3" s="9" t="s">
        <v>500</v>
      </c>
      <c r="B3" s="109" t="str">
        <f>'JRC2018'!B32</f>
        <v>Tsiropoulos, 2018 (ProRES scenario)</v>
      </c>
      <c r="C3" s="110" t="str">
        <f>Agora2019!B19</f>
        <v>Agora, 2019 (reference scenario)</v>
      </c>
      <c r="D3" s="109" t="str">
        <f>'JRC2018'!B32</f>
        <v>Tsiropoulos, 2018 (ProRES scenario)</v>
      </c>
      <c r="E3" s="9" t="str">
        <f>Agora2019!B19</f>
        <v>Agora, 2019 (reference scenario)</v>
      </c>
      <c r="F3" s="109" t="str">
        <f>'JRC2018'!B32</f>
        <v>Tsiropoulos, 2018 (ProRES scenario)</v>
      </c>
      <c r="G3" s="9" t="str">
        <f>Agora2019!B19</f>
        <v>Agora, 2019 (reference scenario)</v>
      </c>
      <c r="H3" s="9"/>
    </row>
    <row r="4" spans="1:8">
      <c r="A4" s="11" t="s">
        <v>501</v>
      </c>
      <c r="B4" s="111" t="str">
        <f>'JRC2018'!A10</f>
        <v>off-shore, jacket, medium distance to shore</v>
      </c>
      <c r="C4" s="11"/>
      <c r="D4" s="111" t="str">
        <f>B4</f>
        <v>off-shore, jacket, medium distance to shore</v>
      </c>
      <c r="E4" s="11"/>
      <c r="F4" s="111" t="str">
        <f>B4</f>
        <v>off-shore, jacket, medium distance to shore</v>
      </c>
      <c r="G4" s="11"/>
      <c r="H4" s="16"/>
    </row>
    <row r="5" spans="1:8">
      <c r="A5">
        <v>2015</v>
      </c>
      <c r="B5" s="112">
        <f>'JRC2018'!D10</f>
        <v>3600</v>
      </c>
      <c r="D5" s="113">
        <f>'JRC2018'!D11</f>
        <v>0.02</v>
      </c>
      <c r="E5" s="114"/>
      <c r="F5" s="115">
        <f>'JRC2018'!D26</f>
        <v>30</v>
      </c>
      <c r="G5" s="99">
        <f>Agora2019!D10</f>
        <v>25</v>
      </c>
    </row>
    <row r="6" spans="1:8">
      <c r="A6">
        <v>2016</v>
      </c>
      <c r="B6" s="112"/>
      <c r="D6" s="113"/>
      <c r="E6" s="114"/>
      <c r="F6" s="113"/>
      <c r="G6" s="114"/>
    </row>
    <row r="7" spans="1:8">
      <c r="A7">
        <v>2017</v>
      </c>
      <c r="B7" s="112"/>
      <c r="D7" s="113"/>
      <c r="E7" s="114"/>
      <c r="F7" s="112"/>
      <c r="G7" s="10"/>
    </row>
    <row r="8" spans="1:8">
      <c r="A8">
        <v>2018</v>
      </c>
      <c r="B8" s="112"/>
      <c r="D8" s="113"/>
      <c r="E8" s="114"/>
      <c r="F8" s="112"/>
      <c r="G8" s="10"/>
    </row>
    <row r="9" spans="1:8">
      <c r="A9">
        <v>2019</v>
      </c>
      <c r="B9" s="112"/>
      <c r="D9" s="113"/>
      <c r="E9" s="114"/>
      <c r="F9" s="112"/>
      <c r="G9" s="10"/>
    </row>
    <row r="10" spans="1:8">
      <c r="A10">
        <v>2020</v>
      </c>
      <c r="B10" s="112">
        <f>'JRC2018'!E10</f>
        <v>2970</v>
      </c>
      <c r="C10">
        <f>Agora2019!D8</f>
        <v>2800</v>
      </c>
      <c r="D10" s="113">
        <f>'JRC2018'!E11</f>
        <v>0.02</v>
      </c>
      <c r="E10" s="114">
        <f>Agora2019!D9</f>
        <v>3.2000000000000001E-2</v>
      </c>
      <c r="F10" s="112"/>
      <c r="G10" s="10"/>
    </row>
    <row r="11" spans="1:8">
      <c r="A11">
        <v>2021</v>
      </c>
      <c r="B11" s="112"/>
      <c r="D11" s="113"/>
      <c r="E11" s="114"/>
      <c r="F11" s="112"/>
      <c r="G11" s="10"/>
    </row>
    <row r="12" spans="1:8">
      <c r="A12">
        <v>2022</v>
      </c>
      <c r="B12" s="112"/>
      <c r="D12" s="113"/>
      <c r="E12" s="114"/>
      <c r="F12" s="112"/>
      <c r="G12" s="10"/>
    </row>
    <row r="13" spans="1:8">
      <c r="A13">
        <v>2023</v>
      </c>
      <c r="B13" s="112"/>
      <c r="D13" s="113"/>
      <c r="E13" s="114"/>
      <c r="F13" s="112"/>
      <c r="G13" s="10"/>
    </row>
    <row r="14" spans="1:8">
      <c r="A14">
        <v>2024</v>
      </c>
      <c r="B14" s="112"/>
      <c r="D14" s="113"/>
      <c r="E14" s="114"/>
      <c r="F14" s="112"/>
      <c r="G14" s="10"/>
    </row>
    <row r="15" spans="1:8">
      <c r="A15">
        <v>2025</v>
      </c>
      <c r="B15" s="112"/>
      <c r="D15" s="113"/>
      <c r="E15" s="114"/>
      <c r="F15" s="112"/>
      <c r="G15" s="10"/>
    </row>
    <row r="16" spans="1:8">
      <c r="A16">
        <v>2026</v>
      </c>
      <c r="B16" s="112"/>
      <c r="D16" s="113"/>
      <c r="E16" s="114"/>
      <c r="F16" s="112"/>
      <c r="G16" s="10"/>
    </row>
    <row r="17" spans="1:7">
      <c r="A17">
        <v>2027</v>
      </c>
      <c r="B17" s="112"/>
      <c r="D17" s="113"/>
      <c r="E17" s="114"/>
      <c r="F17" s="112"/>
      <c r="G17" s="10"/>
    </row>
    <row r="18" spans="1:7">
      <c r="A18">
        <v>2028</v>
      </c>
      <c r="B18" s="112"/>
      <c r="D18" s="113"/>
      <c r="E18" s="114"/>
      <c r="F18" s="112"/>
      <c r="G18" s="10"/>
    </row>
    <row r="19" spans="1:7">
      <c r="A19">
        <v>2029</v>
      </c>
      <c r="B19" s="112"/>
      <c r="D19" s="113"/>
      <c r="E19" s="114"/>
      <c r="F19" s="112"/>
      <c r="G19" s="10"/>
    </row>
    <row r="20" spans="1:7">
      <c r="A20">
        <v>2030</v>
      </c>
      <c r="B20" s="112">
        <f>'JRC2018'!F10</f>
        <v>2370</v>
      </c>
      <c r="C20">
        <f>Agora2019!E8</f>
        <v>2200</v>
      </c>
      <c r="D20" s="113">
        <f>'JRC2018'!F11</f>
        <v>0.02</v>
      </c>
      <c r="E20" s="114">
        <f>Agora2019!E9</f>
        <v>3.2000000000000001E-2</v>
      </c>
      <c r="F20" s="112"/>
      <c r="G20" s="10"/>
    </row>
    <row r="21" spans="1:7">
      <c r="A21">
        <v>2031</v>
      </c>
      <c r="B21" s="112"/>
      <c r="D21" s="113"/>
      <c r="E21" s="114"/>
      <c r="F21" s="112"/>
      <c r="G21" s="10"/>
    </row>
    <row r="22" spans="1:7">
      <c r="A22">
        <v>2032</v>
      </c>
      <c r="B22" s="112"/>
      <c r="D22" s="113"/>
      <c r="E22" s="114"/>
      <c r="F22" s="112"/>
      <c r="G22" s="10"/>
    </row>
    <row r="23" spans="1:7">
      <c r="A23">
        <v>2033</v>
      </c>
      <c r="B23" s="112"/>
      <c r="D23" s="113"/>
      <c r="E23" s="114"/>
      <c r="F23" s="112"/>
      <c r="G23" s="10"/>
    </row>
    <row r="24" spans="1:7">
      <c r="A24">
        <v>2034</v>
      </c>
      <c r="B24" s="112"/>
      <c r="D24" s="113"/>
      <c r="E24" s="114"/>
      <c r="F24" s="112"/>
      <c r="G24" s="10"/>
    </row>
    <row r="25" spans="1:7">
      <c r="A25">
        <v>2035</v>
      </c>
      <c r="B25" s="112"/>
      <c r="D25" s="113"/>
      <c r="E25" s="114"/>
      <c r="F25" s="112"/>
      <c r="G25" s="10"/>
    </row>
    <row r="26" spans="1:7">
      <c r="A26">
        <v>2036</v>
      </c>
      <c r="B26" s="112"/>
      <c r="D26" s="113"/>
      <c r="E26" s="114"/>
      <c r="F26" s="112"/>
      <c r="G26" s="10"/>
    </row>
    <row r="27" spans="1:7">
      <c r="A27">
        <v>2037</v>
      </c>
      <c r="B27" s="112"/>
      <c r="D27" s="113"/>
      <c r="E27" s="114"/>
      <c r="F27" s="112"/>
      <c r="G27" s="10"/>
    </row>
    <row r="28" spans="1:7">
      <c r="A28">
        <v>2038</v>
      </c>
      <c r="B28" s="112"/>
      <c r="D28" s="113"/>
      <c r="E28" s="114"/>
      <c r="F28" s="112"/>
      <c r="G28" s="10"/>
    </row>
    <row r="29" spans="1:7">
      <c r="A29">
        <v>2039</v>
      </c>
      <c r="B29" s="112"/>
      <c r="D29" s="113"/>
      <c r="E29" s="114"/>
      <c r="F29" s="112"/>
      <c r="G29" s="10"/>
    </row>
    <row r="30" spans="1:7">
      <c r="A30">
        <v>2040</v>
      </c>
      <c r="B30" s="112">
        <f>'JRC2018'!G10</f>
        <v>2220</v>
      </c>
      <c r="D30" s="113">
        <f>'JRC2018'!G11</f>
        <v>0.02</v>
      </c>
      <c r="E30" s="114"/>
      <c r="F30" s="112"/>
      <c r="G30" s="10"/>
    </row>
    <row r="31" spans="1:7">
      <c r="A31">
        <v>2041</v>
      </c>
      <c r="B31" s="112"/>
      <c r="D31" s="113"/>
      <c r="E31" s="114"/>
      <c r="F31" s="112"/>
      <c r="G31" s="10"/>
    </row>
    <row r="32" spans="1:7">
      <c r="A32">
        <v>2042</v>
      </c>
      <c r="B32" s="112"/>
      <c r="D32" s="113"/>
      <c r="E32" s="114"/>
      <c r="F32" s="112"/>
      <c r="G32" s="10"/>
    </row>
    <row r="33" spans="1:7">
      <c r="A33">
        <v>2043</v>
      </c>
      <c r="B33" s="112"/>
      <c r="D33" s="113"/>
      <c r="E33" s="114"/>
      <c r="F33" s="112"/>
      <c r="G33" s="10"/>
    </row>
    <row r="34" spans="1:7">
      <c r="A34">
        <v>2044</v>
      </c>
      <c r="B34" s="112"/>
      <c r="D34" s="113"/>
      <c r="E34" s="114"/>
      <c r="F34" s="112"/>
      <c r="G34" s="10"/>
    </row>
    <row r="35" spans="1:7">
      <c r="A35">
        <v>2045</v>
      </c>
      <c r="B35" s="112"/>
      <c r="D35" s="113"/>
      <c r="E35" s="114"/>
      <c r="F35" s="112"/>
      <c r="G35" s="10"/>
    </row>
    <row r="36" spans="1:7">
      <c r="A36">
        <v>2046</v>
      </c>
      <c r="B36" s="112"/>
      <c r="D36" s="113"/>
      <c r="E36" s="114"/>
      <c r="F36" s="112"/>
      <c r="G36" s="10"/>
    </row>
    <row r="37" spans="1:7">
      <c r="A37">
        <v>2047</v>
      </c>
      <c r="B37" s="112"/>
      <c r="D37" s="113"/>
      <c r="E37" s="114"/>
      <c r="F37" s="112"/>
      <c r="G37" s="10"/>
    </row>
    <row r="38" spans="1:7">
      <c r="A38">
        <v>2048</v>
      </c>
      <c r="B38" s="112"/>
      <c r="D38" s="113"/>
      <c r="E38" s="114"/>
      <c r="F38" s="112"/>
      <c r="G38" s="10"/>
    </row>
    <row r="39" spans="1:7">
      <c r="A39">
        <v>2049</v>
      </c>
      <c r="B39" s="112"/>
      <c r="D39" s="113"/>
      <c r="E39" s="114"/>
      <c r="F39" s="112"/>
      <c r="G39" s="10"/>
    </row>
    <row r="40" spans="1:7">
      <c r="A40">
        <v>2050</v>
      </c>
      <c r="B40" s="112">
        <f>'JRC2018'!H10</f>
        <v>2160</v>
      </c>
      <c r="C40">
        <f>Agora2019!F8</f>
        <v>1600</v>
      </c>
      <c r="D40" s="113">
        <f>'JRC2018'!H11</f>
        <v>0.02</v>
      </c>
      <c r="E40" s="114">
        <f>Agora2019!F9</f>
        <v>3.2000000000000001E-2</v>
      </c>
      <c r="F40" s="112"/>
      <c r="G40" s="10"/>
    </row>
    <row r="63" spans="2:7" ht="21">
      <c r="B63" s="225" t="s">
        <v>502</v>
      </c>
      <c r="C63" s="225"/>
      <c r="D63" s="225"/>
      <c r="E63" s="225"/>
      <c r="F63" s="225"/>
      <c r="G63" s="225"/>
    </row>
    <row r="65" spans="2:7">
      <c r="B65" s="116" t="s">
        <v>503</v>
      </c>
      <c r="C65" s="34"/>
      <c r="D65" s="34"/>
      <c r="E65" s="35"/>
      <c r="G65" s="117" t="s">
        <v>504</v>
      </c>
    </row>
    <row r="66" spans="2:7" ht="35" customHeight="1">
      <c r="B66" s="226" t="s">
        <v>506</v>
      </c>
      <c r="C66" s="226"/>
      <c r="D66" s="226"/>
      <c r="E66" s="226"/>
      <c r="G66" s="118" t="str">
        <f>B3</f>
        <v>Tsiropoulos, 2018 (ProRES scenario)</v>
      </c>
    </row>
  </sheetData>
  <mergeCells count="5">
    <mergeCell ref="B2:C2"/>
    <mergeCell ref="D2:E2"/>
    <mergeCell ref="F2:G2"/>
    <mergeCell ref="B63:G63"/>
    <mergeCell ref="B66:E66"/>
  </mergeCells>
  <pageMargins left="0.7" right="0.7" top="0.78749999999999998" bottom="0.78749999999999998"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70AD47"/>
  </sheetPr>
  <dimension ref="A2:Q66"/>
  <sheetViews>
    <sheetView zoomScaleNormal="100" workbookViewId="0">
      <selection activeCell="H34" sqref="H34"/>
    </sheetView>
  </sheetViews>
  <sheetFormatPr baseColWidth="10" defaultColWidth="9" defaultRowHeight="16"/>
  <cols>
    <col min="1" max="1" width="10.6640625" customWidth="1"/>
    <col min="2" max="2" width="29.6640625" customWidth="1"/>
    <col min="3" max="3" width="10" customWidth="1"/>
    <col min="4" max="4" width="15.6640625" customWidth="1"/>
    <col min="5" max="8" width="11.33203125" customWidth="1"/>
    <col min="9" max="9" width="14.6640625" customWidth="1"/>
    <col min="10" max="11" width="11.33203125" customWidth="1"/>
    <col min="12" max="12" width="23.6640625" customWidth="1"/>
    <col min="13" max="17" width="14.6640625" customWidth="1"/>
    <col min="18" max="1025" width="10.6640625" customWidth="1"/>
  </cols>
  <sheetData>
    <row r="2" spans="1:17">
      <c r="A2" s="1"/>
      <c r="B2" s="219" t="s">
        <v>507</v>
      </c>
      <c r="C2" s="219"/>
      <c r="D2" s="219"/>
      <c r="E2" s="219"/>
      <c r="F2" s="219"/>
      <c r="G2" s="219"/>
      <c r="H2" s="219"/>
      <c r="I2" s="218" t="s">
        <v>498</v>
      </c>
      <c r="J2" s="218"/>
      <c r="K2" s="218"/>
      <c r="L2" s="218" t="s">
        <v>499</v>
      </c>
      <c r="M2" s="218"/>
      <c r="N2" s="31"/>
      <c r="O2" s="218" t="s">
        <v>508</v>
      </c>
      <c r="P2" s="218"/>
      <c r="Q2" s="121"/>
    </row>
    <row r="3" spans="1:17">
      <c r="A3" s="9" t="s">
        <v>500</v>
      </c>
      <c r="B3" s="109" t="str">
        <f>Vartiainen2020!B15</f>
        <v>Vartiainen, 2020</v>
      </c>
      <c r="C3" s="110" t="str">
        <f>lit_review_raw!A43</f>
        <v>﻿IEA, 2019b</v>
      </c>
      <c r="D3" s="110" t="str">
        <f>lit_review_raw!A50</f>
        <v>BATSTROM, 2018</v>
      </c>
      <c r="E3" s="110" t="str">
        <f>lit_review_raw!A48</f>
        <v>Runge, 2020</v>
      </c>
      <c r="F3" s="110" t="str">
        <f>'Cole, 2019'!B16</f>
        <v>Cole, 2019</v>
      </c>
      <c r="G3" s="110" t="str">
        <f>F3</f>
        <v>Cole, 2019</v>
      </c>
      <c r="H3" s="110" t="str">
        <f>G3</f>
        <v>Cole, 2019</v>
      </c>
      <c r="I3" s="109" t="str">
        <f>B3</f>
        <v>Vartiainen, 2020</v>
      </c>
      <c r="J3" s="110" t="str">
        <f>lit_review_raw!A48</f>
        <v>Runge, 2020</v>
      </c>
      <c r="K3" s="110" t="str">
        <f>F3</f>
        <v>Cole, 2019</v>
      </c>
      <c r="L3" s="109" t="str">
        <f>B3</f>
        <v>Vartiainen, 2020</v>
      </c>
      <c r="M3" s="110" t="str">
        <f>J3</f>
        <v>Runge, 2020</v>
      </c>
      <c r="N3" s="110" t="str">
        <f>K3</f>
        <v>Cole, 2019</v>
      </c>
      <c r="O3" s="109" t="str">
        <f>M3</f>
        <v>Runge, 2020</v>
      </c>
      <c r="P3" s="122" t="str">
        <f>N3</f>
        <v>Cole, 2019</v>
      </c>
      <c r="Q3" s="9"/>
    </row>
    <row r="4" spans="1:17">
      <c r="A4" s="11" t="s">
        <v>501</v>
      </c>
      <c r="B4" s="111"/>
      <c r="C4" s="11"/>
      <c r="D4" s="11"/>
      <c r="E4" s="11"/>
      <c r="F4" s="11" t="str">
        <f>'Cole, 2019'!A6</f>
        <v>mid cost</v>
      </c>
      <c r="G4" s="11" t="str">
        <f>'Cole, 2019'!A5</f>
        <v>high cost</v>
      </c>
      <c r="H4" s="11" t="str">
        <f>'Cole, 2019'!A7</f>
        <v>low cost</v>
      </c>
      <c r="I4" s="111"/>
      <c r="J4" s="11"/>
      <c r="K4" s="11" t="s">
        <v>509</v>
      </c>
      <c r="L4" s="111"/>
      <c r="M4" s="11"/>
      <c r="N4" s="11"/>
      <c r="O4" s="111"/>
      <c r="P4" s="123"/>
      <c r="Q4" s="8"/>
    </row>
    <row r="5" spans="1:17">
      <c r="A5">
        <v>2015</v>
      </c>
      <c r="B5" s="112"/>
      <c r="C5" s="10"/>
      <c r="D5" s="10">
        <f>lit_review_raw!X50</f>
        <v>605</v>
      </c>
      <c r="E5" s="10"/>
      <c r="F5" s="10"/>
      <c r="G5" s="10"/>
      <c r="H5" s="10"/>
      <c r="I5" s="112"/>
      <c r="J5" s="10"/>
      <c r="K5" s="10"/>
      <c r="L5" s="112">
        <f>Vartiainen2020!D12</f>
        <v>15</v>
      </c>
      <c r="M5" s="10"/>
      <c r="N5" s="10"/>
      <c r="O5" s="112"/>
      <c r="P5" s="124"/>
      <c r="Q5" s="10"/>
    </row>
    <row r="6" spans="1:17">
      <c r="A6">
        <v>2016</v>
      </c>
      <c r="B6" s="112"/>
      <c r="C6" s="10"/>
      <c r="D6" s="10"/>
      <c r="E6" s="10"/>
      <c r="F6" s="10"/>
      <c r="G6" s="10"/>
      <c r="H6" s="10"/>
      <c r="I6" s="112"/>
      <c r="J6" s="10"/>
      <c r="K6" s="10"/>
      <c r="L6" s="112"/>
      <c r="M6" s="10"/>
      <c r="N6" s="10"/>
      <c r="O6" s="112"/>
      <c r="P6" s="124"/>
      <c r="Q6" s="10"/>
    </row>
    <row r="7" spans="1:17">
      <c r="A7">
        <v>2017</v>
      </c>
      <c r="B7" s="112"/>
      <c r="C7" s="10">
        <f>lit_review_raw!X43</f>
        <v>402</v>
      </c>
      <c r="D7" s="10"/>
      <c r="E7" s="10"/>
      <c r="F7" s="10"/>
      <c r="G7" s="10"/>
      <c r="H7" s="10"/>
      <c r="I7" s="112"/>
      <c r="J7" s="10"/>
      <c r="K7" s="10"/>
      <c r="L7" s="112"/>
      <c r="M7" s="10"/>
      <c r="N7" s="10"/>
      <c r="O7" s="112"/>
      <c r="P7" s="124"/>
      <c r="Q7" s="10"/>
    </row>
    <row r="8" spans="1:17">
      <c r="A8">
        <v>2018</v>
      </c>
      <c r="B8" s="112"/>
      <c r="C8" s="10"/>
      <c r="D8" s="10"/>
      <c r="E8" s="10"/>
      <c r="F8" s="101">
        <f>'Cole, 2019'!D6</f>
        <v>342</v>
      </c>
      <c r="G8" s="101">
        <f>'Cole, 2019'!D5</f>
        <v>342</v>
      </c>
      <c r="H8" s="101">
        <f>'Cole, 2019'!D7</f>
        <v>342</v>
      </c>
      <c r="I8" s="112"/>
      <c r="J8" s="10"/>
      <c r="K8" s="125">
        <f>K9</f>
        <v>3.9473684210526314E-2</v>
      </c>
      <c r="L8" s="112"/>
      <c r="M8" s="10"/>
      <c r="N8" s="62"/>
      <c r="O8" s="112"/>
      <c r="P8" s="124"/>
      <c r="Q8" s="10"/>
    </row>
    <row r="9" spans="1:17">
      <c r="A9">
        <v>2019</v>
      </c>
      <c r="B9" s="112">
        <f>Vartiainen2020!D7</f>
        <v>275</v>
      </c>
      <c r="C9" s="10"/>
      <c r="D9" s="10"/>
      <c r="E9" s="10"/>
      <c r="F9" s="10"/>
      <c r="G9" s="10"/>
      <c r="H9" s="10"/>
      <c r="I9" s="112">
        <f>Vartiainen2020!D9</f>
        <v>1.4909090909090908E-2</v>
      </c>
      <c r="J9" s="10"/>
      <c r="K9" s="69">
        <f>'Cole, 2019'!D13</f>
        <v>3.9473684210526314E-2</v>
      </c>
      <c r="L9" s="112"/>
      <c r="M9" s="10"/>
      <c r="N9" s="101">
        <f>'Cole, 2019'!D12</f>
        <v>15</v>
      </c>
      <c r="O9" s="112"/>
      <c r="P9" s="124">
        <f>'Cole, 2019'!D11</f>
        <v>0.85</v>
      </c>
      <c r="Q9" s="10"/>
    </row>
    <row r="10" spans="1:17">
      <c r="A10">
        <v>2020</v>
      </c>
      <c r="B10" s="112">
        <f>HLOOKUP(A10,Vartiainen2020!$D$1:$AI$9,7,0)</f>
        <v>251</v>
      </c>
      <c r="C10" s="10"/>
      <c r="D10" s="10">
        <f>lit_review_raw!X51</f>
        <v>455</v>
      </c>
      <c r="E10" s="10"/>
      <c r="F10" s="101">
        <f>'Cole, 2019'!E6</f>
        <v>297</v>
      </c>
      <c r="G10" s="101">
        <f>'Cole, 2019'!E5</f>
        <v>323.10000000000002</v>
      </c>
      <c r="H10" s="101">
        <f>'Cole, 2019'!E7</f>
        <v>267.3</v>
      </c>
      <c r="I10" s="112">
        <f>HLOOKUP(A10,Vartiainen2020!$D$1:$AI$9,9,0)</f>
        <v>1.5537848605577689E-2</v>
      </c>
      <c r="J10" s="10"/>
      <c r="K10" s="10"/>
      <c r="L10" s="112"/>
      <c r="M10" s="10"/>
      <c r="N10" s="10"/>
      <c r="O10" s="112"/>
      <c r="P10" s="124"/>
      <c r="Q10" s="10"/>
    </row>
    <row r="11" spans="1:17">
      <c r="A11">
        <v>2021</v>
      </c>
      <c r="B11" s="112">
        <f>HLOOKUP(A11,Vartiainen2020!$D$1:$AI$9,7,0)</f>
        <v>229</v>
      </c>
      <c r="C11" s="10"/>
      <c r="D11" s="10"/>
      <c r="E11" s="10"/>
      <c r="F11" s="10"/>
      <c r="G11" s="10"/>
      <c r="H11" s="10"/>
      <c r="I11" s="112">
        <f>HLOOKUP(A11,Vartiainen2020!$D$1:$AI$9,9,0)</f>
        <v>1.6157205240174673E-2</v>
      </c>
      <c r="J11" s="10"/>
      <c r="K11" s="10"/>
      <c r="L11" s="112"/>
      <c r="M11" s="10"/>
      <c r="N11" s="10"/>
      <c r="O11" s="112"/>
      <c r="P11" s="124"/>
      <c r="Q11" s="10"/>
    </row>
    <row r="12" spans="1:17">
      <c r="A12">
        <v>2022</v>
      </c>
      <c r="B12" s="112">
        <f>HLOOKUP(A12,Vartiainen2020!$D$1:$AI$9,7,0)</f>
        <v>209</v>
      </c>
      <c r="C12" s="10"/>
      <c r="D12" s="10"/>
      <c r="E12" s="10"/>
      <c r="F12" s="10"/>
      <c r="G12" s="10"/>
      <c r="H12" s="10"/>
      <c r="I12" s="112">
        <f>HLOOKUP(A12,Vartiainen2020!$D$1:$AI$9,9,0)</f>
        <v>1.7224880382775119E-2</v>
      </c>
      <c r="J12" s="10"/>
      <c r="K12" s="10"/>
      <c r="L12" s="112"/>
      <c r="M12" s="10"/>
      <c r="N12" s="10"/>
      <c r="O12" s="112"/>
      <c r="P12" s="124"/>
      <c r="Q12" s="10"/>
    </row>
    <row r="13" spans="1:17">
      <c r="A13">
        <v>2023</v>
      </c>
      <c r="B13" s="112">
        <f>HLOOKUP(A13,Vartiainen2020!$D$1:$AI$9,7,0)</f>
        <v>192</v>
      </c>
      <c r="C13" s="10"/>
      <c r="D13" s="10"/>
      <c r="E13" s="10"/>
      <c r="F13" s="10"/>
      <c r="G13" s="10"/>
      <c r="H13" s="10"/>
      <c r="I13" s="112">
        <f>HLOOKUP(A13,Vartiainen2020!$D$1:$AI$9,9,0)</f>
        <v>1.7708333333333333E-2</v>
      </c>
      <c r="J13" s="10"/>
      <c r="K13" s="10"/>
      <c r="L13" s="112"/>
      <c r="M13" s="10"/>
      <c r="N13" s="10"/>
      <c r="O13" s="112"/>
      <c r="P13" s="124"/>
      <c r="Q13" s="10"/>
    </row>
    <row r="14" spans="1:17">
      <c r="A14">
        <v>2024</v>
      </c>
      <c r="B14" s="112">
        <f>HLOOKUP(A14,Vartiainen2020!$D$1:$AI$9,7,0)</f>
        <v>176</v>
      </c>
      <c r="C14" s="10"/>
      <c r="D14" s="10"/>
      <c r="E14" s="10"/>
      <c r="F14" s="10"/>
      <c r="G14" s="10"/>
      <c r="H14" s="10"/>
      <c r="I14" s="112">
        <f>HLOOKUP(A14,Vartiainen2020!$D$1:$AI$9,9,0)</f>
        <v>1.8749999999999999E-2</v>
      </c>
      <c r="J14" s="10"/>
      <c r="K14" s="10"/>
      <c r="L14" s="112"/>
      <c r="M14" s="10"/>
      <c r="N14" s="10"/>
      <c r="O14" s="112"/>
      <c r="P14" s="124"/>
      <c r="Q14" s="10"/>
    </row>
    <row r="15" spans="1:17">
      <c r="A15">
        <v>2025</v>
      </c>
      <c r="B15" s="112">
        <f>HLOOKUP(A15,Vartiainen2020!$D$1:$AI$9,7,0)</f>
        <v>163</v>
      </c>
      <c r="C15" s="10">
        <f>lit_review_raw!X44</f>
        <v>268</v>
      </c>
      <c r="D15" s="10">
        <f>lit_review_raw!X52</f>
        <v>345</v>
      </c>
      <c r="E15" s="10"/>
      <c r="F15" s="101">
        <f>'Cole, 2019'!F6</f>
        <v>223.20000000000002</v>
      </c>
      <c r="G15" s="101">
        <f>'Cole, 2019'!F5</f>
        <v>297</v>
      </c>
      <c r="H15" s="101">
        <f>'Cole, 2019'!F7</f>
        <v>165.6</v>
      </c>
      <c r="I15" s="112">
        <f>HLOOKUP(A15,Vartiainen2020!$D$1:$AI$9,9,0)</f>
        <v>1.9631901840490799E-2</v>
      </c>
      <c r="J15" s="10"/>
      <c r="K15" s="10"/>
      <c r="L15" s="112"/>
      <c r="M15" s="10"/>
      <c r="N15" s="10"/>
      <c r="O15" s="112"/>
      <c r="P15" s="124"/>
      <c r="Q15" s="10"/>
    </row>
    <row r="16" spans="1:17">
      <c r="A16">
        <v>2026</v>
      </c>
      <c r="B16" s="112">
        <f>HLOOKUP(A16,Vartiainen2020!$D$1:$AI$9,7,0)</f>
        <v>151</v>
      </c>
      <c r="C16" s="10"/>
      <c r="D16" s="10"/>
      <c r="E16" s="10"/>
      <c r="F16" s="10"/>
      <c r="G16" s="10"/>
      <c r="H16" s="10"/>
      <c r="I16" s="112">
        <f>HLOOKUP(A16,Vartiainen2020!$D$1:$AI$9,9,0)</f>
        <v>1.9867549668874173E-2</v>
      </c>
      <c r="J16" s="10"/>
      <c r="K16" s="10"/>
      <c r="L16" s="112"/>
      <c r="M16" s="10"/>
      <c r="N16" s="10"/>
      <c r="O16" s="112"/>
      <c r="P16" s="124"/>
      <c r="Q16" s="10"/>
    </row>
    <row r="17" spans="1:17">
      <c r="A17">
        <v>2027</v>
      </c>
      <c r="B17" s="112">
        <f>HLOOKUP(A17,Vartiainen2020!$D$1:$AI$9,7,0)</f>
        <v>141</v>
      </c>
      <c r="C17" s="10"/>
      <c r="D17" s="10"/>
      <c r="E17" s="10"/>
      <c r="F17" s="10"/>
      <c r="G17" s="10"/>
      <c r="H17" s="10"/>
      <c r="I17" s="112">
        <f>HLOOKUP(A17,Vartiainen2020!$D$1:$AI$9,9,0)</f>
        <v>2.0567375886524821E-2</v>
      </c>
      <c r="J17" s="10"/>
      <c r="K17" s="10"/>
      <c r="L17" s="112"/>
      <c r="M17" s="10"/>
      <c r="N17" s="10"/>
      <c r="O17" s="112"/>
      <c r="P17" s="124"/>
      <c r="Q17" s="10"/>
    </row>
    <row r="18" spans="1:17">
      <c r="A18">
        <v>2028</v>
      </c>
      <c r="B18" s="112">
        <f>HLOOKUP(A18,Vartiainen2020!$D$1:$AI$9,7,0)</f>
        <v>132</v>
      </c>
      <c r="C18" s="10"/>
      <c r="D18" s="10"/>
      <c r="E18" s="10"/>
      <c r="F18" s="10"/>
      <c r="G18" s="10"/>
      <c r="H18" s="10"/>
      <c r="I18" s="112">
        <f>HLOOKUP(A18,Vartiainen2020!$D$1:$AI$9,9,0)</f>
        <v>2.1969696969696969E-2</v>
      </c>
      <c r="J18" s="10"/>
      <c r="K18" s="10"/>
      <c r="L18" s="112"/>
      <c r="M18" s="10"/>
      <c r="N18" s="10"/>
      <c r="O18" s="112"/>
      <c r="P18" s="124"/>
      <c r="Q18" s="10"/>
    </row>
    <row r="19" spans="1:17">
      <c r="A19">
        <v>2029</v>
      </c>
      <c r="B19" s="112">
        <f>HLOOKUP(A19,Vartiainen2020!$D$1:$AI$9,7,0)</f>
        <v>124</v>
      </c>
      <c r="C19" s="10"/>
      <c r="D19" s="10"/>
      <c r="E19" s="10"/>
      <c r="F19" s="10"/>
      <c r="G19" s="10"/>
      <c r="H19" s="10"/>
      <c r="I19" s="112">
        <f>HLOOKUP(A19,Vartiainen2020!$D$1:$AI$9,9,0)</f>
        <v>2.2580645161290321E-2</v>
      </c>
      <c r="J19" s="10"/>
      <c r="K19" s="10"/>
      <c r="L19" s="112"/>
      <c r="M19" s="10"/>
      <c r="N19" s="10"/>
      <c r="O19" s="112"/>
      <c r="P19" s="124"/>
      <c r="Q19" s="10"/>
    </row>
    <row r="20" spans="1:17">
      <c r="A20">
        <v>2030</v>
      </c>
      <c r="B20" s="112">
        <f>HLOOKUP(A20,Vartiainen2020!$D$1:$AI$9,7,0)</f>
        <v>117</v>
      </c>
      <c r="C20" s="10">
        <f>lit_review_raw!X45</f>
        <v>243</v>
      </c>
      <c r="D20" s="10">
        <f>lit_review_raw!X53</f>
        <v>260</v>
      </c>
      <c r="E20" s="10"/>
      <c r="F20" s="101">
        <f>'Cole, 2019'!G6</f>
        <v>186.3</v>
      </c>
      <c r="G20" s="101">
        <f>'Cole, 2019'!G5</f>
        <v>270.90000000000003</v>
      </c>
      <c r="H20" s="101">
        <f>'Cole, 2019'!G7</f>
        <v>111.60000000000001</v>
      </c>
      <c r="I20" s="112">
        <f>HLOOKUP(A20,Vartiainen2020!$D$1:$AI$9,9,0)</f>
        <v>2.3076923076923078E-2</v>
      </c>
      <c r="J20" s="10"/>
      <c r="K20" s="10"/>
      <c r="L20" s="112"/>
      <c r="M20" s="10"/>
      <c r="N20" s="10"/>
      <c r="O20" s="112"/>
      <c r="P20" s="124"/>
      <c r="Q20" s="10"/>
    </row>
    <row r="21" spans="1:17">
      <c r="A21">
        <v>2031</v>
      </c>
      <c r="B21" s="112">
        <f>HLOOKUP(A21,Vartiainen2020!$D$1:$AI$9,7,0)</f>
        <v>112</v>
      </c>
      <c r="C21" s="10"/>
      <c r="D21" s="10"/>
      <c r="E21" s="10"/>
      <c r="F21" s="10"/>
      <c r="G21" s="10"/>
      <c r="H21" s="10"/>
      <c r="I21" s="112">
        <f>HLOOKUP(A21,Vartiainen2020!$D$1:$AI$9,9,0)</f>
        <v>2.3214285714285715E-2</v>
      </c>
      <c r="J21" s="10"/>
      <c r="K21" s="10"/>
      <c r="L21" s="112"/>
      <c r="M21" s="10"/>
      <c r="N21" s="10"/>
      <c r="O21" s="112"/>
      <c r="P21" s="124"/>
      <c r="Q21" s="10"/>
    </row>
    <row r="22" spans="1:17">
      <c r="A22">
        <v>2032</v>
      </c>
      <c r="B22" s="112">
        <f>HLOOKUP(A22,Vartiainen2020!$D$1:$AI$9,7,0)</f>
        <v>106</v>
      </c>
      <c r="C22" s="10"/>
      <c r="D22" s="10"/>
      <c r="E22" s="10"/>
      <c r="F22" s="10"/>
      <c r="G22" s="10"/>
      <c r="H22" s="10"/>
      <c r="I22" s="112">
        <f>HLOOKUP(A22,Vartiainen2020!$D$1:$AI$9,9,0)</f>
        <v>2.4528301886792454E-2</v>
      </c>
      <c r="J22" s="10"/>
      <c r="K22" s="10"/>
      <c r="L22" s="112"/>
      <c r="M22" s="10"/>
      <c r="N22" s="10"/>
      <c r="O22" s="112"/>
      <c r="P22" s="124"/>
      <c r="Q22" s="10"/>
    </row>
    <row r="23" spans="1:17">
      <c r="A23">
        <v>2033</v>
      </c>
      <c r="B23" s="112">
        <f>HLOOKUP(A23,Vartiainen2020!$D$1:$AI$9,7,0)</f>
        <v>102</v>
      </c>
      <c r="C23" s="10"/>
      <c r="D23" s="10"/>
      <c r="E23" s="10"/>
      <c r="F23" s="10"/>
      <c r="G23" s="10"/>
      <c r="H23" s="10"/>
      <c r="I23" s="112">
        <f>HLOOKUP(A23,Vartiainen2020!$D$1:$AI$9,9,0)</f>
        <v>2.4509803921568627E-2</v>
      </c>
      <c r="J23" s="10"/>
      <c r="K23" s="10"/>
      <c r="L23" s="112"/>
      <c r="M23" s="10"/>
      <c r="N23" s="10"/>
      <c r="O23" s="112"/>
      <c r="P23" s="124"/>
      <c r="Q23" s="10"/>
    </row>
    <row r="24" spans="1:17">
      <c r="A24">
        <v>2034</v>
      </c>
      <c r="B24" s="112">
        <f>HLOOKUP(A24,Vartiainen2020!$D$1:$AI$9,7,0)</f>
        <v>98</v>
      </c>
      <c r="C24" s="10"/>
      <c r="D24" s="10"/>
      <c r="E24" s="50">
        <f>E25</f>
        <v>125</v>
      </c>
      <c r="F24" s="50"/>
      <c r="G24" s="50"/>
      <c r="H24" s="50"/>
      <c r="I24" s="112">
        <f>HLOOKUP(A24,Vartiainen2020!$D$1:$AI$9,9,0)</f>
        <v>2.5510204081632654E-2</v>
      </c>
      <c r="J24" s="50">
        <f>J25</f>
        <v>0.03</v>
      </c>
      <c r="K24" s="50"/>
      <c r="L24" s="112"/>
      <c r="M24" s="50">
        <f>M25</f>
        <v>20</v>
      </c>
      <c r="N24" s="50"/>
      <c r="O24" s="126">
        <f>O25</f>
        <v>0.97</v>
      </c>
      <c r="P24" s="127"/>
      <c r="Q24" s="50"/>
    </row>
    <row r="25" spans="1:17">
      <c r="A25">
        <v>2035</v>
      </c>
      <c r="B25" s="112">
        <f>HLOOKUP(A25,Vartiainen2020!$D$1:$AI$9,7,0)</f>
        <v>94</v>
      </c>
      <c r="C25" s="10">
        <f>lit_review_raw!X46</f>
        <v>228</v>
      </c>
      <c r="D25" s="10"/>
      <c r="E25" s="10">
        <f>lit_review_raw!X48</f>
        <v>125</v>
      </c>
      <c r="F25" s="10"/>
      <c r="G25" s="10"/>
      <c r="H25" s="10"/>
      <c r="I25" s="112">
        <f>HLOOKUP(A25,Vartiainen2020!$D$1:$AI$9,9,0)</f>
        <v>2.553191489361702E-2</v>
      </c>
      <c r="J25" s="10">
        <f>lit_review_raw!Y48</f>
        <v>0.03</v>
      </c>
      <c r="K25" s="10"/>
      <c r="L25" s="112"/>
      <c r="M25" s="10">
        <f>lit_review_raw!Z48</f>
        <v>20</v>
      </c>
      <c r="N25" s="10"/>
      <c r="O25" s="112">
        <f>lit_review_raw!AA48</f>
        <v>0.97</v>
      </c>
      <c r="P25" s="124"/>
      <c r="Q25" s="10"/>
    </row>
    <row r="26" spans="1:17">
      <c r="A26">
        <v>2036</v>
      </c>
      <c r="B26" s="112">
        <f>HLOOKUP(A26,Vartiainen2020!$D$1:$AI$9,7,0)</f>
        <v>91</v>
      </c>
      <c r="C26" s="10"/>
      <c r="D26" s="10"/>
      <c r="E26" s="10"/>
      <c r="F26" s="10"/>
      <c r="G26" s="10"/>
      <c r="H26" s="10"/>
      <c r="I26" s="112">
        <f>HLOOKUP(A26,Vartiainen2020!$D$1:$AI$9,9,0)</f>
        <v>2.6373626373626374E-2</v>
      </c>
      <c r="J26" s="10"/>
      <c r="K26" s="10"/>
      <c r="L26" s="112"/>
      <c r="M26" s="10"/>
      <c r="N26" s="10"/>
      <c r="O26" s="112"/>
      <c r="P26" s="124"/>
      <c r="Q26" s="10"/>
    </row>
    <row r="27" spans="1:17">
      <c r="A27">
        <v>2037</v>
      </c>
      <c r="B27" s="112">
        <f>HLOOKUP(A27,Vartiainen2020!$D$1:$AI$9,7,0)</f>
        <v>88</v>
      </c>
      <c r="C27" s="10"/>
      <c r="D27" s="10"/>
      <c r="E27" s="10"/>
      <c r="F27" s="10"/>
      <c r="G27" s="10"/>
      <c r="H27" s="10"/>
      <c r="I27" s="112">
        <f>HLOOKUP(A27,Vartiainen2020!$D$1:$AI$9,9,0)</f>
        <v>2.6136363636363635E-2</v>
      </c>
      <c r="J27" s="10"/>
      <c r="K27" s="10"/>
      <c r="L27" s="112"/>
      <c r="M27" s="10"/>
      <c r="N27" s="10"/>
      <c r="O27" s="112"/>
      <c r="P27" s="124"/>
      <c r="Q27" s="10"/>
    </row>
    <row r="28" spans="1:17">
      <c r="A28">
        <v>2038</v>
      </c>
      <c r="B28" s="112">
        <f>HLOOKUP(A28,Vartiainen2020!$D$1:$AI$9,7,0)</f>
        <v>85</v>
      </c>
      <c r="C28" s="10"/>
      <c r="D28" s="10"/>
      <c r="E28" s="10"/>
      <c r="F28" s="10"/>
      <c r="G28" s="10"/>
      <c r="H28" s="10"/>
      <c r="I28" s="112">
        <f>HLOOKUP(A28,Vartiainen2020!$D$1:$AI$9,9,0)</f>
        <v>2.7058823529411764E-2</v>
      </c>
      <c r="J28" s="10"/>
      <c r="K28" s="10"/>
      <c r="L28" s="112"/>
      <c r="M28" s="10"/>
      <c r="N28" s="10"/>
      <c r="O28" s="112"/>
      <c r="P28" s="124"/>
      <c r="Q28" s="10"/>
    </row>
    <row r="29" spans="1:17">
      <c r="A29">
        <v>2039</v>
      </c>
      <c r="B29" s="112">
        <f>HLOOKUP(A29,Vartiainen2020!$D$1:$AI$9,7,0)</f>
        <v>82</v>
      </c>
      <c r="C29" s="10"/>
      <c r="D29" s="10"/>
      <c r="E29" s="10"/>
      <c r="F29" s="10"/>
      <c r="G29" s="10"/>
      <c r="H29" s="10"/>
      <c r="I29" s="112">
        <f>HLOOKUP(A29,Vartiainen2020!$D$1:$AI$9,9,0)</f>
        <v>2.8048780487804875E-2</v>
      </c>
      <c r="J29" s="10"/>
      <c r="K29" s="10"/>
      <c r="L29" s="112"/>
      <c r="M29" s="10"/>
      <c r="N29" s="10"/>
      <c r="O29" s="112"/>
      <c r="P29" s="124"/>
      <c r="Q29" s="10"/>
    </row>
    <row r="30" spans="1:17">
      <c r="A30">
        <v>2040</v>
      </c>
      <c r="B30" s="112">
        <f>HLOOKUP(A30,Vartiainen2020!$D$1:$AI$9,7,0)</f>
        <v>80</v>
      </c>
      <c r="C30" s="10">
        <f>lit_review_raw!X47</f>
        <v>218</v>
      </c>
      <c r="D30" s="10"/>
      <c r="E30" s="10"/>
      <c r="F30" s="10"/>
      <c r="G30" s="10"/>
      <c r="H30" s="10"/>
      <c r="I30" s="112">
        <f>HLOOKUP(A30,Vartiainen2020!$D$1:$AI$9,9,0)</f>
        <v>2.7500000000000004E-2</v>
      </c>
      <c r="J30" s="10"/>
      <c r="K30" s="10"/>
      <c r="L30" s="112"/>
      <c r="M30" s="10"/>
      <c r="N30" s="10"/>
      <c r="O30" s="112"/>
      <c r="P30" s="124"/>
      <c r="Q30" s="10"/>
    </row>
    <row r="31" spans="1:17">
      <c r="A31">
        <v>2041</v>
      </c>
      <c r="B31" s="112">
        <f>HLOOKUP(A31,Vartiainen2020!$D$1:$AI$9,7,0)</f>
        <v>78</v>
      </c>
      <c r="C31" s="10"/>
      <c r="D31" s="10"/>
      <c r="E31" s="10"/>
      <c r="F31" s="10"/>
      <c r="G31" s="10"/>
      <c r="H31" s="10"/>
      <c r="I31" s="112">
        <f>HLOOKUP(A31,Vartiainen2020!$D$1:$AI$9,9,0)</f>
        <v>2.8205128205128209E-2</v>
      </c>
      <c r="J31" s="10"/>
      <c r="K31" s="10"/>
      <c r="L31" s="112"/>
      <c r="M31" s="10"/>
      <c r="N31" s="10"/>
      <c r="O31" s="112"/>
      <c r="P31" s="124"/>
      <c r="Q31" s="10"/>
    </row>
    <row r="32" spans="1:17">
      <c r="A32">
        <v>2042</v>
      </c>
      <c r="B32" s="112">
        <f>HLOOKUP(A32,Vartiainen2020!$D$1:$AI$9,7,0)</f>
        <v>76</v>
      </c>
      <c r="C32" s="10"/>
      <c r="D32" s="10"/>
      <c r="E32" s="10"/>
      <c r="F32" s="10"/>
      <c r="G32" s="10"/>
      <c r="H32" s="10"/>
      <c r="I32" s="112">
        <f>HLOOKUP(A32,Vartiainen2020!$D$1:$AI$9,9,0)</f>
        <v>2.8947368421052635E-2</v>
      </c>
      <c r="J32" s="10"/>
      <c r="K32" s="10"/>
      <c r="L32" s="112"/>
      <c r="M32" s="10"/>
      <c r="N32" s="10"/>
      <c r="O32" s="112"/>
      <c r="P32" s="124"/>
      <c r="Q32" s="10"/>
    </row>
    <row r="33" spans="1:17">
      <c r="A33">
        <v>2043</v>
      </c>
      <c r="B33" s="112">
        <f>HLOOKUP(A33,Vartiainen2020!$D$1:$AI$9,7,0)</f>
        <v>74</v>
      </c>
      <c r="C33" s="10"/>
      <c r="D33" s="10"/>
      <c r="E33" s="10"/>
      <c r="F33" s="10"/>
      <c r="G33" s="10"/>
      <c r="H33" s="10"/>
      <c r="I33" s="112">
        <f>HLOOKUP(A33,Vartiainen2020!$D$1:$AI$9,9,0)</f>
        <v>2.9729729729729731E-2</v>
      </c>
      <c r="J33" s="10"/>
      <c r="K33" s="10"/>
      <c r="L33" s="112"/>
      <c r="M33" s="10"/>
      <c r="N33" s="10"/>
      <c r="O33" s="112"/>
      <c r="P33" s="124"/>
      <c r="Q33" s="10"/>
    </row>
    <row r="34" spans="1:17">
      <c r="A34">
        <v>2044</v>
      </c>
      <c r="B34" s="112">
        <f>HLOOKUP(A34,Vartiainen2020!$D$1:$AI$9,7,0)</f>
        <v>73</v>
      </c>
      <c r="C34" s="10"/>
      <c r="D34" s="10"/>
      <c r="E34" s="10"/>
      <c r="F34" s="10"/>
      <c r="G34" s="10"/>
      <c r="H34" s="10"/>
      <c r="I34" s="112">
        <f>HLOOKUP(A34,Vartiainen2020!$D$1:$AI$9,9,0)</f>
        <v>2.8767123287671233E-2</v>
      </c>
      <c r="J34" s="10"/>
      <c r="K34" s="10"/>
      <c r="L34" s="112"/>
      <c r="M34" s="10"/>
      <c r="N34" s="10"/>
      <c r="O34" s="112"/>
      <c r="P34" s="124"/>
      <c r="Q34" s="10"/>
    </row>
    <row r="35" spans="1:17">
      <c r="A35">
        <v>2045</v>
      </c>
      <c r="B35" s="112">
        <f>HLOOKUP(A35,Vartiainen2020!$D$1:$AI$9,7,0)</f>
        <v>71</v>
      </c>
      <c r="C35" s="10"/>
      <c r="D35" s="10"/>
      <c r="E35" s="10"/>
      <c r="F35" s="10"/>
      <c r="G35" s="10"/>
      <c r="H35" s="10"/>
      <c r="I35" s="112">
        <f>HLOOKUP(A35,Vartiainen2020!$D$1:$AI$9,9,0)</f>
        <v>2.9577464788732397E-2</v>
      </c>
      <c r="J35" s="10"/>
      <c r="K35" s="10"/>
      <c r="L35" s="112"/>
      <c r="M35" s="10"/>
      <c r="N35" s="10"/>
      <c r="O35" s="112"/>
      <c r="P35" s="124"/>
      <c r="Q35" s="10"/>
    </row>
    <row r="36" spans="1:17">
      <c r="A36">
        <v>2046</v>
      </c>
      <c r="B36" s="112">
        <f>HLOOKUP(A36,Vartiainen2020!$D$1:$AI$9,7,0)</f>
        <v>70</v>
      </c>
      <c r="C36" s="10"/>
      <c r="D36" s="10"/>
      <c r="E36" s="10"/>
      <c r="F36" s="10"/>
      <c r="G36" s="10"/>
      <c r="H36" s="10"/>
      <c r="I36" s="112">
        <f>HLOOKUP(A36,Vartiainen2020!$D$1:$AI$9,9,0)</f>
        <v>3.0000000000000002E-2</v>
      </c>
      <c r="J36" s="10"/>
      <c r="K36" s="10"/>
      <c r="L36" s="112"/>
      <c r="M36" s="10"/>
      <c r="N36" s="10"/>
      <c r="O36" s="112"/>
      <c r="P36" s="124"/>
      <c r="Q36" s="10"/>
    </row>
    <row r="37" spans="1:17">
      <c r="A37">
        <v>2047</v>
      </c>
      <c r="B37" s="112">
        <f>HLOOKUP(A37,Vartiainen2020!$D$1:$AI$9,7,0)</f>
        <v>69</v>
      </c>
      <c r="C37" s="10"/>
      <c r="D37" s="10"/>
      <c r="E37" s="10"/>
      <c r="F37" s="10"/>
      <c r="G37" s="10"/>
      <c r="H37" s="10"/>
      <c r="I37" s="112">
        <f>HLOOKUP(A37,Vartiainen2020!$D$1:$AI$9,9,0)</f>
        <v>3.0434782608695653E-2</v>
      </c>
      <c r="J37" s="10"/>
      <c r="K37" s="10"/>
      <c r="L37" s="112"/>
      <c r="M37" s="10"/>
      <c r="N37" s="10"/>
      <c r="O37" s="112"/>
      <c r="P37" s="124"/>
      <c r="Q37" s="10"/>
    </row>
    <row r="38" spans="1:17">
      <c r="A38">
        <v>2048</v>
      </c>
      <c r="B38" s="112">
        <f>HLOOKUP(A38,Vartiainen2020!$D$1:$AI$9,7,0)</f>
        <v>67</v>
      </c>
      <c r="C38" s="10"/>
      <c r="D38" s="10"/>
      <c r="E38" s="10"/>
      <c r="F38" s="10"/>
      <c r="G38" s="10"/>
      <c r="H38" s="10"/>
      <c r="I38" s="112">
        <f>HLOOKUP(A38,Vartiainen2020!$D$1:$AI$9,9,0)</f>
        <v>3.1343283582089557E-2</v>
      </c>
      <c r="J38" s="10"/>
      <c r="K38" s="10"/>
      <c r="L38" s="112"/>
      <c r="M38" s="10"/>
      <c r="N38" s="10"/>
      <c r="O38" s="112"/>
      <c r="P38" s="124"/>
      <c r="Q38" s="10"/>
    </row>
    <row r="39" spans="1:17">
      <c r="A39">
        <v>2049</v>
      </c>
      <c r="B39" s="112">
        <f>HLOOKUP(A39,Vartiainen2020!$D$1:$AI$9,7,0)</f>
        <v>66</v>
      </c>
      <c r="C39" s="10"/>
      <c r="D39" s="10"/>
      <c r="E39" s="10"/>
      <c r="F39" s="10"/>
      <c r="G39" s="10"/>
      <c r="H39" s="10"/>
      <c r="I39" s="112">
        <f>HLOOKUP(A39,Vartiainen2020!$D$1:$AI$9,9,0)</f>
        <v>3.0303030303030304E-2</v>
      </c>
      <c r="J39" s="10"/>
      <c r="K39" s="10"/>
      <c r="L39" s="112"/>
      <c r="M39" s="10"/>
      <c r="N39" s="10"/>
      <c r="O39" s="112"/>
      <c r="P39" s="124"/>
      <c r="Q39" s="10"/>
    </row>
    <row r="40" spans="1:17">
      <c r="A40">
        <v>2050</v>
      </c>
      <c r="B40" s="112">
        <f>HLOOKUP(A40,Vartiainen2020!$D$1:$AI$9,7,0)</f>
        <v>65</v>
      </c>
      <c r="C40" s="10"/>
      <c r="D40" s="10"/>
      <c r="E40" s="10"/>
      <c r="F40" s="101">
        <f>'Cole, 2019'!H6</f>
        <v>142.20000000000002</v>
      </c>
      <c r="G40" s="101">
        <f>'Cole, 2019'!H5</f>
        <v>238.5</v>
      </c>
      <c r="H40" s="101">
        <f>'Cole, 2019'!H7</f>
        <v>70.2</v>
      </c>
      <c r="I40" s="112">
        <f>HLOOKUP(A40,Vartiainen2020!$D$1:$AI$9,9,0)</f>
        <v>3.0769230769230771E-2</v>
      </c>
      <c r="J40" s="10"/>
      <c r="K40" s="10"/>
      <c r="L40" s="112"/>
      <c r="M40" s="10"/>
      <c r="N40" s="10"/>
      <c r="O40" s="112"/>
      <c r="P40" s="124"/>
      <c r="Q40" s="10"/>
    </row>
    <row r="63" spans="2:12" ht="21">
      <c r="B63" s="228" t="s">
        <v>502</v>
      </c>
      <c r="C63" s="228"/>
      <c r="D63" s="228"/>
      <c r="E63" s="228"/>
      <c r="F63" s="228"/>
      <c r="G63" s="228"/>
      <c r="H63" s="228"/>
      <c r="I63" s="228"/>
      <c r="J63" s="228"/>
      <c r="K63" s="228"/>
      <c r="L63" s="228"/>
    </row>
    <row r="65" spans="2:12">
      <c r="B65" s="117" t="s">
        <v>503</v>
      </c>
      <c r="C65" s="9"/>
      <c r="D65" s="9"/>
      <c r="E65" s="9"/>
      <c r="F65" s="9"/>
      <c r="G65" s="9"/>
      <c r="H65" s="9"/>
      <c r="I65" s="219" t="s">
        <v>504</v>
      </c>
      <c r="J65" s="219"/>
      <c r="K65" s="219"/>
      <c r="L65" s="219"/>
    </row>
    <row r="66" spans="2:12" ht="51">
      <c r="B66" s="118" t="s">
        <v>510</v>
      </c>
      <c r="C66" s="128"/>
      <c r="D66" s="128"/>
      <c r="E66" s="128"/>
      <c r="F66" s="128"/>
      <c r="G66" s="128"/>
      <c r="H66" s="128"/>
      <c r="I66" s="129" t="str">
        <f>F3</f>
        <v>Cole, 2019</v>
      </c>
      <c r="J66" s="130"/>
      <c r="K66" s="130"/>
      <c r="L66" s="131"/>
    </row>
  </sheetData>
  <mergeCells count="6">
    <mergeCell ref="I65:L65"/>
    <mergeCell ref="B2:H2"/>
    <mergeCell ref="I2:K2"/>
    <mergeCell ref="L2:M2"/>
    <mergeCell ref="O2:P2"/>
    <mergeCell ref="B63:L63"/>
  </mergeCells>
  <pageMargins left="0.7" right="0.7" top="0.78749999999999998" bottom="0.78749999999999998"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70AD47"/>
  </sheetPr>
  <dimension ref="A2:E66"/>
  <sheetViews>
    <sheetView zoomScaleNormal="100" workbookViewId="0">
      <selection activeCell="E42" sqref="E42"/>
    </sheetView>
  </sheetViews>
  <sheetFormatPr baseColWidth="10" defaultColWidth="9" defaultRowHeight="16"/>
  <cols>
    <col min="1" max="1" width="10.6640625" customWidth="1"/>
    <col min="2" max="4" width="35.5" customWidth="1"/>
    <col min="5" max="5" width="14.6640625" customWidth="1"/>
    <col min="6" max="1025" width="10.6640625" customWidth="1"/>
  </cols>
  <sheetData>
    <row r="2" spans="1:5">
      <c r="A2" s="1"/>
      <c r="B2" s="30" t="s">
        <v>497</v>
      </c>
      <c r="C2" s="30" t="s">
        <v>498</v>
      </c>
      <c r="D2" s="119" t="s">
        <v>499</v>
      </c>
      <c r="E2" s="1"/>
    </row>
    <row r="3" spans="1:5">
      <c r="A3" s="9" t="s">
        <v>500</v>
      </c>
      <c r="B3" s="109" t="str">
        <f>'JRC2018'!B32</f>
        <v>Tsiropoulos, 2018 (ProRES scenario)</v>
      </c>
      <c r="C3" s="109" t="str">
        <f>B3</f>
        <v>Tsiropoulos, 2018 (ProRES scenario)</v>
      </c>
      <c r="D3" s="109" t="str">
        <f>B3</f>
        <v>Tsiropoulos, 2018 (ProRES scenario)</v>
      </c>
      <c r="E3" s="9"/>
    </row>
    <row r="4" spans="1:5">
      <c r="A4" s="11" t="s">
        <v>501</v>
      </c>
      <c r="B4" s="111" t="str">
        <f>'JRC2018'!A22</f>
        <v>CSP, solar tower with storage</v>
      </c>
      <c r="C4" s="111" t="str">
        <f>B4</f>
        <v>CSP, solar tower with storage</v>
      </c>
      <c r="D4" s="111" t="str">
        <f>B4</f>
        <v>CSP, solar tower with storage</v>
      </c>
      <c r="E4" s="16"/>
    </row>
    <row r="5" spans="1:5">
      <c r="A5">
        <v>2015</v>
      </c>
      <c r="B5" s="112">
        <f>'JRC2018'!D22</f>
        <v>5280</v>
      </c>
      <c r="C5" s="113">
        <f>'JRC2018'!D23</f>
        <v>1.7000000000000001E-2</v>
      </c>
      <c r="D5" s="115">
        <f>'JRC2018'!D28</f>
        <v>30</v>
      </c>
    </row>
    <row r="6" spans="1:5">
      <c r="A6">
        <v>2016</v>
      </c>
      <c r="B6" s="112"/>
      <c r="C6" s="113"/>
      <c r="D6" s="113"/>
    </row>
    <row r="7" spans="1:5">
      <c r="A7">
        <v>2017</v>
      </c>
      <c r="B7" s="112"/>
      <c r="C7" s="113"/>
      <c r="D7" s="112"/>
    </row>
    <row r="8" spans="1:5">
      <c r="A8">
        <v>2018</v>
      </c>
      <c r="B8" s="112"/>
      <c r="C8" s="113"/>
      <c r="D8" s="112"/>
    </row>
    <row r="9" spans="1:5">
      <c r="A9">
        <v>2019</v>
      </c>
      <c r="B9" s="112"/>
      <c r="C9" s="113"/>
      <c r="D9" s="112"/>
    </row>
    <row r="10" spans="1:5">
      <c r="A10">
        <v>2020</v>
      </c>
      <c r="B10" s="112">
        <f>'JRC2018'!E22</f>
        <v>4330</v>
      </c>
      <c r="C10" s="113">
        <f>'JRC2018'!E23</f>
        <v>1.7000000000000001E-2</v>
      </c>
      <c r="D10" s="112"/>
    </row>
    <row r="11" spans="1:5">
      <c r="A11">
        <v>2021</v>
      </c>
      <c r="B11" s="112"/>
      <c r="C11" s="113"/>
      <c r="D11" s="112"/>
    </row>
    <row r="12" spans="1:5">
      <c r="A12">
        <v>2022</v>
      </c>
      <c r="B12" s="112"/>
      <c r="C12" s="113"/>
      <c r="D12" s="112"/>
    </row>
    <row r="13" spans="1:5">
      <c r="A13">
        <v>2023</v>
      </c>
      <c r="B13" s="112"/>
      <c r="C13" s="113"/>
      <c r="D13" s="112"/>
    </row>
    <row r="14" spans="1:5">
      <c r="A14">
        <v>2024</v>
      </c>
      <c r="B14" s="112"/>
      <c r="C14" s="113"/>
      <c r="D14" s="112"/>
    </row>
    <row r="15" spans="1:5">
      <c r="A15">
        <v>2025</v>
      </c>
      <c r="B15" s="112"/>
      <c r="C15" s="113"/>
      <c r="D15" s="112"/>
    </row>
    <row r="16" spans="1:5">
      <c r="A16">
        <v>2026</v>
      </c>
      <c r="B16" s="112"/>
      <c r="C16" s="113"/>
      <c r="D16" s="112"/>
    </row>
    <row r="17" spans="1:4">
      <c r="A17">
        <v>2027</v>
      </c>
      <c r="B17" s="112"/>
      <c r="C17" s="113"/>
      <c r="D17" s="112"/>
    </row>
    <row r="18" spans="1:4">
      <c r="A18">
        <v>2028</v>
      </c>
      <c r="B18" s="112"/>
      <c r="C18" s="113"/>
      <c r="D18" s="112"/>
    </row>
    <row r="19" spans="1:4">
      <c r="A19">
        <v>2029</v>
      </c>
      <c r="B19" s="112"/>
      <c r="C19" s="113"/>
      <c r="D19" s="112"/>
    </row>
    <row r="20" spans="1:4">
      <c r="A20">
        <v>2030</v>
      </c>
      <c r="B20" s="112">
        <f>'JRC2018'!F22</f>
        <v>3310</v>
      </c>
      <c r="C20" s="113">
        <f>'JRC2018'!F23</f>
        <v>1.7000000000000001E-2</v>
      </c>
      <c r="D20" s="112"/>
    </row>
    <row r="21" spans="1:4">
      <c r="A21">
        <v>2031</v>
      </c>
      <c r="B21" s="112"/>
      <c r="C21" s="113"/>
      <c r="D21" s="112"/>
    </row>
    <row r="22" spans="1:4">
      <c r="A22">
        <v>2032</v>
      </c>
      <c r="B22" s="112"/>
      <c r="C22" s="113"/>
      <c r="D22" s="112"/>
    </row>
    <row r="23" spans="1:4">
      <c r="A23">
        <v>2033</v>
      </c>
      <c r="B23" s="112"/>
      <c r="C23" s="113"/>
      <c r="D23" s="112"/>
    </row>
    <row r="24" spans="1:4">
      <c r="A24">
        <v>2034</v>
      </c>
      <c r="B24" s="112"/>
      <c r="C24" s="113"/>
      <c r="D24" s="112"/>
    </row>
    <row r="25" spans="1:4">
      <c r="A25">
        <v>2035</v>
      </c>
      <c r="B25" s="112"/>
      <c r="C25" s="113"/>
      <c r="D25" s="112"/>
    </row>
    <row r="26" spans="1:4">
      <c r="A26">
        <v>2036</v>
      </c>
      <c r="B26" s="112"/>
      <c r="C26" s="113"/>
      <c r="D26" s="112"/>
    </row>
    <row r="27" spans="1:4">
      <c r="A27">
        <v>2037</v>
      </c>
      <c r="B27" s="112"/>
      <c r="C27" s="113"/>
      <c r="D27" s="112"/>
    </row>
    <row r="28" spans="1:4">
      <c r="A28">
        <v>2038</v>
      </c>
      <c r="B28" s="112"/>
      <c r="C28" s="113"/>
      <c r="D28" s="112"/>
    </row>
    <row r="29" spans="1:4">
      <c r="A29">
        <v>2039</v>
      </c>
      <c r="B29" s="112"/>
      <c r="C29" s="113"/>
      <c r="D29" s="112"/>
    </row>
    <row r="30" spans="1:4">
      <c r="A30">
        <v>2040</v>
      </c>
      <c r="B30" s="112">
        <f>'JRC2018'!G22</f>
        <v>3010</v>
      </c>
      <c r="C30" s="113">
        <f>'JRC2018'!G23</f>
        <v>1.7000000000000001E-2</v>
      </c>
      <c r="D30" s="112"/>
    </row>
    <row r="31" spans="1:4">
      <c r="A31">
        <v>2041</v>
      </c>
      <c r="B31" s="112"/>
      <c r="C31" s="113"/>
      <c r="D31" s="112"/>
    </row>
    <row r="32" spans="1:4">
      <c r="A32">
        <v>2042</v>
      </c>
      <c r="B32" s="112"/>
      <c r="C32" s="113"/>
      <c r="D32" s="112"/>
    </row>
    <row r="33" spans="1:4">
      <c r="A33">
        <v>2043</v>
      </c>
      <c r="B33" s="112"/>
      <c r="C33" s="113"/>
      <c r="D33" s="112"/>
    </row>
    <row r="34" spans="1:4">
      <c r="A34">
        <v>2044</v>
      </c>
      <c r="B34" s="112"/>
      <c r="C34" s="113"/>
      <c r="D34" s="112"/>
    </row>
    <row r="35" spans="1:4">
      <c r="A35">
        <v>2045</v>
      </c>
      <c r="B35" s="112"/>
      <c r="C35" s="113"/>
      <c r="D35" s="112"/>
    </row>
    <row r="36" spans="1:4">
      <c r="A36">
        <v>2046</v>
      </c>
      <c r="B36" s="112"/>
      <c r="C36" s="113"/>
      <c r="D36" s="112"/>
    </row>
    <row r="37" spans="1:4">
      <c r="A37">
        <v>2047</v>
      </c>
      <c r="B37" s="112"/>
      <c r="C37" s="113"/>
      <c r="D37" s="112"/>
    </row>
    <row r="38" spans="1:4">
      <c r="A38">
        <v>2048</v>
      </c>
      <c r="B38" s="112"/>
      <c r="C38" s="113"/>
      <c r="D38" s="112"/>
    </row>
    <row r="39" spans="1:4">
      <c r="A39">
        <v>2049</v>
      </c>
      <c r="B39" s="112"/>
      <c r="C39" s="113"/>
      <c r="D39" s="112"/>
    </row>
    <row r="40" spans="1:4">
      <c r="A40">
        <v>2050</v>
      </c>
      <c r="B40" s="112">
        <f>'JRC2018'!H22</f>
        <v>2880</v>
      </c>
      <c r="C40" s="113">
        <f>'JRC2018'!H23</f>
        <v>1.7000000000000001E-2</v>
      </c>
      <c r="D40" s="112"/>
    </row>
    <row r="63" spans="2:4" ht="21">
      <c r="B63" s="228" t="s">
        <v>502</v>
      </c>
      <c r="C63" s="228"/>
      <c r="D63" s="228"/>
    </row>
    <row r="65" spans="2:4">
      <c r="B65" s="117" t="s">
        <v>503</v>
      </c>
      <c r="D65" s="117" t="s">
        <v>504</v>
      </c>
    </row>
    <row r="66" spans="2:4" ht="34">
      <c r="B66" s="118" t="s">
        <v>511</v>
      </c>
      <c r="D66" s="118" t="str">
        <f>B3</f>
        <v>Tsiropoulos, 2018 (ProRES scenario)</v>
      </c>
    </row>
  </sheetData>
  <mergeCells count="1">
    <mergeCell ref="B63:D63"/>
  </mergeCells>
  <pageMargins left="0.7" right="0.7" top="0.78749999999999998" bottom="0.78749999999999998"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70AD47"/>
  </sheetPr>
  <dimension ref="A2:AE66"/>
  <sheetViews>
    <sheetView topLeftCell="D1" zoomScaleNormal="100" workbookViewId="0">
      <selection activeCell="F7" sqref="F7"/>
    </sheetView>
  </sheetViews>
  <sheetFormatPr baseColWidth="10" defaultColWidth="9" defaultRowHeight="16"/>
  <cols>
    <col min="1" max="1" width="13" customWidth="1"/>
    <col min="2" max="9" width="14.1640625" customWidth="1"/>
    <col min="10" max="31" width="11" customWidth="1"/>
    <col min="32" max="33" width="13.1640625" customWidth="1"/>
    <col min="34" max="1025" width="10.6640625" customWidth="1"/>
  </cols>
  <sheetData>
    <row r="2" spans="1:31">
      <c r="A2" s="1"/>
      <c r="B2" s="218" t="s">
        <v>512</v>
      </c>
      <c r="C2" s="218"/>
      <c r="D2" s="218"/>
      <c r="E2" s="218"/>
      <c r="F2" s="218"/>
      <c r="G2" s="218"/>
      <c r="H2" s="218"/>
      <c r="I2" s="218"/>
      <c r="J2" s="218" t="s">
        <v>498</v>
      </c>
      <c r="K2" s="218"/>
      <c r="L2" s="218"/>
      <c r="M2" s="218"/>
      <c r="N2" s="218"/>
      <c r="O2" s="218"/>
      <c r="P2" s="218"/>
      <c r="Q2" s="218"/>
      <c r="R2" s="227" t="s">
        <v>499</v>
      </c>
      <c r="S2" s="227"/>
      <c r="T2" s="227"/>
      <c r="U2" s="227"/>
      <c r="V2" s="227"/>
      <c r="W2" s="227"/>
      <c r="X2" s="227" t="s">
        <v>513</v>
      </c>
      <c r="Y2" s="227"/>
      <c r="Z2" s="227"/>
      <c r="AA2" s="227"/>
      <c r="AB2" s="227"/>
      <c r="AC2" s="227"/>
      <c r="AD2" s="227"/>
      <c r="AE2" s="227"/>
    </row>
    <row r="3" spans="1:31">
      <c r="A3" s="9" t="s">
        <v>500</v>
      </c>
      <c r="B3" s="109" t="str">
        <f>Agora2019!B19</f>
        <v>Agora, 2019 (reference scenario)</v>
      </c>
      <c r="C3" s="110" t="str">
        <f>lit_review_raw!A31</f>
        <v>IEA, 2019</v>
      </c>
      <c r="D3" s="110" t="str">
        <f>lit_review_raw!A12</f>
        <v>Matute, 2019</v>
      </c>
      <c r="E3" s="110" t="str">
        <f>lit_review_raw!A17</f>
        <v>Böhm, 2020</v>
      </c>
      <c r="F3" s="110" t="str">
        <f>'Gorre, 2019'!B17</f>
        <v>Gorre, 2019</v>
      </c>
      <c r="G3" s="110" t="str">
        <f>lit_review_raw!A62</f>
        <v>Michalski, 2017</v>
      </c>
      <c r="H3" s="110" t="str">
        <f>lit_review_raw!A68</f>
        <v>Brynolf, 2018</v>
      </c>
      <c r="I3" s="110" t="str">
        <f>lit_review_raw!A29</f>
        <v>Buttler, 2018</v>
      </c>
      <c r="J3" s="109" t="str">
        <f>B3</f>
        <v>Agora, 2019 (reference scenario)</v>
      </c>
      <c r="K3" s="9" t="str">
        <f>C3</f>
        <v>IEA, 2019</v>
      </c>
      <c r="L3" s="9" t="str">
        <f>D3</f>
        <v>Matute, 2019</v>
      </c>
      <c r="M3" s="9" t="str">
        <f>E3</f>
        <v>Böhm, 2020</v>
      </c>
      <c r="N3" s="9" t="s">
        <v>452</v>
      </c>
      <c r="O3" s="9" t="str">
        <f>G3</f>
        <v>Michalski, 2017</v>
      </c>
      <c r="P3" s="9" t="str">
        <f>H3</f>
        <v>Brynolf, 2018</v>
      </c>
      <c r="Q3" s="9" t="str">
        <f>I3</f>
        <v>Buttler, 2018</v>
      </c>
      <c r="R3" s="109" t="str">
        <f>B3</f>
        <v>Agora, 2019 (reference scenario)</v>
      </c>
      <c r="S3" s="9" t="str">
        <f>C3</f>
        <v>IEA, 2019</v>
      </c>
      <c r="T3" s="9" t="str">
        <f>D3</f>
        <v>Matute, 2019</v>
      </c>
      <c r="U3" s="9" t="str">
        <f>E3</f>
        <v>Böhm, 2020</v>
      </c>
      <c r="V3" s="9" t="str">
        <f>O3</f>
        <v>Michalski, 2017</v>
      </c>
      <c r="W3" s="9" t="str">
        <f t="shared" ref="W3:AB3" si="0">I3</f>
        <v>Buttler, 2018</v>
      </c>
      <c r="X3" s="109" t="str">
        <f t="shared" si="0"/>
        <v>Agora, 2019 (reference scenario)</v>
      </c>
      <c r="Y3" s="9" t="str">
        <f t="shared" si="0"/>
        <v>IEA, 2019</v>
      </c>
      <c r="Z3" s="9" t="str">
        <f t="shared" si="0"/>
        <v>Matute, 2019</v>
      </c>
      <c r="AA3" s="9" t="str">
        <f t="shared" si="0"/>
        <v>Böhm, 2020</v>
      </c>
      <c r="AB3" s="9" t="str">
        <f t="shared" si="0"/>
        <v>Gorre, 2019</v>
      </c>
      <c r="AC3" s="9" t="str">
        <f>V3</f>
        <v>Michalski, 2017</v>
      </c>
      <c r="AD3" s="9" t="str">
        <f>P3</f>
        <v>Brynolf, 2018</v>
      </c>
      <c r="AE3" s="9" t="str">
        <f>Q3</f>
        <v>Buttler, 2018</v>
      </c>
    </row>
    <row r="4" spans="1:31" s="37" customFormat="1" ht="306">
      <c r="A4" s="132" t="s">
        <v>501</v>
      </c>
      <c r="B4" s="133" t="str">
        <f>Agora2019!A11</f>
        <v>electrolysis (LT, no differentiation between AEL and PEMEL, cost estimates based on large plants)</v>
      </c>
      <c r="C4" s="132" t="str">
        <f>lit_review_raw!C31</f>
        <v>'today' assumed to be 2020, 'long-term' assumed to be 2050, unclear whether FT is with or without RWGS, FT efficeincy values LHV-based, no information on electrolysis type</v>
      </c>
      <c r="D4" s="132" t="s">
        <v>301</v>
      </c>
      <c r="E4" s="132"/>
      <c r="F4" s="132" t="str">
        <f>'Gorre, 2019'!A2</f>
        <v>electrolyser (2017 (2030 and 2050) for 1 (10) MW electrical input of electrolyser)</v>
      </c>
      <c r="G4" s="132" t="s">
        <v>301</v>
      </c>
      <c r="H4" s="132" t="str">
        <f>lit_review_raw!C68</f>
        <v>lower-end-estimates for costs, medium-estimates for efficiencies, FT costs for 5MW plant</v>
      </c>
      <c r="I4" s="132" t="str">
        <f>lit_review_raw!C29</f>
        <v>based on existing plants, data for PEMEL, lower-end estimate for costs, higher-end estimate for efficiency</v>
      </c>
      <c r="J4" s="133" t="str">
        <f>B4</f>
        <v>electrolysis (LT, no differentiation between AEL and PEMEL, cost estimates based on large plants)</v>
      </c>
      <c r="K4" s="132" t="str">
        <f>C4</f>
        <v>'today' assumed to be 2020, 'long-term' assumed to be 2050, unclear whether FT is with or without RWGS, FT efficeincy values LHV-based, no information on electrolysis type</v>
      </c>
      <c r="L4" s="132" t="s">
        <v>301</v>
      </c>
      <c r="M4" s="132"/>
      <c r="N4" s="132" t="str">
        <f>F4</f>
        <v>electrolyser (2017 (2030 and 2050) for 1 (10) MW electrical input of electrolyser)</v>
      </c>
      <c r="O4" s="132" t="s">
        <v>301</v>
      </c>
      <c r="P4" s="132" t="str">
        <f>H4</f>
        <v>lower-end-estimates for costs, medium-estimates for efficiencies, FT costs for 5MW plant</v>
      </c>
      <c r="Q4" s="132"/>
      <c r="R4" s="133" t="str">
        <f>B4</f>
        <v>electrolysis (LT, no differentiation between AEL and PEMEL, cost estimates based on large plants)</v>
      </c>
      <c r="S4" s="132" t="str">
        <f>C4</f>
        <v>'today' assumed to be 2020, 'long-term' assumed to be 2050, unclear whether FT is with or without RWGS, FT efficeincy values LHV-based, no information on electrolysis type</v>
      </c>
      <c r="T4" s="132" t="s">
        <v>301</v>
      </c>
      <c r="U4" s="132"/>
      <c r="V4" s="132"/>
      <c r="W4" s="132"/>
      <c r="X4" s="133" t="str">
        <f>B4</f>
        <v>electrolysis (LT, no differentiation between AEL and PEMEL, cost estimates based on large plants)</v>
      </c>
      <c r="Y4" s="132" t="str">
        <f>C4</f>
        <v>'today' assumed to be 2020, 'long-term' assumed to be 2050, unclear whether FT is with or without RWGS, FT efficeincy values LHV-based, no information on electrolysis type</v>
      </c>
      <c r="Z4" s="132" t="str">
        <f>lit_review_raw!AI3</f>
        <v>kWh_H2/kWh_el (unclear whether HHV or LHV)</v>
      </c>
      <c r="AA4" s="132"/>
      <c r="AB4" s="132" t="str">
        <f>N4</f>
        <v>electrolyser (2017 (2030 and 2050) for 1 (10) MW electrical input of electrolyser)</v>
      </c>
      <c r="AC4" s="132" t="s">
        <v>301</v>
      </c>
      <c r="AD4" s="132" t="str">
        <f>P4</f>
        <v>lower-end-estimates for costs, medium-estimates for efficiencies, FT costs for 5MW plant</v>
      </c>
      <c r="AE4" s="132" t="s">
        <v>301</v>
      </c>
    </row>
    <row r="5" spans="1:31">
      <c r="A5">
        <v>2015</v>
      </c>
      <c r="B5" s="112"/>
      <c r="C5" s="10"/>
      <c r="D5" s="10"/>
      <c r="E5" s="10"/>
      <c r="F5" s="10"/>
      <c r="G5" s="10"/>
      <c r="H5" s="10"/>
      <c r="I5" s="10"/>
      <c r="J5" s="113"/>
      <c r="K5" s="114"/>
      <c r="L5" s="114"/>
      <c r="M5" s="114"/>
      <c r="N5" s="114"/>
      <c r="O5" s="114"/>
      <c r="P5" s="114"/>
      <c r="Q5" s="114"/>
      <c r="R5" s="115"/>
      <c r="S5" s="99"/>
      <c r="T5" s="99"/>
      <c r="U5" s="99"/>
      <c r="V5" s="99"/>
      <c r="W5" s="99"/>
      <c r="X5" s="134"/>
      <c r="Y5" s="60"/>
      <c r="Z5" s="60"/>
      <c r="AA5" s="60"/>
      <c r="AB5" s="60"/>
      <c r="AC5" s="60"/>
      <c r="AD5" s="60"/>
      <c r="AE5" s="60"/>
    </row>
    <row r="6" spans="1:31">
      <c r="A6">
        <v>2016</v>
      </c>
      <c r="B6" s="112"/>
      <c r="C6" s="10"/>
      <c r="D6" s="10"/>
      <c r="E6" s="10"/>
      <c r="F6" s="10"/>
      <c r="G6" s="10"/>
      <c r="H6" s="10"/>
      <c r="I6" s="10"/>
      <c r="J6" s="113"/>
      <c r="K6" s="114"/>
      <c r="L6" s="114"/>
      <c r="M6" s="114"/>
      <c r="N6" s="114"/>
      <c r="O6" s="114"/>
      <c r="P6" s="114"/>
      <c r="Q6" s="114"/>
      <c r="R6" s="113"/>
      <c r="S6" s="114"/>
      <c r="T6" s="114"/>
      <c r="U6" s="114"/>
      <c r="V6" s="114"/>
      <c r="W6" s="114"/>
      <c r="X6" s="134"/>
      <c r="Y6" s="60"/>
      <c r="Z6" s="60"/>
      <c r="AA6" s="60"/>
      <c r="AB6" s="60"/>
      <c r="AC6" s="60"/>
      <c r="AD6" s="60"/>
      <c r="AE6" s="60"/>
    </row>
    <row r="7" spans="1:31">
      <c r="A7">
        <v>2017</v>
      </c>
      <c r="B7" s="112"/>
      <c r="C7" s="10"/>
      <c r="D7" s="10">
        <f>lit_review_raw!AD12</f>
        <v>1300</v>
      </c>
      <c r="E7" s="10"/>
      <c r="F7" s="10">
        <f>'Gorre, 2019'!D2</f>
        <v>1180</v>
      </c>
      <c r="G7" s="10"/>
      <c r="H7" s="10"/>
      <c r="I7" s="50">
        <f>I8</f>
        <v>1400</v>
      </c>
      <c r="J7" s="113"/>
      <c r="K7" s="114"/>
      <c r="L7" s="114">
        <f>lit_review_raw!AE12</f>
        <v>0.03</v>
      </c>
      <c r="M7" s="114"/>
      <c r="N7" s="114">
        <f>'Gorre, 2019'!D3</f>
        <v>0.04</v>
      </c>
      <c r="O7" s="114"/>
      <c r="P7" s="114"/>
      <c r="Q7" s="135">
        <f>Q8</f>
        <v>0.03</v>
      </c>
      <c r="R7" s="112"/>
      <c r="S7" s="10"/>
      <c r="T7" s="10">
        <f>lit_review_raw!AG12</f>
        <v>20</v>
      </c>
      <c r="U7" s="10"/>
      <c r="V7" s="10"/>
      <c r="W7" s="10"/>
      <c r="X7" s="134"/>
      <c r="Y7" s="60"/>
      <c r="Z7" s="60">
        <f>lit_review_raw!AI12</f>
        <v>0.54590163934426228</v>
      </c>
      <c r="AA7" s="60"/>
      <c r="AB7" s="60">
        <f>'Gorre, 2019'!D4</f>
        <v>0.64</v>
      </c>
      <c r="AC7" s="60"/>
      <c r="AD7" s="60"/>
      <c r="AE7" s="52">
        <f>AE8</f>
        <v>0.6</v>
      </c>
    </row>
    <row r="8" spans="1:31">
      <c r="A8">
        <v>2018</v>
      </c>
      <c r="B8" s="112"/>
      <c r="C8" s="10"/>
      <c r="D8" s="10"/>
      <c r="E8" s="10"/>
      <c r="F8" s="10"/>
      <c r="G8" s="10"/>
      <c r="H8" s="10">
        <f>lit_review_raw!AD68</f>
        <v>1900</v>
      </c>
      <c r="I8" s="10">
        <f>lit_review_raw!AD29</f>
        <v>1400</v>
      </c>
      <c r="J8" s="113"/>
      <c r="K8" s="114"/>
      <c r="L8" s="114"/>
      <c r="M8" s="114"/>
      <c r="N8" s="114"/>
      <c r="O8" s="114"/>
      <c r="P8" s="114">
        <f>lit_review_raw!AE68</f>
        <v>0.02</v>
      </c>
      <c r="Q8" s="114">
        <f>lit_review_raw!AE29</f>
        <v>0.03</v>
      </c>
      <c r="R8" s="112"/>
      <c r="S8" s="10"/>
      <c r="T8" s="10"/>
      <c r="U8" s="10"/>
      <c r="V8" s="10"/>
      <c r="W8" s="10"/>
      <c r="X8" s="134"/>
      <c r="Y8" s="60"/>
      <c r="Z8" s="60"/>
      <c r="AA8" s="60"/>
      <c r="AB8" s="60"/>
      <c r="AC8" s="60"/>
      <c r="AD8" s="60">
        <f>lit_review_raw!AJ68</f>
        <v>0.62</v>
      </c>
      <c r="AE8" s="60">
        <f>lit_review_raw!AJ29</f>
        <v>0.6</v>
      </c>
    </row>
    <row r="9" spans="1:31">
      <c r="A9">
        <v>2019</v>
      </c>
      <c r="B9" s="112"/>
      <c r="C9" s="10"/>
      <c r="D9" s="10"/>
      <c r="E9" s="10"/>
      <c r="F9" s="10"/>
      <c r="G9" s="10"/>
      <c r="H9" s="10"/>
      <c r="I9" s="10"/>
      <c r="J9" s="113"/>
      <c r="K9" s="114"/>
      <c r="L9" s="114"/>
      <c r="M9" s="114"/>
      <c r="N9" s="114"/>
      <c r="O9" s="114"/>
      <c r="P9" s="114"/>
      <c r="Q9" s="114"/>
      <c r="R9" s="112"/>
      <c r="S9" s="10"/>
      <c r="T9" s="10"/>
      <c r="U9" s="10"/>
      <c r="V9" s="10"/>
      <c r="W9" s="10"/>
      <c r="X9" s="134"/>
      <c r="Y9" s="60"/>
      <c r="Z9" s="60"/>
      <c r="AA9" s="60"/>
      <c r="AB9" s="60"/>
      <c r="AC9" s="60"/>
      <c r="AD9" s="60"/>
      <c r="AE9" s="60"/>
    </row>
    <row r="10" spans="1:31">
      <c r="A10">
        <v>2020</v>
      </c>
      <c r="B10" s="112">
        <f>Agora2019!D11</f>
        <v>737</v>
      </c>
      <c r="C10" s="10">
        <f>lit_review_raw!AD31</f>
        <v>810</v>
      </c>
      <c r="D10" s="10"/>
      <c r="E10" s="10">
        <f>lit_review_raw!AD17</f>
        <v>1188</v>
      </c>
      <c r="F10" s="10"/>
      <c r="G10" s="10"/>
      <c r="H10" s="10"/>
      <c r="I10" s="10"/>
      <c r="J10" s="113">
        <f>Agora2019!D12</f>
        <v>0.03</v>
      </c>
      <c r="K10" s="114">
        <f>lit_review_raw!AE31</f>
        <v>1.4999999999999999E-2</v>
      </c>
      <c r="L10" s="114"/>
      <c r="M10" s="114"/>
      <c r="N10" s="114"/>
      <c r="O10" s="114"/>
      <c r="P10" s="114"/>
      <c r="Q10" s="114"/>
      <c r="R10" s="112"/>
      <c r="S10" s="10">
        <f>lit_review_raw!AG31</f>
        <v>30</v>
      </c>
      <c r="T10" s="10"/>
      <c r="U10" s="10"/>
      <c r="V10" s="10"/>
      <c r="W10" s="10"/>
      <c r="X10" s="134">
        <f>Agora2019!D13</f>
        <v>0.67</v>
      </c>
      <c r="Y10" s="60">
        <f>lit_review_raw!AJ31</f>
        <v>0.64</v>
      </c>
      <c r="Z10" s="60"/>
      <c r="AA10" s="60"/>
      <c r="AB10" s="60"/>
      <c r="AC10" s="60"/>
      <c r="AD10" s="60"/>
      <c r="AE10" s="60"/>
    </row>
    <row r="11" spans="1:31">
      <c r="A11">
        <v>2021</v>
      </c>
      <c r="B11" s="112"/>
      <c r="C11" s="10"/>
      <c r="D11" s="10"/>
      <c r="E11" s="10"/>
      <c r="F11" s="10"/>
      <c r="G11" s="10"/>
      <c r="H11" s="10"/>
      <c r="I11" s="10"/>
      <c r="J11" s="113"/>
      <c r="K11" s="114"/>
      <c r="L11" s="114"/>
      <c r="M11" s="114"/>
      <c r="N11" s="114"/>
      <c r="O11" s="114"/>
      <c r="P11" s="114"/>
      <c r="Q11" s="114"/>
      <c r="R11" s="112"/>
      <c r="S11" s="10"/>
      <c r="T11" s="10"/>
      <c r="U11" s="10"/>
      <c r="V11" s="10"/>
      <c r="W11" s="10"/>
      <c r="X11" s="134"/>
      <c r="Y11" s="60"/>
      <c r="Z11" s="60"/>
      <c r="AA11" s="60"/>
      <c r="AB11" s="60"/>
      <c r="AC11" s="60"/>
      <c r="AD11" s="60"/>
      <c r="AE11" s="60"/>
    </row>
    <row r="12" spans="1:31">
      <c r="A12">
        <v>2022</v>
      </c>
      <c r="B12" s="112"/>
      <c r="C12" s="10"/>
      <c r="D12" s="10"/>
      <c r="E12" s="10"/>
      <c r="F12" s="10"/>
      <c r="G12" s="10"/>
      <c r="H12" s="10"/>
      <c r="I12" s="10"/>
      <c r="J12" s="113"/>
      <c r="K12" s="114"/>
      <c r="L12" s="114"/>
      <c r="M12" s="114"/>
      <c r="N12" s="114"/>
      <c r="O12" s="114"/>
      <c r="P12" s="114"/>
      <c r="Q12" s="114"/>
      <c r="R12" s="112"/>
      <c r="S12" s="10"/>
      <c r="T12" s="10"/>
      <c r="U12" s="10"/>
      <c r="V12" s="10"/>
      <c r="W12" s="10"/>
      <c r="X12" s="134"/>
      <c r="Y12" s="60"/>
      <c r="Z12" s="60"/>
      <c r="AA12" s="60"/>
      <c r="AB12" s="60"/>
      <c r="AC12" s="60"/>
      <c r="AD12" s="60"/>
      <c r="AE12" s="60"/>
    </row>
    <row r="13" spans="1:31">
      <c r="A13">
        <v>2023</v>
      </c>
      <c r="B13" s="112"/>
      <c r="C13" s="10"/>
      <c r="D13" s="10"/>
      <c r="E13" s="10"/>
      <c r="F13" s="10"/>
      <c r="G13" s="10"/>
      <c r="H13" s="10"/>
      <c r="I13" s="10"/>
      <c r="J13" s="113"/>
      <c r="K13" s="114"/>
      <c r="L13" s="114"/>
      <c r="M13" s="114"/>
      <c r="N13" s="114"/>
      <c r="O13" s="114"/>
      <c r="P13" s="114"/>
      <c r="Q13" s="114"/>
      <c r="R13" s="112"/>
      <c r="S13" s="10"/>
      <c r="T13" s="10"/>
      <c r="U13" s="10"/>
      <c r="V13" s="10"/>
      <c r="W13" s="10"/>
      <c r="X13" s="134"/>
      <c r="Y13" s="60"/>
      <c r="Z13" s="60"/>
      <c r="AA13" s="60"/>
      <c r="AB13" s="60"/>
      <c r="AC13" s="60"/>
      <c r="AD13" s="60"/>
      <c r="AE13" s="60"/>
    </row>
    <row r="14" spans="1:31">
      <c r="A14">
        <v>2024</v>
      </c>
      <c r="B14" s="112"/>
      <c r="C14" s="10"/>
      <c r="D14" s="10"/>
      <c r="E14" s="10"/>
      <c r="F14" s="10"/>
      <c r="G14" s="10"/>
      <c r="H14" s="10"/>
      <c r="I14" s="10"/>
      <c r="J14" s="113"/>
      <c r="K14" s="114"/>
      <c r="L14" s="114"/>
      <c r="M14" s="114"/>
      <c r="N14" s="114"/>
      <c r="O14" s="114"/>
      <c r="P14" s="114"/>
      <c r="Q14" s="114"/>
      <c r="R14" s="112"/>
      <c r="S14" s="10"/>
      <c r="T14" s="10"/>
      <c r="U14" s="10"/>
      <c r="V14" s="10"/>
      <c r="W14" s="10"/>
      <c r="X14" s="134"/>
      <c r="Y14" s="60"/>
      <c r="Z14" s="60"/>
      <c r="AA14" s="60"/>
      <c r="AB14" s="60"/>
      <c r="AC14" s="60"/>
      <c r="AD14" s="60"/>
      <c r="AE14" s="60"/>
    </row>
    <row r="15" spans="1:31">
      <c r="A15">
        <v>2025</v>
      </c>
      <c r="B15" s="112"/>
      <c r="C15" s="10"/>
      <c r="D15" s="10">
        <f>lit_review_raw!AD13</f>
        <v>900</v>
      </c>
      <c r="E15" s="10"/>
      <c r="F15" s="10"/>
      <c r="G15" s="10">
        <f>lit_review_raw!AD62</f>
        <v>932</v>
      </c>
      <c r="H15" s="10"/>
      <c r="I15" s="10"/>
      <c r="J15" s="113"/>
      <c r="K15" s="114"/>
      <c r="L15" s="114">
        <f>lit_review_raw!AE13</f>
        <v>0.03</v>
      </c>
      <c r="M15" s="114"/>
      <c r="N15" s="114"/>
      <c r="O15" s="114">
        <f>lit_review_raw!AE62</f>
        <v>7.0000000000000007E-2</v>
      </c>
      <c r="P15" s="114"/>
      <c r="Q15" s="114"/>
      <c r="R15" s="112"/>
      <c r="S15" s="10"/>
      <c r="T15" s="10">
        <f>lit_review_raw!AG13</f>
        <v>20</v>
      </c>
      <c r="U15" s="10"/>
      <c r="V15" s="10">
        <f>lit_review_raw!AG62</f>
        <v>30</v>
      </c>
      <c r="W15" s="10"/>
      <c r="X15" s="134"/>
      <c r="Y15" s="60"/>
      <c r="Z15" s="60">
        <f>lit_review_raw!AI13</f>
        <v>0.6283018867924528</v>
      </c>
      <c r="AA15" s="60"/>
      <c r="AB15" s="60"/>
      <c r="AC15" s="60">
        <f>lit_review_raw!AJ62</f>
        <v>0.57999999999999996</v>
      </c>
      <c r="AD15" s="60"/>
      <c r="AE15" s="60"/>
    </row>
    <row r="16" spans="1:31">
      <c r="A16">
        <v>2026</v>
      </c>
      <c r="B16" s="112"/>
      <c r="C16" s="10"/>
      <c r="D16" s="10"/>
      <c r="E16" s="10"/>
      <c r="F16" s="10"/>
      <c r="G16" s="10"/>
      <c r="H16" s="10"/>
      <c r="I16" s="10"/>
      <c r="J16" s="113"/>
      <c r="K16" s="114"/>
      <c r="L16" s="114"/>
      <c r="M16" s="114"/>
      <c r="N16" s="114"/>
      <c r="O16" s="114"/>
      <c r="P16" s="114"/>
      <c r="Q16" s="114"/>
      <c r="R16" s="112"/>
      <c r="S16" s="10"/>
      <c r="T16" s="10"/>
      <c r="U16" s="10"/>
      <c r="V16" s="10"/>
      <c r="W16" s="10"/>
      <c r="X16" s="134"/>
      <c r="Y16" s="60"/>
      <c r="Z16" s="60"/>
      <c r="AA16" s="60"/>
      <c r="AB16" s="60"/>
      <c r="AC16" s="60"/>
      <c r="AD16" s="60"/>
      <c r="AE16" s="60"/>
    </row>
    <row r="17" spans="1:31">
      <c r="A17">
        <v>2027</v>
      </c>
      <c r="B17" s="112"/>
      <c r="C17" s="10"/>
      <c r="D17" s="10"/>
      <c r="E17" s="10"/>
      <c r="F17" s="10"/>
      <c r="G17" s="10"/>
      <c r="H17" s="10"/>
      <c r="I17" s="10"/>
      <c r="J17" s="113"/>
      <c r="K17" s="114"/>
      <c r="L17" s="114"/>
      <c r="M17" s="114"/>
      <c r="N17" s="114"/>
      <c r="O17" s="114"/>
      <c r="P17" s="114"/>
      <c r="Q17" s="114"/>
      <c r="R17" s="112"/>
      <c r="S17" s="10"/>
      <c r="T17" s="10"/>
      <c r="U17" s="10"/>
      <c r="V17" s="10"/>
      <c r="W17" s="10"/>
      <c r="X17" s="134"/>
      <c r="Y17" s="60"/>
      <c r="Z17" s="60"/>
      <c r="AA17" s="60"/>
      <c r="AB17" s="60"/>
      <c r="AC17" s="60"/>
      <c r="AD17" s="60"/>
      <c r="AE17" s="60"/>
    </row>
    <row r="18" spans="1:31">
      <c r="A18">
        <v>2028</v>
      </c>
      <c r="B18" s="112"/>
      <c r="C18" s="10"/>
      <c r="D18" s="10"/>
      <c r="E18" s="10"/>
      <c r="F18" s="10"/>
      <c r="G18" s="10"/>
      <c r="H18" s="10"/>
      <c r="I18" s="10"/>
      <c r="J18" s="113"/>
      <c r="K18" s="114"/>
      <c r="L18" s="114"/>
      <c r="M18" s="114"/>
      <c r="N18" s="114"/>
      <c r="O18" s="114"/>
      <c r="P18" s="114"/>
      <c r="Q18" s="114"/>
      <c r="R18" s="112"/>
      <c r="S18" s="10"/>
      <c r="T18" s="10"/>
      <c r="U18" s="10"/>
      <c r="V18" s="10"/>
      <c r="W18" s="10"/>
      <c r="X18" s="134"/>
      <c r="Y18" s="60"/>
      <c r="Z18" s="60"/>
      <c r="AA18" s="60"/>
      <c r="AB18" s="60"/>
      <c r="AC18" s="60"/>
      <c r="AD18" s="60">
        <f>lit_review_raw!AJ69</f>
        <v>0.69</v>
      </c>
      <c r="AE18" s="60"/>
    </row>
    <row r="19" spans="1:31">
      <c r="A19">
        <v>2029</v>
      </c>
      <c r="B19" s="112"/>
      <c r="C19" s="10"/>
      <c r="D19" s="10"/>
      <c r="E19" s="10"/>
      <c r="F19" s="10"/>
      <c r="G19" s="10"/>
      <c r="H19" s="10"/>
      <c r="I19" s="10"/>
      <c r="J19" s="113"/>
      <c r="K19" s="114"/>
      <c r="L19" s="114"/>
      <c r="M19" s="114"/>
      <c r="N19" s="114"/>
      <c r="O19" s="114"/>
      <c r="P19" s="114"/>
      <c r="Q19" s="114"/>
      <c r="R19" s="112"/>
      <c r="S19" s="10"/>
      <c r="T19" s="10"/>
      <c r="U19" s="10"/>
      <c r="V19" s="10"/>
      <c r="W19" s="10"/>
      <c r="X19" s="134"/>
      <c r="Y19" s="60"/>
      <c r="Z19" s="60"/>
      <c r="AA19" s="60"/>
      <c r="AB19" s="60"/>
      <c r="AC19" s="60"/>
      <c r="AD19" s="60"/>
      <c r="AE19" s="60"/>
    </row>
    <row r="20" spans="1:31">
      <c r="A20">
        <v>2030</v>
      </c>
      <c r="B20" s="112">
        <f>Agora2019!E11</f>
        <v>625</v>
      </c>
      <c r="C20" s="10">
        <f>lit_review_raw!AD32</f>
        <v>630</v>
      </c>
      <c r="D20" s="10"/>
      <c r="E20" s="10">
        <f>lit_review_raw!AD18</f>
        <v>701</v>
      </c>
      <c r="F20" s="10">
        <f>'Gorre, 2019'!E2</f>
        <v>470</v>
      </c>
      <c r="G20" s="10"/>
      <c r="H20" s="10">
        <f>lit_review_raw!AD69</f>
        <v>300</v>
      </c>
      <c r="I20" s="10"/>
      <c r="J20" s="113">
        <f>Agora2019!E12</f>
        <v>0.03</v>
      </c>
      <c r="K20" s="114">
        <f>lit_review_raw!AE32</f>
        <v>1.4999999999999999E-2</v>
      </c>
      <c r="L20" s="114"/>
      <c r="M20" s="114"/>
      <c r="N20" s="114">
        <f>'Gorre, 2019'!E3</f>
        <v>0.03</v>
      </c>
      <c r="O20" s="114"/>
      <c r="P20" s="114">
        <f>lit_review_raw!AE69</f>
        <v>0.02</v>
      </c>
      <c r="Q20" s="114"/>
      <c r="R20" s="112"/>
      <c r="S20" s="10">
        <f>lit_review_raw!AG32</f>
        <v>30</v>
      </c>
      <c r="T20" s="10"/>
      <c r="U20" s="10"/>
      <c r="V20" s="10"/>
      <c r="W20" s="10"/>
      <c r="X20" s="134">
        <f>Agora2019!E13</f>
        <v>0.71</v>
      </c>
      <c r="Y20" s="60">
        <f>lit_review_raw!AJ32</f>
        <v>0.69</v>
      </c>
      <c r="Z20" s="60"/>
      <c r="AA20" s="60"/>
      <c r="AB20" s="60">
        <f>'Gorre, 2019'!E4</f>
        <v>0.75</v>
      </c>
      <c r="AC20" s="60"/>
      <c r="AD20" s="60"/>
      <c r="AE20" s="60"/>
    </row>
    <row r="21" spans="1:31">
      <c r="A21">
        <v>2031</v>
      </c>
      <c r="B21" s="112"/>
      <c r="C21" s="10"/>
      <c r="D21" s="10"/>
      <c r="E21" s="10"/>
      <c r="F21" s="10"/>
      <c r="G21" s="10"/>
      <c r="H21" s="10"/>
      <c r="I21" s="10"/>
      <c r="J21" s="113"/>
      <c r="K21" s="114"/>
      <c r="L21" s="114"/>
      <c r="M21" s="114"/>
      <c r="N21" s="114"/>
      <c r="O21" s="114"/>
      <c r="P21" s="114"/>
      <c r="Q21" s="114"/>
      <c r="R21" s="112"/>
      <c r="S21" s="10"/>
      <c r="T21" s="10"/>
      <c r="U21" s="10"/>
      <c r="V21" s="10"/>
      <c r="W21" s="10"/>
      <c r="X21" s="134"/>
      <c r="Y21" s="60"/>
      <c r="Z21" s="60"/>
      <c r="AA21" s="60"/>
      <c r="AB21" s="60"/>
      <c r="AC21" s="60"/>
      <c r="AD21" s="60"/>
      <c r="AE21" s="60"/>
    </row>
    <row r="22" spans="1:31">
      <c r="A22">
        <v>2032</v>
      </c>
      <c r="B22" s="112"/>
      <c r="C22" s="10"/>
      <c r="D22" s="10"/>
      <c r="E22" s="10"/>
      <c r="F22" s="10"/>
      <c r="G22" s="10"/>
      <c r="H22" s="10"/>
      <c r="I22" s="10"/>
      <c r="J22" s="113"/>
      <c r="K22" s="114"/>
      <c r="L22" s="114"/>
      <c r="M22" s="114"/>
      <c r="N22" s="114"/>
      <c r="O22" s="114"/>
      <c r="P22" s="114"/>
      <c r="Q22" s="114"/>
      <c r="R22" s="112"/>
      <c r="S22" s="10"/>
      <c r="T22" s="10"/>
      <c r="U22" s="10"/>
      <c r="V22" s="10"/>
      <c r="W22" s="10"/>
      <c r="X22" s="134"/>
      <c r="Y22" s="60"/>
      <c r="Z22" s="60"/>
      <c r="AA22" s="60"/>
      <c r="AB22" s="60"/>
      <c r="AC22" s="60"/>
      <c r="AD22" s="60"/>
      <c r="AE22" s="60"/>
    </row>
    <row r="23" spans="1:31">
      <c r="A23">
        <v>2033</v>
      </c>
      <c r="B23" s="112"/>
      <c r="C23" s="10"/>
      <c r="D23" s="10"/>
      <c r="E23" s="10"/>
      <c r="F23" s="10"/>
      <c r="G23" s="10"/>
      <c r="H23" s="10"/>
      <c r="I23" s="10"/>
      <c r="J23" s="113"/>
      <c r="K23" s="114"/>
      <c r="L23" s="114"/>
      <c r="M23" s="114"/>
      <c r="N23" s="114"/>
      <c r="O23" s="114"/>
      <c r="P23" s="114"/>
      <c r="Q23" s="114"/>
      <c r="R23" s="112"/>
      <c r="S23" s="10"/>
      <c r="T23" s="10"/>
      <c r="U23" s="10"/>
      <c r="V23" s="10"/>
      <c r="W23" s="10"/>
      <c r="X23" s="134"/>
      <c r="Y23" s="60"/>
      <c r="Z23" s="60"/>
      <c r="AA23" s="60"/>
      <c r="AB23" s="60"/>
      <c r="AC23" s="60"/>
      <c r="AD23" s="60"/>
      <c r="AE23" s="60"/>
    </row>
    <row r="24" spans="1:31">
      <c r="A24">
        <v>2034</v>
      </c>
      <c r="B24" s="112"/>
      <c r="C24" s="10"/>
      <c r="D24" s="10"/>
      <c r="E24" s="10"/>
      <c r="F24" s="10"/>
      <c r="G24" s="10"/>
      <c r="H24" s="10"/>
      <c r="I24" s="10"/>
      <c r="J24" s="113"/>
      <c r="K24" s="114"/>
      <c r="L24" s="114"/>
      <c r="M24" s="114"/>
      <c r="N24" s="114"/>
      <c r="O24" s="114"/>
      <c r="P24" s="114"/>
      <c r="Q24" s="114"/>
      <c r="R24" s="112"/>
      <c r="S24" s="10"/>
      <c r="T24" s="10"/>
      <c r="U24" s="10"/>
      <c r="V24" s="10"/>
      <c r="W24" s="10"/>
      <c r="X24" s="134"/>
      <c r="Y24" s="60"/>
      <c r="Z24" s="60"/>
      <c r="AA24" s="60"/>
      <c r="AB24" s="60"/>
      <c r="AC24" s="60"/>
      <c r="AD24" s="60"/>
      <c r="AE24" s="60"/>
    </row>
    <row r="25" spans="1:31">
      <c r="A25">
        <v>2035</v>
      </c>
      <c r="B25" s="112"/>
      <c r="C25" s="10"/>
      <c r="D25" s="10"/>
      <c r="E25" s="10"/>
      <c r="F25" s="10"/>
      <c r="G25" s="10"/>
      <c r="H25" s="10"/>
      <c r="I25" s="10"/>
      <c r="J25" s="113"/>
      <c r="K25" s="114"/>
      <c r="L25" s="114"/>
      <c r="M25" s="114"/>
      <c r="N25" s="114"/>
      <c r="O25" s="114"/>
      <c r="P25" s="114"/>
      <c r="Q25" s="114"/>
      <c r="R25" s="112"/>
      <c r="S25" s="10"/>
      <c r="T25" s="10"/>
      <c r="U25" s="10"/>
      <c r="V25" s="10"/>
      <c r="W25" s="10"/>
      <c r="X25" s="134"/>
      <c r="Y25" s="60"/>
      <c r="Z25" s="60"/>
      <c r="AA25" s="60"/>
      <c r="AB25" s="60"/>
      <c r="AC25" s="60"/>
      <c r="AD25" s="60"/>
      <c r="AE25" s="60"/>
    </row>
    <row r="26" spans="1:31">
      <c r="A26">
        <v>2036</v>
      </c>
      <c r="B26" s="112"/>
      <c r="C26" s="10"/>
      <c r="D26" s="10"/>
      <c r="E26" s="10"/>
      <c r="F26" s="10"/>
      <c r="G26" s="10"/>
      <c r="H26" s="10"/>
      <c r="I26" s="10"/>
      <c r="J26" s="113"/>
      <c r="K26" s="114"/>
      <c r="L26" s="114"/>
      <c r="M26" s="114"/>
      <c r="N26" s="114"/>
      <c r="O26" s="114"/>
      <c r="P26" s="114"/>
      <c r="Q26" s="114"/>
      <c r="R26" s="112"/>
      <c r="S26" s="10"/>
      <c r="T26" s="10"/>
      <c r="U26" s="10"/>
      <c r="V26" s="10"/>
      <c r="W26" s="10"/>
      <c r="X26" s="134"/>
      <c r="Y26" s="60"/>
      <c r="Z26" s="60"/>
      <c r="AA26" s="60"/>
      <c r="AB26" s="60"/>
      <c r="AC26" s="60"/>
      <c r="AD26" s="60"/>
      <c r="AE26" s="60"/>
    </row>
    <row r="27" spans="1:31">
      <c r="A27">
        <v>2037</v>
      </c>
      <c r="B27" s="112"/>
      <c r="C27" s="10"/>
      <c r="D27" s="10"/>
      <c r="E27" s="10"/>
      <c r="F27" s="10"/>
      <c r="G27" s="10"/>
      <c r="H27" s="10"/>
      <c r="I27" s="10"/>
      <c r="J27" s="113"/>
      <c r="K27" s="114"/>
      <c r="L27" s="114"/>
      <c r="M27" s="114"/>
      <c r="N27" s="114"/>
      <c r="O27" s="114"/>
      <c r="P27" s="114"/>
      <c r="Q27" s="114"/>
      <c r="R27" s="112"/>
      <c r="S27" s="10"/>
      <c r="T27" s="10"/>
      <c r="U27" s="10"/>
      <c r="V27" s="10"/>
      <c r="W27" s="10"/>
      <c r="X27" s="134"/>
      <c r="Y27" s="60"/>
      <c r="Z27" s="60"/>
      <c r="AA27" s="60"/>
      <c r="AB27" s="60"/>
      <c r="AC27" s="60"/>
      <c r="AD27" s="60"/>
      <c r="AE27" s="60"/>
    </row>
    <row r="28" spans="1:31">
      <c r="A28">
        <v>2038</v>
      </c>
      <c r="B28" s="112"/>
      <c r="C28" s="10"/>
      <c r="D28" s="10"/>
      <c r="E28" s="10"/>
      <c r="F28" s="10"/>
      <c r="G28" s="10"/>
      <c r="H28" s="10"/>
      <c r="I28" s="10"/>
      <c r="J28" s="113"/>
      <c r="K28" s="114"/>
      <c r="L28" s="114"/>
      <c r="M28" s="114"/>
      <c r="N28" s="114"/>
      <c r="O28" s="114"/>
      <c r="P28" s="114"/>
      <c r="Q28" s="114"/>
      <c r="R28" s="112"/>
      <c r="S28" s="10"/>
      <c r="T28" s="10"/>
      <c r="U28" s="10"/>
      <c r="V28" s="10"/>
      <c r="W28" s="10"/>
      <c r="X28" s="134"/>
      <c r="Y28" s="60"/>
      <c r="Z28" s="60"/>
      <c r="AA28" s="60"/>
      <c r="AB28" s="60"/>
      <c r="AC28" s="60"/>
      <c r="AD28" s="60"/>
      <c r="AE28" s="60"/>
    </row>
    <row r="29" spans="1:31">
      <c r="A29">
        <v>2039</v>
      </c>
      <c r="B29" s="112"/>
      <c r="C29" s="10"/>
      <c r="D29" s="10"/>
      <c r="E29" s="10"/>
      <c r="F29" s="10"/>
      <c r="G29" s="10"/>
      <c r="H29" s="10"/>
      <c r="I29" s="10"/>
      <c r="J29" s="113"/>
      <c r="K29" s="114"/>
      <c r="L29" s="114"/>
      <c r="M29" s="114"/>
      <c r="N29" s="114"/>
      <c r="O29" s="114"/>
      <c r="P29" s="114"/>
      <c r="Q29" s="114"/>
      <c r="R29" s="112"/>
      <c r="S29" s="10"/>
      <c r="T29" s="10"/>
      <c r="U29" s="10"/>
      <c r="V29" s="10"/>
      <c r="W29" s="10"/>
      <c r="X29" s="134"/>
      <c r="Y29" s="60"/>
      <c r="Z29" s="60"/>
      <c r="AA29" s="60"/>
      <c r="AB29" s="60"/>
      <c r="AC29" s="60"/>
      <c r="AD29" s="60"/>
      <c r="AE29" s="60"/>
    </row>
    <row r="30" spans="1:31">
      <c r="A30">
        <v>2040</v>
      </c>
      <c r="B30" s="112"/>
      <c r="C30" s="10"/>
      <c r="D30" s="10"/>
      <c r="E30" s="10"/>
      <c r="F30" s="10"/>
      <c r="G30" s="10"/>
      <c r="H30" s="10"/>
      <c r="I30" s="10"/>
      <c r="J30" s="113"/>
      <c r="K30" s="114"/>
      <c r="L30" s="114"/>
      <c r="M30" s="114"/>
      <c r="N30" s="114"/>
      <c r="O30" s="114"/>
      <c r="P30" s="114"/>
      <c r="Q30" s="114"/>
      <c r="R30" s="112"/>
      <c r="S30" s="10"/>
      <c r="T30" s="10"/>
      <c r="U30" s="10"/>
      <c r="V30" s="10"/>
      <c r="W30" s="10"/>
      <c r="X30" s="134"/>
      <c r="Y30" s="60"/>
      <c r="Z30" s="60"/>
      <c r="AA30" s="60"/>
      <c r="AB30" s="60"/>
      <c r="AC30" s="60"/>
      <c r="AD30" s="60"/>
      <c r="AE30" s="60"/>
    </row>
    <row r="31" spans="1:31">
      <c r="A31">
        <v>2041</v>
      </c>
      <c r="B31" s="112"/>
      <c r="C31" s="10"/>
      <c r="D31" s="10"/>
      <c r="E31" s="10"/>
      <c r="F31" s="10"/>
      <c r="G31" s="10"/>
      <c r="H31" s="10"/>
      <c r="I31" s="10"/>
      <c r="J31" s="113"/>
      <c r="K31" s="114"/>
      <c r="L31" s="114"/>
      <c r="M31" s="114"/>
      <c r="N31" s="114"/>
      <c r="O31" s="114"/>
      <c r="P31" s="114"/>
      <c r="Q31" s="114"/>
      <c r="R31" s="112"/>
      <c r="S31" s="10"/>
      <c r="T31" s="10"/>
      <c r="U31" s="10"/>
      <c r="V31" s="10"/>
      <c r="W31" s="10"/>
      <c r="X31" s="134"/>
      <c r="Y31" s="60"/>
      <c r="Z31" s="60"/>
      <c r="AA31" s="60"/>
      <c r="AB31" s="60"/>
      <c r="AC31" s="60"/>
      <c r="AD31" s="60"/>
      <c r="AE31" s="60"/>
    </row>
    <row r="32" spans="1:31">
      <c r="A32">
        <v>2042</v>
      </c>
      <c r="B32" s="112"/>
      <c r="C32" s="10"/>
      <c r="D32" s="10"/>
      <c r="E32" s="10"/>
      <c r="F32" s="10"/>
      <c r="G32" s="10"/>
      <c r="H32" s="10"/>
      <c r="I32" s="10"/>
      <c r="J32" s="113"/>
      <c r="K32" s="114"/>
      <c r="L32" s="114"/>
      <c r="M32" s="114"/>
      <c r="N32" s="114"/>
      <c r="O32" s="114"/>
      <c r="P32" s="114"/>
      <c r="Q32" s="114"/>
      <c r="R32" s="112"/>
      <c r="S32" s="10"/>
      <c r="T32" s="10"/>
      <c r="U32" s="10"/>
      <c r="V32" s="10"/>
      <c r="W32" s="10"/>
      <c r="X32" s="134"/>
      <c r="Y32" s="60"/>
      <c r="Z32" s="60"/>
      <c r="AA32" s="60"/>
      <c r="AB32" s="60"/>
      <c r="AC32" s="60"/>
      <c r="AD32" s="60"/>
      <c r="AE32" s="60"/>
    </row>
    <row r="33" spans="1:31">
      <c r="A33">
        <v>2043</v>
      </c>
      <c r="B33" s="112"/>
      <c r="C33" s="10"/>
      <c r="D33" s="10"/>
      <c r="E33" s="10"/>
      <c r="F33" s="10"/>
      <c r="G33" s="10"/>
      <c r="H33" s="10"/>
      <c r="I33" s="10"/>
      <c r="J33" s="113"/>
      <c r="K33" s="114"/>
      <c r="L33" s="114"/>
      <c r="M33" s="114"/>
      <c r="N33" s="114"/>
      <c r="O33" s="114"/>
      <c r="P33" s="114"/>
      <c r="Q33" s="114"/>
      <c r="R33" s="112"/>
      <c r="S33" s="10"/>
      <c r="T33" s="10"/>
      <c r="U33" s="10"/>
      <c r="V33" s="10"/>
      <c r="W33" s="10"/>
      <c r="X33" s="134"/>
      <c r="Y33" s="60"/>
      <c r="Z33" s="60"/>
      <c r="AA33" s="60"/>
      <c r="AB33" s="60"/>
      <c r="AC33" s="60"/>
      <c r="AD33" s="60"/>
      <c r="AE33" s="60"/>
    </row>
    <row r="34" spans="1:31">
      <c r="A34">
        <v>2044</v>
      </c>
      <c r="B34" s="112"/>
      <c r="C34" s="10"/>
      <c r="D34" s="10"/>
      <c r="E34" s="10"/>
      <c r="F34" s="10"/>
      <c r="G34" s="10"/>
      <c r="H34" s="10"/>
      <c r="I34" s="10"/>
      <c r="J34" s="113"/>
      <c r="K34" s="114"/>
      <c r="L34" s="114"/>
      <c r="M34" s="114"/>
      <c r="N34" s="114"/>
      <c r="O34" s="114"/>
      <c r="P34" s="114"/>
      <c r="Q34" s="114"/>
      <c r="R34" s="112"/>
      <c r="S34" s="10"/>
      <c r="T34" s="10"/>
      <c r="U34" s="10"/>
      <c r="V34" s="10"/>
      <c r="W34" s="10"/>
      <c r="X34" s="134"/>
      <c r="Y34" s="60"/>
      <c r="Z34" s="60"/>
      <c r="AA34" s="60"/>
      <c r="AB34" s="60"/>
      <c r="AC34" s="60"/>
      <c r="AD34" s="60"/>
      <c r="AE34" s="60"/>
    </row>
    <row r="35" spans="1:31">
      <c r="A35">
        <v>2045</v>
      </c>
      <c r="B35" s="112"/>
      <c r="C35" s="10"/>
      <c r="D35" s="10"/>
      <c r="E35" s="10"/>
      <c r="F35" s="10"/>
      <c r="G35" s="10"/>
      <c r="H35" s="10"/>
      <c r="I35" s="10"/>
      <c r="J35" s="113"/>
      <c r="K35" s="114"/>
      <c r="L35" s="114"/>
      <c r="M35" s="114"/>
      <c r="N35" s="114"/>
      <c r="O35" s="114"/>
      <c r="P35" s="114"/>
      <c r="Q35" s="114"/>
      <c r="R35" s="112"/>
      <c r="S35" s="10"/>
      <c r="T35" s="10"/>
      <c r="U35" s="10"/>
      <c r="V35" s="10"/>
      <c r="W35" s="10"/>
      <c r="X35" s="134"/>
      <c r="Y35" s="60"/>
      <c r="Z35" s="60"/>
      <c r="AA35" s="60"/>
      <c r="AB35" s="60"/>
      <c r="AC35" s="60"/>
      <c r="AD35" s="60"/>
      <c r="AE35" s="60"/>
    </row>
    <row r="36" spans="1:31">
      <c r="A36">
        <v>2046</v>
      </c>
      <c r="B36" s="112"/>
      <c r="C36" s="10"/>
      <c r="D36" s="10"/>
      <c r="E36" s="10"/>
      <c r="F36" s="10"/>
      <c r="G36" s="10"/>
      <c r="H36" s="10"/>
      <c r="I36" s="10"/>
      <c r="J36" s="113"/>
      <c r="K36" s="114"/>
      <c r="L36" s="114"/>
      <c r="M36" s="114"/>
      <c r="N36" s="114"/>
      <c r="O36" s="114"/>
      <c r="P36" s="114"/>
      <c r="Q36" s="114"/>
      <c r="R36" s="112"/>
      <c r="S36" s="10"/>
      <c r="T36" s="10"/>
      <c r="U36" s="10"/>
      <c r="V36" s="10"/>
      <c r="W36" s="10"/>
      <c r="X36" s="134"/>
      <c r="Y36" s="60"/>
      <c r="Z36" s="60"/>
      <c r="AA36" s="60"/>
      <c r="AB36" s="60"/>
      <c r="AC36" s="60"/>
      <c r="AD36" s="60"/>
      <c r="AE36" s="60"/>
    </row>
    <row r="37" spans="1:31">
      <c r="A37">
        <v>2047</v>
      </c>
      <c r="B37" s="112"/>
      <c r="C37" s="10"/>
      <c r="D37" s="10"/>
      <c r="E37" s="10"/>
      <c r="F37" s="10"/>
      <c r="G37" s="10"/>
      <c r="H37" s="10"/>
      <c r="I37" s="10"/>
      <c r="J37" s="113"/>
      <c r="K37" s="114"/>
      <c r="L37" s="114"/>
      <c r="M37" s="114"/>
      <c r="N37" s="114"/>
      <c r="O37" s="114"/>
      <c r="P37" s="114"/>
      <c r="Q37" s="114"/>
      <c r="R37" s="112"/>
      <c r="S37" s="10"/>
      <c r="T37" s="10"/>
      <c r="U37" s="10"/>
      <c r="V37" s="10"/>
      <c r="W37" s="10"/>
      <c r="X37" s="134"/>
      <c r="Y37" s="60"/>
      <c r="Z37" s="60"/>
      <c r="AA37" s="60"/>
      <c r="AB37" s="60"/>
      <c r="AC37" s="60"/>
      <c r="AD37" s="60"/>
      <c r="AE37" s="60"/>
    </row>
    <row r="38" spans="1:31">
      <c r="A38">
        <v>2048</v>
      </c>
      <c r="B38" s="112"/>
      <c r="C38" s="10"/>
      <c r="D38" s="10"/>
      <c r="E38" s="10"/>
      <c r="F38" s="10"/>
      <c r="G38" s="10"/>
      <c r="H38" s="10"/>
      <c r="I38" s="10"/>
      <c r="J38" s="113"/>
      <c r="K38" s="114"/>
      <c r="L38" s="114"/>
      <c r="M38" s="114"/>
      <c r="N38" s="114"/>
      <c r="O38" s="114"/>
      <c r="P38" s="114"/>
      <c r="Q38" s="114"/>
      <c r="R38" s="112"/>
      <c r="S38" s="10"/>
      <c r="T38" s="10"/>
      <c r="U38" s="10"/>
      <c r="V38" s="10"/>
      <c r="W38" s="10"/>
      <c r="X38" s="134"/>
      <c r="Y38" s="60"/>
      <c r="Z38" s="60"/>
      <c r="AA38" s="60"/>
      <c r="AB38" s="60"/>
      <c r="AC38" s="60"/>
      <c r="AD38" s="60"/>
      <c r="AE38" s="60"/>
    </row>
    <row r="39" spans="1:31">
      <c r="A39">
        <v>2049</v>
      </c>
      <c r="B39" s="112"/>
      <c r="C39" s="10"/>
      <c r="D39" s="10"/>
      <c r="E39" s="10"/>
      <c r="F39" s="10"/>
      <c r="G39" s="10"/>
      <c r="H39" s="10"/>
      <c r="I39" s="10"/>
      <c r="J39" s="113"/>
      <c r="K39" s="114"/>
      <c r="L39" s="114"/>
      <c r="M39" s="114"/>
      <c r="N39" s="114"/>
      <c r="O39" s="114"/>
      <c r="P39" s="114"/>
      <c r="Q39" s="114"/>
      <c r="R39" s="112"/>
      <c r="S39" s="10"/>
      <c r="T39" s="10"/>
      <c r="U39" s="10"/>
      <c r="V39" s="10"/>
      <c r="W39" s="10"/>
      <c r="X39" s="134"/>
      <c r="Y39" s="60"/>
      <c r="Z39" s="60"/>
      <c r="AA39" s="60"/>
      <c r="AB39" s="60"/>
      <c r="AC39" s="60"/>
      <c r="AD39" s="60"/>
      <c r="AE39" s="60"/>
    </row>
    <row r="40" spans="1:31">
      <c r="A40">
        <v>2050</v>
      </c>
      <c r="B40" s="112">
        <f>Agora2019!F14</f>
        <v>500</v>
      </c>
      <c r="C40" s="10">
        <f>lit_review_raw!AD33</f>
        <v>405</v>
      </c>
      <c r="D40" s="10"/>
      <c r="E40" s="10">
        <f>lit_review_raw!AD19</f>
        <v>308</v>
      </c>
      <c r="F40" s="10">
        <f>'Gorre, 2019'!F2</f>
        <v>245</v>
      </c>
      <c r="G40" s="10">
        <f>lit_review_raw!AD63</f>
        <v>334</v>
      </c>
      <c r="H40" s="10"/>
      <c r="I40" s="10"/>
      <c r="J40" s="113">
        <f>Agora2019!F12</f>
        <v>0.03</v>
      </c>
      <c r="K40" s="114">
        <f>lit_review_raw!AE33</f>
        <v>1.4999999999999999E-2</v>
      </c>
      <c r="L40" s="114"/>
      <c r="M40" s="114"/>
      <c r="N40" s="114">
        <f>'Gorre, 2019'!F3</f>
        <v>0.02</v>
      </c>
      <c r="O40" s="114">
        <f>lit_review_raw!AE63</f>
        <v>0.02</v>
      </c>
      <c r="P40" s="114"/>
      <c r="Q40" s="114"/>
      <c r="R40" s="112"/>
      <c r="S40" s="10">
        <f>lit_review_raw!AG33</f>
        <v>30</v>
      </c>
      <c r="T40" s="10"/>
      <c r="U40" s="10"/>
      <c r="V40" s="10">
        <f>lit_review_raw!AG63</f>
        <v>30</v>
      </c>
      <c r="W40" s="10"/>
      <c r="X40" s="134">
        <f>Agora2019!F13</f>
        <v>0.8</v>
      </c>
      <c r="Y40" s="60">
        <f>lit_review_raw!AJ33</f>
        <v>0.74</v>
      </c>
      <c r="Z40" s="60"/>
      <c r="AA40" s="60"/>
      <c r="AB40" s="60">
        <f>'Gorre, 2019'!F4</f>
        <v>0.78</v>
      </c>
      <c r="AC40" s="60">
        <f>lit_review_raw!AJ63</f>
        <v>0.7</v>
      </c>
      <c r="AD40" s="60"/>
      <c r="AE40" s="60"/>
    </row>
    <row r="63" spans="2:23" ht="21">
      <c r="B63" s="225" t="s">
        <v>502</v>
      </c>
      <c r="C63" s="225"/>
      <c r="D63" s="225"/>
      <c r="E63" s="225"/>
      <c r="F63" s="225"/>
      <c r="G63" s="225"/>
      <c r="H63" s="225"/>
      <c r="I63" s="225"/>
      <c r="J63" s="225"/>
      <c r="K63" s="225"/>
      <c r="L63" s="225"/>
      <c r="M63" s="225"/>
      <c r="N63" s="225"/>
      <c r="O63" s="225"/>
      <c r="P63" s="225"/>
      <c r="Q63" s="225"/>
      <c r="R63" s="225"/>
      <c r="S63" s="225"/>
      <c r="T63" s="225"/>
      <c r="U63" s="225"/>
      <c r="V63" s="225"/>
      <c r="W63" s="225"/>
    </row>
    <row r="65" spans="2:23">
      <c r="B65" s="116" t="s">
        <v>503</v>
      </c>
      <c r="C65" s="110"/>
      <c r="D65" s="110"/>
      <c r="E65" s="110"/>
      <c r="F65" s="110"/>
      <c r="G65" s="110"/>
      <c r="H65" s="110"/>
      <c r="I65" s="110"/>
      <c r="J65" s="34"/>
      <c r="K65" s="34"/>
      <c r="L65" s="34"/>
      <c r="M65" s="34"/>
      <c r="N65" s="34"/>
      <c r="O65" s="34"/>
      <c r="P65" s="34"/>
      <c r="Q65" s="35"/>
      <c r="S65" s="117" t="s">
        <v>504</v>
      </c>
      <c r="T65" s="34"/>
      <c r="U65" s="34"/>
      <c r="V65" s="34"/>
      <c r="W65" s="35"/>
    </row>
    <row r="66" spans="2:23" ht="38" customHeight="1">
      <c r="B66" s="226" t="s">
        <v>514</v>
      </c>
      <c r="C66" s="226"/>
      <c r="D66" s="226"/>
      <c r="E66" s="226"/>
      <c r="F66" s="226"/>
      <c r="G66" s="226"/>
      <c r="H66" s="226"/>
      <c r="I66" s="226"/>
      <c r="J66" s="226"/>
      <c r="K66" s="226"/>
      <c r="L66" s="226"/>
      <c r="M66" s="226"/>
      <c r="N66" s="226"/>
      <c r="O66" s="226"/>
      <c r="P66" s="226"/>
      <c r="Q66" s="226"/>
      <c r="S66" s="136" t="s">
        <v>515</v>
      </c>
      <c r="T66" s="137" t="str">
        <f>E3</f>
        <v>Böhm, 2020</v>
      </c>
      <c r="U66" s="93" t="s">
        <v>516</v>
      </c>
      <c r="V66" s="93"/>
      <c r="W66" s="138" t="str">
        <f>C3</f>
        <v>IEA, 2019</v>
      </c>
    </row>
  </sheetData>
  <mergeCells count="6">
    <mergeCell ref="B66:Q66"/>
    <mergeCell ref="B2:I2"/>
    <mergeCell ref="J2:Q2"/>
    <mergeCell ref="R2:W2"/>
    <mergeCell ref="X2:AE2"/>
    <mergeCell ref="B63:W63"/>
  </mergeCells>
  <pageMargins left="0.7" right="0.7" top="0.78749999999999998" bottom="0.78749999999999998" header="0.51180555555555496" footer="0.51180555555555496"/>
  <pageSetup paperSize="9" firstPageNumber="0" orientation="portrait" horizontalDpi="300" verticalDpi="300"/>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70AD47"/>
  </sheetPr>
  <dimension ref="A2:U66"/>
  <sheetViews>
    <sheetView topLeftCell="A28" zoomScaleNormal="100" workbookViewId="0">
      <selection activeCell="G17" sqref="G17"/>
    </sheetView>
  </sheetViews>
  <sheetFormatPr baseColWidth="10" defaultColWidth="9" defaultRowHeight="16"/>
  <cols>
    <col min="1" max="1" width="13" customWidth="1"/>
    <col min="2" max="21" width="11" customWidth="1"/>
    <col min="22" max="23" width="13.1640625" customWidth="1"/>
    <col min="24" max="1025" width="10.6640625" customWidth="1"/>
  </cols>
  <sheetData>
    <row r="2" spans="1:21">
      <c r="A2" s="1"/>
      <c r="B2" s="218" t="s">
        <v>497</v>
      </c>
      <c r="C2" s="218"/>
      <c r="D2" s="218"/>
      <c r="E2" s="218"/>
      <c r="F2" s="218"/>
      <c r="G2" s="218" t="s">
        <v>498</v>
      </c>
      <c r="H2" s="218"/>
      <c r="I2" s="218"/>
      <c r="J2" s="218"/>
      <c r="K2" s="218"/>
      <c r="L2" s="227" t="s">
        <v>499</v>
      </c>
      <c r="M2" s="227"/>
      <c r="N2" s="227"/>
      <c r="O2" s="227"/>
      <c r="P2" s="227"/>
      <c r="Q2" s="227" t="s">
        <v>513</v>
      </c>
      <c r="R2" s="227"/>
      <c r="S2" s="227"/>
      <c r="T2" s="227"/>
      <c r="U2" s="227"/>
    </row>
    <row r="3" spans="1:21">
      <c r="A3" s="9" t="s">
        <v>500</v>
      </c>
      <c r="B3" s="109"/>
      <c r="C3" s="110"/>
      <c r="D3" s="110"/>
      <c r="E3" s="110"/>
      <c r="F3" s="110"/>
      <c r="G3" s="109"/>
      <c r="H3" s="9"/>
      <c r="I3" s="9"/>
      <c r="J3" s="9"/>
      <c r="K3" s="9"/>
      <c r="L3" s="109"/>
      <c r="M3" s="9"/>
      <c r="N3" s="9"/>
      <c r="O3" s="9"/>
      <c r="P3" s="9"/>
      <c r="Q3" s="109"/>
      <c r="R3" s="9"/>
      <c r="S3" s="9"/>
      <c r="T3" s="9"/>
      <c r="U3" s="9"/>
    </row>
    <row r="4" spans="1:21">
      <c r="A4" s="11" t="s">
        <v>501</v>
      </c>
      <c r="B4" s="111"/>
      <c r="C4" s="11"/>
      <c r="D4" s="11"/>
      <c r="E4" s="11"/>
      <c r="F4" s="139"/>
      <c r="G4" s="111"/>
      <c r="H4" s="11"/>
      <c r="I4" s="11"/>
      <c r="J4" s="11"/>
      <c r="K4" s="11"/>
      <c r="L4" s="111"/>
      <c r="M4" s="11"/>
      <c r="N4" s="11"/>
      <c r="O4" s="11"/>
      <c r="P4" s="11"/>
      <c r="Q4" s="111"/>
      <c r="R4" s="11"/>
      <c r="S4" s="11"/>
      <c r="T4" s="11"/>
      <c r="U4" s="11"/>
    </row>
    <row r="5" spans="1:21">
      <c r="A5">
        <v>2015</v>
      </c>
      <c r="B5" s="112"/>
      <c r="C5" s="10"/>
      <c r="D5" s="10"/>
      <c r="E5" s="10"/>
      <c r="F5" s="10"/>
      <c r="G5" s="113"/>
      <c r="H5" s="114"/>
      <c r="I5" s="114"/>
      <c r="J5" s="114"/>
      <c r="K5" s="114"/>
      <c r="L5" s="115"/>
      <c r="M5" s="99"/>
      <c r="N5" s="99"/>
      <c r="O5" s="99"/>
      <c r="P5" s="99"/>
      <c r="Q5" s="134"/>
      <c r="R5" s="60"/>
      <c r="S5" s="60"/>
      <c r="T5" s="60"/>
      <c r="U5" s="60"/>
    </row>
    <row r="6" spans="1:21">
      <c r="A6">
        <v>2016</v>
      </c>
      <c r="B6" s="112"/>
      <c r="C6" s="10"/>
      <c r="D6" s="10"/>
      <c r="E6" s="10"/>
      <c r="F6" s="10"/>
      <c r="G6" s="113"/>
      <c r="H6" s="114"/>
      <c r="I6" s="114"/>
      <c r="J6" s="114"/>
      <c r="K6" s="114"/>
      <c r="L6" s="113"/>
      <c r="M6" s="114"/>
      <c r="N6" s="114"/>
      <c r="O6" s="114"/>
      <c r="P6" s="114"/>
      <c r="Q6" s="134"/>
      <c r="R6" s="60"/>
      <c r="S6" s="60"/>
      <c r="T6" s="60"/>
      <c r="U6" s="60"/>
    </row>
    <row r="7" spans="1:21">
      <c r="A7">
        <v>2017</v>
      </c>
      <c r="B7" s="112"/>
      <c r="C7" s="10"/>
      <c r="D7" s="10"/>
      <c r="E7" s="10"/>
      <c r="F7" s="50"/>
      <c r="G7" s="113"/>
      <c r="H7" s="114"/>
      <c r="I7" s="114"/>
      <c r="J7" s="114"/>
      <c r="K7" s="135"/>
      <c r="L7" s="112"/>
      <c r="M7" s="10"/>
      <c r="N7" s="10"/>
      <c r="O7" s="10"/>
      <c r="P7" s="10"/>
      <c r="Q7" s="134"/>
      <c r="R7" s="60"/>
      <c r="S7" s="60"/>
      <c r="T7" s="60"/>
      <c r="U7" s="52"/>
    </row>
    <row r="8" spans="1:21">
      <c r="A8">
        <v>2018</v>
      </c>
      <c r="B8" s="112"/>
      <c r="C8" s="10"/>
      <c r="D8" s="10"/>
      <c r="E8" s="10"/>
      <c r="F8" s="10"/>
      <c r="G8" s="113"/>
      <c r="H8" s="114"/>
      <c r="I8" s="114"/>
      <c r="J8" s="114"/>
      <c r="K8" s="114"/>
      <c r="L8" s="112"/>
      <c r="M8" s="10"/>
      <c r="N8" s="10"/>
      <c r="O8" s="10"/>
      <c r="P8" s="10"/>
      <c r="Q8" s="134"/>
      <c r="R8" s="60"/>
      <c r="S8" s="60"/>
      <c r="T8" s="60"/>
      <c r="U8" s="60"/>
    </row>
    <row r="9" spans="1:21">
      <c r="A9">
        <v>2019</v>
      </c>
      <c r="B9" s="112"/>
      <c r="C9" s="10"/>
      <c r="D9" s="10"/>
      <c r="E9" s="10"/>
      <c r="F9" s="10"/>
      <c r="G9" s="113"/>
      <c r="H9" s="114"/>
      <c r="I9" s="114"/>
      <c r="J9" s="114"/>
      <c r="K9" s="114"/>
      <c r="L9" s="112"/>
      <c r="M9" s="10"/>
      <c r="N9" s="10"/>
      <c r="O9" s="10"/>
      <c r="P9" s="10"/>
      <c r="Q9" s="134"/>
      <c r="R9" s="60"/>
      <c r="S9" s="60"/>
      <c r="T9" s="60"/>
      <c r="U9" s="60"/>
    </row>
    <row r="10" spans="1:21">
      <c r="A10">
        <v>2020</v>
      </c>
      <c r="B10" s="112"/>
      <c r="C10" s="10"/>
      <c r="D10" s="10"/>
      <c r="E10" s="10"/>
      <c r="F10" s="10"/>
      <c r="G10" s="113"/>
      <c r="H10" s="114"/>
      <c r="I10" s="114"/>
      <c r="J10" s="114"/>
      <c r="K10" s="114"/>
      <c r="L10" s="112"/>
      <c r="M10" s="10"/>
      <c r="N10" s="10"/>
      <c r="O10" s="10"/>
      <c r="P10" s="10"/>
      <c r="Q10" s="134"/>
      <c r="R10" s="60"/>
      <c r="S10" s="60"/>
      <c r="T10" s="60"/>
      <c r="U10" s="60"/>
    </row>
    <row r="11" spans="1:21">
      <c r="A11">
        <v>2021</v>
      </c>
      <c r="B11" s="112"/>
      <c r="C11" s="10"/>
      <c r="D11" s="10"/>
      <c r="E11" s="10"/>
      <c r="F11" s="10"/>
      <c r="G11" s="113"/>
      <c r="H11" s="114"/>
      <c r="I11" s="114"/>
      <c r="J11" s="114"/>
      <c r="K11" s="114"/>
      <c r="L11" s="112"/>
      <c r="M11" s="10"/>
      <c r="N11" s="10"/>
      <c r="O11" s="10"/>
      <c r="P11" s="10"/>
      <c r="Q11" s="134"/>
      <c r="R11" s="60"/>
      <c r="S11" s="60"/>
      <c r="T11" s="60"/>
      <c r="U11" s="60"/>
    </row>
    <row r="12" spans="1:21">
      <c r="A12">
        <v>2022</v>
      </c>
      <c r="B12" s="112"/>
      <c r="C12" s="10"/>
      <c r="D12" s="10"/>
      <c r="E12" s="10"/>
      <c r="F12" s="10"/>
      <c r="G12" s="113"/>
      <c r="H12" s="114"/>
      <c r="I12" s="114"/>
      <c r="J12" s="114"/>
      <c r="K12" s="114"/>
      <c r="L12" s="112"/>
      <c r="M12" s="10"/>
      <c r="N12" s="10"/>
      <c r="O12" s="10"/>
      <c r="P12" s="10"/>
      <c r="Q12" s="134"/>
      <c r="R12" s="60"/>
      <c r="S12" s="60"/>
      <c r="T12" s="60"/>
      <c r="U12" s="60"/>
    </row>
    <row r="13" spans="1:21">
      <c r="A13">
        <v>2023</v>
      </c>
      <c r="B13" s="112"/>
      <c r="C13" s="10"/>
      <c r="D13" s="10"/>
      <c r="E13" s="10"/>
      <c r="F13" s="10"/>
      <c r="G13" s="113"/>
      <c r="H13" s="114"/>
      <c r="I13" s="114"/>
      <c r="J13" s="114"/>
      <c r="K13" s="114"/>
      <c r="L13" s="112"/>
      <c r="M13" s="10"/>
      <c r="N13" s="10"/>
      <c r="O13" s="10"/>
      <c r="P13" s="10"/>
      <c r="Q13" s="134"/>
      <c r="R13" s="60"/>
      <c r="S13" s="60"/>
      <c r="T13" s="60"/>
      <c r="U13" s="60"/>
    </row>
    <row r="14" spans="1:21">
      <c r="A14">
        <v>2024</v>
      </c>
      <c r="B14" s="112"/>
      <c r="C14" s="10"/>
      <c r="D14" s="10"/>
      <c r="E14" s="10"/>
      <c r="F14" s="10"/>
      <c r="G14" s="113"/>
      <c r="H14" s="114"/>
      <c r="I14" s="114"/>
      <c r="J14" s="114"/>
      <c r="K14" s="114"/>
      <c r="L14" s="112"/>
      <c r="M14" s="10"/>
      <c r="N14" s="10"/>
      <c r="O14" s="10"/>
      <c r="P14" s="10"/>
      <c r="Q14" s="134"/>
      <c r="R14" s="60"/>
      <c r="S14" s="60"/>
      <c r="T14" s="60"/>
      <c r="U14" s="60"/>
    </row>
    <row r="15" spans="1:21">
      <c r="A15">
        <v>2025</v>
      </c>
      <c r="B15" s="112"/>
      <c r="C15" s="10"/>
      <c r="D15" s="10"/>
      <c r="E15" s="10"/>
      <c r="F15" s="10"/>
      <c r="G15" s="113"/>
      <c r="H15" s="114"/>
      <c r="I15" s="114"/>
      <c r="J15" s="114"/>
      <c r="K15" s="114"/>
      <c r="L15" s="112"/>
      <c r="M15" s="10"/>
      <c r="N15" s="10"/>
      <c r="O15" s="10"/>
      <c r="P15" s="10"/>
      <c r="Q15" s="134"/>
      <c r="R15" s="60"/>
      <c r="S15" s="60"/>
      <c r="T15" s="60"/>
      <c r="U15" s="60"/>
    </row>
    <row r="16" spans="1:21">
      <c r="A16">
        <v>2026</v>
      </c>
      <c r="B16" s="112"/>
      <c r="C16" s="10"/>
      <c r="D16" s="10"/>
      <c r="E16" s="10"/>
      <c r="F16" s="10"/>
      <c r="G16" s="113"/>
      <c r="H16" s="114"/>
      <c r="I16" s="114"/>
      <c r="J16" s="114"/>
      <c r="K16" s="114"/>
      <c r="L16" s="112"/>
      <c r="M16" s="10"/>
      <c r="N16" s="10"/>
      <c r="O16" s="10"/>
      <c r="P16" s="10"/>
      <c r="Q16" s="134"/>
      <c r="R16" s="60"/>
      <c r="S16" s="60"/>
      <c r="T16" s="60"/>
      <c r="U16" s="60"/>
    </row>
    <row r="17" spans="1:21">
      <c r="A17">
        <v>2027</v>
      </c>
      <c r="B17" s="112"/>
      <c r="C17" s="10"/>
      <c r="D17" s="10"/>
      <c r="E17" s="10"/>
      <c r="F17" s="10"/>
      <c r="G17" s="113"/>
      <c r="H17" s="114"/>
      <c r="I17" s="114"/>
      <c r="J17" s="114"/>
      <c r="K17" s="114"/>
      <c r="L17" s="112"/>
      <c r="M17" s="10"/>
      <c r="N17" s="10"/>
      <c r="O17" s="10"/>
      <c r="P17" s="10"/>
      <c r="Q17" s="134"/>
      <c r="R17" s="60"/>
      <c r="S17" s="60"/>
      <c r="T17" s="60"/>
      <c r="U17" s="60"/>
    </row>
    <row r="18" spans="1:21">
      <c r="A18">
        <v>2028</v>
      </c>
      <c r="B18" s="112"/>
      <c r="C18" s="10"/>
      <c r="D18" s="10"/>
      <c r="E18" s="10"/>
      <c r="F18" s="10"/>
      <c r="G18" s="113"/>
      <c r="H18" s="114"/>
      <c r="I18" s="114"/>
      <c r="J18" s="114"/>
      <c r="K18" s="114"/>
      <c r="L18" s="112"/>
      <c r="M18" s="10"/>
      <c r="N18" s="10"/>
      <c r="O18" s="10"/>
      <c r="P18" s="10"/>
      <c r="Q18" s="134"/>
      <c r="R18" s="60"/>
      <c r="S18" s="60"/>
      <c r="T18" s="60"/>
      <c r="U18" s="60"/>
    </row>
    <row r="19" spans="1:21">
      <c r="A19">
        <v>2029</v>
      </c>
      <c r="B19" s="112"/>
      <c r="C19" s="10"/>
      <c r="D19" s="10"/>
      <c r="E19" s="10"/>
      <c r="F19" s="10"/>
      <c r="G19" s="113"/>
      <c r="H19" s="114"/>
      <c r="I19" s="114"/>
      <c r="J19" s="114"/>
      <c r="K19" s="114"/>
      <c r="L19" s="112"/>
      <c r="M19" s="10"/>
      <c r="N19" s="10"/>
      <c r="O19" s="10"/>
      <c r="P19" s="10"/>
      <c r="Q19" s="134"/>
      <c r="R19" s="60"/>
      <c r="S19" s="60"/>
      <c r="T19" s="60"/>
      <c r="U19" s="60"/>
    </row>
    <row r="20" spans="1:21">
      <c r="A20">
        <v>2030</v>
      </c>
      <c r="B20" s="112"/>
      <c r="C20" s="10"/>
      <c r="D20" s="10"/>
      <c r="E20" s="10"/>
      <c r="F20" s="10"/>
      <c r="G20" s="113"/>
      <c r="H20" s="114"/>
      <c r="I20" s="114"/>
      <c r="J20" s="114"/>
      <c r="K20" s="114"/>
      <c r="L20" s="112"/>
      <c r="M20" s="10"/>
      <c r="N20" s="10"/>
      <c r="O20" s="10"/>
      <c r="P20" s="10"/>
      <c r="Q20" s="134"/>
      <c r="R20" s="60"/>
      <c r="S20" s="60"/>
      <c r="T20" s="60"/>
      <c r="U20" s="60"/>
    </row>
    <row r="21" spans="1:21">
      <c r="A21">
        <v>2031</v>
      </c>
      <c r="B21" s="112"/>
      <c r="C21" s="10"/>
      <c r="D21" s="10"/>
      <c r="E21" s="10"/>
      <c r="F21" s="10"/>
      <c r="G21" s="113"/>
      <c r="H21" s="114"/>
      <c r="I21" s="114"/>
      <c r="J21" s="114"/>
      <c r="K21" s="114"/>
      <c r="L21" s="112"/>
      <c r="M21" s="10"/>
      <c r="N21" s="10"/>
      <c r="O21" s="10"/>
      <c r="P21" s="10"/>
      <c r="Q21" s="134"/>
      <c r="R21" s="60"/>
      <c r="S21" s="60"/>
      <c r="T21" s="60"/>
      <c r="U21" s="60"/>
    </row>
    <row r="22" spans="1:21">
      <c r="A22">
        <v>2032</v>
      </c>
      <c r="B22" s="112"/>
      <c r="C22" s="10"/>
      <c r="D22" s="10"/>
      <c r="E22" s="10"/>
      <c r="F22" s="10"/>
      <c r="G22" s="113"/>
      <c r="H22" s="114"/>
      <c r="I22" s="114"/>
      <c r="J22" s="114"/>
      <c r="K22" s="114"/>
      <c r="L22" s="112"/>
      <c r="M22" s="10"/>
      <c r="N22" s="10"/>
      <c r="O22" s="10"/>
      <c r="P22" s="10"/>
      <c r="Q22" s="134"/>
      <c r="R22" s="60"/>
      <c r="S22" s="60"/>
      <c r="T22" s="60"/>
      <c r="U22" s="60"/>
    </row>
    <row r="23" spans="1:21">
      <c r="A23">
        <v>2033</v>
      </c>
      <c r="B23" s="112"/>
      <c r="C23" s="10"/>
      <c r="D23" s="10"/>
      <c r="E23" s="10"/>
      <c r="F23" s="10"/>
      <c r="G23" s="113"/>
      <c r="H23" s="114"/>
      <c r="I23" s="114"/>
      <c r="J23" s="114"/>
      <c r="K23" s="114"/>
      <c r="L23" s="112"/>
      <c r="M23" s="10"/>
      <c r="N23" s="10"/>
      <c r="O23" s="10"/>
      <c r="P23" s="10"/>
      <c r="Q23" s="134"/>
      <c r="R23" s="60"/>
      <c r="S23" s="60"/>
      <c r="T23" s="60"/>
      <c r="U23" s="60"/>
    </row>
    <row r="24" spans="1:21">
      <c r="A24">
        <v>2034</v>
      </c>
      <c r="B24" s="112"/>
      <c r="C24" s="10"/>
      <c r="D24" s="10"/>
      <c r="E24" s="10"/>
      <c r="F24" s="10"/>
      <c r="G24" s="113"/>
      <c r="H24" s="114"/>
      <c r="I24" s="114"/>
      <c r="J24" s="114"/>
      <c r="K24" s="114"/>
      <c r="L24" s="112"/>
      <c r="M24" s="10"/>
      <c r="N24" s="10"/>
      <c r="O24" s="10"/>
      <c r="P24" s="10"/>
      <c r="Q24" s="134"/>
      <c r="R24" s="60"/>
      <c r="S24" s="60"/>
      <c r="T24" s="60"/>
      <c r="U24" s="60"/>
    </row>
    <row r="25" spans="1:21">
      <c r="A25">
        <v>2035</v>
      </c>
      <c r="B25" s="112"/>
      <c r="C25" s="10"/>
      <c r="D25" s="10"/>
      <c r="E25" s="10"/>
      <c r="F25" s="10"/>
      <c r="G25" s="113"/>
      <c r="H25" s="114"/>
      <c r="I25" s="114"/>
      <c r="J25" s="114"/>
      <c r="K25" s="114"/>
      <c r="L25" s="112"/>
      <c r="M25" s="10"/>
      <c r="N25" s="10"/>
      <c r="O25" s="10"/>
      <c r="P25" s="10"/>
      <c r="Q25" s="134"/>
      <c r="R25" s="60"/>
      <c r="S25" s="60"/>
      <c r="T25" s="60"/>
      <c r="U25" s="60"/>
    </row>
    <row r="26" spans="1:21">
      <c r="A26">
        <v>2036</v>
      </c>
      <c r="B26" s="112"/>
      <c r="C26" s="10"/>
      <c r="D26" s="10"/>
      <c r="E26" s="10"/>
      <c r="F26" s="10"/>
      <c r="G26" s="113"/>
      <c r="H26" s="114"/>
      <c r="I26" s="114"/>
      <c r="J26" s="114"/>
      <c r="K26" s="114"/>
      <c r="L26" s="112"/>
      <c r="M26" s="10"/>
      <c r="N26" s="10"/>
      <c r="O26" s="10"/>
      <c r="P26" s="10"/>
      <c r="Q26" s="134"/>
      <c r="R26" s="60"/>
      <c r="S26" s="60"/>
      <c r="T26" s="60"/>
      <c r="U26" s="60"/>
    </row>
    <row r="27" spans="1:21">
      <c r="A27">
        <v>2037</v>
      </c>
      <c r="B27" s="112"/>
      <c r="C27" s="10"/>
      <c r="D27" s="10"/>
      <c r="E27" s="10"/>
      <c r="F27" s="10"/>
      <c r="G27" s="113"/>
      <c r="H27" s="114"/>
      <c r="I27" s="114"/>
      <c r="J27" s="114"/>
      <c r="K27" s="114"/>
      <c r="L27" s="112"/>
      <c r="M27" s="10"/>
      <c r="N27" s="10"/>
      <c r="O27" s="10"/>
      <c r="P27" s="10"/>
      <c r="Q27" s="134"/>
      <c r="R27" s="60"/>
      <c r="S27" s="60"/>
      <c r="T27" s="60"/>
      <c r="U27" s="60"/>
    </row>
    <row r="28" spans="1:21">
      <c r="A28">
        <v>2038</v>
      </c>
      <c r="B28" s="112"/>
      <c r="C28" s="10"/>
      <c r="D28" s="10"/>
      <c r="E28" s="10"/>
      <c r="F28" s="10"/>
      <c r="G28" s="113"/>
      <c r="H28" s="114"/>
      <c r="I28" s="114"/>
      <c r="J28" s="114"/>
      <c r="K28" s="114"/>
      <c r="L28" s="112"/>
      <c r="M28" s="10"/>
      <c r="N28" s="10"/>
      <c r="O28" s="10"/>
      <c r="P28" s="10"/>
      <c r="Q28" s="134"/>
      <c r="R28" s="60"/>
      <c r="S28" s="60"/>
      <c r="T28" s="60"/>
      <c r="U28" s="60"/>
    </row>
    <row r="29" spans="1:21">
      <c r="A29">
        <v>2039</v>
      </c>
      <c r="B29" s="112"/>
      <c r="C29" s="10"/>
      <c r="D29" s="10"/>
      <c r="E29" s="10"/>
      <c r="F29" s="10"/>
      <c r="G29" s="113"/>
      <c r="H29" s="114"/>
      <c r="I29" s="114"/>
      <c r="J29" s="114"/>
      <c r="K29" s="114"/>
      <c r="L29" s="112"/>
      <c r="M29" s="10"/>
      <c r="N29" s="10"/>
      <c r="O29" s="10"/>
      <c r="P29" s="10"/>
      <c r="Q29" s="134"/>
      <c r="R29" s="60"/>
      <c r="S29" s="60"/>
      <c r="T29" s="60"/>
      <c r="U29" s="60"/>
    </row>
    <row r="30" spans="1:21">
      <c r="A30">
        <v>2040</v>
      </c>
      <c r="B30" s="112"/>
      <c r="C30" s="10"/>
      <c r="D30" s="10"/>
      <c r="E30" s="10"/>
      <c r="F30" s="10"/>
      <c r="G30" s="113"/>
      <c r="H30" s="114"/>
      <c r="I30" s="114"/>
      <c r="J30" s="114"/>
      <c r="K30" s="114"/>
      <c r="L30" s="112"/>
      <c r="M30" s="10"/>
      <c r="N30" s="10"/>
      <c r="O30" s="10"/>
      <c r="P30" s="10"/>
      <c r="Q30" s="134"/>
      <c r="R30" s="60"/>
      <c r="S30" s="60"/>
      <c r="T30" s="60"/>
      <c r="U30" s="60"/>
    </row>
    <row r="31" spans="1:21">
      <c r="A31">
        <v>2041</v>
      </c>
      <c r="B31" s="112"/>
      <c r="C31" s="10"/>
      <c r="D31" s="10"/>
      <c r="E31" s="10"/>
      <c r="F31" s="10"/>
      <c r="G31" s="113"/>
      <c r="H31" s="114"/>
      <c r="I31" s="114"/>
      <c r="J31" s="114"/>
      <c r="K31" s="114"/>
      <c r="L31" s="112"/>
      <c r="M31" s="10"/>
      <c r="N31" s="10"/>
      <c r="O31" s="10"/>
      <c r="P31" s="10"/>
      <c r="Q31" s="134"/>
      <c r="R31" s="60"/>
      <c r="S31" s="60"/>
      <c r="T31" s="60"/>
      <c r="U31" s="60"/>
    </row>
    <row r="32" spans="1:21">
      <c r="A32">
        <v>2042</v>
      </c>
      <c r="B32" s="112"/>
      <c r="C32" s="10"/>
      <c r="D32" s="10"/>
      <c r="E32" s="10"/>
      <c r="F32" s="10"/>
      <c r="G32" s="113"/>
      <c r="H32" s="114"/>
      <c r="I32" s="114"/>
      <c r="J32" s="114"/>
      <c r="K32" s="114"/>
      <c r="L32" s="112"/>
      <c r="M32" s="10"/>
      <c r="N32" s="10"/>
      <c r="O32" s="10"/>
      <c r="P32" s="10"/>
      <c r="Q32" s="134"/>
      <c r="R32" s="60"/>
      <c r="S32" s="60"/>
      <c r="T32" s="60"/>
      <c r="U32" s="60"/>
    </row>
    <row r="33" spans="1:21">
      <c r="A33">
        <v>2043</v>
      </c>
      <c r="B33" s="112"/>
      <c r="C33" s="10"/>
      <c r="D33" s="10"/>
      <c r="E33" s="10"/>
      <c r="F33" s="10"/>
      <c r="G33" s="113"/>
      <c r="H33" s="114"/>
      <c r="I33" s="114"/>
      <c r="J33" s="114"/>
      <c r="K33" s="114"/>
      <c r="L33" s="112"/>
      <c r="M33" s="10"/>
      <c r="N33" s="10"/>
      <c r="O33" s="10"/>
      <c r="P33" s="10"/>
      <c r="Q33" s="134"/>
      <c r="R33" s="60"/>
      <c r="S33" s="60"/>
      <c r="T33" s="60"/>
      <c r="U33" s="60"/>
    </row>
    <row r="34" spans="1:21">
      <c r="A34">
        <v>2044</v>
      </c>
      <c r="B34" s="112"/>
      <c r="C34" s="10"/>
      <c r="D34" s="10"/>
      <c r="E34" s="10"/>
      <c r="F34" s="10"/>
      <c r="G34" s="113"/>
      <c r="H34" s="114"/>
      <c r="I34" s="114"/>
      <c r="J34" s="114"/>
      <c r="K34" s="114"/>
      <c r="L34" s="112"/>
      <c r="M34" s="10"/>
      <c r="N34" s="10"/>
      <c r="O34" s="10"/>
      <c r="P34" s="10"/>
      <c r="Q34" s="134"/>
      <c r="R34" s="60"/>
      <c r="S34" s="60"/>
      <c r="T34" s="60"/>
      <c r="U34" s="60"/>
    </row>
    <row r="35" spans="1:21">
      <c r="A35">
        <v>2045</v>
      </c>
      <c r="B35" s="112"/>
      <c r="C35" s="10"/>
      <c r="D35" s="10"/>
      <c r="E35" s="10"/>
      <c r="F35" s="10"/>
      <c r="G35" s="113"/>
      <c r="H35" s="114"/>
      <c r="I35" s="114"/>
      <c r="J35" s="114"/>
      <c r="K35" s="114"/>
      <c r="L35" s="112"/>
      <c r="M35" s="10"/>
      <c r="N35" s="10"/>
      <c r="O35" s="10"/>
      <c r="P35" s="10"/>
      <c r="Q35" s="134"/>
      <c r="R35" s="60"/>
      <c r="S35" s="60"/>
      <c r="T35" s="60"/>
      <c r="U35" s="60"/>
    </row>
    <row r="36" spans="1:21">
      <c r="A36">
        <v>2046</v>
      </c>
      <c r="B36" s="112"/>
      <c r="C36" s="10"/>
      <c r="D36" s="10"/>
      <c r="E36" s="10"/>
      <c r="F36" s="10"/>
      <c r="G36" s="113"/>
      <c r="H36" s="114"/>
      <c r="I36" s="114"/>
      <c r="J36" s="114"/>
      <c r="K36" s="114"/>
      <c r="L36" s="112"/>
      <c r="M36" s="10"/>
      <c r="N36" s="10"/>
      <c r="O36" s="10"/>
      <c r="P36" s="10"/>
      <c r="Q36" s="134"/>
      <c r="R36" s="60"/>
      <c r="S36" s="60"/>
      <c r="T36" s="60"/>
      <c r="U36" s="60"/>
    </row>
    <row r="37" spans="1:21">
      <c r="A37">
        <v>2047</v>
      </c>
      <c r="B37" s="112"/>
      <c r="C37" s="10"/>
      <c r="D37" s="10"/>
      <c r="E37" s="10"/>
      <c r="F37" s="10"/>
      <c r="G37" s="113"/>
      <c r="H37" s="114"/>
      <c r="I37" s="114"/>
      <c r="J37" s="114"/>
      <c r="K37" s="114"/>
      <c r="L37" s="112"/>
      <c r="M37" s="10"/>
      <c r="N37" s="10"/>
      <c r="O37" s="10"/>
      <c r="P37" s="10"/>
      <c r="Q37" s="134"/>
      <c r="R37" s="60"/>
      <c r="S37" s="60"/>
      <c r="T37" s="60"/>
      <c r="U37" s="60"/>
    </row>
    <row r="38" spans="1:21">
      <c r="A38">
        <v>2048</v>
      </c>
      <c r="B38" s="112"/>
      <c r="C38" s="10"/>
      <c r="D38" s="10"/>
      <c r="E38" s="10"/>
      <c r="F38" s="10"/>
      <c r="G38" s="113"/>
      <c r="H38" s="114"/>
      <c r="I38" s="114"/>
      <c r="J38" s="114"/>
      <c r="K38" s="114"/>
      <c r="L38" s="112"/>
      <c r="M38" s="10"/>
      <c r="N38" s="10"/>
      <c r="O38" s="10"/>
      <c r="P38" s="10"/>
      <c r="Q38" s="134"/>
      <c r="R38" s="60"/>
      <c r="S38" s="60"/>
      <c r="T38" s="60"/>
      <c r="U38" s="60"/>
    </row>
    <row r="39" spans="1:21">
      <c r="A39">
        <v>2049</v>
      </c>
      <c r="B39" s="112"/>
      <c r="C39" s="10"/>
      <c r="D39" s="10"/>
      <c r="E39" s="10"/>
      <c r="F39" s="10"/>
      <c r="G39" s="113"/>
      <c r="H39" s="114"/>
      <c r="I39" s="114"/>
      <c r="J39" s="114"/>
      <c r="K39" s="114"/>
      <c r="L39" s="112"/>
      <c r="M39" s="10"/>
      <c r="N39" s="10"/>
      <c r="O39" s="10"/>
      <c r="P39" s="10"/>
      <c r="Q39" s="134"/>
      <c r="R39" s="60"/>
      <c r="S39" s="60"/>
      <c r="T39" s="60"/>
      <c r="U39" s="60"/>
    </row>
    <row r="40" spans="1:21">
      <c r="A40">
        <v>2050</v>
      </c>
      <c r="B40" s="112"/>
      <c r="C40" s="10"/>
      <c r="D40" s="10"/>
      <c r="E40" s="10"/>
      <c r="F40" s="10"/>
      <c r="G40" s="113"/>
      <c r="H40" s="114"/>
      <c r="I40" s="114"/>
      <c r="J40" s="114"/>
      <c r="K40" s="114"/>
      <c r="L40" s="112"/>
      <c r="M40" s="10"/>
      <c r="N40" s="10"/>
      <c r="O40" s="10"/>
      <c r="P40" s="10"/>
      <c r="Q40" s="134"/>
      <c r="R40" s="60"/>
      <c r="S40" s="60"/>
      <c r="T40" s="60"/>
      <c r="U40" s="60"/>
    </row>
    <row r="63" spans="2:16" ht="21">
      <c r="B63" s="228" t="s">
        <v>502</v>
      </c>
      <c r="C63" s="228"/>
      <c r="D63" s="228"/>
      <c r="E63" s="228"/>
      <c r="F63" s="228"/>
      <c r="G63" s="228"/>
      <c r="H63" s="228"/>
      <c r="I63" s="228"/>
      <c r="J63" s="228"/>
      <c r="K63" s="228"/>
      <c r="L63" s="228"/>
      <c r="M63" s="228"/>
      <c r="N63" s="228"/>
      <c r="O63" s="228"/>
      <c r="P63" s="228"/>
    </row>
    <row r="65" spans="2:16">
      <c r="B65" s="116" t="s">
        <v>503</v>
      </c>
      <c r="C65" s="110"/>
      <c r="D65" s="110"/>
      <c r="E65" s="110"/>
      <c r="F65" s="110"/>
      <c r="G65" s="34"/>
      <c r="H65" s="34"/>
      <c r="I65" s="34"/>
      <c r="J65" s="34"/>
      <c r="K65" s="35"/>
      <c r="N65" s="117" t="s">
        <v>504</v>
      </c>
      <c r="O65" s="34"/>
      <c r="P65" s="35"/>
    </row>
    <row r="66" spans="2:16" ht="17" customHeight="1">
      <c r="B66" s="226" t="s">
        <v>517</v>
      </c>
      <c r="C66" s="226"/>
      <c r="D66" s="226"/>
      <c r="E66" s="226"/>
      <c r="F66" s="226"/>
      <c r="G66" s="226"/>
      <c r="H66" s="226"/>
      <c r="I66" s="226"/>
      <c r="J66" s="226"/>
      <c r="K66" s="226"/>
      <c r="N66" s="86" t="s">
        <v>517</v>
      </c>
      <c r="O66" s="137"/>
      <c r="P66" s="138"/>
    </row>
  </sheetData>
  <mergeCells count="6">
    <mergeCell ref="B66:K66"/>
    <mergeCell ref="B2:F2"/>
    <mergeCell ref="G2:K2"/>
    <mergeCell ref="L2:P2"/>
    <mergeCell ref="Q2:U2"/>
    <mergeCell ref="B63:P63"/>
  </mergeCells>
  <pageMargins left="0.7" right="0.7" top="0.78749999999999998" bottom="0.78749999999999998" header="0.51180555555555496" footer="0.51180555555555496"/>
  <pageSetup paperSize="9" firstPageNumber="0" orientation="portrait" horizontalDpi="300" verticalDpi="300"/>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70AD47"/>
  </sheetPr>
  <dimension ref="A2:Q66"/>
  <sheetViews>
    <sheetView zoomScaleNormal="100" workbookViewId="0">
      <selection activeCell="B3" sqref="B3"/>
    </sheetView>
  </sheetViews>
  <sheetFormatPr baseColWidth="10" defaultColWidth="9" defaultRowHeight="16"/>
  <cols>
    <col min="1" max="1" width="10.6640625" customWidth="1"/>
    <col min="2" max="2" width="15.1640625" customWidth="1"/>
    <col min="3" max="3" width="35.1640625" customWidth="1"/>
    <col min="4" max="4" width="11.33203125" customWidth="1"/>
    <col min="5" max="5" width="5" customWidth="1"/>
    <col min="6" max="6" width="28.5" customWidth="1"/>
    <col min="7" max="8" width="21" customWidth="1"/>
    <col min="9" max="9" width="4.33203125" customWidth="1"/>
    <col min="10" max="10" width="31" customWidth="1"/>
    <col min="11" max="13" width="28.5" customWidth="1"/>
    <col min="14" max="14" width="14.6640625" customWidth="1"/>
    <col min="15" max="15" width="31" customWidth="1"/>
    <col min="16" max="1025" width="10.6640625" customWidth="1"/>
  </cols>
  <sheetData>
    <row r="2" spans="1:17">
      <c r="A2" s="1"/>
      <c r="B2" s="219" t="s">
        <v>518</v>
      </c>
      <c r="C2" s="219"/>
      <c r="D2" s="219"/>
      <c r="E2" s="219"/>
      <c r="F2" s="229" t="s">
        <v>498</v>
      </c>
      <c r="G2" s="229"/>
      <c r="H2" s="229"/>
      <c r="I2" s="229"/>
      <c r="J2" s="227" t="s">
        <v>499</v>
      </c>
      <c r="K2" s="227"/>
      <c r="L2" s="227"/>
      <c r="M2" s="227"/>
      <c r="N2" s="219" t="s">
        <v>519</v>
      </c>
      <c r="O2" s="219"/>
      <c r="P2" s="219"/>
      <c r="Q2" s="219"/>
    </row>
    <row r="3" spans="1:17">
      <c r="A3" s="9" t="s">
        <v>500</v>
      </c>
      <c r="B3" s="109" t="str">
        <f>Agora2019!B19</f>
        <v>Agora, 2019 (reference scenario)</v>
      </c>
      <c r="C3" s="110" t="str">
        <f>lit_review_raw!A31</f>
        <v>IEA, 2019</v>
      </c>
      <c r="D3" s="110" t="str">
        <f>lit_review_raw!A48</f>
        <v>Runge, 2020</v>
      </c>
      <c r="E3" s="110"/>
      <c r="F3" s="109" t="str">
        <f>B3</f>
        <v>Agora, 2019 (reference scenario)</v>
      </c>
      <c r="G3" s="9" t="str">
        <f>$C$3</f>
        <v>IEA, 2019</v>
      </c>
      <c r="H3" s="9" t="str">
        <f>D3</f>
        <v>Runge, 2020</v>
      </c>
      <c r="I3" s="9"/>
      <c r="J3" s="109" t="str">
        <f>B3</f>
        <v>Agora, 2019 (reference scenario)</v>
      </c>
      <c r="K3" s="9" t="str">
        <f>$C$3</f>
        <v>IEA, 2019</v>
      </c>
      <c r="L3" s="9" t="str">
        <f>H3</f>
        <v>Runge, 2020</v>
      </c>
      <c r="M3" s="9"/>
      <c r="N3" s="140" t="str">
        <f>B3</f>
        <v>Agora, 2019 (reference scenario)</v>
      </c>
      <c r="O3" s="9" t="str">
        <f>$C$3</f>
        <v>IEA, 2019</v>
      </c>
      <c r="P3" s="9" t="str">
        <f>L3</f>
        <v>Runge, 2020</v>
      </c>
      <c r="Q3" s="9"/>
    </row>
    <row r="4" spans="1:17" s="37" customFormat="1" ht="136">
      <c r="A4" s="132" t="s">
        <v>501</v>
      </c>
      <c r="B4" s="133" t="str">
        <f>Agora2019!A14</f>
        <v>liquid fuel conversion: methanol synthesis OR FT (same costs, FT incl. RWGS)</v>
      </c>
      <c r="C4" s="132" t="str">
        <f>lit_review_raw!C31</f>
        <v>'today' assumed to be 2020, 'long-term' assumed to be 2050, unclear whether FT is with or without RWGS, FT efficeincy values LHV-based, no information on electrolysis type</v>
      </c>
      <c r="D4" s="132"/>
      <c r="E4" s="132"/>
      <c r="F4" s="133" t="str">
        <f>B4</f>
        <v>liquid fuel conversion: methanol synthesis OR FT (same costs, FT incl. RWGS)</v>
      </c>
      <c r="G4" s="132" t="str">
        <f>$C$4</f>
        <v>'today' assumed to be 2020, 'long-term' assumed to be 2050, unclear whether FT is with or without RWGS, FT efficeincy values LHV-based, no information on electrolysis type</v>
      </c>
      <c r="H4" s="132"/>
      <c r="I4" s="132"/>
      <c r="J4" s="133" t="str">
        <f>B4</f>
        <v>liquid fuel conversion: methanol synthesis OR FT (same costs, FT incl. RWGS)</v>
      </c>
      <c r="K4" s="132" t="str">
        <f>$C$4</f>
        <v>'today' assumed to be 2020, 'long-term' assumed to be 2050, unclear whether FT is with or without RWGS, FT efficeincy values LHV-based, no information on electrolysis type</v>
      </c>
      <c r="L4" s="132"/>
      <c r="M4" s="132"/>
      <c r="N4" s="133" t="str">
        <f>B4</f>
        <v>liquid fuel conversion: methanol synthesis OR FT (same costs, FT incl. RWGS)</v>
      </c>
      <c r="O4" s="132" t="str">
        <f>$C$4</f>
        <v>'today' assumed to be 2020, 'long-term' assumed to be 2050, unclear whether FT is with or without RWGS, FT efficeincy values LHV-based, no information on electrolysis type</v>
      </c>
      <c r="P4" s="132"/>
      <c r="Q4" s="132"/>
    </row>
    <row r="5" spans="1:17">
      <c r="A5">
        <v>2015</v>
      </c>
      <c r="B5" s="112"/>
      <c r="F5" s="113"/>
      <c r="G5" s="114"/>
      <c r="H5" s="114"/>
      <c r="I5" s="114"/>
      <c r="J5" s="115" t="s">
        <v>281</v>
      </c>
      <c r="K5" s="99">
        <f>lit_review_raw!AG31</f>
        <v>30</v>
      </c>
      <c r="L5" s="99"/>
      <c r="M5" s="141"/>
    </row>
    <row r="6" spans="1:17">
      <c r="A6">
        <v>2016</v>
      </c>
      <c r="B6" s="112"/>
      <c r="F6" s="113"/>
      <c r="G6" s="114"/>
      <c r="H6" s="114"/>
      <c r="I6" s="114"/>
      <c r="J6" s="113"/>
      <c r="K6" s="114"/>
      <c r="L6" s="114"/>
      <c r="M6" s="124"/>
    </row>
    <row r="7" spans="1:17">
      <c r="A7">
        <v>2017</v>
      </c>
      <c r="B7" s="112"/>
      <c r="F7" s="113"/>
      <c r="G7" s="114"/>
      <c r="H7" s="114"/>
      <c r="I7" s="114"/>
      <c r="J7" s="112"/>
      <c r="K7" s="10"/>
      <c r="L7" s="10"/>
      <c r="M7" s="124"/>
    </row>
    <row r="8" spans="1:17">
      <c r="A8">
        <v>2018</v>
      </c>
      <c r="B8" s="112"/>
      <c r="F8" s="113"/>
      <c r="G8" s="114"/>
      <c r="H8" s="114"/>
      <c r="I8" s="114"/>
      <c r="J8" s="112"/>
      <c r="N8" s="134"/>
      <c r="O8" s="60"/>
    </row>
    <row r="9" spans="1:17">
      <c r="A9">
        <v>2019</v>
      </c>
      <c r="B9" s="112"/>
      <c r="F9" s="113"/>
      <c r="G9" s="114"/>
      <c r="H9" s="114"/>
      <c r="I9" s="114"/>
      <c r="J9" s="112"/>
      <c r="N9" s="134"/>
      <c r="O9" s="60"/>
    </row>
    <row r="10" spans="1:17">
      <c r="A10">
        <v>2020</v>
      </c>
      <c r="B10" s="112">
        <f>Agora2019!D14</f>
        <v>788</v>
      </c>
      <c r="C10">
        <f>lit_review_raw!AD31</f>
        <v>810</v>
      </c>
      <c r="F10" s="113">
        <f>Agora2019!D15</f>
        <v>0.03</v>
      </c>
      <c r="G10" s="114">
        <f>lit_review_raw!AE31</f>
        <v>1.4999999999999999E-2</v>
      </c>
      <c r="H10" s="114"/>
      <c r="I10" s="114"/>
      <c r="J10" s="112"/>
      <c r="N10" s="134">
        <f>Agora2019!D16</f>
        <v>0.8</v>
      </c>
      <c r="O10" s="60">
        <f>lit_review_raw!AJ31</f>
        <v>0.64</v>
      </c>
    </row>
    <row r="11" spans="1:17">
      <c r="A11">
        <v>2021</v>
      </c>
      <c r="B11" s="112"/>
      <c r="F11" s="113"/>
      <c r="G11" s="114"/>
      <c r="H11" s="114"/>
      <c r="I11" s="114"/>
      <c r="J11" s="112"/>
      <c r="N11" s="134"/>
      <c r="O11" s="60"/>
    </row>
    <row r="12" spans="1:17">
      <c r="A12">
        <v>2022</v>
      </c>
      <c r="B12" s="112"/>
      <c r="F12" s="113"/>
      <c r="G12" s="114"/>
      <c r="H12" s="114"/>
      <c r="I12" s="114"/>
      <c r="J12" s="112"/>
      <c r="K12" s="10"/>
      <c r="L12" s="10"/>
      <c r="M12" s="10"/>
      <c r="N12" s="134"/>
      <c r="O12" s="60"/>
    </row>
    <row r="13" spans="1:17">
      <c r="A13">
        <v>2023</v>
      </c>
      <c r="B13" s="112"/>
      <c r="F13" s="113"/>
      <c r="G13" s="114"/>
      <c r="H13" s="114"/>
      <c r="I13" s="114"/>
      <c r="J13" s="112"/>
      <c r="K13" s="10"/>
      <c r="L13" s="10"/>
      <c r="M13" s="10"/>
      <c r="N13" s="134"/>
      <c r="O13" s="60"/>
    </row>
    <row r="14" spans="1:17">
      <c r="A14">
        <v>2024</v>
      </c>
      <c r="B14" s="112"/>
      <c r="F14" s="113"/>
      <c r="G14" s="114"/>
      <c r="H14" s="114"/>
      <c r="I14" s="114"/>
      <c r="J14" s="112"/>
      <c r="K14" s="10"/>
      <c r="L14" s="10"/>
      <c r="M14" s="10"/>
      <c r="N14" s="134"/>
      <c r="O14" s="60"/>
    </row>
    <row r="15" spans="1:17">
      <c r="A15">
        <v>2025</v>
      </c>
      <c r="B15" s="112"/>
      <c r="F15" s="113"/>
      <c r="G15" s="114"/>
      <c r="H15" s="114"/>
      <c r="I15" s="114"/>
      <c r="J15" s="112"/>
      <c r="K15" s="10"/>
      <c r="L15" s="10"/>
      <c r="M15" s="10"/>
      <c r="N15" s="134"/>
      <c r="O15" s="60"/>
    </row>
    <row r="16" spans="1:17">
      <c r="A16">
        <v>2026</v>
      </c>
      <c r="B16" s="112"/>
      <c r="F16" s="113"/>
      <c r="G16" s="114"/>
      <c r="H16" s="114"/>
      <c r="I16" s="114"/>
      <c r="J16" s="112"/>
      <c r="K16" s="10"/>
      <c r="L16" s="10"/>
      <c r="M16" s="10"/>
      <c r="N16" s="134"/>
      <c r="O16" s="60"/>
    </row>
    <row r="17" spans="1:16">
      <c r="A17">
        <v>2027</v>
      </c>
      <c r="B17" s="112"/>
      <c r="F17" s="113"/>
      <c r="G17" s="114"/>
      <c r="H17" s="114"/>
      <c r="I17" s="114"/>
      <c r="J17" s="112"/>
      <c r="K17" s="10"/>
      <c r="L17" s="10"/>
      <c r="M17" s="10"/>
      <c r="N17" s="134"/>
      <c r="O17" s="60"/>
    </row>
    <row r="18" spans="1:16">
      <c r="A18">
        <v>2028</v>
      </c>
      <c r="B18" s="112"/>
      <c r="F18" s="113"/>
      <c r="G18" s="114"/>
      <c r="H18" s="114"/>
      <c r="I18" s="114"/>
      <c r="J18" s="112"/>
      <c r="K18" s="10"/>
      <c r="L18" s="10"/>
      <c r="M18" s="10"/>
      <c r="N18" s="134"/>
      <c r="O18" s="60"/>
    </row>
    <row r="19" spans="1:16">
      <c r="A19">
        <v>2029</v>
      </c>
      <c r="B19" s="112"/>
      <c r="F19" s="113"/>
      <c r="G19" s="114"/>
      <c r="H19" s="114"/>
      <c r="I19" s="114"/>
      <c r="J19" s="112"/>
      <c r="K19" s="10"/>
      <c r="L19" s="10"/>
      <c r="M19" s="10"/>
      <c r="N19" s="134"/>
      <c r="O19" s="60"/>
    </row>
    <row r="20" spans="1:16">
      <c r="A20">
        <v>2030</v>
      </c>
      <c r="B20" s="112">
        <f>Agora2019!E14</f>
        <v>677</v>
      </c>
      <c r="C20">
        <f>lit_review_raw!AD32</f>
        <v>630</v>
      </c>
      <c r="F20" s="113">
        <f>Agora2019!E15</f>
        <v>0.03</v>
      </c>
      <c r="G20" s="114">
        <f>lit_review_raw!AE32</f>
        <v>1.4999999999999999E-2</v>
      </c>
      <c r="H20" s="114"/>
      <c r="I20" s="114"/>
      <c r="J20" s="112"/>
      <c r="K20" s="10"/>
      <c r="L20" s="10"/>
      <c r="M20" s="10"/>
      <c r="N20" s="134">
        <f>N10</f>
        <v>0.8</v>
      </c>
      <c r="O20" s="60">
        <f>lit_review_raw!AJ32</f>
        <v>0.69</v>
      </c>
    </row>
    <row r="21" spans="1:16">
      <c r="A21">
        <v>2031</v>
      </c>
      <c r="B21" s="112"/>
      <c r="F21" s="113"/>
      <c r="G21" s="114"/>
      <c r="H21" s="114"/>
      <c r="I21" s="114"/>
      <c r="J21" s="112"/>
      <c r="K21" s="10"/>
      <c r="L21" s="10"/>
      <c r="M21" s="10"/>
      <c r="N21" s="134"/>
      <c r="O21" s="60"/>
    </row>
    <row r="22" spans="1:16">
      <c r="A22">
        <v>2032</v>
      </c>
      <c r="B22" s="112"/>
      <c r="F22" s="113"/>
      <c r="G22" s="114"/>
      <c r="H22" s="114"/>
      <c r="I22" s="114"/>
      <c r="J22" s="112"/>
      <c r="K22" s="10"/>
      <c r="L22" s="10"/>
      <c r="M22" s="10"/>
      <c r="N22" s="134"/>
      <c r="O22" s="60"/>
    </row>
    <row r="23" spans="1:16">
      <c r="A23">
        <v>2033</v>
      </c>
      <c r="B23" s="112"/>
      <c r="F23" s="113"/>
      <c r="G23" s="114"/>
      <c r="H23" s="114"/>
      <c r="I23" s="114"/>
      <c r="J23" s="112"/>
      <c r="K23" s="10"/>
      <c r="L23" s="10"/>
      <c r="M23" s="10"/>
      <c r="N23" s="134"/>
      <c r="O23" s="60"/>
    </row>
    <row r="24" spans="1:16">
      <c r="A24">
        <v>2034</v>
      </c>
      <c r="B24" s="112"/>
      <c r="D24" s="48">
        <f>D25</f>
        <v>183</v>
      </c>
      <c r="F24" s="113"/>
      <c r="G24" s="114"/>
      <c r="H24" s="135">
        <f>H25</f>
        <v>0.04</v>
      </c>
      <c r="I24" s="114"/>
      <c r="J24" s="112"/>
      <c r="K24" s="10"/>
      <c r="L24" s="10"/>
      <c r="M24" s="10"/>
      <c r="N24" s="134"/>
      <c r="O24" s="60"/>
      <c r="P24" s="142">
        <f>P25</f>
        <v>0.83399999999999996</v>
      </c>
    </row>
    <row r="25" spans="1:16">
      <c r="A25">
        <v>2035</v>
      </c>
      <c r="B25" s="112"/>
      <c r="D25">
        <f>lit_review_raw!BA48</f>
        <v>183</v>
      </c>
      <c r="F25" s="113"/>
      <c r="G25" s="114"/>
      <c r="H25" s="114">
        <f>lit_review_raw!BB48</f>
        <v>0.04</v>
      </c>
      <c r="I25" s="114"/>
      <c r="J25" s="112"/>
      <c r="K25" s="10"/>
      <c r="L25" s="10">
        <f>lit_review_raw!BE48</f>
        <v>20</v>
      </c>
      <c r="M25" s="10"/>
      <c r="N25" s="134"/>
      <c r="O25" s="60"/>
      <c r="P25" s="60">
        <f>lit_review_raw!BC48</f>
        <v>0.83399999999999996</v>
      </c>
    </row>
    <row r="26" spans="1:16">
      <c r="A26">
        <v>2036</v>
      </c>
      <c r="B26" s="112"/>
      <c r="F26" s="113"/>
      <c r="G26" s="114"/>
      <c r="H26" s="114"/>
      <c r="I26" s="114"/>
      <c r="J26" s="112"/>
      <c r="K26" s="10"/>
      <c r="L26" s="10"/>
      <c r="M26" s="10"/>
      <c r="N26" s="134"/>
      <c r="O26" s="60"/>
    </row>
    <row r="27" spans="1:16">
      <c r="A27">
        <v>2037</v>
      </c>
      <c r="B27" s="112"/>
      <c r="F27" s="113"/>
      <c r="G27" s="114"/>
      <c r="H27" s="114"/>
      <c r="I27" s="114"/>
      <c r="J27" s="112"/>
      <c r="K27" s="10"/>
      <c r="L27" s="10"/>
      <c r="M27" s="10"/>
      <c r="N27" s="134"/>
      <c r="O27" s="60"/>
    </row>
    <row r="28" spans="1:16">
      <c r="A28">
        <v>2038</v>
      </c>
      <c r="B28" s="112"/>
      <c r="F28" s="113"/>
      <c r="G28" s="114"/>
      <c r="H28" s="114"/>
      <c r="I28" s="114"/>
      <c r="J28" s="112"/>
      <c r="K28" s="10"/>
      <c r="L28" s="10"/>
      <c r="M28" s="10"/>
      <c r="N28" s="134"/>
      <c r="O28" s="60"/>
    </row>
    <row r="29" spans="1:16">
      <c r="A29">
        <v>2039</v>
      </c>
      <c r="B29" s="112"/>
      <c r="F29" s="113"/>
      <c r="G29" s="114"/>
      <c r="H29" s="114"/>
      <c r="I29" s="114"/>
      <c r="J29" s="112"/>
      <c r="K29" s="10"/>
      <c r="L29" s="10"/>
      <c r="M29" s="10"/>
      <c r="N29" s="134"/>
      <c r="O29" s="60"/>
    </row>
    <row r="30" spans="1:16">
      <c r="A30">
        <v>2040</v>
      </c>
      <c r="B30" s="112"/>
      <c r="F30" s="113"/>
      <c r="G30" s="114"/>
      <c r="H30" s="114"/>
      <c r="I30" s="114"/>
      <c r="J30" s="112"/>
      <c r="K30" s="10"/>
      <c r="L30" s="10"/>
      <c r="M30" s="10"/>
      <c r="N30" s="134"/>
      <c r="O30" s="60"/>
    </row>
    <row r="31" spans="1:16">
      <c r="A31">
        <v>2041</v>
      </c>
      <c r="B31" s="112"/>
      <c r="F31" s="113"/>
      <c r="G31" s="114"/>
      <c r="H31" s="114"/>
      <c r="I31" s="114"/>
      <c r="J31" s="112"/>
      <c r="K31" s="10"/>
      <c r="L31" s="10"/>
      <c r="M31" s="10"/>
      <c r="N31" s="134"/>
      <c r="O31" s="60"/>
    </row>
    <row r="32" spans="1:16">
      <c r="A32">
        <v>2042</v>
      </c>
      <c r="B32" s="112"/>
      <c r="F32" s="113"/>
      <c r="G32" s="114"/>
      <c r="H32" s="114"/>
      <c r="I32" s="114"/>
      <c r="J32" s="112"/>
      <c r="K32" s="10"/>
      <c r="L32" s="10"/>
      <c r="M32" s="10"/>
      <c r="N32" s="134"/>
      <c r="O32" s="60"/>
    </row>
    <row r="33" spans="1:15">
      <c r="A33">
        <v>2043</v>
      </c>
      <c r="B33" s="112"/>
      <c r="F33" s="113"/>
      <c r="G33" s="114"/>
      <c r="H33" s="114"/>
      <c r="I33" s="114"/>
      <c r="J33" s="112"/>
      <c r="K33" s="10"/>
      <c r="L33" s="10"/>
      <c r="M33" s="10"/>
      <c r="N33" s="134"/>
      <c r="O33" s="60"/>
    </row>
    <row r="34" spans="1:15">
      <c r="A34">
        <v>2044</v>
      </c>
      <c r="B34" s="112"/>
      <c r="F34" s="113"/>
      <c r="G34" s="114"/>
      <c r="H34" s="114"/>
      <c r="I34" s="114"/>
      <c r="J34" s="112"/>
      <c r="K34" s="10"/>
      <c r="L34" s="10"/>
      <c r="M34" s="10"/>
      <c r="N34" s="134"/>
      <c r="O34" s="60"/>
    </row>
    <row r="35" spans="1:15">
      <c r="A35">
        <v>2045</v>
      </c>
      <c r="B35" s="112"/>
      <c r="F35" s="113"/>
      <c r="G35" s="114"/>
      <c r="H35" s="114"/>
      <c r="I35" s="114"/>
      <c r="J35" s="112"/>
      <c r="K35" s="10"/>
      <c r="L35" s="10"/>
      <c r="M35" s="10"/>
      <c r="N35" s="134"/>
      <c r="O35" s="60"/>
    </row>
    <row r="36" spans="1:15">
      <c r="A36">
        <v>2046</v>
      </c>
      <c r="B36" s="112"/>
      <c r="F36" s="113"/>
      <c r="G36" s="114"/>
      <c r="H36" s="114"/>
      <c r="I36" s="114"/>
      <c r="J36" s="112"/>
      <c r="K36" s="10"/>
      <c r="L36" s="10"/>
      <c r="M36" s="10"/>
      <c r="N36" s="134"/>
      <c r="O36" s="60"/>
    </row>
    <row r="37" spans="1:15">
      <c r="A37">
        <v>2047</v>
      </c>
      <c r="B37" s="112"/>
      <c r="F37" s="113"/>
      <c r="G37" s="114"/>
      <c r="H37" s="114"/>
      <c r="I37" s="114"/>
      <c r="J37" s="112"/>
      <c r="K37" s="10"/>
      <c r="L37" s="10"/>
      <c r="M37" s="10"/>
      <c r="N37" s="134"/>
      <c r="O37" s="60"/>
    </row>
    <row r="38" spans="1:15">
      <c r="A38">
        <v>2048</v>
      </c>
      <c r="B38" s="112"/>
      <c r="F38" s="113"/>
      <c r="G38" s="114"/>
      <c r="H38" s="114"/>
      <c r="I38" s="114"/>
      <c r="J38" s="112"/>
      <c r="K38" s="10"/>
      <c r="L38" s="10"/>
      <c r="M38" s="10"/>
      <c r="N38" s="134"/>
      <c r="O38" s="60"/>
    </row>
    <row r="39" spans="1:15">
      <c r="A39">
        <v>2049</v>
      </c>
      <c r="B39" s="112"/>
      <c r="F39" s="113"/>
      <c r="G39" s="114"/>
      <c r="H39" s="114"/>
      <c r="I39" s="114"/>
      <c r="J39" s="112"/>
      <c r="K39" s="10"/>
      <c r="L39" s="10"/>
      <c r="M39" s="10"/>
      <c r="N39" s="134"/>
      <c r="O39" s="60"/>
    </row>
    <row r="40" spans="1:15">
      <c r="A40">
        <v>2050</v>
      </c>
      <c r="B40" s="112">
        <f>Agora2019!F14</f>
        <v>500</v>
      </c>
      <c r="C40">
        <f>lit_review_raw!AD33</f>
        <v>405</v>
      </c>
      <c r="F40" s="113">
        <f>Agora2019!F15</f>
        <v>0.03</v>
      </c>
      <c r="G40" s="114">
        <f>lit_review_raw!AE33</f>
        <v>1.4999999999999999E-2</v>
      </c>
      <c r="H40" s="114"/>
      <c r="I40" s="114"/>
      <c r="J40" s="112"/>
      <c r="K40" s="10"/>
      <c r="L40" s="10"/>
      <c r="M40" s="10"/>
      <c r="N40" s="134">
        <f>N10</f>
        <v>0.8</v>
      </c>
      <c r="O40" s="60">
        <f>lit_review_raw!AJ33</f>
        <v>0.74</v>
      </c>
    </row>
    <row r="41" spans="1:15">
      <c r="N41" s="60"/>
      <c r="O41" s="60"/>
    </row>
    <row r="63" spans="2:15" ht="21">
      <c r="B63" s="230" t="s">
        <v>502</v>
      </c>
      <c r="C63" s="230"/>
      <c r="D63" s="230"/>
      <c r="E63" s="230"/>
      <c r="F63" s="230"/>
      <c r="G63" s="230"/>
      <c r="H63" s="230"/>
      <c r="I63" s="230"/>
      <c r="J63" s="230"/>
      <c r="K63" s="230"/>
      <c r="L63" s="230"/>
      <c r="M63" s="230"/>
      <c r="N63" s="230"/>
      <c r="O63" s="230"/>
    </row>
    <row r="65" spans="2:15">
      <c r="B65" s="116" t="s">
        <v>503</v>
      </c>
      <c r="C65" s="34"/>
      <c r="D65" s="34"/>
      <c r="E65" s="34"/>
      <c r="F65" s="35"/>
      <c r="J65" s="116" t="s">
        <v>504</v>
      </c>
      <c r="K65" s="34"/>
      <c r="L65" s="34"/>
      <c r="M65" s="34"/>
      <c r="N65" s="34"/>
      <c r="O65" s="35"/>
    </row>
    <row r="66" spans="2:15" ht="18" customHeight="1">
      <c r="B66" s="226" t="s">
        <v>520</v>
      </c>
      <c r="C66" s="226"/>
      <c r="D66" s="226"/>
      <c r="E66" s="226"/>
      <c r="F66" s="226"/>
      <c r="J66" s="143" t="s">
        <v>521</v>
      </c>
      <c r="K66" s="137" t="str">
        <f>B3</f>
        <v>Agora, 2019 (reference scenario)</v>
      </c>
      <c r="L66" s="137"/>
      <c r="M66" s="137"/>
      <c r="N66" s="93" t="s">
        <v>522</v>
      </c>
      <c r="O66" s="138" t="str">
        <f>C3</f>
        <v>IEA, 2019</v>
      </c>
    </row>
  </sheetData>
  <mergeCells count="6">
    <mergeCell ref="B66:F66"/>
    <mergeCell ref="B2:E2"/>
    <mergeCell ref="F2:I2"/>
    <mergeCell ref="J2:M2"/>
    <mergeCell ref="N2:Q2"/>
    <mergeCell ref="B63:O63"/>
  </mergeCells>
  <pageMargins left="0.7" right="0.7" top="0.78749999999999998" bottom="0.78749999999999998" header="0.51180555555555496" footer="0.51180555555555496"/>
  <pageSetup paperSize="9" firstPageNumber="0" orientation="portrait" horizontalDpi="300" verticalDpi="300"/>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7"/>
  <sheetViews>
    <sheetView zoomScaleNormal="100" workbookViewId="0">
      <selection activeCell="C5" sqref="C5"/>
    </sheetView>
  </sheetViews>
  <sheetFormatPr baseColWidth="10" defaultColWidth="9" defaultRowHeight="16"/>
  <cols>
    <col min="1" max="1" width="12.1640625" customWidth="1"/>
    <col min="2" max="1025" width="10.6640625" customWidth="1"/>
  </cols>
  <sheetData>
    <row r="1" spans="1:6">
      <c r="A1" t="s">
        <v>523</v>
      </c>
    </row>
    <row r="2" spans="1:6">
      <c r="A2" t="s">
        <v>524</v>
      </c>
      <c r="B2" t="s">
        <v>525</v>
      </c>
      <c r="C2" t="s">
        <v>526</v>
      </c>
      <c r="D2" t="s">
        <v>527</v>
      </c>
      <c r="E2" t="s">
        <v>528</v>
      </c>
    </row>
    <row r="3" spans="1:6">
      <c r="A3" t="s">
        <v>529</v>
      </c>
      <c r="B3" t="s">
        <v>530</v>
      </c>
      <c r="C3">
        <v>42</v>
      </c>
      <c r="D3" t="s">
        <v>531</v>
      </c>
    </row>
    <row r="4" spans="1:6">
      <c r="A4" t="s">
        <v>532</v>
      </c>
      <c r="B4" t="s">
        <v>533</v>
      </c>
      <c r="C4">
        <v>0.9</v>
      </c>
      <c r="D4" t="s">
        <v>534</v>
      </c>
    </row>
    <row r="5" spans="1:6">
      <c r="A5" t="s">
        <v>535</v>
      </c>
      <c r="B5" t="s">
        <v>536</v>
      </c>
      <c r="C5" s="108">
        <f>1/33.3</f>
        <v>3.0030030030030033E-2</v>
      </c>
      <c r="D5" t="s">
        <v>537</v>
      </c>
      <c r="F5" t="s">
        <v>214</v>
      </c>
    </row>
    <row r="6" spans="1:6">
      <c r="A6" t="s">
        <v>535</v>
      </c>
      <c r="B6" t="s">
        <v>538</v>
      </c>
      <c r="C6">
        <v>0.09</v>
      </c>
      <c r="D6" t="s">
        <v>539</v>
      </c>
      <c r="F6" t="s">
        <v>214</v>
      </c>
    </row>
    <row r="7" spans="1:6">
      <c r="A7" t="s">
        <v>540</v>
      </c>
      <c r="B7" t="s">
        <v>533</v>
      </c>
      <c r="C7">
        <v>1.1499999999999999</v>
      </c>
      <c r="D7" t="s">
        <v>541</v>
      </c>
    </row>
  </sheetData>
  <hyperlinks>
    <hyperlink ref="F5" r:id="rId1" xr:uid="{00000000-0004-0000-1100-000000000000}"/>
    <hyperlink ref="F6" r:id="rId2" xr:uid="{00000000-0004-0000-1100-000001000000}"/>
  </hyperlinks>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160"/>
  <sheetViews>
    <sheetView topLeftCell="A105" zoomScaleNormal="100" workbookViewId="0">
      <selection activeCell="A134" sqref="A134"/>
    </sheetView>
  </sheetViews>
  <sheetFormatPr baseColWidth="10" defaultColWidth="9" defaultRowHeight="16"/>
  <cols>
    <col min="1" max="1" width="23.1640625" customWidth="1"/>
    <col min="2" max="2" width="17.6640625" customWidth="1"/>
    <col min="3" max="3" width="42.33203125" customWidth="1"/>
    <col min="4" max="1025" width="10.6640625" customWidth="1"/>
  </cols>
  <sheetData>
    <row r="1" spans="1:4" ht="17" thickBot="1">
      <c r="A1" t="s">
        <v>542</v>
      </c>
      <c r="B1" t="s">
        <v>543</v>
      </c>
      <c r="C1" t="s">
        <v>527</v>
      </c>
    </row>
    <row r="2" spans="1:4" s="190" customFormat="1">
      <c r="A2" s="33" t="s">
        <v>20</v>
      </c>
      <c r="B2" s="190">
        <f>VLOOKUP($A2,overview!$B$4:$D$213,2,0)</f>
        <v>6</v>
      </c>
      <c r="C2" s="191" t="str">
        <f>VLOOKUP($A2,overview!$B$4:$D$213,3,0)</f>
        <v>meters of spacing per meter of rotor diameter</v>
      </c>
    </row>
    <row r="3" spans="1:4" s="10" customFormat="1">
      <c r="A3" s="58" t="s">
        <v>24</v>
      </c>
      <c r="B3" s="10">
        <f>VLOOKUP($A3,overview!$B$4:$D$213,2,0)</f>
        <v>1000000</v>
      </c>
      <c r="C3" s="144" t="str">
        <f>VLOOKUP($A3,overview!$B$4:$D$213,3,0)</f>
        <v>[1]</v>
      </c>
    </row>
    <row r="4" spans="1:4" s="10" customFormat="1">
      <c r="A4" s="58" t="s">
        <v>27</v>
      </c>
      <c r="B4" s="10">
        <f>VLOOKUP($A4,overview!$B$4:$D$213,2,0)</f>
        <v>0</v>
      </c>
      <c r="C4" s="144" t="str">
        <f>VLOOKUP($A4,overview!$B$4:$D$213,3,0)</f>
        <v>[1]</v>
      </c>
    </row>
    <row r="5" spans="1:4" s="10" customFormat="1">
      <c r="A5" s="58" t="s">
        <v>36</v>
      </c>
      <c r="B5" s="10">
        <f>VLOOKUP($A5,overview!$B$4:$D$213,2,0)</f>
        <v>1290</v>
      </c>
      <c r="C5" s="144" t="str">
        <f>VLOOKUP($A5,overview!$B$4:$D$213,3,0)</f>
        <v>[EUR/kW rated]</v>
      </c>
    </row>
    <row r="6" spans="1:4" s="10" customFormat="1">
      <c r="A6" s="58" t="s">
        <v>38</v>
      </c>
      <c r="B6" s="10">
        <f>VLOOKUP($A6,overview!$B$4:$D$213,2,0)</f>
        <v>0.03</v>
      </c>
      <c r="C6" s="144" t="str">
        <f>VLOOKUP($A6,overview!$B$4:$D$213,3,0)</f>
        <v>Fraction of CAPEX p.a.</v>
      </c>
    </row>
    <row r="7" spans="1:4" s="10" customFormat="1">
      <c r="A7" s="58" t="s">
        <v>40</v>
      </c>
      <c r="B7" s="10">
        <f>VLOOKUP($A7,overview!$B$4:$D$213,2,0)</f>
        <v>1040</v>
      </c>
      <c r="C7" s="144" t="str">
        <f>VLOOKUP($A7,overview!$B$4:$D$213,3,0)</f>
        <v>[EUR/kW rated]</v>
      </c>
    </row>
    <row r="8" spans="1:4" s="10" customFormat="1">
      <c r="A8" s="58" t="s">
        <v>42</v>
      </c>
      <c r="B8" s="10">
        <f>VLOOKUP($A8,overview!$B$4:$D$213,2,0)</f>
        <v>0.03</v>
      </c>
      <c r="C8" s="144" t="str">
        <f>VLOOKUP($A8,overview!$B$4:$D$213,3,0)</f>
        <v>Fraction of CAPEX p.a.</v>
      </c>
    </row>
    <row r="9" spans="1:4" s="10" customFormat="1">
      <c r="A9" s="58" t="s">
        <v>29</v>
      </c>
      <c r="B9" s="10">
        <f>VLOOKUP($A9,overview!$B$4:$D$213,2,0)</f>
        <v>1760</v>
      </c>
      <c r="C9" s="144" t="str">
        <f>VLOOKUP($A9,overview!$B$4:$D$213,3,0)</f>
        <v>[EUR/kW rated]</v>
      </c>
    </row>
    <row r="10" spans="1:4" s="10" customFormat="1">
      <c r="A10" s="58" t="s">
        <v>33</v>
      </c>
      <c r="B10" s="10">
        <f>VLOOKUP($A10,overview!$B$4:$D$213,2,0)</f>
        <v>0.03</v>
      </c>
      <c r="C10" s="144" t="str">
        <f>VLOOKUP($A10,overview!$B$4:$D$213,3,0)</f>
        <v>Fraction of CAPEX p.a.</v>
      </c>
    </row>
    <row r="11" spans="1:4" s="10" customFormat="1">
      <c r="A11" s="58" t="s">
        <v>47</v>
      </c>
      <c r="B11" s="10">
        <f>VLOOKUP($A11,overview!$B$4:$D$213,2,0)</f>
        <v>25</v>
      </c>
      <c r="C11" s="144" t="str">
        <f>VLOOKUP($A11,overview!$B$4:$D$213,3,0)</f>
        <v>years</v>
      </c>
      <c r="D11" s="8"/>
    </row>
    <row r="12" spans="1:4" s="10" customFormat="1">
      <c r="A12" s="58" t="s">
        <v>50</v>
      </c>
      <c r="B12" s="10">
        <f>VLOOKUP($A12,overview!$B$4:$D$213,2,0)</f>
        <v>20</v>
      </c>
      <c r="C12" s="144" t="str">
        <f>VLOOKUP($A12,overview!$B$4:$D$213,3,0)</f>
        <v>years</v>
      </c>
    </row>
    <row r="13" spans="1:4" s="137" customFormat="1" ht="17" thickBot="1">
      <c r="A13" s="86" t="s">
        <v>44</v>
      </c>
      <c r="B13" s="137">
        <f>VLOOKUP($A13,overview!$B$4:$D$213,2,0)</f>
        <v>30</v>
      </c>
      <c r="C13" s="192" t="str">
        <f>VLOOKUP($A13,overview!$B$4:$D$213,3,0)</f>
        <v>years</v>
      </c>
      <c r="D13" s="87"/>
    </row>
    <row r="14" spans="1:4" s="190" customFormat="1">
      <c r="A14" s="33" t="s">
        <v>52</v>
      </c>
      <c r="B14" s="190">
        <f>VLOOKUP($A14,overview!$B$4:$D$213,2,0)</f>
        <v>7</v>
      </c>
      <c r="C14" s="191" t="str">
        <f>VLOOKUP($A14,overview!$B$4:$D$213,3,0)</f>
        <v>meters of spacing per meter of rotor diameter</v>
      </c>
    </row>
    <row r="15" spans="1:4" s="10" customFormat="1">
      <c r="A15" s="58" t="s">
        <v>54</v>
      </c>
      <c r="B15" s="10">
        <f>VLOOKUP($A15,overview!$B$4:$D$213,2,0)</f>
        <v>1000000</v>
      </c>
      <c r="C15" s="144" t="str">
        <f>VLOOKUP($A15,overview!$B$4:$D$213,3,0)</f>
        <v>[1]</v>
      </c>
    </row>
    <row r="16" spans="1:4" s="10" customFormat="1">
      <c r="A16" s="58" t="s">
        <v>55</v>
      </c>
      <c r="B16" s="10">
        <f>VLOOKUP($A16,overview!$B$4:$D$213,2,0)</f>
        <v>0</v>
      </c>
      <c r="C16" s="144" t="str">
        <f>VLOOKUP($A16,overview!$B$4:$D$213,3,0)</f>
        <v>[1]</v>
      </c>
    </row>
    <row r="17" spans="1:4" s="10" customFormat="1">
      <c r="A17" s="58" t="s">
        <v>59</v>
      </c>
      <c r="B17" s="10">
        <f>VLOOKUP($A17,overview!$B$4:$D$213,2,0)</f>
        <v>2870</v>
      </c>
      <c r="C17" s="144" t="str">
        <f>VLOOKUP($A17,overview!$B$4:$D$213,3,0)</f>
        <v>[EUR/kW rated]</v>
      </c>
    </row>
    <row r="18" spans="1:4" s="10" customFormat="1">
      <c r="A18" s="58" t="s">
        <v>61</v>
      </c>
      <c r="B18" s="10">
        <f>VLOOKUP($A18,overview!$B$4:$D$213,2,0)</f>
        <v>0.02</v>
      </c>
      <c r="C18" s="144" t="str">
        <f>VLOOKUP($A18,overview!$B$4:$D$213,3,0)</f>
        <v>Fraction of CAPEX p.a.</v>
      </c>
    </row>
    <row r="19" spans="1:4" s="10" customFormat="1">
      <c r="A19" s="58" t="s">
        <v>56</v>
      </c>
      <c r="B19" s="10">
        <f>VLOOKUP($A19,overview!$B$4:$D$213,2,0)</f>
        <v>2870</v>
      </c>
      <c r="C19" s="144" t="str">
        <f>VLOOKUP($A19,overview!$B$4:$D$213,3,0)</f>
        <v>[EUR/kW rated]</v>
      </c>
    </row>
    <row r="20" spans="1:4" s="10" customFormat="1">
      <c r="A20" s="58" t="s">
        <v>57</v>
      </c>
      <c r="B20" s="10">
        <f>VLOOKUP($A20,overview!$B$4:$D$213,2,0)</f>
        <v>0.02</v>
      </c>
      <c r="C20" s="144" t="str">
        <f>VLOOKUP($A20,overview!$B$4:$D$213,3,0)</f>
        <v>Fraction of CAPEX p.a.</v>
      </c>
    </row>
    <row r="21" spans="1:4" s="10" customFormat="1">
      <c r="A21" s="58" t="s">
        <v>63</v>
      </c>
      <c r="B21" s="10">
        <f>VLOOKUP($A21,overview!$B$4:$D$213,2,0)</f>
        <v>4510</v>
      </c>
      <c r="C21" s="144" t="str">
        <f>VLOOKUP($A21,overview!$B$4:$D$213,3,0)</f>
        <v>[EUR/kW rated]</v>
      </c>
    </row>
    <row r="22" spans="1:4" s="10" customFormat="1">
      <c r="A22" s="58" t="s">
        <v>64</v>
      </c>
      <c r="B22" s="10">
        <f>VLOOKUP($A22,overview!$B$4:$D$213,2,0)</f>
        <v>0.02</v>
      </c>
      <c r="C22" s="144" t="str">
        <f>VLOOKUP($A22,overview!$B$4:$D$213,3,0)</f>
        <v>Fraction of CAPEX p.a.</v>
      </c>
    </row>
    <row r="23" spans="1:4" s="10" customFormat="1">
      <c r="A23" s="58" t="s">
        <v>66</v>
      </c>
      <c r="B23" s="10">
        <f>VLOOKUP($A23,overview!$B$4:$D$213,2,0)</f>
        <v>25</v>
      </c>
      <c r="C23" s="144" t="str">
        <f>VLOOKUP($A23,overview!$B$4:$D$213,3,0)</f>
        <v>years</v>
      </c>
      <c r="D23" s="8"/>
    </row>
    <row r="24" spans="1:4" s="10" customFormat="1">
      <c r="A24" s="58" t="s">
        <v>67</v>
      </c>
      <c r="B24" s="10">
        <f>VLOOKUP($A24,overview!$B$4:$D$213,2,0)</f>
        <v>20</v>
      </c>
      <c r="C24" s="144" t="str">
        <f>VLOOKUP($A24,overview!$B$4:$D$213,3,0)</f>
        <v>years</v>
      </c>
    </row>
    <row r="25" spans="1:4" s="10" customFormat="1">
      <c r="A25" s="58" t="s">
        <v>65</v>
      </c>
      <c r="B25" s="10">
        <f>VLOOKUP($A25,overview!$B$4:$D$213,2,0)</f>
        <v>30</v>
      </c>
      <c r="C25" s="144" t="str">
        <f>VLOOKUP($A25,overview!$B$4:$D$213,3,0)</f>
        <v>years</v>
      </c>
      <c r="D25" s="8"/>
    </row>
    <row r="26" spans="1:4" s="10" customFormat="1">
      <c r="A26" s="58" t="s">
        <v>69</v>
      </c>
      <c r="B26" s="10">
        <f>VLOOKUP($A26,overview!$B$4:$D$213,2,0)</f>
        <v>0.23</v>
      </c>
      <c r="C26" s="144" t="str">
        <f>VLOOKUP($A26,overview!$B$4:$D$213,3,0)</f>
        <v>Fraction of CAPEX</v>
      </c>
    </row>
    <row r="27" spans="1:4" s="10" customFormat="1">
      <c r="A27" s="58" t="s">
        <v>71</v>
      </c>
      <c r="B27" s="10">
        <f>VLOOKUP($A27,overview!$B$4:$D$213,2,0)</f>
        <v>0.15</v>
      </c>
      <c r="C27" s="144" t="str">
        <f>VLOOKUP($A27,overview!$B$4:$D$213,3,0)</f>
        <v>Fraction of CAPEX</v>
      </c>
      <c r="D27" s="8"/>
    </row>
    <row r="28" spans="1:4" s="137" customFormat="1" ht="17" thickBot="1">
      <c r="A28" s="86" t="s">
        <v>73</v>
      </c>
      <c r="B28" s="137">
        <f>VLOOKUP($A28,overview!$B$4:$D$213,2,0)</f>
        <v>0.05</v>
      </c>
      <c r="C28" s="192" t="str">
        <f>VLOOKUP($A28,overview!$B$4:$D$213,3,0)</f>
        <v>Fraction of CAPEX</v>
      </c>
      <c r="D28" s="87"/>
    </row>
    <row r="29" spans="1:4" s="190" customFormat="1">
      <c r="A29" s="193" t="s">
        <v>551</v>
      </c>
      <c r="B29" s="190">
        <f>VLOOKUP($A29,overview!$B$4:$D$213,2,0)</f>
        <v>0</v>
      </c>
      <c r="C29" s="191" t="str">
        <f>VLOOKUP($A29,overview!$B$4:$D$213,3,0)</f>
        <v>MWh/m^2</v>
      </c>
    </row>
    <row r="30" spans="1:4" s="10" customFormat="1">
      <c r="A30" s="46" t="s">
        <v>76</v>
      </c>
      <c r="B30" s="10">
        <f>VLOOKUP($A30,overview!$B$4:$D$213,2,0)</f>
        <v>1</v>
      </c>
      <c r="C30" s="144" t="str">
        <f>VLOOKUP($A30,overview!$B$4:$D$213,3,0)</f>
        <v>kW</v>
      </c>
    </row>
    <row r="31" spans="1:4" s="10" customFormat="1">
      <c r="A31" s="46" t="s">
        <v>78</v>
      </c>
      <c r="B31" s="10">
        <f>VLOOKUP($A31,overview!$B$4:$D$213,2,0)</f>
        <v>1000000</v>
      </c>
      <c r="C31" s="144" t="str">
        <f>VLOOKUP($A31,overview!$B$4:$D$213,3,0)</f>
        <v>[1]</v>
      </c>
    </row>
    <row r="32" spans="1:4" s="10" customFormat="1">
      <c r="A32" s="46" t="s">
        <v>79</v>
      </c>
      <c r="B32" s="10">
        <f>VLOOKUP($A32,overview!$B$4:$D$213,2,0)</f>
        <v>0</v>
      </c>
      <c r="C32" s="144" t="str">
        <f>VLOOKUP($A32,overview!$B$4:$D$213,3,0)</f>
        <v>[1]</v>
      </c>
    </row>
    <row r="33" spans="1:3" s="10" customFormat="1">
      <c r="A33" s="46" t="s">
        <v>83</v>
      </c>
      <c r="B33" s="10">
        <f>VLOOKUP($A33,overview!$B$4:$D$213,2,0)</f>
        <v>760</v>
      </c>
      <c r="C33" s="144" t="str">
        <f>VLOOKUP($A33,overview!$B$4:$D$213,3,0)</f>
        <v>[EUR/kWp]</v>
      </c>
    </row>
    <row r="34" spans="1:3" s="10" customFormat="1">
      <c r="A34" s="46" t="s">
        <v>86</v>
      </c>
      <c r="B34" s="10">
        <f>VLOOKUP($A34,overview!$B$4:$D$213,2,0)</f>
        <v>2.3E-2</v>
      </c>
      <c r="C34" s="144" t="str">
        <f>VLOOKUP($A34,overview!$B$4:$D$213,3,0)</f>
        <v>Fraction of CAPEX p.a.</v>
      </c>
    </row>
    <row r="35" spans="1:3" s="10" customFormat="1">
      <c r="A35" s="46" t="s">
        <v>87</v>
      </c>
      <c r="B35" s="10">
        <f>VLOOKUP($A35,overview!$B$4:$D$213,2,0)</f>
        <v>770</v>
      </c>
      <c r="C35" s="144" t="str">
        <f>VLOOKUP($A35,overview!$B$4:$D$213,3,0)</f>
        <v>[EUR/kWp]</v>
      </c>
    </row>
    <row r="36" spans="1:3" s="10" customFormat="1">
      <c r="A36" s="46" t="s">
        <v>88</v>
      </c>
      <c r="B36" s="10">
        <f>VLOOKUP($A36,overview!$B$4:$D$213,2,0)</f>
        <v>2.5000000000000001E-2</v>
      </c>
      <c r="C36" s="144" t="str">
        <f>VLOOKUP($A36,overview!$B$4:$D$213,3,0)</f>
        <v>Fraction of CAPEX p.a.</v>
      </c>
    </row>
    <row r="37" spans="1:3" s="10" customFormat="1">
      <c r="A37" s="46" t="s">
        <v>89</v>
      </c>
      <c r="B37" s="10">
        <f>VLOOKUP($A37,overview!$B$4:$D$213,2,0)</f>
        <v>690</v>
      </c>
      <c r="C37" s="144" t="str">
        <f>VLOOKUP($A37,overview!$B$4:$D$213,3,0)</f>
        <v>[EUR/kWp]</v>
      </c>
    </row>
    <row r="38" spans="1:3" s="10" customFormat="1">
      <c r="A38" s="46" t="s">
        <v>90</v>
      </c>
      <c r="B38" s="10">
        <f>VLOOKUP($A38,overview!$B$4:$D$213,2,0)</f>
        <v>1.7000000000000001E-2</v>
      </c>
      <c r="C38" s="144" t="str">
        <f>VLOOKUP($A38,overview!$B$4:$D$213,3,0)</f>
        <v>Fraction of CAPEX p.a.</v>
      </c>
    </row>
    <row r="39" spans="1:3" s="10" customFormat="1">
      <c r="A39" s="46" t="s">
        <v>91</v>
      </c>
      <c r="B39" s="10">
        <f>VLOOKUP($A39,overview!$B$4:$D$213,2,0)</f>
        <v>40</v>
      </c>
      <c r="C39" s="144" t="str">
        <f>VLOOKUP($A39,overview!$B$4:$D$213,3,0)</f>
        <v>years</v>
      </c>
    </row>
    <row r="40" spans="1:3" s="10" customFormat="1">
      <c r="A40" s="46" t="s">
        <v>93</v>
      </c>
      <c r="B40" s="10">
        <f>VLOOKUP($A40,overview!$B$4:$D$213,2,0)</f>
        <v>35</v>
      </c>
      <c r="C40" s="144" t="str">
        <f>VLOOKUP($A40,overview!$B$4:$D$213,3,0)</f>
        <v>years</v>
      </c>
    </row>
    <row r="41" spans="1:3" s="137" customFormat="1" ht="17" thickBot="1">
      <c r="A41" s="194" t="s">
        <v>94</v>
      </c>
      <c r="B41" s="137">
        <f>VLOOKUP($A41,overview!$B$4:$D$213,2,0)</f>
        <v>25</v>
      </c>
      <c r="C41" s="192" t="str">
        <f>VLOOKUP($A41,overview!$B$4:$D$213,3,0)</f>
        <v>years</v>
      </c>
    </row>
    <row r="42" spans="1:3" s="190" customFormat="1">
      <c r="A42" s="195" t="s">
        <v>97</v>
      </c>
      <c r="B42" s="190">
        <f>VLOOKUP($A42,overview!$B$4:$D$213,2,0)</f>
        <v>1</v>
      </c>
      <c r="C42" s="191" t="str">
        <f>VLOOKUP($A42,overview!$B$4:$D$213,3,0)</f>
        <v>kWh</v>
      </c>
    </row>
    <row r="43" spans="1:3" s="10" customFormat="1">
      <c r="A43" s="46" t="s">
        <v>99</v>
      </c>
      <c r="B43" s="10">
        <f>VLOOKUP($A43,overview!$B$4:$D$213,2,0)</f>
        <v>1000000</v>
      </c>
      <c r="C43" s="144" t="str">
        <f>VLOOKUP($A43,overview!$B$4:$D$213,3,0)</f>
        <v>[1]</v>
      </c>
    </row>
    <row r="44" spans="1:3" s="10" customFormat="1">
      <c r="A44" s="46" t="s">
        <v>100</v>
      </c>
      <c r="B44" s="10">
        <f>VLOOKUP($A44,overview!$B$4:$D$213,2,0)</f>
        <v>0</v>
      </c>
      <c r="C44" s="144" t="str">
        <f>VLOOKUP($A44,overview!$B$4:$D$213,3,0)</f>
        <v>[1]</v>
      </c>
    </row>
    <row r="45" spans="1:3" s="10" customFormat="1">
      <c r="A45" s="46" t="s">
        <v>102</v>
      </c>
      <c r="B45" s="10">
        <f>VLOOKUP($A45,overview!$B$4:$D$213,2,0)</f>
        <v>297</v>
      </c>
      <c r="C45" s="144" t="str">
        <f>VLOOKUP($A45,overview!$B$4:$D$213,3,0)</f>
        <v>[EUR/kWh]</v>
      </c>
    </row>
    <row r="46" spans="1:3" s="10" customFormat="1">
      <c r="A46" s="46" t="s">
        <v>106</v>
      </c>
      <c r="B46" s="10">
        <f>VLOOKUP($A46,overview!$B$4:$D$213,2,0)</f>
        <v>0.04</v>
      </c>
      <c r="C46" s="144" t="str">
        <f>VLOOKUP($A46,overview!$B$4:$D$213,3,0)</f>
        <v>Fraction of CAPEX p.a.</v>
      </c>
    </row>
    <row r="47" spans="1:3" s="10" customFormat="1">
      <c r="A47" s="46" t="s">
        <v>107</v>
      </c>
      <c r="B47" s="10">
        <f>VLOOKUP($A47,overview!$B$4:$D$213,2,0)</f>
        <v>323</v>
      </c>
      <c r="C47" s="144" t="str">
        <f>VLOOKUP($A47,overview!$B$4:$D$213,3,0)</f>
        <v>[EUR/kWh]</v>
      </c>
    </row>
    <row r="48" spans="1:3" s="10" customFormat="1">
      <c r="A48" s="46" t="s">
        <v>108</v>
      </c>
      <c r="B48" s="10">
        <f>VLOOKUP($A48,overview!$B$4:$D$213,2,0)</f>
        <v>0.04</v>
      </c>
      <c r="C48" s="144" t="str">
        <f>VLOOKUP($A48,overview!$B$4:$D$213,3,0)</f>
        <v>Fraction of CAPEX p.a.</v>
      </c>
    </row>
    <row r="49" spans="1:3" s="10" customFormat="1">
      <c r="A49" s="46" t="s">
        <v>109</v>
      </c>
      <c r="B49" s="10">
        <f>VLOOKUP($A49,overview!$B$4:$D$213,2,0)</f>
        <v>267</v>
      </c>
      <c r="C49" s="144" t="str">
        <f>VLOOKUP($A49,overview!$B$4:$D$213,3,0)</f>
        <v>[EUR/kWh]</v>
      </c>
    </row>
    <row r="50" spans="1:3" s="10" customFormat="1">
      <c r="A50" s="46" t="s">
        <v>110</v>
      </c>
      <c r="B50" s="10">
        <f>VLOOKUP($A50,overview!$B$4:$D$213,2,0)</f>
        <v>0.04</v>
      </c>
      <c r="C50" s="144" t="str">
        <f>VLOOKUP($A50,overview!$B$4:$D$213,3,0)</f>
        <v>Fraction of CAPEX p.a.</v>
      </c>
    </row>
    <row r="51" spans="1:3" s="10" customFormat="1">
      <c r="A51" s="46" t="s">
        <v>111</v>
      </c>
      <c r="B51" s="10">
        <f>VLOOKUP($A51,overview!$B$4:$D$213,2,0)</f>
        <v>15</v>
      </c>
      <c r="C51" s="144" t="str">
        <f>VLOOKUP($A51,overview!$B$4:$D$213,3,0)</f>
        <v>years</v>
      </c>
    </row>
    <row r="52" spans="1:3" s="10" customFormat="1">
      <c r="A52" s="46" t="s">
        <v>113</v>
      </c>
      <c r="B52" s="10">
        <f>VLOOKUP($A52,overview!$B$4:$D$213,2,0)</f>
        <v>15</v>
      </c>
      <c r="C52" s="144" t="str">
        <f>VLOOKUP($A52,overview!$B$4:$D$213,3,0)</f>
        <v>years</v>
      </c>
    </row>
    <row r="53" spans="1:3" s="10" customFormat="1">
      <c r="A53" s="46" t="s">
        <v>114</v>
      </c>
      <c r="B53" s="10">
        <f>VLOOKUP($A53,overview!$B$4:$D$213,2,0)</f>
        <v>10</v>
      </c>
      <c r="C53" s="144" t="str">
        <f>VLOOKUP($A53,overview!$B$4:$D$213,3,0)</f>
        <v>years</v>
      </c>
    </row>
    <row r="54" spans="1:3" s="10" customFormat="1">
      <c r="A54" s="46" t="s">
        <v>558</v>
      </c>
      <c r="B54" s="10">
        <f>VLOOKUP($A54,overview!$B$4:$D$213,2,0)</f>
        <v>200</v>
      </c>
      <c r="C54" s="144" t="str">
        <f>VLOOKUP($A54,overview!$B$4:$D$213,3,0)</f>
        <v>Wh/kg</v>
      </c>
    </row>
    <row r="55" spans="1:3" s="10" customFormat="1">
      <c r="A55" s="46" t="s">
        <v>116</v>
      </c>
      <c r="B55" s="10">
        <f>VLOOKUP($A55,overview!$B$4:$D$213,2,0)</f>
        <v>0.9</v>
      </c>
      <c r="C55" s="144">
        <f>VLOOKUP($A55,overview!$B$4:$D$213,3,0)</f>
        <v>0</v>
      </c>
    </row>
    <row r="56" spans="1:3" s="137" customFormat="1" ht="17" thickBot="1">
      <c r="A56" s="194" t="s">
        <v>118</v>
      </c>
      <c r="B56" s="137" t="str">
        <f>VLOOKUP($A56,overview!$B$4:$D$213,2,0)</f>
        <v>0.5 - 2</v>
      </c>
      <c r="C56" s="192" t="str">
        <f>VLOOKUP($A56,overview!$B$4:$D$213,3,0)</f>
        <v>1/hours</v>
      </c>
    </row>
    <row r="57" spans="1:3" s="190" customFormat="1">
      <c r="A57" s="195" t="s">
        <v>124</v>
      </c>
      <c r="B57" s="190">
        <f>VLOOKUP($A57,overview!$B$4:$D$213,2,0)</f>
        <v>1</v>
      </c>
      <c r="C57" s="191" t="str">
        <f>VLOOKUP($A57,overview!$B$4:$D$213,3,0)</f>
        <v>kW</v>
      </c>
    </row>
    <row r="58" spans="1:3" s="10" customFormat="1">
      <c r="A58" s="46" t="s">
        <v>125</v>
      </c>
      <c r="B58" s="10">
        <f>VLOOKUP($A58,overview!$B$4:$D$213,2,0)</f>
        <v>100000</v>
      </c>
      <c r="C58" s="144" t="str">
        <f>VLOOKUP($A58,overview!$B$4:$D$213,3,0)</f>
        <v>[1]</v>
      </c>
    </row>
    <row r="59" spans="1:3" s="10" customFormat="1">
      <c r="A59" s="46" t="s">
        <v>126</v>
      </c>
      <c r="B59" s="10">
        <f>VLOOKUP($A59,overview!$B$4:$D$213,2,0)</f>
        <v>0</v>
      </c>
      <c r="C59" s="144" t="str">
        <f>VLOOKUP($A59,overview!$B$4:$D$213,3,0)</f>
        <v>[1]</v>
      </c>
    </row>
    <row r="60" spans="1:3" s="10" customFormat="1">
      <c r="A60" s="46" t="s">
        <v>127</v>
      </c>
      <c r="B60" s="10">
        <f>VLOOKUP($A60,overview!$B$4:$D$213,2,0)</f>
        <v>900</v>
      </c>
      <c r="C60" s="144" t="str">
        <f>VLOOKUP($A60,overview!$B$4:$D$213,3,0)</f>
        <v>[EUR/kWel]</v>
      </c>
    </row>
    <row r="61" spans="1:3" s="10" customFormat="1">
      <c r="A61" s="46" t="s">
        <v>130</v>
      </c>
      <c r="B61" s="10">
        <f>VLOOKUP($A61,overview!$B$4:$D$213,2,0)</f>
        <v>0.03</v>
      </c>
      <c r="C61" s="144" t="str">
        <f>VLOOKUP($A61,overview!$B$4:$D$213,3,0)</f>
        <v>Fraction of CAPEX p.a.</v>
      </c>
    </row>
    <row r="62" spans="1:3" s="10" customFormat="1">
      <c r="A62" s="46" t="s">
        <v>131</v>
      </c>
      <c r="B62" s="10">
        <f>VLOOKUP($A62,overview!$B$4:$D$213,2,0)</f>
        <v>1188</v>
      </c>
      <c r="C62" s="144" t="str">
        <f>VLOOKUP($A62,overview!$B$4:$D$213,3,0)</f>
        <v>[EUR/kWel]</v>
      </c>
    </row>
    <row r="63" spans="1:3" s="10" customFormat="1">
      <c r="A63" s="46" t="s">
        <v>132</v>
      </c>
      <c r="B63" s="10">
        <f>VLOOKUP($A63,overview!$B$4:$D$213,2,0)</f>
        <v>0.03</v>
      </c>
      <c r="C63" s="144" t="str">
        <f>VLOOKUP($A63,overview!$B$4:$D$213,3,0)</f>
        <v>Fraction of CAPEX p.a.</v>
      </c>
    </row>
    <row r="64" spans="1:3" s="10" customFormat="1">
      <c r="A64" s="58" t="s">
        <v>133</v>
      </c>
      <c r="B64" s="10">
        <f>VLOOKUP($A64,overview!$B$4:$D$213,2,0)</f>
        <v>737</v>
      </c>
      <c r="C64" s="144" t="str">
        <f>VLOOKUP($A64,overview!$B$4:$D$213,3,0)</f>
        <v>[EUR/kWel]</v>
      </c>
    </row>
    <row r="65" spans="1:3" s="10" customFormat="1">
      <c r="A65" s="58" t="s">
        <v>134</v>
      </c>
      <c r="B65" s="10">
        <f>VLOOKUP($A65,overview!$B$4:$D$213,2,0)</f>
        <v>0.03</v>
      </c>
      <c r="C65" s="144" t="str">
        <f>VLOOKUP($A65,overview!$B$4:$D$213,3,0)</f>
        <v>Fraction of CAPEX p.a.</v>
      </c>
    </row>
    <row r="66" spans="1:3" s="10" customFormat="1">
      <c r="A66" s="58" t="s">
        <v>135</v>
      </c>
      <c r="B66" s="10">
        <f>VLOOKUP($A66,overview!$B$4:$D$213,2,0)</f>
        <v>30</v>
      </c>
      <c r="C66" s="144" t="str">
        <f>VLOOKUP($A66,overview!$B$4:$D$213,3,0)</f>
        <v>years</v>
      </c>
    </row>
    <row r="67" spans="1:3" s="10" customFormat="1">
      <c r="A67" s="46" t="s">
        <v>136</v>
      </c>
      <c r="B67" s="10">
        <f>VLOOKUP($A67,overview!$B$4:$D$213,2,0)</f>
        <v>25</v>
      </c>
      <c r="C67" s="144" t="str">
        <f>VLOOKUP($A67,overview!$B$4:$D$213,3,0)</f>
        <v>years</v>
      </c>
    </row>
    <row r="68" spans="1:3" s="10" customFormat="1">
      <c r="A68" s="58" t="s">
        <v>137</v>
      </c>
      <c r="B68" s="10">
        <f>VLOOKUP($A68,overview!$B$4:$D$213,2,0)</f>
        <v>20</v>
      </c>
      <c r="C68" s="144" t="str">
        <f>VLOOKUP($A68,overview!$B$4:$D$213,3,0)</f>
        <v>years</v>
      </c>
    </row>
    <row r="69" spans="1:3" s="10" customFormat="1">
      <c r="A69" s="46" t="s">
        <v>139</v>
      </c>
      <c r="B69" s="10">
        <f>VLOOKUP($A69,overview!$B$4:$D$213,2,0)</f>
        <v>0.1</v>
      </c>
      <c r="C69" s="144" t="str">
        <f>VLOOKUP($A69,overview!$B$4:$D$213,3,0)</f>
        <v>Fraction of rated electricity input power</v>
      </c>
    </row>
    <row r="70" spans="1:3" s="10" customFormat="1">
      <c r="A70" s="46" t="s">
        <v>605</v>
      </c>
      <c r="B70" s="10">
        <f>VLOOKUP($A70,overview!$B$4:$D$213,2,0)</f>
        <v>0.757692307692308</v>
      </c>
      <c r="C70" s="144">
        <f>VLOOKUP($A70,overview!$B$4:$D$213,3,0)</f>
        <v>0</v>
      </c>
    </row>
    <row r="71" spans="1:3" s="10" customFormat="1">
      <c r="A71" s="46" t="s">
        <v>142</v>
      </c>
      <c r="B71" s="10">
        <f>VLOOKUP($A71,overview!$B$4:$D$213,2,0)</f>
        <v>0.64</v>
      </c>
      <c r="C71" s="144" t="str">
        <f>VLOOKUP($A71,overview!$B$4:$D$213,3,0)</f>
        <v>[(kWh H2 (HHV)) / (kWh el) ]</v>
      </c>
    </row>
    <row r="72" spans="1:3" s="137" customFormat="1" ht="17" thickBot="1">
      <c r="A72" s="194" t="s">
        <v>606</v>
      </c>
      <c r="B72" s="137">
        <f>VLOOKUP($A72,overview!$B$4:$D$213,2,0)</f>
        <v>0.53</v>
      </c>
      <c r="C72" s="192">
        <f>VLOOKUP($A72,overview!$B$4:$D$213,3,0)</f>
        <v>0</v>
      </c>
    </row>
    <row r="73" spans="1:3" s="190" customFormat="1">
      <c r="A73" s="195" t="s">
        <v>146</v>
      </c>
      <c r="B73" s="190">
        <f>VLOOKUP($A73,overview!$B$4:$D$213,2,0)</f>
        <v>1</v>
      </c>
      <c r="C73" s="191" t="str">
        <f>VLOOKUP($A73,overview!$B$4:$D$213,3,0)</f>
        <v>kWh</v>
      </c>
    </row>
    <row r="74" spans="1:3" s="10" customFormat="1">
      <c r="A74" s="58" t="s">
        <v>147</v>
      </c>
      <c r="B74" s="10">
        <f>VLOOKUP($A74,overview!$B$4:$D$213,2,0)</f>
        <v>1000000</v>
      </c>
      <c r="C74" s="144" t="str">
        <f>VLOOKUP($A74,overview!$B$4:$D$213,3,0)</f>
        <v>[1]</v>
      </c>
    </row>
    <row r="75" spans="1:3" s="10" customFormat="1">
      <c r="A75" s="58" t="s">
        <v>148</v>
      </c>
      <c r="B75" s="10">
        <f>VLOOKUP($A75,overview!$B$4:$D$213,2,0)</f>
        <v>0</v>
      </c>
      <c r="C75" s="144" t="str">
        <f>VLOOKUP($A75,overview!$B$4:$D$213,3,0)</f>
        <v>[1]</v>
      </c>
    </row>
    <row r="76" spans="1:3" s="10" customFormat="1">
      <c r="A76" s="58" t="s">
        <v>149</v>
      </c>
      <c r="B76" s="10">
        <f>VLOOKUP($A76,overview!$B$4:$D$213,2,0)</f>
        <v>0.06</v>
      </c>
      <c r="C76" s="144" t="str">
        <f>VLOOKUP($A76,overview!$B$4:$D$213,3,0)</f>
        <v>EUR/kWh</v>
      </c>
    </row>
    <row r="77" spans="1:3" s="10" customFormat="1">
      <c r="A77" s="58" t="s">
        <v>150</v>
      </c>
      <c r="B77" s="10">
        <f>VLOOKUP($A77,overview!$B$4:$D$213,2,0)</f>
        <v>1.4999999999999999E-2</v>
      </c>
      <c r="C77" s="144" t="str">
        <f>VLOOKUP($A77,overview!$B$4:$D$213,3,0)</f>
        <v>Fraction of CAPEX p.a.</v>
      </c>
    </row>
    <row r="78" spans="1:3" s="137" customFormat="1" ht="17" thickBot="1">
      <c r="A78" s="196" t="s">
        <v>594</v>
      </c>
      <c r="B78" s="137">
        <f>VLOOKUP($A78,overview!$B$4:$D$213,2,0)</f>
        <v>60</v>
      </c>
      <c r="C78" s="192" t="str">
        <f>VLOOKUP($A78,overview!$B$4:$D$213,3,0)</f>
        <v>years</v>
      </c>
    </row>
    <row r="79" spans="1:3" s="190" customFormat="1">
      <c r="A79" s="195" t="s">
        <v>153</v>
      </c>
      <c r="B79" s="190">
        <f>VLOOKUP($A79,overview!$B$4:$D$213,2,0)</f>
        <v>1</v>
      </c>
      <c r="C79" s="191" t="str">
        <f>VLOOKUP($A79,overview!$B$4:$D$213,3,0)</f>
        <v>kgCO2/hr</v>
      </c>
    </row>
    <row r="80" spans="1:3" s="10" customFormat="1">
      <c r="A80" s="46" t="s">
        <v>155</v>
      </c>
      <c r="B80" s="10">
        <f>VLOOKUP($A80,overview!$B$4:$D$213,2,0)</f>
        <v>1000000</v>
      </c>
      <c r="C80" s="144" t="str">
        <f>VLOOKUP($A80,overview!$B$4:$D$213,3,0)</f>
        <v>[1]</v>
      </c>
    </row>
    <row r="81" spans="1:3" s="10" customFormat="1">
      <c r="A81" s="46" t="s">
        <v>156</v>
      </c>
      <c r="B81" s="10">
        <f>VLOOKUP($A81,overview!$B$4:$D$213,2,0)</f>
        <v>0</v>
      </c>
      <c r="C81" s="144" t="str">
        <f>VLOOKUP($A81,overview!$B$4:$D$213,3,0)</f>
        <v>[1]</v>
      </c>
    </row>
    <row r="82" spans="1:3" s="10" customFormat="1">
      <c r="A82" s="46" t="s">
        <v>157</v>
      </c>
      <c r="B82" s="10">
        <f>VLOOKUP($A82,overview!$B$4:$D$213,2,0)</f>
        <v>730</v>
      </c>
      <c r="C82" s="144" t="str">
        <f>VLOOKUP($A82,overview!$B$4:$D$213,3,0)</f>
        <v>[EUR/ton*yr]</v>
      </c>
    </row>
    <row r="83" spans="1:3" s="10" customFormat="1">
      <c r="A83" s="46" t="s">
        <v>160</v>
      </c>
      <c r="B83" s="10">
        <f>VLOOKUP($A83,overview!$B$4:$D$213,2,0)</f>
        <v>0.04</v>
      </c>
      <c r="C83" s="144" t="str">
        <f>VLOOKUP($A83,overview!$B$4:$D$213,3,0)</f>
        <v>Fraction of CAPEX p.a.</v>
      </c>
    </row>
    <row r="84" spans="1:3" s="10" customFormat="1">
      <c r="A84" s="46" t="s">
        <v>161</v>
      </c>
      <c r="B84" s="10">
        <f>VLOOKUP($A84,overview!$B$4:$D$213,2,0)</f>
        <v>1010</v>
      </c>
      <c r="C84" s="144" t="str">
        <f>VLOOKUP($A84,overview!$B$4:$D$213,3,0)</f>
        <v>[EUR/ton*yr]</v>
      </c>
    </row>
    <row r="85" spans="1:3" s="10" customFormat="1">
      <c r="A85" s="46" t="s">
        <v>162</v>
      </c>
      <c r="B85" s="10">
        <f>VLOOKUP($A85,overview!$B$4:$D$213,2,0)</f>
        <v>0.04</v>
      </c>
      <c r="C85" s="144" t="str">
        <f>VLOOKUP($A85,overview!$B$4:$D$213,3,0)</f>
        <v>Fraction of CAPEX p.a.</v>
      </c>
    </row>
    <row r="86" spans="1:3" s="10" customFormat="1">
      <c r="A86" s="46" t="s">
        <v>163</v>
      </c>
      <c r="B86" s="10">
        <f>VLOOKUP($A86,overview!$B$4:$D$213,2,0)</f>
        <v>450</v>
      </c>
      <c r="C86" s="144" t="str">
        <f>VLOOKUP($A86,overview!$B$4:$D$213,3,0)</f>
        <v>[EUR/ton*yr]</v>
      </c>
    </row>
    <row r="87" spans="1:3" s="10" customFormat="1">
      <c r="A87" s="46" t="s">
        <v>164</v>
      </c>
      <c r="B87" s="10">
        <f>VLOOKUP($A87,overview!$B$4:$D$213,2,0)</f>
        <v>0.04</v>
      </c>
      <c r="C87" s="144" t="str">
        <f>VLOOKUP($A87,overview!$B$4:$D$213,3,0)</f>
        <v>Fraction of CAPEX p.a.</v>
      </c>
    </row>
    <row r="88" spans="1:3" s="10" customFormat="1">
      <c r="A88" s="46" t="s">
        <v>596</v>
      </c>
      <c r="B88" s="10">
        <f>VLOOKUP($A88,overview!$B$4:$D$213,2,0)</f>
        <v>1.6</v>
      </c>
      <c r="C88" s="144" t="str">
        <f>VLOOKUP($A88,overview!$B$4:$D$213,3,0)</f>
        <v>﻿kWhel/kgCO2</v>
      </c>
    </row>
    <row r="89" spans="1:3" s="10" customFormat="1">
      <c r="A89" s="46" t="s">
        <v>166</v>
      </c>
      <c r="B89" s="10">
        <f>VLOOKUP($A89,overview!$B$4:$D$213,2,0)</f>
        <v>0.4</v>
      </c>
      <c r="C89" s="144" t="str">
        <f>VLOOKUP($A89,overview!$B$4:$D$213,3,0)</f>
        <v>﻿kWhel/kgCO2</v>
      </c>
    </row>
    <row r="90" spans="1:3" s="10" customFormat="1">
      <c r="A90" s="58" t="s">
        <v>167</v>
      </c>
      <c r="B90" s="10">
        <f>VLOOKUP($A90,overview!$B$4:$D$213,2,0)</f>
        <v>25</v>
      </c>
      <c r="C90" s="144" t="str">
        <f>VLOOKUP($A90,overview!$B$4:$D$213,3,0)</f>
        <v>years</v>
      </c>
    </row>
    <row r="91" spans="1:3" s="10" customFormat="1">
      <c r="A91" s="46" t="s">
        <v>168</v>
      </c>
      <c r="B91" s="10">
        <f>VLOOKUP($A91,overview!$B$4:$D$213,2,0)</f>
        <v>20</v>
      </c>
      <c r="C91" s="144" t="str">
        <f>VLOOKUP($A91,overview!$B$4:$D$213,3,0)</f>
        <v>years</v>
      </c>
    </row>
    <row r="92" spans="1:3" s="137" customFormat="1" ht="17" thickBot="1">
      <c r="A92" s="86" t="s">
        <v>169</v>
      </c>
      <c r="B92" s="137">
        <f>VLOOKUP($A92,overview!$B$4:$D$213,2,0)</f>
        <v>15</v>
      </c>
      <c r="C92" s="192" t="str">
        <f>VLOOKUP($A92,overview!$B$4:$D$213,3,0)</f>
        <v>years</v>
      </c>
    </row>
    <row r="93" spans="1:3" s="190" customFormat="1">
      <c r="A93" s="33" t="s">
        <v>172</v>
      </c>
      <c r="B93" s="190">
        <f>VLOOKUP($A93,overview!$B$4:$D$213,2,0)</f>
        <v>1</v>
      </c>
      <c r="C93" s="191" t="str">
        <f>VLOOKUP($A93,overview!$B$4:$D$213,3,0)</f>
        <v>kg CO2</v>
      </c>
    </row>
    <row r="94" spans="1:3" s="10" customFormat="1">
      <c r="A94" s="58" t="s">
        <v>174</v>
      </c>
      <c r="B94" s="10">
        <f>VLOOKUP($A94,overview!$B$4:$D$213,2,0)</f>
        <v>1000000000000</v>
      </c>
      <c r="C94" s="144" t="str">
        <f>VLOOKUP($A94,overview!$B$4:$D$213,3,0)</f>
        <v>[1]</v>
      </c>
    </row>
    <row r="95" spans="1:3" s="10" customFormat="1">
      <c r="A95" s="58" t="s">
        <v>175</v>
      </c>
      <c r="B95" s="10">
        <f>VLOOKUP($A95,overview!$B$4:$D$213,2,0)</f>
        <v>0</v>
      </c>
      <c r="C95" s="144" t="str">
        <f>VLOOKUP($A95,overview!$B$4:$D$213,3,0)</f>
        <v>[1]</v>
      </c>
    </row>
    <row r="96" spans="1:3" s="10" customFormat="1">
      <c r="A96" s="58" t="s">
        <v>176</v>
      </c>
      <c r="B96" s="10">
        <f>VLOOKUP($A96,overview!$B$4:$D$213,2,0)</f>
        <v>1</v>
      </c>
      <c r="C96" s="144" t="str">
        <f>VLOOKUP($A96,overview!$B$4:$D$213,3,0)</f>
        <v>EUR/t</v>
      </c>
    </row>
    <row r="97" spans="1:3" s="10" customFormat="1">
      <c r="A97" s="58" t="s">
        <v>178</v>
      </c>
      <c r="B97" s="10">
        <f>VLOOKUP($A97,overview!$B$4:$D$213,2,0)</f>
        <v>3.5000000000000003E-2</v>
      </c>
      <c r="C97" s="144" t="str">
        <f>VLOOKUP($A97,overview!$B$4:$D$213,3,0)</f>
        <v>Fraction of CAPEX p.a.</v>
      </c>
    </row>
    <row r="98" spans="1:3" s="137" customFormat="1" ht="17" thickBot="1">
      <c r="A98" s="86" t="s">
        <v>593</v>
      </c>
      <c r="B98" s="137">
        <f>VLOOKUP($A98,overview!$B$4:$D$213,2,0)</f>
        <v>60</v>
      </c>
      <c r="C98" s="192" t="str">
        <f>VLOOKUP($A98,overview!$B$4:$D$213,3,0)</f>
        <v>years</v>
      </c>
    </row>
    <row r="99" spans="1:3" s="190" customFormat="1">
      <c r="A99" s="195" t="s">
        <v>181</v>
      </c>
      <c r="B99" s="190">
        <f>VLOOKUP($A99,overview!$B$4:$D$213,2,0)</f>
        <v>1</v>
      </c>
      <c r="C99" s="191" t="str">
        <f>VLOOKUP($A99,overview!$B$4:$D$213,3,0)</f>
        <v>kW jet fuel output</v>
      </c>
    </row>
    <row r="100" spans="1:3" s="10" customFormat="1">
      <c r="A100" s="46" t="s">
        <v>183</v>
      </c>
      <c r="B100" s="10">
        <f>VLOOKUP($A100,overview!$B$4:$D$213,2,0)</f>
        <v>1000000</v>
      </c>
      <c r="C100" s="144" t="str">
        <f>VLOOKUP($A100,overview!$B$4:$D$213,3,0)</f>
        <v>[1]</v>
      </c>
    </row>
    <row r="101" spans="1:3" s="10" customFormat="1">
      <c r="A101" s="46" t="s">
        <v>184</v>
      </c>
      <c r="B101" s="10">
        <f>VLOOKUP($A101,overview!$B$4:$D$213,2,0)</f>
        <v>0</v>
      </c>
      <c r="C101" s="144" t="str">
        <f>VLOOKUP($A101,overview!$B$4:$D$213,3,0)</f>
        <v>[1]</v>
      </c>
    </row>
    <row r="102" spans="1:3" s="10" customFormat="1">
      <c r="A102" s="46" t="s">
        <v>187</v>
      </c>
      <c r="B102" s="10">
        <f>VLOOKUP($A102,overview!$B$4:$D$213,2,0)</f>
        <v>788</v>
      </c>
      <c r="C102" s="144" t="str">
        <f>VLOOKUP($A102,overview!$B$4:$D$213,3,0)</f>
        <v>[EUR/kW fuel output]</v>
      </c>
    </row>
    <row r="103" spans="1:3" s="10" customFormat="1">
      <c r="A103" s="46" t="s">
        <v>190</v>
      </c>
      <c r="B103" s="10">
        <f>VLOOKUP($A103,overview!$B$4:$D$213,2,0)</f>
        <v>0.03</v>
      </c>
      <c r="C103" s="144" t="str">
        <f>VLOOKUP($A103,overview!$B$4:$D$213,3,0)</f>
        <v>Fraction of CAPEX p.a.</v>
      </c>
    </row>
    <row r="104" spans="1:3" s="10" customFormat="1">
      <c r="A104" s="46" t="s">
        <v>191</v>
      </c>
      <c r="B104" s="10">
        <f>VLOOKUP($A104,overview!$B$4:$D$213,2,0)</f>
        <v>933.14285714285711</v>
      </c>
      <c r="C104" s="144">
        <f>VLOOKUP($A104,overview!$B$4:$D$213,3,0)</f>
        <v>0</v>
      </c>
    </row>
    <row r="105" spans="1:3" s="10" customFormat="1">
      <c r="A105" s="46" t="s">
        <v>192</v>
      </c>
      <c r="B105" s="10">
        <f>VLOOKUP($A105,overview!$B$4:$D$213,2,0)</f>
        <v>0.03</v>
      </c>
      <c r="C105" s="144">
        <f>VLOOKUP($A105,overview!$B$4:$D$213,3,0)</f>
        <v>0</v>
      </c>
    </row>
    <row r="106" spans="1:3" s="10" customFormat="1">
      <c r="A106" s="46" t="s">
        <v>193</v>
      </c>
      <c r="B106" s="10">
        <f>VLOOKUP($A106,overview!$B$4:$D$213,2,0)</f>
        <v>642.85714285714289</v>
      </c>
      <c r="C106" s="144" t="str">
        <f>VLOOKUP($A106,overview!$B$4:$D$213,3,0)</f>
        <v>[EUR/kW fuel output]</v>
      </c>
    </row>
    <row r="107" spans="1:3" s="10" customFormat="1">
      <c r="A107" s="46" t="s">
        <v>194</v>
      </c>
      <c r="B107" s="10">
        <f>VLOOKUP($A107,overview!$B$4:$D$213,2,0)</f>
        <v>0.03</v>
      </c>
      <c r="C107" s="144" t="str">
        <f>VLOOKUP($A107,overview!$B$4:$D$213,3,0)</f>
        <v>Fraction of CAPEX p.a.</v>
      </c>
    </row>
    <row r="108" spans="1:3" s="10" customFormat="1">
      <c r="A108" s="46" t="s">
        <v>585</v>
      </c>
      <c r="B108" s="10">
        <f>VLOOKUP($A108,overview!$B$4:$D$213,2,0)</f>
        <v>0.13400000000000001</v>
      </c>
      <c r="C108" s="144" t="str">
        <f>VLOOKUP($A108,overview!$B$4:$D$213,3,0)</f>
        <v>kWh el / kWh fuel mix</v>
      </c>
    </row>
    <row r="109" spans="1:3" s="10" customFormat="1">
      <c r="A109" s="46" t="s">
        <v>582</v>
      </c>
      <c r="B109" s="10">
        <f>VLOOKUP($A109,overview!$B$4:$D$213,2,0)</f>
        <v>0.32600000000000001</v>
      </c>
      <c r="C109" s="144" t="str">
        <f>VLOOKUP($A109,overview!$B$4:$D$213,3,0)</f>
        <v>kWh th / kWh fuel mix</v>
      </c>
    </row>
    <row r="110" spans="1:3" s="10" customFormat="1">
      <c r="A110" s="46" t="s">
        <v>196</v>
      </c>
      <c r="B110" s="10">
        <f>VLOOKUP($A110,overview!$B$4:$D$213,2,0)</f>
        <v>1.4970000000000001</v>
      </c>
      <c r="C110" s="144" t="str">
        <f>VLOOKUP($A110,overview!$B$4:$D$213,3,0)</f>
        <v>kWhH2 / kWh fuel mix</v>
      </c>
    </row>
    <row r="111" spans="1:3" s="10" customFormat="1">
      <c r="A111" s="46" t="s">
        <v>199</v>
      </c>
      <c r="B111" s="10">
        <f>VLOOKUP($A111,overview!$B$4:$D$213,2,0)</f>
        <v>0.2</v>
      </c>
      <c r="C111" s="144" t="str">
        <f>VLOOKUP($A111,overview!$B$4:$D$213,3,0)</f>
        <v>Fraction of rated fuel output</v>
      </c>
    </row>
    <row r="112" spans="1:3" s="10" customFormat="1">
      <c r="A112" s="46" t="s">
        <v>202</v>
      </c>
      <c r="B112" s="10">
        <f>VLOOKUP($A112,overview!$B$4:$D$213,2,0)</f>
        <v>0.34100000000000003</v>
      </c>
      <c r="C112" s="144" t="str">
        <f>VLOOKUP($A112,overview!$B$4:$D$213,3,0)</f>
        <v>kg CO2/ kWh fuel mix</v>
      </c>
    </row>
    <row r="113" spans="1:3" s="10" customFormat="1">
      <c r="A113" s="46" t="s">
        <v>597</v>
      </c>
      <c r="B113" s="10" t="e">
        <f>VLOOKUP($A113,overview!$B$4:$D$213,2,0)</f>
        <v>#N/A</v>
      </c>
      <c r="C113" s="144" t="e">
        <f>VLOOKUP($A113,overview!$B$4:$D$213,3,0)</f>
        <v>#N/A</v>
      </c>
    </row>
    <row r="114" spans="1:3" s="10" customFormat="1">
      <c r="A114" s="46" t="s">
        <v>204</v>
      </c>
      <c r="B114" s="10">
        <f>VLOOKUP($A114,overview!$B$4:$D$213,2,0)</f>
        <v>0.44</v>
      </c>
      <c r="C114" s="144">
        <f>VLOOKUP($A114,overview!$B$4:$D$213,3,0)</f>
        <v>0</v>
      </c>
    </row>
    <row r="115" spans="1:3" s="10" customFormat="1">
      <c r="A115" s="46" t="s">
        <v>598</v>
      </c>
      <c r="B115" s="10" t="e">
        <f>VLOOKUP($A115,overview!$B$4:$D$213,2,0)</f>
        <v>#N/A</v>
      </c>
      <c r="C115" s="144" t="e">
        <f>VLOOKUP($A115,overview!$B$4:$D$213,3,0)</f>
        <v>#N/A</v>
      </c>
    </row>
    <row r="116" spans="1:3" s="10" customFormat="1">
      <c r="A116" s="46" t="s">
        <v>599</v>
      </c>
      <c r="B116" s="10" t="e">
        <f>VLOOKUP($A116,overview!$B$4:$D$213,2,0)</f>
        <v>#N/A</v>
      </c>
      <c r="C116" s="144" t="e">
        <f>VLOOKUP($A116,overview!$B$4:$D$213,3,0)</f>
        <v>#N/A</v>
      </c>
    </row>
    <row r="117" spans="1:3" s="10" customFormat="1">
      <c r="A117" s="46" t="s">
        <v>207</v>
      </c>
      <c r="B117" s="10">
        <f>VLOOKUP($A117,overview!$B$4:$D$213,2,0)</f>
        <v>0.31</v>
      </c>
      <c r="C117" s="144">
        <f>VLOOKUP($A117,overview!$B$4:$D$213,3,0)</f>
        <v>0</v>
      </c>
    </row>
    <row r="118" spans="1:3" s="10" customFormat="1">
      <c r="A118" s="46" t="s">
        <v>600</v>
      </c>
      <c r="B118" s="10" t="e">
        <f>VLOOKUP($A118,overview!$B$4:$D$213,2,0)</f>
        <v>#N/A</v>
      </c>
      <c r="C118" s="144" t="e">
        <f>VLOOKUP($A118,overview!$B$4:$D$213,3,0)</f>
        <v>#N/A</v>
      </c>
    </row>
    <row r="119" spans="1:3" s="10" customFormat="1">
      <c r="A119" s="46" t="s">
        <v>601</v>
      </c>
      <c r="B119" s="10" t="e">
        <f>VLOOKUP($A119,overview!$B$4:$D$213,2,0)</f>
        <v>#N/A</v>
      </c>
      <c r="C119" s="144" t="e">
        <f>VLOOKUP($A119,overview!$B$4:$D$213,3,0)</f>
        <v>#N/A</v>
      </c>
    </row>
    <row r="120" spans="1:3" s="10" customFormat="1">
      <c r="A120" s="46" t="s">
        <v>209</v>
      </c>
      <c r="B120" s="10">
        <f>VLOOKUP($A120,overview!$B$4:$D$213,2,0)</f>
        <v>0.25</v>
      </c>
      <c r="C120" s="144">
        <f>VLOOKUP($A120,overview!$B$4:$D$213,3,0)</f>
        <v>0</v>
      </c>
    </row>
    <row r="121" spans="1:3" s="10" customFormat="1">
      <c r="A121" s="46" t="s">
        <v>602</v>
      </c>
      <c r="B121" s="10" t="e">
        <f>VLOOKUP($A121,overview!$B$4:$D$213,2,0)</f>
        <v>#N/A</v>
      </c>
      <c r="C121" s="144" t="e">
        <f>VLOOKUP($A121,overview!$B$4:$D$213,3,0)</f>
        <v>#N/A</v>
      </c>
    </row>
    <row r="122" spans="1:3" s="10" customFormat="1">
      <c r="A122" s="46" t="s">
        <v>587</v>
      </c>
      <c r="B122" s="10">
        <f>VLOOKUP($A122,overview!$B$4:$D$213,2,0)</f>
        <v>35</v>
      </c>
      <c r="C122" s="144">
        <f>VLOOKUP($A122,overview!$B$4:$D$213,3,0)</f>
        <v>0</v>
      </c>
    </row>
    <row r="123" spans="1:3" s="10" customFormat="1">
      <c r="A123" s="46" t="s">
        <v>588</v>
      </c>
      <c r="B123" s="10">
        <f>VLOOKUP($A123,overview!$B$4:$D$213,2,0)</f>
        <v>30</v>
      </c>
      <c r="C123" s="144">
        <f>VLOOKUP($A123,overview!$B$4:$D$213,3,0)</f>
        <v>0</v>
      </c>
    </row>
    <row r="124" spans="1:3" s="137" customFormat="1" ht="17" thickBot="1">
      <c r="A124" s="194" t="s">
        <v>589</v>
      </c>
      <c r="B124" s="137">
        <f>VLOOKUP($A124,overview!$B$4:$D$213,2,0)</f>
        <v>25</v>
      </c>
      <c r="C124" s="192">
        <f>VLOOKUP($A124,overview!$B$4:$D$213,3,0)</f>
        <v>0</v>
      </c>
    </row>
    <row r="125" spans="1:3" s="190" customFormat="1">
      <c r="A125" s="33" t="s">
        <v>212</v>
      </c>
      <c r="B125" s="190">
        <f>VLOOKUP($A125,overview!$B$4:$D$213,2,0)</f>
        <v>43000000</v>
      </c>
      <c r="C125" s="191" t="str">
        <f>VLOOKUP($A125,overview!$B$4:$D$213,3,0)</f>
        <v>J/kg</v>
      </c>
    </row>
    <row r="126" spans="1:3" s="10" customFormat="1">
      <c r="A126" s="58" t="s">
        <v>216</v>
      </c>
      <c r="B126" s="10">
        <f>VLOOKUP($A126,overview!$B$4:$D$213,2,0)</f>
        <v>44600000</v>
      </c>
      <c r="C126" s="144" t="str">
        <f>VLOOKUP($A126,overview!$B$4:$D$213,3,0)</f>
        <v>J/kg</v>
      </c>
    </row>
    <row r="127" spans="1:3" s="10" customFormat="1">
      <c r="A127" s="58" t="s">
        <v>218</v>
      </c>
      <c r="B127" s="10">
        <f>VLOOKUP($A127,overview!$B$4:$D$213,2,0)</f>
        <v>42600000</v>
      </c>
      <c r="C127" s="144" t="str">
        <f>VLOOKUP($A127,overview!$B$4:$D$213,3,0)</f>
        <v>J/kg</v>
      </c>
    </row>
    <row r="128" spans="1:3" s="10" customFormat="1">
      <c r="A128" s="58" t="s">
        <v>220</v>
      </c>
      <c r="B128" s="10">
        <f>VLOOKUP($A128,overview!$B$4:$D$213,2,0)</f>
        <v>3.1080000000000001</v>
      </c>
      <c r="C128" s="144" t="str">
        <f>VLOOKUP($A128,overview!$B$4:$D$213,3,0)</f>
        <v>kg/gal</v>
      </c>
    </row>
    <row r="129" spans="1:4" s="10" customFormat="1">
      <c r="A129" s="58" t="s">
        <v>223</v>
      </c>
      <c r="B129" s="10">
        <f>VLOOKUP($A129,overview!$B$4:$D$213,2,0)</f>
        <v>2.7450000000000001</v>
      </c>
      <c r="C129" s="144" t="str">
        <f>VLOOKUP($A129,overview!$B$4:$D$213,3,0)</f>
        <v>kg/gal</v>
      </c>
    </row>
    <row r="130" spans="1:4" s="10" customFormat="1">
      <c r="A130" s="58" t="s">
        <v>225</v>
      </c>
      <c r="B130" s="10">
        <f>VLOOKUP($A130,overview!$B$4:$D$213,2,0)</f>
        <v>3.202</v>
      </c>
      <c r="C130" s="144" t="str">
        <f>VLOOKUP($A130,overview!$B$4:$D$213,3,0)</f>
        <v>kg/gal</v>
      </c>
    </row>
    <row r="131" spans="1:4" s="10" customFormat="1">
      <c r="A131" s="58" t="s">
        <v>227</v>
      </c>
      <c r="B131" s="10">
        <f>VLOOKUP($A131,overview!$B$4:$D$213,2,0)</f>
        <v>0.45297568375969288</v>
      </c>
      <c r="C131" s="144" t="str">
        <f>VLOOKUP($A131,overview!$B$4:$D$213,3,0)</f>
        <v/>
      </c>
    </row>
    <row r="132" spans="1:4" s="10" customFormat="1">
      <c r="A132" s="58" t="s">
        <v>229</v>
      </c>
      <c r="B132" s="10">
        <f>VLOOKUP($A132,overview!$B$4:$D$213,2,0)</f>
        <v>0.28186765684985277</v>
      </c>
      <c r="C132" s="144" t="str">
        <f>VLOOKUP($A132,overview!$B$4:$D$213,3,0)</f>
        <v/>
      </c>
    </row>
    <row r="133" spans="1:4" s="10" customFormat="1">
      <c r="A133" s="58" t="s">
        <v>231</v>
      </c>
      <c r="B133" s="10">
        <f>VLOOKUP($A133,overview!$B$4:$D$213,2,0)</f>
        <v>0.26515665939045435</v>
      </c>
      <c r="C133" s="144" t="str">
        <f>VLOOKUP($A133,overview!$B$4:$D$213,3,0)</f>
        <v/>
      </c>
    </row>
    <row r="134" spans="1:4" s="10" customFormat="1">
      <c r="A134" s="58" t="s">
        <v>233</v>
      </c>
      <c r="B134" s="10">
        <f>VLOOKUP($A134,overview!$B$4:$D$213,2,0)</f>
        <v>0.44937104257982929</v>
      </c>
      <c r="C134" s="144" t="str">
        <f>VLOOKUP($A134,overview!$B$4:$D$213,3,0)</f>
        <v/>
      </c>
    </row>
    <row r="135" spans="1:4" s="10" customFormat="1">
      <c r="A135" s="58" t="s">
        <v>235</v>
      </c>
      <c r="B135" s="10">
        <f>VLOOKUP($A135,overview!$B$4:$D$213,2,0)</f>
        <v>0.29002927851870086</v>
      </c>
      <c r="C135" s="144" t="str">
        <f>VLOOKUP($A135,overview!$B$4:$D$213,3,0)</f>
        <v/>
      </c>
      <c r="D135" s="8"/>
    </row>
    <row r="136" spans="1:4" s="10" customFormat="1">
      <c r="A136" s="197" t="s">
        <v>237</v>
      </c>
      <c r="B136" s="145">
        <f>VLOOKUP($A136,overview!$B$4:$D$213,2,0)</f>
        <v>0.26059967890146979</v>
      </c>
      <c r="C136" s="146" t="str">
        <f>VLOOKUP($A136,overview!$B$4:$D$213,3,0)</f>
        <v/>
      </c>
      <c r="D136" s="8"/>
    </row>
    <row r="137" spans="1:4" s="137" customFormat="1" ht="17" thickBot="1">
      <c r="A137" s="86" t="s">
        <v>13</v>
      </c>
      <c r="B137" s="137">
        <f>VLOOKUP($A137,overview!$B$4:$D$213,2,0)</f>
        <v>10</v>
      </c>
      <c r="C137" s="192" t="str">
        <f>VLOOKUP($A137,overview!$B$4:$D$213,3,0)</f>
        <v>GWh/plant lifetime</v>
      </c>
    </row>
    <row r="138" spans="1:4" s="190" customFormat="1">
      <c r="A138" s="33" t="s">
        <v>240</v>
      </c>
      <c r="B138" s="190">
        <f>VLOOKUP($A138,overview!$B$4:$D$213,2,0)</f>
        <v>7.0000000000000007E-2</v>
      </c>
      <c r="C138" s="191">
        <f>VLOOKUP($A138,overview!$B$4:$D$213,3,0)</f>
        <v>0</v>
      </c>
    </row>
    <row r="139" spans="1:4" s="10" customFormat="1">
      <c r="A139" s="58" t="s">
        <v>242</v>
      </c>
      <c r="B139" s="10">
        <f>VLOOKUP($A139,overview!$B$4:$D$213,2,0)</f>
        <v>7.0000000000000007E-2</v>
      </c>
      <c r="C139" s="144">
        <f>VLOOKUP($A139,overview!$B$4:$D$213,3,0)</f>
        <v>0</v>
      </c>
    </row>
    <row r="140" spans="1:4" s="10" customFormat="1">
      <c r="A140" s="58" t="s">
        <v>244</v>
      </c>
      <c r="B140" s="10">
        <f>VLOOKUP($A140,overview!$B$4:$D$213,2,0)</f>
        <v>0.05</v>
      </c>
      <c r="C140" s="144">
        <f>VLOOKUP($A140,overview!$B$4:$D$213,3,0)</f>
        <v>0</v>
      </c>
    </row>
    <row r="141" spans="1:4" s="10" customFormat="1">
      <c r="A141" s="58" t="s">
        <v>246</v>
      </c>
      <c r="B141" s="10">
        <f>VLOOKUP($A141,overview!$B$4:$D$213,2,0)</f>
        <v>35</v>
      </c>
      <c r="C141" s="144" t="str">
        <f>VLOOKUP($A141,overview!$B$4:$D$213,3,0)</f>
        <v>years</v>
      </c>
    </row>
    <row r="142" spans="1:4" s="10" customFormat="1">
      <c r="A142" s="58" t="s">
        <v>248</v>
      </c>
      <c r="B142" s="10">
        <f>VLOOKUP($A142,overview!$B$4:$D$213,2,0)</f>
        <v>30</v>
      </c>
      <c r="C142" s="144" t="str">
        <f>VLOOKUP($A142,overview!$B$4:$D$213,3,0)</f>
        <v>years</v>
      </c>
    </row>
    <row r="143" spans="1:4" s="137" customFormat="1" ht="17" thickBot="1">
      <c r="A143" s="86" t="s">
        <v>250</v>
      </c>
      <c r="B143" s="137">
        <f>VLOOKUP($A143,overview!$B$4:$D$213,2,0)</f>
        <v>25</v>
      </c>
      <c r="C143" s="192" t="str">
        <f>VLOOKUP($A143,overview!$B$4:$D$213,3,0)</f>
        <v>years</v>
      </c>
    </row>
    <row r="144" spans="1:4" s="190" customFormat="1">
      <c r="A144" s="33" t="s">
        <v>76</v>
      </c>
      <c r="B144" s="190">
        <f>VLOOKUP($A144,overview!$B$4:$D$213,2,0)</f>
        <v>1</v>
      </c>
      <c r="C144" s="191" t="str">
        <f>VLOOKUP($A144,overview!$B$4:$D$213,3,0)</f>
        <v>kW</v>
      </c>
    </row>
    <row r="145" spans="1:3" s="10" customFormat="1">
      <c r="A145" s="58" t="s">
        <v>124</v>
      </c>
      <c r="B145" s="10">
        <f>VLOOKUP($A145,overview!$B$4:$D$213,2,0)</f>
        <v>1</v>
      </c>
      <c r="C145" s="144" t="str">
        <f>VLOOKUP($A145,overview!$B$4:$D$213,3,0)</f>
        <v>kW</v>
      </c>
    </row>
    <row r="146" spans="1:3" s="10" customFormat="1">
      <c r="A146" s="58" t="s">
        <v>181</v>
      </c>
      <c r="B146" s="10">
        <f>VLOOKUP($A146,overview!$B$4:$D$213,2,0)</f>
        <v>1</v>
      </c>
      <c r="C146" s="144" t="str">
        <f>VLOOKUP($A146,overview!$B$4:$D$213,3,0)</f>
        <v>kW jet fuel output</v>
      </c>
    </row>
    <row r="147" spans="1:3" s="10" customFormat="1">
      <c r="A147" s="58" t="s">
        <v>97</v>
      </c>
      <c r="B147" s="10">
        <f>VLOOKUP($A147,overview!$B$4:$D$213,2,0)</f>
        <v>1</v>
      </c>
      <c r="C147" s="144" t="str">
        <f>VLOOKUP($A147,overview!$B$4:$D$213,3,0)</f>
        <v>kWh</v>
      </c>
    </row>
    <row r="148" spans="1:3" s="137" customFormat="1" ht="17" thickBot="1">
      <c r="A148" s="86" t="s">
        <v>146</v>
      </c>
      <c r="B148" s="137">
        <f>VLOOKUP($A148,overview!$B$4:$D$213,2,0)</f>
        <v>1</v>
      </c>
      <c r="C148" s="192" t="str">
        <f>VLOOKUP($A148,overview!$B$4:$D$213,3,0)</f>
        <v>kWh</v>
      </c>
    </row>
    <row r="149" spans="1:3" s="190" customFormat="1">
      <c r="A149" s="195" t="s">
        <v>252</v>
      </c>
      <c r="B149" s="190">
        <f>VLOOKUP($A149,overview!$B$4:$D$213,2,0)</f>
        <v>1000000</v>
      </c>
      <c r="C149" s="191" t="str">
        <f>VLOOKUP($A149,overview!$B$4:$D$213,3,0)</f>
        <v>[1]</v>
      </c>
    </row>
    <row r="150" spans="1:3" s="10" customFormat="1">
      <c r="A150" s="46" t="s">
        <v>253</v>
      </c>
      <c r="B150" s="10">
        <f>VLOOKUP($A150,overview!$B$4:$D$213,2,0)</f>
        <v>0</v>
      </c>
      <c r="C150" s="144" t="str">
        <f>VLOOKUP($A150,overview!$B$4:$D$213,3,0)</f>
        <v>[1]</v>
      </c>
    </row>
    <row r="151" spans="1:3" s="10" customFormat="1">
      <c r="A151" s="46" t="s">
        <v>561</v>
      </c>
      <c r="B151" s="10">
        <f>VLOOKUP($A151,overview!$B$4:$D$213,2,0)</f>
        <v>1</v>
      </c>
      <c r="C151" s="144" t="str">
        <f>VLOOKUP($A151,overview!$B$4:$D$213,3,0)</f>
        <v>kWth/kWel</v>
      </c>
    </row>
    <row r="152" spans="1:3" s="10" customFormat="1">
      <c r="A152" s="46" t="s">
        <v>574</v>
      </c>
      <c r="B152" s="10">
        <f>VLOOKUP($A152,overview!$B$4:$D$213,2,0)</f>
        <v>1506</v>
      </c>
      <c r="C152" s="144">
        <f>VLOOKUP($A152,overview!$B$4:$D$213,3,0)</f>
        <v>0</v>
      </c>
    </row>
    <row r="153" spans="1:3" s="10" customFormat="1">
      <c r="A153" s="46" t="s">
        <v>575</v>
      </c>
      <c r="B153" s="145">
        <f>VLOOKUP($A153,overview!$B$4:$D$213,2,0)</f>
        <v>1.2E-2</v>
      </c>
      <c r="C153" s="146">
        <f>VLOOKUP($A153,overview!$B$4:$D$213,3,0)</f>
        <v>0</v>
      </c>
    </row>
    <row r="154" spans="1:3" s="10" customFormat="1">
      <c r="A154" s="46" t="s">
        <v>254</v>
      </c>
      <c r="B154" s="10">
        <f>VLOOKUP($A154,overview!$B$4:$D$213,2,0)</f>
        <v>1255</v>
      </c>
      <c r="C154" s="144" t="str">
        <f>VLOOKUP($A154,overview!$B$4:$D$213,3,0)</f>
        <v>EUR/MW</v>
      </c>
    </row>
    <row r="155" spans="1:3" s="10" customFormat="1">
      <c r="A155" s="46" t="s">
        <v>255</v>
      </c>
      <c r="B155" s="10">
        <f>VLOOKUP($A155,overview!$B$4:$D$213,2,0)</f>
        <v>0.01</v>
      </c>
      <c r="C155" s="144">
        <f>VLOOKUP($A155,overview!$B$4:$D$213,3,0)</f>
        <v>0</v>
      </c>
    </row>
    <row r="156" spans="1:3" s="10" customFormat="1">
      <c r="A156" s="46" t="s">
        <v>572</v>
      </c>
      <c r="B156" s="10">
        <f>VLOOKUP($A156,overview!$B$4:$D$213,2,0)</f>
        <v>1004</v>
      </c>
      <c r="C156" s="144">
        <f>VLOOKUP($A156,overview!$B$4:$D$213,3,0)</f>
        <v>0</v>
      </c>
    </row>
    <row r="157" spans="1:3" s="10" customFormat="1">
      <c r="A157" s="46" t="s">
        <v>573</v>
      </c>
      <c r="B157" s="10">
        <f>VLOOKUP($A157,overview!$B$4:$D$213,2,0)</f>
        <v>8.0000000000000002E-3</v>
      </c>
      <c r="C157" s="144">
        <f>VLOOKUP($A157,overview!$B$4:$D$213,3,0)</f>
        <v>0</v>
      </c>
    </row>
    <row r="158" spans="1:3" s="10" customFormat="1">
      <c r="A158" s="46" t="s">
        <v>567</v>
      </c>
      <c r="B158" s="10">
        <f>VLOOKUP($A158,overview!$B$4:$D$213,2,0)</f>
        <v>25</v>
      </c>
      <c r="C158" s="144">
        <f>VLOOKUP($A158,overview!$B$4:$D$213,3,0)</f>
        <v>0</v>
      </c>
    </row>
    <row r="159" spans="1:3" s="10" customFormat="1">
      <c r="A159" s="46" t="s">
        <v>256</v>
      </c>
      <c r="B159" s="10">
        <f>VLOOKUP($A159,overview!$B$4:$D$213,2,0)</f>
        <v>20</v>
      </c>
      <c r="C159" s="144">
        <f>VLOOKUP($A159,overview!$B$4:$D$213,3,0)</f>
        <v>0</v>
      </c>
    </row>
    <row r="160" spans="1:3" s="137" customFormat="1" ht="17" thickBot="1">
      <c r="A160" s="194" t="s">
        <v>568</v>
      </c>
      <c r="B160" s="137">
        <f>VLOOKUP($A160,overview!$B$4:$D$213,2,0)</f>
        <v>15</v>
      </c>
      <c r="C160" s="192">
        <f>VLOOKUP($A160,overview!$B$4:$D$213,3,0)</f>
        <v>0</v>
      </c>
    </row>
  </sheetData>
  <dataValidations count="1">
    <dataValidation type="list" allowBlank="1" showInputMessage="1" showErrorMessage="1" sqref="A94:A95 D135:D136" xr:uid="{00000000-0002-0000-1200-000000000000}">
      <formula1>$A$2:$A$192</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ED7D31"/>
  </sheetPr>
  <dimension ref="A1:BZ92"/>
  <sheetViews>
    <sheetView zoomScaleNormal="100" workbookViewId="0">
      <pane xSplit="3" ySplit="3" topLeftCell="AT22" activePane="bottomRight" state="frozen"/>
      <selection pane="topRight" activeCell="AT1" sqref="AT1"/>
      <selection pane="bottomLeft" activeCell="A54" sqref="A54"/>
      <selection pane="bottomRight" activeCell="BK70" sqref="BK70"/>
    </sheetView>
  </sheetViews>
  <sheetFormatPr baseColWidth="10" defaultColWidth="9" defaultRowHeight="16"/>
  <cols>
    <col min="1" max="1" width="39.5" customWidth="1"/>
    <col min="2" max="2" width="10.6640625" customWidth="1"/>
    <col min="3" max="4" width="31.1640625" customWidth="1"/>
    <col min="5" max="5" width="18" customWidth="1"/>
    <col min="6" max="6" width="9.83203125" customWidth="1"/>
    <col min="7" max="7" width="9.5" customWidth="1"/>
    <col min="8" max="8" width="9.6640625" customWidth="1"/>
    <col min="9" max="9" width="18.33203125" customWidth="1"/>
    <col min="10" max="10" width="9.83203125" customWidth="1"/>
    <col min="11" max="11" width="9.5" customWidth="1"/>
    <col min="12" max="12" width="9.6640625" customWidth="1"/>
    <col min="13" max="13" width="6.33203125" customWidth="1"/>
    <col min="14" max="14" width="21" customWidth="1"/>
    <col min="15" max="15" width="16" customWidth="1"/>
    <col min="16" max="16" width="11.83203125" customWidth="1"/>
    <col min="17" max="17" width="11.5" customWidth="1"/>
    <col min="18" max="22" width="11.6640625" customWidth="1"/>
    <col min="23" max="23" width="27.1640625" customWidth="1"/>
    <col min="24" max="24" width="8.83203125" customWidth="1"/>
    <col min="25" max="25" width="8.5" customWidth="1"/>
    <col min="26" max="26" width="7.6640625" customWidth="1"/>
    <col min="27" max="27" width="14" customWidth="1"/>
    <col min="28" max="28" width="11.33203125" customWidth="1"/>
    <col min="29" max="29" width="26.1640625" customWidth="1"/>
    <col min="30" max="30" width="9.83203125" customWidth="1"/>
    <col min="31" max="32" width="9.5" customWidth="1"/>
    <col min="33" max="33" width="17.83203125" customWidth="1"/>
    <col min="34" max="35" width="20.1640625" customWidth="1"/>
    <col min="36" max="36" width="19.6640625" customWidth="1"/>
    <col min="37" max="38" width="26.6640625" customWidth="1"/>
    <col min="39" max="39" width="10.6640625" customWidth="1"/>
    <col min="40" max="40" width="9.6640625" customWidth="1"/>
    <col min="41" max="41" width="19.1640625" customWidth="1"/>
    <col min="42" max="42" width="24.83203125" customWidth="1"/>
    <col min="43" max="43" width="11.83203125" customWidth="1"/>
    <col min="44" max="44" width="12.5" customWidth="1"/>
    <col min="45" max="46" width="13.6640625" customWidth="1"/>
    <col min="47" max="47" width="11.5" customWidth="1"/>
    <col min="48" max="48" width="9.1640625" customWidth="1"/>
    <col min="49" max="49" width="18.5" customWidth="1"/>
    <col min="50" max="50" width="7.6640625" customWidth="1"/>
    <col min="51" max="51" width="24.6640625" customWidth="1"/>
    <col min="52" max="52" width="10.1640625" customWidth="1"/>
    <col min="53" max="53" width="7.6640625" customWidth="1"/>
    <col min="54" max="54" width="8.6640625" customWidth="1"/>
    <col min="55" max="55" width="15.6640625" customWidth="1"/>
    <col min="56" max="56" width="14.1640625" customWidth="1"/>
    <col min="57" max="57" width="7.6640625" customWidth="1"/>
    <col min="58" max="58" width="16.83203125" customWidth="1"/>
    <col min="59" max="59" width="17.33203125" customWidth="1"/>
    <col min="60" max="60" width="8.1640625" customWidth="1"/>
    <col min="61" max="61" width="19" customWidth="1"/>
    <col min="62" max="62" width="18.6640625" customWidth="1"/>
    <col min="63" max="63" width="16.33203125" customWidth="1"/>
    <col min="64" max="64" width="14.1640625" customWidth="1"/>
    <col min="65" max="65" width="16" customWidth="1"/>
    <col min="66" max="66" width="17.1640625" customWidth="1"/>
    <col min="67" max="67" width="15" customWidth="1"/>
    <col min="68" max="68" width="7.6640625" customWidth="1"/>
    <col min="69" max="69" width="10.6640625" customWidth="1"/>
    <col min="70" max="70" width="10.1640625" customWidth="1"/>
    <col min="71" max="71" width="7.6640625" customWidth="1"/>
    <col min="72" max="73" width="10.6640625" customWidth="1"/>
    <col min="74" max="75" width="6.5" customWidth="1"/>
    <col min="76" max="76" width="10.1640625" customWidth="1"/>
    <col min="77" max="77" width="18.5" customWidth="1"/>
    <col min="78" max="78" width="7.6640625" customWidth="1"/>
    <col min="79" max="1025" width="10.6640625" customWidth="1"/>
  </cols>
  <sheetData>
    <row r="1" spans="1:78">
      <c r="E1" s="218" t="s">
        <v>18</v>
      </c>
      <c r="F1" s="218"/>
      <c r="G1" s="218"/>
      <c r="H1" s="218"/>
      <c r="I1" s="219" t="s">
        <v>51</v>
      </c>
      <c r="J1" s="219"/>
      <c r="K1" s="219"/>
      <c r="L1" s="219"/>
      <c r="M1" s="219"/>
      <c r="N1" s="220" t="s">
        <v>74</v>
      </c>
      <c r="O1" s="220"/>
      <c r="P1" s="220"/>
      <c r="Q1" s="220"/>
      <c r="R1" s="220"/>
      <c r="S1" s="219" t="s">
        <v>257</v>
      </c>
      <c r="T1" s="219"/>
      <c r="U1" s="219"/>
      <c r="V1" s="219"/>
      <c r="W1" s="221" t="s">
        <v>95</v>
      </c>
      <c r="X1" s="221"/>
      <c r="Y1" s="221"/>
      <c r="Z1" s="221"/>
      <c r="AA1" s="221"/>
      <c r="AB1" s="221"/>
      <c r="AC1" s="220" t="s">
        <v>258</v>
      </c>
      <c r="AD1" s="220"/>
      <c r="AE1" s="220"/>
      <c r="AF1" s="220"/>
      <c r="AG1" s="220"/>
      <c r="AH1" s="220"/>
      <c r="AI1" s="220"/>
      <c r="AJ1" s="220"/>
      <c r="AK1" s="218" t="s">
        <v>144</v>
      </c>
      <c r="AL1" s="218"/>
      <c r="AM1" s="218"/>
      <c r="AN1" s="218"/>
      <c r="AO1" s="218"/>
      <c r="AP1" s="218"/>
      <c r="AQ1" s="219" t="s">
        <v>259</v>
      </c>
      <c r="AR1" s="219"/>
      <c r="AS1" s="219"/>
      <c r="AT1" s="219"/>
      <c r="AU1" s="219"/>
      <c r="AV1" s="219"/>
      <c r="AW1" s="219"/>
      <c r="AX1" s="219"/>
      <c r="AY1" s="221" t="s">
        <v>179</v>
      </c>
      <c r="AZ1" s="221"/>
      <c r="BA1" s="221"/>
      <c r="BB1" s="221"/>
      <c r="BC1" s="221"/>
      <c r="BD1" s="221"/>
      <c r="BE1" s="221"/>
      <c r="BF1" s="221"/>
      <c r="BG1" s="221"/>
      <c r="BH1" s="221"/>
      <c r="BI1" s="221"/>
      <c r="BJ1" s="221"/>
      <c r="BK1" s="221"/>
      <c r="BL1" s="219" t="s">
        <v>260</v>
      </c>
      <c r="BM1" s="219"/>
      <c r="BN1" s="219"/>
      <c r="BO1" s="219"/>
      <c r="BP1" s="219"/>
      <c r="BQ1" s="219" t="s">
        <v>261</v>
      </c>
      <c r="BR1" s="219"/>
      <c r="BS1" s="219"/>
      <c r="BT1" s="219"/>
      <c r="BU1" s="219" t="s">
        <v>262</v>
      </c>
      <c r="BV1" s="219"/>
      <c r="BW1" s="219"/>
      <c r="BX1" s="219"/>
      <c r="BY1" s="219"/>
      <c r="BZ1" s="219"/>
    </row>
    <row r="2" spans="1:78">
      <c r="C2" s="32" t="s">
        <v>263</v>
      </c>
      <c r="D2" s="32"/>
      <c r="E2" s="33" t="s">
        <v>19</v>
      </c>
      <c r="F2" s="34" t="s">
        <v>35</v>
      </c>
      <c r="G2" s="34" t="s">
        <v>37</v>
      </c>
      <c r="H2" s="34" t="s">
        <v>46</v>
      </c>
      <c r="I2" s="33" t="s">
        <v>19</v>
      </c>
      <c r="J2" s="34" t="s">
        <v>35</v>
      </c>
      <c r="K2" s="34" t="s">
        <v>37</v>
      </c>
      <c r="L2" s="34" t="s">
        <v>46</v>
      </c>
      <c r="M2" s="35" t="s">
        <v>70</v>
      </c>
      <c r="N2" s="34" t="s">
        <v>75</v>
      </c>
      <c r="O2" s="34" t="s">
        <v>80</v>
      </c>
      <c r="P2" s="34" t="s">
        <v>82</v>
      </c>
      <c r="Q2" s="34" t="s">
        <v>85</v>
      </c>
      <c r="R2" s="34" t="s">
        <v>92</v>
      </c>
      <c r="S2" s="33" t="s">
        <v>75</v>
      </c>
      <c r="T2" s="34" t="s">
        <v>82</v>
      </c>
      <c r="U2" s="34" t="s">
        <v>85</v>
      </c>
      <c r="V2" s="35" t="s">
        <v>92</v>
      </c>
      <c r="W2" s="34" t="s">
        <v>96</v>
      </c>
      <c r="X2" s="34" t="s">
        <v>101</v>
      </c>
      <c r="Y2" s="34" t="s">
        <v>105</v>
      </c>
      <c r="Z2" s="34" t="s">
        <v>112</v>
      </c>
      <c r="AA2" s="34" t="s">
        <v>115</v>
      </c>
      <c r="AB2" s="35" t="s">
        <v>117</v>
      </c>
      <c r="AC2" s="34" t="s">
        <v>123</v>
      </c>
      <c r="AD2" s="34" t="s">
        <v>35</v>
      </c>
      <c r="AE2" s="34" t="s">
        <v>37</v>
      </c>
      <c r="AF2" s="34" t="s">
        <v>264</v>
      </c>
      <c r="AG2" s="34" t="s">
        <v>264</v>
      </c>
      <c r="AH2" s="34" t="s">
        <v>265</v>
      </c>
      <c r="AI2" s="34" t="s">
        <v>266</v>
      </c>
      <c r="AJ2" s="34" t="s">
        <v>267</v>
      </c>
      <c r="AK2" s="33" t="s">
        <v>145</v>
      </c>
      <c r="AL2" s="34" t="s">
        <v>268</v>
      </c>
      <c r="AM2" s="34" t="s">
        <v>58</v>
      </c>
      <c r="AN2" s="34" t="s">
        <v>60</v>
      </c>
      <c r="AO2" s="34" t="s">
        <v>112</v>
      </c>
      <c r="AP2" s="34" t="s">
        <v>269</v>
      </c>
      <c r="AQ2" s="33" t="s">
        <v>58</v>
      </c>
      <c r="AR2" s="10" t="s">
        <v>58</v>
      </c>
      <c r="AS2" s="10" t="s">
        <v>58</v>
      </c>
      <c r="AT2" s="10" t="s">
        <v>58</v>
      </c>
      <c r="AU2" s="10" t="s">
        <v>60</v>
      </c>
      <c r="AV2" s="8" t="s">
        <v>141</v>
      </c>
      <c r="AW2" s="10" t="s">
        <v>270</v>
      </c>
      <c r="AX2" s="36" t="s">
        <v>112</v>
      </c>
      <c r="AY2" s="34" t="s">
        <v>180</v>
      </c>
      <c r="AZ2" s="34" t="s">
        <v>185</v>
      </c>
      <c r="BA2" s="34" t="s">
        <v>58</v>
      </c>
      <c r="BB2" s="34" t="s">
        <v>60</v>
      </c>
      <c r="BC2" s="34" t="s">
        <v>195</v>
      </c>
      <c r="BD2" s="34" t="s">
        <v>198</v>
      </c>
      <c r="BE2" s="34" t="s">
        <v>112</v>
      </c>
      <c r="BF2" s="34" t="s">
        <v>271</v>
      </c>
      <c r="BG2" s="34" t="s">
        <v>272</v>
      </c>
      <c r="BH2" s="34" t="s">
        <v>273</v>
      </c>
      <c r="BI2" s="34" t="s">
        <v>203</v>
      </c>
      <c r="BJ2" s="34" t="s">
        <v>206</v>
      </c>
      <c r="BK2" s="35" t="s">
        <v>208</v>
      </c>
      <c r="BL2" s="34" t="s">
        <v>58</v>
      </c>
      <c r="BM2" s="10" t="s">
        <v>60</v>
      </c>
      <c r="BN2" s="8" t="s">
        <v>274</v>
      </c>
      <c r="BO2" s="34" t="s">
        <v>275</v>
      </c>
      <c r="BP2" s="34"/>
      <c r="BQ2" s="33" t="s">
        <v>58</v>
      </c>
      <c r="BR2" s="34" t="s">
        <v>60</v>
      </c>
      <c r="BS2" s="34" t="s">
        <v>112</v>
      </c>
      <c r="BT2" s="35"/>
      <c r="BU2" s="33" t="s">
        <v>58</v>
      </c>
      <c r="BV2" s="10" t="s">
        <v>58</v>
      </c>
      <c r="BW2" s="10" t="s">
        <v>58</v>
      </c>
      <c r="BX2" s="10" t="s">
        <v>60</v>
      </c>
      <c r="BY2" s="10" t="s">
        <v>270</v>
      </c>
      <c r="BZ2" s="36" t="s">
        <v>112</v>
      </c>
    </row>
    <row r="3" spans="1:78" s="37" customFormat="1" ht="67" customHeight="1">
      <c r="C3" s="38" t="s">
        <v>276</v>
      </c>
      <c r="D3" s="38" t="s">
        <v>277</v>
      </c>
      <c r="E3" s="39" t="s">
        <v>21</v>
      </c>
      <c r="F3" s="40" t="s">
        <v>30</v>
      </c>
      <c r="G3" s="40" t="s">
        <v>34</v>
      </c>
      <c r="H3" s="40" t="s">
        <v>45</v>
      </c>
      <c r="I3" s="39" t="s">
        <v>21</v>
      </c>
      <c r="J3" s="40" t="s">
        <v>30</v>
      </c>
      <c r="K3" s="40" t="s">
        <v>34</v>
      </c>
      <c r="L3" s="40" t="s">
        <v>34</v>
      </c>
      <c r="M3" s="41" t="s">
        <v>34</v>
      </c>
      <c r="N3" s="40" t="s">
        <v>77</v>
      </c>
      <c r="O3" s="40" t="s">
        <v>81</v>
      </c>
      <c r="P3" s="40" t="s">
        <v>84</v>
      </c>
      <c r="Q3" s="40" t="s">
        <v>34</v>
      </c>
      <c r="R3" s="40" t="s">
        <v>45</v>
      </c>
      <c r="S3" s="39" t="s">
        <v>77</v>
      </c>
      <c r="T3" s="40" t="s">
        <v>84</v>
      </c>
      <c r="U3" s="40" t="s">
        <v>34</v>
      </c>
      <c r="V3" s="41" t="s">
        <v>45</v>
      </c>
      <c r="W3" s="40" t="s">
        <v>98</v>
      </c>
      <c r="X3" s="40" t="s">
        <v>103</v>
      </c>
      <c r="Y3" s="40" t="s">
        <v>34</v>
      </c>
      <c r="Z3" s="40" t="s">
        <v>45</v>
      </c>
      <c r="AA3" s="40"/>
      <c r="AB3" s="41" t="s">
        <v>119</v>
      </c>
      <c r="AC3" s="40" t="s">
        <v>77</v>
      </c>
      <c r="AD3" s="40" t="s">
        <v>128</v>
      </c>
      <c r="AE3" s="40" t="s">
        <v>34</v>
      </c>
      <c r="AF3" s="40" t="s">
        <v>278</v>
      </c>
      <c r="AG3" s="40" t="s">
        <v>45</v>
      </c>
      <c r="AH3" s="40" t="s">
        <v>140</v>
      </c>
      <c r="AI3" s="40" t="s">
        <v>279</v>
      </c>
      <c r="AJ3" s="40" t="s">
        <v>280</v>
      </c>
      <c r="AK3" s="39" t="s">
        <v>98</v>
      </c>
      <c r="AL3" s="40" t="s">
        <v>281</v>
      </c>
      <c r="AM3" s="40" t="s">
        <v>282</v>
      </c>
      <c r="AN3" s="40" t="s">
        <v>34</v>
      </c>
      <c r="AO3" s="40" t="s">
        <v>45</v>
      </c>
      <c r="AP3" s="40"/>
      <c r="AQ3" s="39" t="s">
        <v>283</v>
      </c>
      <c r="AR3" s="40" t="s">
        <v>284</v>
      </c>
      <c r="AS3" s="40" t="s">
        <v>282</v>
      </c>
      <c r="AT3" s="40" t="s">
        <v>285</v>
      </c>
      <c r="AU3" s="40" t="s">
        <v>34</v>
      </c>
      <c r="AV3" s="40" t="s">
        <v>286</v>
      </c>
      <c r="AW3" s="40" t="s">
        <v>287</v>
      </c>
      <c r="AX3" s="41" t="s">
        <v>45</v>
      </c>
      <c r="AY3" s="40" t="s">
        <v>182</v>
      </c>
      <c r="AZ3" s="40" t="s">
        <v>186</v>
      </c>
      <c r="BA3" s="40" t="s">
        <v>188</v>
      </c>
      <c r="BB3" s="40" t="s">
        <v>34</v>
      </c>
      <c r="BC3" s="40" t="s">
        <v>197</v>
      </c>
      <c r="BD3" s="40" t="s">
        <v>200</v>
      </c>
      <c r="BE3" s="40" t="s">
        <v>45</v>
      </c>
      <c r="BF3" s="40" t="s">
        <v>288</v>
      </c>
      <c r="BG3" s="40" t="s">
        <v>286</v>
      </c>
      <c r="BH3" s="40" t="s">
        <v>289</v>
      </c>
      <c r="BI3" s="40"/>
      <c r="BJ3" s="40"/>
      <c r="BK3" s="41"/>
      <c r="BL3" s="39" t="s">
        <v>290</v>
      </c>
      <c r="BM3" s="40" t="s">
        <v>34</v>
      </c>
      <c r="BN3" s="40" t="s">
        <v>291</v>
      </c>
      <c r="BO3" s="40" t="s">
        <v>292</v>
      </c>
      <c r="BP3" s="40" t="s">
        <v>112</v>
      </c>
      <c r="BQ3" s="39" t="s">
        <v>293</v>
      </c>
      <c r="BR3" s="40" t="s">
        <v>34</v>
      </c>
      <c r="BS3" s="40" t="s">
        <v>45</v>
      </c>
      <c r="BT3" s="41"/>
      <c r="BU3" s="39" t="s">
        <v>290</v>
      </c>
      <c r="BV3" s="40" t="s">
        <v>294</v>
      </c>
      <c r="BW3" s="40" t="s">
        <v>294</v>
      </c>
      <c r="BX3" s="40" t="s">
        <v>34</v>
      </c>
      <c r="BY3" s="40" t="s">
        <v>295</v>
      </c>
      <c r="BZ3" s="41" t="s">
        <v>45</v>
      </c>
    </row>
    <row r="4" spans="1:78">
      <c r="A4" s="1" t="s">
        <v>296</v>
      </c>
      <c r="B4" s="1" t="s">
        <v>297</v>
      </c>
      <c r="C4" s="1" t="s">
        <v>298</v>
      </c>
      <c r="D4" s="1"/>
      <c r="E4" s="33"/>
      <c r="F4" s="34"/>
      <c r="G4" s="34"/>
      <c r="H4" s="34"/>
      <c r="I4" s="33"/>
      <c r="J4" s="34"/>
      <c r="K4" s="34"/>
      <c r="L4" s="34"/>
      <c r="M4" s="35"/>
      <c r="N4" s="14">
        <v>1</v>
      </c>
      <c r="O4" s="10"/>
      <c r="P4" s="10"/>
      <c r="Q4" s="10"/>
      <c r="R4" s="10"/>
      <c r="S4" s="33"/>
      <c r="T4" s="34"/>
      <c r="U4" s="34"/>
      <c r="V4" s="35"/>
      <c r="W4" s="14">
        <v>1</v>
      </c>
      <c r="X4" s="10"/>
      <c r="Y4" s="10"/>
      <c r="Z4" s="10"/>
      <c r="AA4" s="10"/>
      <c r="AB4" s="10"/>
      <c r="AC4" s="42">
        <v>1</v>
      </c>
      <c r="AD4" s="34"/>
      <c r="AE4" s="34"/>
      <c r="AF4" s="34"/>
      <c r="AG4" s="34"/>
      <c r="AH4" s="43">
        <v>0.1</v>
      </c>
      <c r="AI4" s="44"/>
      <c r="AJ4" s="45"/>
      <c r="AK4" s="14">
        <v>1</v>
      </c>
      <c r="AL4" s="14"/>
      <c r="AM4" s="10"/>
      <c r="AN4" s="20">
        <v>0</v>
      </c>
      <c r="AO4" s="20"/>
      <c r="AQ4" s="46"/>
      <c r="AY4" s="33">
        <v>1</v>
      </c>
      <c r="AZ4" s="34"/>
      <c r="BA4" s="34"/>
      <c r="BB4" s="34"/>
      <c r="BC4" s="34"/>
      <c r="BD4" s="47">
        <v>0.8</v>
      </c>
      <c r="BE4" s="34"/>
      <c r="BF4" s="34"/>
      <c r="BG4" s="34"/>
      <c r="BH4" s="34"/>
      <c r="BI4" s="34"/>
      <c r="BJ4" s="34"/>
      <c r="BK4" s="35"/>
      <c r="BL4" s="10"/>
      <c r="BM4" s="10"/>
      <c r="BN4" s="10"/>
      <c r="BO4" s="10"/>
      <c r="BP4" s="10"/>
      <c r="BQ4" s="46"/>
      <c r="BR4" s="10"/>
      <c r="BS4" s="10"/>
      <c r="BT4" s="36"/>
      <c r="BU4" s="46"/>
      <c r="BV4" s="10"/>
      <c r="BW4" s="10"/>
      <c r="BX4" s="10"/>
      <c r="BY4" s="10"/>
      <c r="BZ4" s="36"/>
    </row>
    <row r="5" spans="1:78" s="48" customFormat="1">
      <c r="A5" s="48" t="s">
        <v>22</v>
      </c>
      <c r="B5" s="48" t="s">
        <v>299</v>
      </c>
      <c r="D5" s="48" t="s">
        <v>300</v>
      </c>
      <c r="E5" s="49">
        <v>5</v>
      </c>
      <c r="F5" s="50"/>
      <c r="G5" s="50"/>
      <c r="H5" s="50"/>
      <c r="I5" s="49"/>
      <c r="J5" s="50"/>
      <c r="K5" s="50"/>
      <c r="L5" s="50"/>
      <c r="M5" s="51"/>
      <c r="N5" s="50"/>
      <c r="O5" s="50"/>
      <c r="P5" s="50"/>
      <c r="Q5" s="50"/>
      <c r="R5" s="50"/>
      <c r="S5" s="49"/>
      <c r="T5" s="50"/>
      <c r="U5" s="50"/>
      <c r="V5" s="51"/>
      <c r="W5" s="50"/>
      <c r="X5" s="50"/>
      <c r="Y5" s="50"/>
      <c r="Z5" s="50"/>
      <c r="AA5" s="50"/>
      <c r="AB5" s="50"/>
      <c r="AC5" s="49"/>
      <c r="AD5" s="50"/>
      <c r="AE5" s="50"/>
      <c r="AF5" s="50"/>
      <c r="AG5" s="50"/>
      <c r="AH5" s="50"/>
      <c r="AI5" s="52"/>
      <c r="AJ5" s="53"/>
      <c r="AK5" s="50"/>
      <c r="AL5" s="50"/>
      <c r="AM5" s="50"/>
      <c r="AN5" s="50"/>
      <c r="AO5" s="50"/>
      <c r="AP5" s="50"/>
      <c r="AQ5" s="49"/>
      <c r="AR5" s="50"/>
      <c r="AS5" s="50"/>
      <c r="AT5" s="50"/>
      <c r="AU5" s="50"/>
      <c r="AV5" s="50"/>
      <c r="AW5" s="50"/>
      <c r="AX5" s="50"/>
      <c r="AY5" s="49"/>
      <c r="AZ5" s="50"/>
      <c r="BA5" s="50"/>
      <c r="BB5" s="50"/>
      <c r="BC5" s="50"/>
      <c r="BD5" s="50"/>
      <c r="BE5" s="50"/>
      <c r="BF5" s="50"/>
      <c r="BG5" s="50"/>
      <c r="BH5" s="50"/>
      <c r="BI5" s="50"/>
      <c r="BJ5" s="50"/>
      <c r="BK5" s="51"/>
      <c r="BL5" s="50"/>
      <c r="BM5" s="50"/>
      <c r="BN5" s="50"/>
      <c r="BO5" s="50"/>
      <c r="BP5" s="50"/>
      <c r="BQ5" s="49"/>
      <c r="BR5" s="50"/>
      <c r="BS5" s="50"/>
      <c r="BT5" s="51"/>
      <c r="BU5" s="49"/>
      <c r="BV5" s="50"/>
      <c r="BW5" s="50"/>
      <c r="BX5" s="50"/>
      <c r="BY5" s="50"/>
      <c r="BZ5" s="51"/>
    </row>
    <row r="6" spans="1:78" s="48" customFormat="1">
      <c r="A6" s="48" t="s">
        <v>48</v>
      </c>
      <c r="B6" s="48" t="s">
        <v>299</v>
      </c>
      <c r="D6" s="48" t="s">
        <v>300</v>
      </c>
      <c r="E6" s="49" t="s">
        <v>301</v>
      </c>
      <c r="F6" s="50">
        <v>1000</v>
      </c>
      <c r="G6" s="50">
        <v>0.02</v>
      </c>
      <c r="H6" s="50">
        <v>25</v>
      </c>
      <c r="I6" s="49"/>
      <c r="J6" s="50"/>
      <c r="K6" s="50"/>
      <c r="L6" s="50"/>
      <c r="M6" s="51"/>
      <c r="N6" s="50"/>
      <c r="O6" s="50"/>
      <c r="P6" s="50"/>
      <c r="Q6" s="50"/>
      <c r="R6" s="50"/>
      <c r="S6" s="49"/>
      <c r="T6" s="50"/>
      <c r="U6" s="50"/>
      <c r="V6" s="51"/>
      <c r="W6" s="50"/>
      <c r="X6" s="50">
        <v>150</v>
      </c>
      <c r="Y6" s="50">
        <v>0.06</v>
      </c>
      <c r="Z6" s="50">
        <v>15</v>
      </c>
      <c r="AA6" s="50">
        <v>0.9</v>
      </c>
      <c r="AB6" s="50"/>
      <c r="AC6" s="49"/>
      <c r="AD6" s="50"/>
      <c r="AE6" s="50"/>
      <c r="AF6" s="50"/>
      <c r="AG6" s="50">
        <v>30</v>
      </c>
      <c r="AH6" s="50"/>
      <c r="AI6" s="52">
        <v>0.86299999999999999</v>
      </c>
      <c r="AJ6" s="53"/>
      <c r="AK6" s="50"/>
      <c r="AL6" s="50" t="s">
        <v>302</v>
      </c>
      <c r="AM6" s="50">
        <v>1.4999999999999999E-2</v>
      </c>
      <c r="AN6" s="50"/>
      <c r="AO6" s="50"/>
      <c r="AP6" s="50"/>
      <c r="AQ6" s="49"/>
      <c r="AR6" s="50"/>
      <c r="AS6" s="50"/>
      <c r="AT6" s="50"/>
      <c r="AU6" s="50"/>
      <c r="AV6" s="50"/>
      <c r="AW6" s="50"/>
      <c r="AX6" s="50"/>
      <c r="AY6" s="49"/>
      <c r="AZ6" s="50">
        <v>60000</v>
      </c>
      <c r="BA6" s="50"/>
      <c r="BB6" s="50">
        <v>0.03</v>
      </c>
      <c r="BC6" s="50">
        <v>0.65</v>
      </c>
      <c r="BD6" s="50"/>
      <c r="BE6" s="50"/>
      <c r="BF6" s="50"/>
      <c r="BG6" s="50"/>
      <c r="BH6" s="50"/>
      <c r="BI6" s="50">
        <v>0.5</v>
      </c>
      <c r="BJ6" s="50">
        <v>0.25</v>
      </c>
      <c r="BK6" s="51">
        <v>0.25</v>
      </c>
      <c r="BL6" s="50"/>
      <c r="BM6" s="50"/>
      <c r="BN6" s="50"/>
      <c r="BO6" s="50"/>
      <c r="BP6" s="50"/>
      <c r="BQ6" s="49"/>
      <c r="BR6" s="50"/>
      <c r="BS6" s="50"/>
      <c r="BT6" s="51"/>
      <c r="BU6" s="49"/>
      <c r="BV6" s="50"/>
      <c r="BW6" s="50"/>
      <c r="BX6" s="50"/>
      <c r="BY6" s="50"/>
      <c r="BZ6" s="51"/>
    </row>
    <row r="7" spans="1:78" s="48" customFormat="1" ht="17">
      <c r="A7" s="50" t="s">
        <v>53</v>
      </c>
      <c r="D7" s="48" t="s">
        <v>303</v>
      </c>
      <c r="E7" s="49" t="s">
        <v>301</v>
      </c>
      <c r="F7" s="50"/>
      <c r="G7" s="50"/>
      <c r="H7" s="50"/>
      <c r="I7" s="54">
        <v>7</v>
      </c>
      <c r="J7" s="55">
        <f>ROUND(383000000/125000,0)</f>
        <v>3064</v>
      </c>
      <c r="K7" s="55">
        <f>ROUND(97/500.46,2)</f>
        <v>0.19</v>
      </c>
      <c r="L7" s="56" t="s">
        <v>304</v>
      </c>
      <c r="M7" s="57">
        <f>ROUND(20.403/500.46,2)</f>
        <v>0.04</v>
      </c>
      <c r="N7" s="50"/>
      <c r="O7" s="50"/>
      <c r="P7" s="50">
        <v>550</v>
      </c>
      <c r="Q7" s="50">
        <v>1.4999999999999999E-2</v>
      </c>
      <c r="R7" s="50">
        <v>35</v>
      </c>
      <c r="S7" s="49"/>
      <c r="T7" s="50"/>
      <c r="U7" s="50"/>
      <c r="V7" s="51"/>
      <c r="W7" s="50"/>
      <c r="AB7" s="50"/>
      <c r="AC7" s="49"/>
      <c r="AD7" s="50"/>
      <c r="AE7" s="50"/>
      <c r="AF7" s="50"/>
      <c r="AG7" s="50"/>
      <c r="AH7" s="50"/>
      <c r="AI7" s="52"/>
      <c r="AJ7" s="53"/>
      <c r="AK7" s="50"/>
      <c r="AL7" s="50"/>
      <c r="AM7" s="50"/>
      <c r="AN7" s="50"/>
      <c r="AO7" s="50"/>
      <c r="AP7" s="50"/>
      <c r="AQ7" s="49"/>
      <c r="AR7" s="50"/>
      <c r="AS7" s="50"/>
      <c r="AT7" s="50"/>
      <c r="AU7" s="50"/>
      <c r="AV7" s="50"/>
      <c r="AW7" s="50"/>
      <c r="AX7" s="50"/>
      <c r="AY7" s="49"/>
      <c r="AZ7" s="50"/>
      <c r="BA7" s="50"/>
      <c r="BB7" s="50"/>
      <c r="BC7" s="50"/>
      <c r="BD7" s="50"/>
      <c r="BE7" s="50"/>
      <c r="BF7" s="50"/>
      <c r="BG7" s="50"/>
      <c r="BH7" s="50"/>
      <c r="BI7" s="50"/>
      <c r="BJ7" s="50"/>
      <c r="BK7" s="51"/>
      <c r="BL7" s="50"/>
      <c r="BM7" s="50"/>
      <c r="BN7" s="50"/>
      <c r="BO7" s="50"/>
      <c r="BP7" s="50"/>
      <c r="BQ7" s="49"/>
      <c r="BR7" s="50"/>
      <c r="BS7" s="50"/>
      <c r="BT7" s="51"/>
      <c r="BU7" s="49"/>
      <c r="BV7" s="50"/>
      <c r="BW7" s="50"/>
      <c r="BX7" s="50"/>
      <c r="BY7" s="50"/>
      <c r="BZ7" s="51"/>
    </row>
    <row r="8" spans="1:78" s="48" customFormat="1">
      <c r="A8" s="50" t="s">
        <v>305</v>
      </c>
      <c r="B8" s="50"/>
      <c r="D8" s="48" t="s">
        <v>300</v>
      </c>
      <c r="E8" s="49" t="s">
        <v>301</v>
      </c>
      <c r="F8" s="50"/>
      <c r="G8" s="50"/>
      <c r="H8" s="50"/>
      <c r="I8" s="49"/>
      <c r="J8" s="50"/>
      <c r="K8" s="50"/>
      <c r="L8" s="50"/>
      <c r="M8" s="51"/>
      <c r="N8" s="50"/>
      <c r="O8" s="50"/>
      <c r="P8" s="50"/>
      <c r="Q8" s="50"/>
      <c r="R8" s="50"/>
      <c r="S8" s="49"/>
      <c r="T8" s="50"/>
      <c r="U8" s="50"/>
      <c r="V8" s="51"/>
      <c r="W8" s="50"/>
      <c r="X8" s="50"/>
      <c r="Y8" s="50"/>
      <c r="Z8" s="50"/>
      <c r="AA8" s="50"/>
      <c r="AB8" s="50"/>
      <c r="AC8" s="49"/>
      <c r="AD8" s="50"/>
      <c r="AE8" s="50"/>
      <c r="AF8" s="50"/>
      <c r="AG8" s="50"/>
      <c r="AH8" s="50"/>
      <c r="AI8" s="52"/>
      <c r="AJ8" s="53"/>
      <c r="AK8" s="50"/>
      <c r="AL8" s="50"/>
      <c r="AM8" s="50"/>
      <c r="AN8" s="50"/>
      <c r="AO8" s="50"/>
      <c r="AP8" s="50"/>
      <c r="AQ8" s="49"/>
      <c r="AR8" s="50"/>
      <c r="AS8" s="50"/>
      <c r="AT8" s="50"/>
      <c r="AU8" s="50"/>
      <c r="AV8" s="50"/>
      <c r="AW8" s="50"/>
      <c r="AX8" s="50"/>
      <c r="AY8" s="49"/>
      <c r="AZ8" s="50"/>
      <c r="BA8" s="50"/>
      <c r="BB8" s="50"/>
      <c r="BC8" s="50"/>
      <c r="BD8" s="50"/>
      <c r="BE8" s="50"/>
      <c r="BF8" s="50"/>
      <c r="BG8" s="50"/>
      <c r="BH8" s="50"/>
      <c r="BI8" s="50"/>
      <c r="BJ8" s="50"/>
      <c r="BK8" s="51"/>
      <c r="BL8" s="50"/>
      <c r="BM8" s="50"/>
      <c r="BN8" s="50"/>
      <c r="BO8" s="50"/>
      <c r="BP8" s="50"/>
      <c r="BQ8" s="49"/>
      <c r="BR8" s="50"/>
      <c r="BS8" s="50"/>
      <c r="BT8" s="51"/>
      <c r="BU8" s="49"/>
      <c r="BV8" s="50"/>
      <c r="BW8" s="50"/>
      <c r="BX8" s="50"/>
      <c r="BY8" s="50"/>
      <c r="BZ8" s="51"/>
    </row>
    <row r="9" spans="1:78" s="48" customFormat="1">
      <c r="A9" s="50" t="s">
        <v>306</v>
      </c>
      <c r="B9" s="50"/>
      <c r="D9" s="48" t="s">
        <v>300</v>
      </c>
      <c r="E9" s="49" t="s">
        <v>301</v>
      </c>
      <c r="F9" s="50"/>
      <c r="G9" s="50"/>
      <c r="H9" s="50"/>
      <c r="I9" s="49"/>
      <c r="J9" s="50"/>
      <c r="K9" s="50"/>
      <c r="L9" s="50"/>
      <c r="M9" s="51"/>
      <c r="N9" s="50"/>
      <c r="O9" s="50"/>
      <c r="P9" s="50"/>
      <c r="Q9" s="50"/>
      <c r="R9" s="50"/>
      <c r="S9" s="49"/>
      <c r="T9" s="50"/>
      <c r="U9" s="50"/>
      <c r="V9" s="51"/>
      <c r="W9" s="50"/>
      <c r="X9" s="50"/>
      <c r="Y9" s="50"/>
      <c r="Z9" s="50"/>
      <c r="AA9" s="50"/>
      <c r="AB9" s="50"/>
      <c r="AC9" s="49"/>
      <c r="AD9" s="50"/>
      <c r="AE9" s="50"/>
      <c r="AF9" s="50"/>
      <c r="AG9" s="50"/>
      <c r="AH9" s="50"/>
      <c r="AI9" s="52"/>
      <c r="AJ9" s="53"/>
      <c r="AK9" s="50"/>
      <c r="AL9" s="50"/>
      <c r="AM9" s="50"/>
      <c r="AN9" s="50"/>
      <c r="AO9" s="50"/>
      <c r="AP9" s="50"/>
      <c r="AQ9" s="49"/>
      <c r="AR9" s="50"/>
      <c r="AS9" s="50"/>
      <c r="AT9" s="50"/>
      <c r="AU9" s="50"/>
      <c r="AV9" s="50"/>
      <c r="AW9" s="50"/>
      <c r="AX9" s="50"/>
      <c r="AY9" s="49"/>
      <c r="AZ9" s="50"/>
      <c r="BA9" s="50"/>
      <c r="BB9" s="50"/>
      <c r="BC9" s="50"/>
      <c r="BD9" s="50"/>
      <c r="BE9" s="50"/>
      <c r="BF9" s="50"/>
      <c r="BG9" s="50"/>
      <c r="BH9" s="50"/>
      <c r="BI9" s="50"/>
      <c r="BJ9" s="50"/>
      <c r="BK9" s="51"/>
      <c r="BL9" s="50"/>
      <c r="BM9" s="50"/>
      <c r="BN9" s="50"/>
      <c r="BO9" s="50"/>
      <c r="BP9" s="50"/>
      <c r="BQ9" s="49"/>
      <c r="BR9" s="50"/>
      <c r="BS9" s="50"/>
      <c r="BT9" s="51"/>
      <c r="BU9" s="49"/>
      <c r="BV9" s="50"/>
      <c r="BW9" s="50"/>
      <c r="BX9" s="50"/>
      <c r="BY9" s="50"/>
      <c r="BZ9" s="51"/>
    </row>
    <row r="10" spans="1:78" s="48" customFormat="1">
      <c r="A10" s="50" t="s">
        <v>307</v>
      </c>
      <c r="B10" s="50"/>
      <c r="C10" s="48" t="s">
        <v>308</v>
      </c>
      <c r="D10" s="48" t="s">
        <v>309</v>
      </c>
      <c r="E10" s="49" t="s">
        <v>301</v>
      </c>
      <c r="F10" s="50"/>
      <c r="G10" s="50"/>
      <c r="H10" s="50"/>
      <c r="I10" s="49"/>
      <c r="J10" s="50"/>
      <c r="K10" s="50"/>
      <c r="L10" s="50"/>
      <c r="M10" s="51"/>
      <c r="N10" s="50"/>
      <c r="O10" s="50"/>
      <c r="P10" s="50">
        <v>1200</v>
      </c>
      <c r="Q10" s="50"/>
      <c r="R10" s="50">
        <v>30</v>
      </c>
      <c r="S10" s="49"/>
      <c r="T10" s="50"/>
      <c r="U10" s="50"/>
      <c r="V10" s="51"/>
      <c r="W10" s="50"/>
      <c r="X10" s="50"/>
      <c r="Y10" s="50"/>
      <c r="Z10" s="50"/>
      <c r="AA10" s="50"/>
      <c r="AB10" s="50"/>
      <c r="AC10" s="49"/>
      <c r="AD10" s="50"/>
      <c r="AE10" s="50"/>
      <c r="AF10" s="50"/>
      <c r="AG10" s="50"/>
      <c r="AH10" s="50"/>
      <c r="AI10" s="52"/>
      <c r="AJ10" s="53"/>
      <c r="AK10" s="50"/>
      <c r="AL10" s="50"/>
      <c r="AM10" s="50"/>
      <c r="AN10" s="50"/>
      <c r="AO10" s="50"/>
      <c r="AP10" s="50"/>
      <c r="AQ10" s="49"/>
      <c r="AR10" s="50"/>
      <c r="AS10" s="50"/>
      <c r="AT10" s="50"/>
      <c r="AU10" s="50"/>
      <c r="AV10" s="50"/>
      <c r="AW10" s="50"/>
      <c r="AX10" s="50"/>
      <c r="AY10" s="49"/>
      <c r="AZ10" s="50"/>
      <c r="BA10" s="50"/>
      <c r="BB10" s="50"/>
      <c r="BC10" s="50"/>
      <c r="BD10" s="50"/>
      <c r="BE10" s="50"/>
      <c r="BF10" s="50"/>
      <c r="BG10" s="50"/>
      <c r="BH10" s="50"/>
      <c r="BI10" s="50"/>
      <c r="BJ10" s="50"/>
      <c r="BK10" s="51"/>
      <c r="BL10" s="50"/>
      <c r="BM10" s="50"/>
      <c r="BN10" s="50"/>
      <c r="BO10" s="50"/>
      <c r="BP10" s="50"/>
      <c r="BQ10" s="49"/>
      <c r="BR10" s="50"/>
      <c r="BS10" s="50"/>
      <c r="BT10" s="51"/>
      <c r="BU10" s="49"/>
      <c r="BV10" s="50"/>
      <c r="BW10" s="50"/>
      <c r="BX10" s="50"/>
      <c r="BY10" s="50"/>
      <c r="BZ10" s="51"/>
    </row>
    <row r="11" spans="1:78">
      <c r="A11" s="8" t="s">
        <v>120</v>
      </c>
      <c r="B11" s="8"/>
      <c r="C11" t="s">
        <v>121</v>
      </c>
      <c r="E11" s="58" t="s">
        <v>301</v>
      </c>
      <c r="F11" s="8"/>
      <c r="G11" s="8"/>
      <c r="H11" s="8"/>
      <c r="I11" s="58"/>
      <c r="J11" s="8"/>
      <c r="K11" s="8"/>
      <c r="L11" s="8"/>
      <c r="M11" s="59"/>
      <c r="N11" s="8"/>
      <c r="O11" s="8"/>
      <c r="P11" s="8"/>
      <c r="Q11" s="8"/>
      <c r="R11" s="8"/>
      <c r="S11" s="58"/>
      <c r="T11" s="8"/>
      <c r="U11" s="8"/>
      <c r="V11" s="59"/>
      <c r="W11" s="8"/>
      <c r="X11" s="8"/>
      <c r="Y11" s="8"/>
      <c r="Z11" s="8"/>
      <c r="AA11" s="8"/>
      <c r="AB11" s="8">
        <v>0.5</v>
      </c>
      <c r="AC11" s="58"/>
      <c r="AD11" s="8"/>
      <c r="AE11" s="8"/>
      <c r="AF11" s="8"/>
      <c r="AG11" s="8"/>
      <c r="AH11" s="8"/>
      <c r="AI11" s="60"/>
      <c r="AJ11" s="61"/>
      <c r="AK11" s="8"/>
      <c r="AL11" s="8"/>
      <c r="AM11" s="8"/>
      <c r="AN11" s="8"/>
      <c r="AO11" s="8"/>
      <c r="AP11" s="8"/>
      <c r="AQ11" s="58"/>
      <c r="AR11" s="8"/>
      <c r="AS11" s="8"/>
      <c r="AT11" s="8"/>
      <c r="AU11" s="8"/>
      <c r="AV11" s="8"/>
      <c r="AW11" s="8"/>
      <c r="AX11" s="8"/>
      <c r="AY11" s="58"/>
      <c r="AZ11" s="8"/>
      <c r="BA11" s="8"/>
      <c r="BB11" s="8"/>
      <c r="BC11" s="8"/>
      <c r="BD11" s="8"/>
      <c r="BE11" s="8"/>
      <c r="BF11" s="8"/>
      <c r="BG11" s="8"/>
      <c r="BH11" s="8"/>
      <c r="BI11" s="8"/>
      <c r="BJ11" s="8"/>
      <c r="BK11" s="59"/>
      <c r="BL11" s="8"/>
      <c r="BM11" s="8"/>
      <c r="BN11" s="8"/>
      <c r="BO11" s="8"/>
      <c r="BP11" s="8"/>
      <c r="BQ11" s="58"/>
      <c r="BR11" s="8"/>
      <c r="BS11" s="10"/>
      <c r="BT11" s="36"/>
      <c r="BU11" s="58"/>
      <c r="BV11" s="8"/>
      <c r="BW11" s="8"/>
      <c r="BX11" s="8"/>
      <c r="BY11" s="8"/>
      <c r="BZ11" s="59"/>
    </row>
    <row r="12" spans="1:78" s="16" customFormat="1">
      <c r="A12" s="8" t="s">
        <v>129</v>
      </c>
      <c r="B12" s="8">
        <v>2017</v>
      </c>
      <c r="C12" s="16" t="s">
        <v>310</v>
      </c>
      <c r="E12" s="58" t="s">
        <v>301</v>
      </c>
      <c r="F12" s="8"/>
      <c r="G12" s="8"/>
      <c r="H12" s="8"/>
      <c r="I12" s="58"/>
      <c r="J12" s="8"/>
      <c r="K12" s="8"/>
      <c r="L12" s="8"/>
      <c r="M12" s="36"/>
      <c r="N12" s="8"/>
      <c r="O12" s="8"/>
      <c r="P12" s="8"/>
      <c r="Q12" s="8"/>
      <c r="R12" s="8"/>
      <c r="S12" s="58"/>
      <c r="T12" s="8"/>
      <c r="U12" s="8"/>
      <c r="V12" s="36"/>
      <c r="W12" s="8"/>
      <c r="X12" s="8"/>
      <c r="Y12" s="8"/>
      <c r="Z12" s="8"/>
      <c r="AA12" s="8"/>
      <c r="AB12" s="8"/>
      <c r="AC12" s="58"/>
      <c r="AD12" s="8">
        <v>1300</v>
      </c>
      <c r="AE12" s="8">
        <v>0.03</v>
      </c>
      <c r="AF12" s="8"/>
      <c r="AG12" s="8">
        <v>20</v>
      </c>
      <c r="AH12" s="8"/>
      <c r="AI12" s="60">
        <f>1/(61*constants!C5)</f>
        <v>0.54590163934426228</v>
      </c>
      <c r="AJ12" s="61"/>
      <c r="AK12" s="8"/>
      <c r="AL12" s="8"/>
      <c r="AM12" s="8"/>
      <c r="AN12" s="8"/>
      <c r="AO12" s="8"/>
      <c r="AP12" s="8"/>
      <c r="AQ12" s="58"/>
      <c r="AR12" s="8"/>
      <c r="AS12" s="8"/>
      <c r="AT12" s="8"/>
      <c r="AU12" s="8"/>
      <c r="AV12" s="8"/>
      <c r="AW12" s="8"/>
      <c r="AX12" s="8"/>
      <c r="AY12" s="58"/>
      <c r="AZ12" s="8"/>
      <c r="BA12" s="8"/>
      <c r="BB12" s="8"/>
      <c r="BC12" s="8"/>
      <c r="BD12" s="8"/>
      <c r="BE12" s="8"/>
      <c r="BF12" s="8"/>
      <c r="BG12" s="8"/>
      <c r="BH12" s="8"/>
      <c r="BI12" s="8"/>
      <c r="BJ12" s="8"/>
      <c r="BK12" s="36"/>
      <c r="BL12" s="8"/>
      <c r="BM12" s="8"/>
      <c r="BN12" s="8"/>
      <c r="BO12" s="8"/>
      <c r="BP12" s="8"/>
      <c r="BQ12" s="58"/>
      <c r="BR12" s="8"/>
      <c r="BS12" s="8"/>
      <c r="BT12" s="36"/>
      <c r="BU12" s="58"/>
      <c r="BV12" s="8"/>
      <c r="BW12" s="8"/>
      <c r="BX12" s="8"/>
      <c r="BY12" s="8"/>
      <c r="BZ12" s="36"/>
    </row>
    <row r="13" spans="1:78" s="16" customFormat="1">
      <c r="A13" s="8" t="s">
        <v>129</v>
      </c>
      <c r="B13" s="8">
        <v>2025</v>
      </c>
      <c r="C13" s="16" t="s">
        <v>311</v>
      </c>
      <c r="E13" s="58"/>
      <c r="F13" s="8"/>
      <c r="G13" s="8"/>
      <c r="H13" s="8"/>
      <c r="I13" s="58"/>
      <c r="J13" s="8"/>
      <c r="K13" s="8"/>
      <c r="L13" s="8"/>
      <c r="M13" s="36"/>
      <c r="N13" s="8"/>
      <c r="O13" s="8"/>
      <c r="P13" s="8"/>
      <c r="Q13" s="8"/>
      <c r="R13" s="8"/>
      <c r="S13" s="58"/>
      <c r="T13" s="8"/>
      <c r="U13" s="8"/>
      <c r="V13" s="36"/>
      <c r="W13" s="8"/>
      <c r="X13" s="8"/>
      <c r="Y13" s="8"/>
      <c r="Z13" s="8"/>
      <c r="AA13" s="8"/>
      <c r="AB13" s="8"/>
      <c r="AC13" s="58"/>
      <c r="AD13" s="8">
        <v>900</v>
      </c>
      <c r="AE13" s="8">
        <v>0.03</v>
      </c>
      <c r="AF13" s="8"/>
      <c r="AG13" s="8">
        <v>20</v>
      </c>
      <c r="AH13" s="8"/>
      <c r="AI13" s="60">
        <f>1/(53*constants!C5)</f>
        <v>0.6283018867924528</v>
      </c>
      <c r="AJ13" s="61"/>
      <c r="AK13" s="8"/>
      <c r="AL13" s="8"/>
      <c r="AM13" s="8"/>
      <c r="AN13" s="8"/>
      <c r="AO13" s="8"/>
      <c r="AP13" s="8"/>
      <c r="AQ13" s="58"/>
      <c r="AR13" s="8"/>
      <c r="AS13" s="8"/>
      <c r="AT13" s="8"/>
      <c r="AU13" s="8"/>
      <c r="AV13" s="8"/>
      <c r="AW13" s="8"/>
      <c r="AX13" s="8"/>
      <c r="AY13" s="58"/>
      <c r="AZ13" s="8"/>
      <c r="BA13" s="8"/>
      <c r="BB13" s="8"/>
      <c r="BC13" s="8"/>
      <c r="BD13" s="8"/>
      <c r="BE13" s="8"/>
      <c r="BF13" s="8"/>
      <c r="BG13" s="8"/>
      <c r="BH13" s="8"/>
      <c r="BI13" s="8"/>
      <c r="BJ13" s="8"/>
      <c r="BK13" s="36"/>
      <c r="BL13" s="8"/>
      <c r="BM13" s="8"/>
      <c r="BN13" s="8"/>
      <c r="BO13" s="8"/>
      <c r="BP13" s="8"/>
      <c r="BQ13" s="58"/>
      <c r="BR13" s="8"/>
      <c r="BS13" s="8"/>
      <c r="BT13" s="36"/>
      <c r="BU13" s="58"/>
      <c r="BV13" s="8"/>
      <c r="BW13" s="8"/>
      <c r="BX13" s="8"/>
      <c r="BY13" s="8"/>
      <c r="BZ13" s="36"/>
    </row>
    <row r="14" spans="1:78" s="48" customFormat="1">
      <c r="A14" s="50" t="s">
        <v>312</v>
      </c>
      <c r="B14" s="50"/>
      <c r="C14" s="48" t="s">
        <v>313</v>
      </c>
      <c r="D14" s="48" t="s">
        <v>314</v>
      </c>
      <c r="E14" s="49" t="s">
        <v>301</v>
      </c>
      <c r="F14" s="50"/>
      <c r="G14" s="50"/>
      <c r="H14" s="50"/>
      <c r="I14" s="49"/>
      <c r="J14" s="50"/>
      <c r="K14" s="50"/>
      <c r="L14" s="50"/>
      <c r="M14" s="51"/>
      <c r="N14" s="50"/>
      <c r="O14" s="50"/>
      <c r="P14" s="50"/>
      <c r="Q14" s="50"/>
      <c r="R14" s="50"/>
      <c r="S14" s="49"/>
      <c r="T14" s="50"/>
      <c r="U14" s="50"/>
      <c r="V14" s="51"/>
      <c r="W14" s="50"/>
      <c r="X14" s="50"/>
      <c r="Y14" s="50"/>
      <c r="Z14" s="50"/>
      <c r="AA14" s="50"/>
      <c r="AB14" s="50"/>
      <c r="AC14" s="49"/>
      <c r="AD14" s="50">
        <f>78300000/100000</f>
        <v>783</v>
      </c>
      <c r="AE14" s="50">
        <v>0.11</v>
      </c>
      <c r="AF14" s="50"/>
      <c r="AG14" s="50"/>
      <c r="AH14" s="50"/>
      <c r="AI14" s="52"/>
      <c r="AJ14" s="53"/>
      <c r="AK14" s="50"/>
      <c r="AL14" s="50"/>
      <c r="AM14" s="50"/>
      <c r="AN14" s="50"/>
      <c r="AO14" s="50"/>
      <c r="AP14" s="50"/>
      <c r="AQ14" s="49"/>
      <c r="AR14" s="50"/>
      <c r="AS14" s="50"/>
      <c r="AT14" s="50"/>
      <c r="AU14" s="50"/>
      <c r="AV14" s="50"/>
      <c r="AW14" s="50"/>
      <c r="AX14" s="50"/>
      <c r="AY14" s="49"/>
      <c r="AZ14" s="50"/>
      <c r="BA14" s="50"/>
      <c r="BB14" s="50"/>
      <c r="BC14" s="50"/>
      <c r="BD14" s="50"/>
      <c r="BE14" s="50"/>
      <c r="BF14" s="50"/>
      <c r="BG14" s="50"/>
      <c r="BH14" s="50"/>
      <c r="BI14" s="50"/>
      <c r="BJ14" s="50"/>
      <c r="BK14" s="51"/>
      <c r="BL14" s="50"/>
      <c r="BM14" s="50"/>
      <c r="BN14" s="50"/>
      <c r="BO14" s="50"/>
      <c r="BP14" s="50"/>
      <c r="BQ14" s="49"/>
      <c r="BR14" s="50"/>
      <c r="BS14" s="50"/>
      <c r="BT14" s="51"/>
      <c r="BU14" s="49"/>
      <c r="BV14" s="50"/>
      <c r="BW14" s="50"/>
      <c r="BX14" s="50"/>
      <c r="BY14" s="50"/>
      <c r="BZ14" s="51"/>
    </row>
    <row r="15" spans="1:78" s="48" customFormat="1">
      <c r="A15" s="50" t="s">
        <v>312</v>
      </c>
      <c r="B15" s="50"/>
      <c r="C15" s="48" t="s">
        <v>315</v>
      </c>
      <c r="D15" s="48" t="s">
        <v>316</v>
      </c>
      <c r="E15" s="49" t="s">
        <v>301</v>
      </c>
      <c r="F15" s="50"/>
      <c r="G15" s="50"/>
      <c r="H15" s="50"/>
      <c r="I15" s="49"/>
      <c r="J15" s="50"/>
      <c r="K15" s="50"/>
      <c r="L15" s="50"/>
      <c r="M15" s="51"/>
      <c r="N15" s="50"/>
      <c r="O15" s="50"/>
      <c r="P15" s="50"/>
      <c r="Q15" s="50"/>
      <c r="R15" s="50"/>
      <c r="S15" s="49"/>
      <c r="T15" s="50"/>
      <c r="U15" s="50"/>
      <c r="V15" s="51"/>
      <c r="W15" s="50"/>
      <c r="X15" s="50"/>
      <c r="Y15" s="50"/>
      <c r="Z15" s="50"/>
      <c r="AA15" s="50"/>
      <c r="AB15" s="50"/>
      <c r="AC15" s="49"/>
      <c r="AD15" s="50">
        <f>11000000/10000</f>
        <v>1100</v>
      </c>
      <c r="AE15" s="50">
        <v>0.11</v>
      </c>
      <c r="AF15" s="50"/>
      <c r="AG15" s="50"/>
      <c r="AH15" s="50"/>
      <c r="AI15" s="60"/>
      <c r="AJ15" s="61"/>
      <c r="AK15" s="50"/>
      <c r="AL15" s="50"/>
      <c r="AM15" s="50"/>
      <c r="AN15" s="50"/>
      <c r="AO15" s="50"/>
      <c r="AP15" s="50"/>
      <c r="AQ15" s="49"/>
      <c r="AR15" s="50"/>
      <c r="AS15" s="50"/>
      <c r="AT15" s="50"/>
      <c r="AU15" s="50"/>
      <c r="AV15" s="50"/>
      <c r="AW15" s="50"/>
      <c r="AX15" s="50"/>
      <c r="AY15" s="49"/>
      <c r="AZ15" s="62"/>
      <c r="BA15" s="50"/>
      <c r="BB15" s="50"/>
      <c r="BC15" s="50"/>
      <c r="BD15" s="50"/>
      <c r="BE15" s="50"/>
      <c r="BF15" s="50"/>
      <c r="BG15" s="50"/>
      <c r="BH15" s="50"/>
      <c r="BI15" s="50"/>
      <c r="BJ15" s="50"/>
      <c r="BK15" s="51"/>
      <c r="BL15" s="50"/>
      <c r="BM15" s="50"/>
      <c r="BN15" s="50"/>
      <c r="BO15" s="50"/>
      <c r="BP15" s="50"/>
      <c r="BQ15" s="49"/>
      <c r="BR15" s="50"/>
      <c r="BS15" s="50"/>
      <c r="BT15" s="51"/>
      <c r="BU15" s="49"/>
      <c r="BV15" s="50"/>
      <c r="BW15" s="50"/>
      <c r="BX15" s="50"/>
      <c r="BY15" s="50"/>
      <c r="BZ15" s="51"/>
    </row>
    <row r="16" spans="1:78" s="48" customFormat="1">
      <c r="A16" s="50" t="s">
        <v>317</v>
      </c>
      <c r="B16" s="50">
        <v>2050</v>
      </c>
      <c r="C16" s="48" t="s">
        <v>318</v>
      </c>
      <c r="D16" s="48" t="s">
        <v>319</v>
      </c>
      <c r="E16" s="49" t="s">
        <v>301</v>
      </c>
      <c r="F16" s="50"/>
      <c r="G16" s="50"/>
      <c r="H16" s="50"/>
      <c r="I16" s="49"/>
      <c r="J16" s="50"/>
      <c r="K16" s="50"/>
      <c r="L16" s="50"/>
      <c r="M16" s="51"/>
      <c r="N16" s="50"/>
      <c r="O16" s="50"/>
      <c r="P16" s="50">
        <v>500</v>
      </c>
      <c r="Q16" s="50">
        <f>8/P16</f>
        <v>1.6E-2</v>
      </c>
      <c r="R16" s="50">
        <v>25</v>
      </c>
      <c r="S16" s="49"/>
      <c r="T16" s="50"/>
      <c r="U16" s="50"/>
      <c r="V16" s="51"/>
      <c r="W16" s="50"/>
      <c r="X16" s="50"/>
      <c r="Y16" s="50"/>
      <c r="Z16" s="50"/>
      <c r="AA16" s="50"/>
      <c r="AB16" s="50"/>
      <c r="AC16" s="49"/>
      <c r="AD16" s="50">
        <v>400</v>
      </c>
      <c r="AE16" s="50">
        <f>7/AD16</f>
        <v>1.7500000000000002E-2</v>
      </c>
      <c r="AF16" s="50"/>
      <c r="AG16" s="50">
        <v>10</v>
      </c>
      <c r="AH16" s="50"/>
      <c r="AI16" s="60">
        <v>0.65500000000000003</v>
      </c>
      <c r="AJ16" s="61"/>
      <c r="AK16" s="50"/>
      <c r="AL16" s="50"/>
      <c r="AM16" s="50"/>
      <c r="AN16" s="50"/>
      <c r="AO16" s="50"/>
      <c r="AP16" s="50"/>
      <c r="AQ16" s="49"/>
      <c r="AR16" s="50"/>
      <c r="AS16" s="50"/>
      <c r="AT16" s="50"/>
      <c r="AU16" s="50"/>
      <c r="AV16" s="50"/>
      <c r="AW16" s="50"/>
      <c r="AX16" s="50"/>
      <c r="AY16" s="49"/>
      <c r="AZ16" s="50"/>
      <c r="BA16" s="50"/>
      <c r="BB16" s="50"/>
      <c r="BC16" s="50"/>
      <c r="BD16" s="50"/>
      <c r="BE16" s="50"/>
      <c r="BF16" s="50"/>
      <c r="BG16" s="50"/>
      <c r="BH16" s="50"/>
      <c r="BI16" s="50"/>
      <c r="BJ16" s="50"/>
      <c r="BK16" s="51"/>
      <c r="BL16" s="50"/>
      <c r="BM16" s="50"/>
      <c r="BN16" s="50"/>
      <c r="BO16" s="50"/>
      <c r="BP16" s="50"/>
      <c r="BQ16" s="49"/>
      <c r="BR16" s="50"/>
      <c r="BS16" s="50"/>
      <c r="BT16" s="51"/>
      <c r="BU16" s="49"/>
      <c r="BV16" s="50"/>
      <c r="BW16" s="50"/>
      <c r="BX16" s="50"/>
      <c r="BY16" s="50"/>
      <c r="BZ16" s="51"/>
    </row>
    <row r="17" spans="1:78">
      <c r="A17" s="8" t="s">
        <v>320</v>
      </c>
      <c r="B17" s="8">
        <v>2020</v>
      </c>
      <c r="C17" t="s">
        <v>321</v>
      </c>
      <c r="E17" s="58" t="s">
        <v>301</v>
      </c>
      <c r="F17" s="8"/>
      <c r="G17" s="8"/>
      <c r="H17" s="8"/>
      <c r="I17" s="58"/>
      <c r="J17" s="8"/>
      <c r="K17" s="8"/>
      <c r="L17" s="8"/>
      <c r="M17" s="59"/>
      <c r="N17" s="8"/>
      <c r="O17" s="8"/>
      <c r="P17" s="8"/>
      <c r="Q17" s="8"/>
      <c r="R17" s="8"/>
      <c r="S17" s="58"/>
      <c r="T17" s="8"/>
      <c r="U17" s="8"/>
      <c r="V17" s="59"/>
      <c r="W17" s="8"/>
      <c r="X17" s="8"/>
      <c r="Y17" s="8"/>
      <c r="Z17" s="8"/>
      <c r="AA17" s="8"/>
      <c r="AB17" s="8"/>
      <c r="AC17" s="58"/>
      <c r="AD17" s="63">
        <v>1188</v>
      </c>
      <c r="AE17" s="8"/>
      <c r="AF17" s="8"/>
      <c r="AG17" s="8"/>
      <c r="AH17" s="8"/>
      <c r="AI17" s="60"/>
      <c r="AJ17" s="61"/>
      <c r="AK17" s="8"/>
      <c r="AL17" s="8"/>
      <c r="AM17" s="8"/>
      <c r="AN17" s="8"/>
      <c r="AO17" s="8"/>
      <c r="AP17" s="8"/>
      <c r="AQ17" s="58"/>
      <c r="AR17" s="8"/>
      <c r="AS17" s="8"/>
      <c r="AT17" s="8"/>
      <c r="AU17" s="8"/>
      <c r="AV17" s="8"/>
      <c r="AW17" s="8"/>
      <c r="AX17" s="8"/>
      <c r="AY17" s="58"/>
      <c r="AZ17" s="8"/>
      <c r="BA17" s="8"/>
      <c r="BB17" s="8"/>
      <c r="BC17" s="8"/>
      <c r="BD17" s="8"/>
      <c r="BE17" s="8"/>
      <c r="BF17" s="8"/>
      <c r="BG17" s="8"/>
      <c r="BH17" s="8"/>
      <c r="BI17" s="8"/>
      <c r="BJ17" s="8"/>
      <c r="BK17" s="59"/>
      <c r="BL17" s="8"/>
      <c r="BM17" s="8"/>
      <c r="BN17" s="8"/>
      <c r="BO17" s="8"/>
      <c r="BP17" s="8"/>
      <c r="BQ17" s="58"/>
      <c r="BR17" s="8"/>
      <c r="BS17" s="10"/>
      <c r="BT17" s="36"/>
      <c r="BU17" s="58"/>
      <c r="BV17" s="8"/>
      <c r="BW17" s="8"/>
      <c r="BX17" s="8"/>
      <c r="BY17" s="8"/>
      <c r="BZ17" s="59"/>
    </row>
    <row r="18" spans="1:78">
      <c r="A18" s="8" t="s">
        <v>320</v>
      </c>
      <c r="B18" s="8">
        <v>2030</v>
      </c>
      <c r="C18" t="s">
        <v>321</v>
      </c>
      <c r="E18" s="58" t="s">
        <v>301</v>
      </c>
      <c r="F18" s="8"/>
      <c r="G18" s="8"/>
      <c r="H18" s="8"/>
      <c r="I18" s="58"/>
      <c r="J18" s="8"/>
      <c r="K18" s="8"/>
      <c r="L18" s="8"/>
      <c r="M18" s="59"/>
      <c r="N18" s="8"/>
      <c r="O18" s="8"/>
      <c r="P18" s="8"/>
      <c r="Q18" s="8"/>
      <c r="R18" s="8"/>
      <c r="S18" s="58"/>
      <c r="T18" s="8"/>
      <c r="U18" s="8"/>
      <c r="V18" s="59"/>
      <c r="W18" s="8"/>
      <c r="X18" s="8"/>
      <c r="Y18" s="8"/>
      <c r="Z18" s="8"/>
      <c r="AA18" s="8"/>
      <c r="AB18" s="8"/>
      <c r="AC18" s="58"/>
      <c r="AD18" s="63">
        <v>701</v>
      </c>
      <c r="AE18" s="8"/>
      <c r="AF18" s="8"/>
      <c r="AG18" s="8"/>
      <c r="AH18" s="8"/>
      <c r="AI18" s="60"/>
      <c r="AJ18" s="61"/>
      <c r="AK18" s="8"/>
      <c r="AL18" s="8"/>
      <c r="AM18" s="8"/>
      <c r="AN18" s="8"/>
      <c r="AO18" s="8"/>
      <c r="AP18" s="8"/>
      <c r="AQ18" s="58"/>
      <c r="AR18" s="8"/>
      <c r="AS18" s="8"/>
      <c r="AT18" s="8"/>
      <c r="AU18" s="8"/>
      <c r="AV18" s="8"/>
      <c r="AW18" s="8"/>
      <c r="AX18" s="8"/>
      <c r="AY18" s="58"/>
      <c r="AZ18" s="8"/>
      <c r="BA18" s="8"/>
      <c r="BB18" s="8"/>
      <c r="BC18" s="8"/>
      <c r="BD18" s="8"/>
      <c r="BE18" s="8"/>
      <c r="BF18" s="8"/>
      <c r="BG18" s="8"/>
      <c r="BH18" s="8"/>
      <c r="BI18" s="8"/>
      <c r="BJ18" s="8"/>
      <c r="BK18" s="59"/>
      <c r="BL18" s="8"/>
      <c r="BM18" s="8"/>
      <c r="BN18" s="8"/>
      <c r="BO18" s="8"/>
      <c r="BP18" s="8"/>
      <c r="BQ18" s="58"/>
      <c r="BR18" s="8"/>
      <c r="BS18" s="10"/>
      <c r="BT18" s="36"/>
      <c r="BU18" s="58"/>
      <c r="BV18" s="8"/>
      <c r="BW18" s="8"/>
      <c r="BX18" s="8"/>
      <c r="BY18" s="8"/>
      <c r="BZ18" s="59"/>
    </row>
    <row r="19" spans="1:78">
      <c r="A19" s="8" t="s">
        <v>320</v>
      </c>
      <c r="B19" s="8">
        <v>2050</v>
      </c>
      <c r="C19" t="s">
        <v>321</v>
      </c>
      <c r="E19" s="58" t="s">
        <v>301</v>
      </c>
      <c r="F19" s="8"/>
      <c r="G19" s="8"/>
      <c r="H19" s="8"/>
      <c r="I19" s="58"/>
      <c r="J19" s="8"/>
      <c r="K19" s="8"/>
      <c r="L19" s="8"/>
      <c r="M19" s="59"/>
      <c r="N19" s="8"/>
      <c r="O19" s="8"/>
      <c r="P19" s="8"/>
      <c r="Q19" s="8"/>
      <c r="R19" s="8"/>
      <c r="S19" s="58"/>
      <c r="T19" s="8"/>
      <c r="U19" s="8"/>
      <c r="V19" s="59"/>
      <c r="W19" s="8"/>
      <c r="X19" s="8"/>
      <c r="Y19" s="8"/>
      <c r="Z19" s="8"/>
      <c r="AA19" s="8"/>
      <c r="AB19" s="8"/>
      <c r="AC19" s="58"/>
      <c r="AD19" s="63">
        <v>308</v>
      </c>
      <c r="AE19" s="8"/>
      <c r="AF19" s="8"/>
      <c r="AG19" s="8"/>
      <c r="AH19" s="8"/>
      <c r="AI19" s="60"/>
      <c r="AJ19" s="61"/>
      <c r="AK19" s="8"/>
      <c r="AL19" s="8"/>
      <c r="AM19" s="8"/>
      <c r="AN19" s="8"/>
      <c r="AO19" s="8"/>
      <c r="AP19" s="8"/>
      <c r="AQ19" s="58"/>
      <c r="AR19" s="8"/>
      <c r="AS19" s="8"/>
      <c r="AT19" s="8"/>
      <c r="AU19" s="8"/>
      <c r="AV19" s="8"/>
      <c r="AW19" s="8"/>
      <c r="AX19" s="8"/>
      <c r="AY19" s="58"/>
      <c r="AZ19" s="8"/>
      <c r="BA19" s="8"/>
      <c r="BB19" s="8"/>
      <c r="BC19" s="8"/>
      <c r="BD19" s="8"/>
      <c r="BE19" s="8"/>
      <c r="BF19" s="8"/>
      <c r="BG19" s="8"/>
      <c r="BH19" s="8"/>
      <c r="BI19" s="8"/>
      <c r="BJ19" s="8"/>
      <c r="BK19" s="59"/>
      <c r="BL19" s="8"/>
      <c r="BM19" s="8"/>
      <c r="BN19" s="8"/>
      <c r="BO19" s="8"/>
      <c r="BP19" s="8"/>
      <c r="BQ19" s="58"/>
      <c r="BR19" s="8"/>
      <c r="BS19" s="10"/>
      <c r="BT19" s="36"/>
      <c r="BU19" s="58"/>
      <c r="BV19" s="8"/>
      <c r="BW19" s="8"/>
      <c r="BX19" s="8"/>
      <c r="BY19" s="8"/>
      <c r="BZ19" s="59"/>
    </row>
    <row r="20" spans="1:78" s="48" customFormat="1">
      <c r="A20" s="50" t="s">
        <v>322</v>
      </c>
      <c r="B20" s="50">
        <v>2040</v>
      </c>
      <c r="C20" s="48" t="s">
        <v>323</v>
      </c>
      <c r="D20" s="48" t="s">
        <v>324</v>
      </c>
      <c r="E20" s="49" t="s">
        <v>301</v>
      </c>
      <c r="F20" s="64" t="s">
        <v>325</v>
      </c>
      <c r="G20" s="50">
        <v>1.9E-2</v>
      </c>
      <c r="H20" s="50">
        <v>25</v>
      </c>
      <c r="I20" s="49"/>
      <c r="J20" s="50">
        <v>2610</v>
      </c>
      <c r="K20" s="50">
        <v>2.8000000000000001E-2</v>
      </c>
      <c r="L20" s="50">
        <v>25</v>
      </c>
      <c r="M20" s="51"/>
      <c r="N20" s="50"/>
      <c r="O20" s="50"/>
      <c r="P20" s="50">
        <v>600</v>
      </c>
      <c r="Q20" s="50">
        <v>1.7000000000000001E-2</v>
      </c>
      <c r="R20" s="50">
        <v>25</v>
      </c>
      <c r="S20" s="49"/>
      <c r="T20" s="50">
        <v>4930</v>
      </c>
      <c r="U20" s="50">
        <v>0.04</v>
      </c>
      <c r="V20" s="51">
        <v>30</v>
      </c>
      <c r="W20" s="50"/>
      <c r="X20" s="50"/>
      <c r="Y20" s="50"/>
      <c r="Z20" s="50"/>
      <c r="AA20" s="50"/>
      <c r="AB20" s="50"/>
      <c r="AC20" s="49"/>
      <c r="AD20" s="50"/>
      <c r="AE20" s="50"/>
      <c r="AF20" s="50"/>
      <c r="AG20" s="50"/>
      <c r="AH20" s="50"/>
      <c r="AI20" s="52"/>
      <c r="AJ20" s="53"/>
      <c r="AK20" s="50"/>
      <c r="AL20" s="50"/>
      <c r="AM20" s="50"/>
      <c r="AN20" s="50"/>
      <c r="AO20" s="50"/>
      <c r="AP20" s="50"/>
      <c r="AQ20" s="49"/>
      <c r="AR20" s="50"/>
      <c r="AS20" s="50"/>
      <c r="AT20" s="50"/>
      <c r="AU20" s="50"/>
      <c r="AV20" s="50"/>
      <c r="AW20" s="50"/>
      <c r="AX20" s="50"/>
      <c r="AY20" s="49"/>
      <c r="AZ20" s="50"/>
      <c r="BA20" s="50"/>
      <c r="BB20" s="50"/>
      <c r="BC20" s="50"/>
      <c r="BD20" s="50"/>
      <c r="BE20" s="50"/>
      <c r="BF20" s="50"/>
      <c r="BG20" s="50"/>
      <c r="BH20" s="50"/>
      <c r="BI20" s="50"/>
      <c r="BJ20" s="50"/>
      <c r="BK20" s="51"/>
      <c r="BL20" s="50"/>
      <c r="BM20" s="50"/>
      <c r="BN20" s="50"/>
      <c r="BO20" s="50"/>
      <c r="BP20" s="50"/>
      <c r="BQ20" s="49"/>
      <c r="BR20" s="50"/>
      <c r="BS20" s="50"/>
      <c r="BT20" s="51"/>
      <c r="BU20" s="49"/>
      <c r="BV20" s="50"/>
      <c r="BW20" s="50"/>
      <c r="BX20" s="50"/>
      <c r="BY20" s="50"/>
      <c r="BZ20" s="51"/>
    </row>
    <row r="21" spans="1:78" s="48" customFormat="1">
      <c r="A21" s="64" t="s">
        <v>326</v>
      </c>
      <c r="B21" s="50">
        <v>2020</v>
      </c>
      <c r="C21" s="48" t="s">
        <v>327</v>
      </c>
      <c r="D21" s="48" t="s">
        <v>328</v>
      </c>
      <c r="E21" s="49" t="s">
        <v>301</v>
      </c>
      <c r="F21" s="50"/>
      <c r="G21" s="50"/>
      <c r="H21" s="50"/>
      <c r="I21" s="49"/>
      <c r="J21" s="50">
        <f>4375*constants!C4</f>
        <v>3937.5</v>
      </c>
      <c r="K21" s="65">
        <f>110/5375</f>
        <v>2.0465116279069766E-2</v>
      </c>
      <c r="L21" s="50"/>
      <c r="M21" s="51"/>
      <c r="N21" s="50"/>
      <c r="O21" s="50"/>
      <c r="P21" s="50">
        <f>1313*constants!C4</f>
        <v>1181.7</v>
      </c>
      <c r="Q21" s="65">
        <f>15.25*constants!C4/lit_review_raw!P21</f>
        <v>1.1614623000761614E-2</v>
      </c>
      <c r="R21" s="50"/>
      <c r="S21" s="49"/>
      <c r="T21" s="50">
        <v>7221</v>
      </c>
      <c r="U21" s="65">
        <f>85.4/7221</f>
        <v>1.1826616812075891E-2</v>
      </c>
      <c r="V21" s="51"/>
      <c r="W21" s="50"/>
      <c r="X21" s="50"/>
      <c r="Y21" s="50"/>
      <c r="Z21" s="50"/>
      <c r="AA21" s="50"/>
      <c r="AB21" s="50"/>
      <c r="AC21" s="49"/>
      <c r="AD21" s="50"/>
      <c r="AE21" s="50"/>
      <c r="AF21" s="50"/>
      <c r="AG21" s="50"/>
      <c r="AH21" s="50"/>
      <c r="AI21" s="52"/>
      <c r="AJ21" s="53"/>
      <c r="AK21" s="50"/>
      <c r="AL21" s="50"/>
      <c r="AM21" s="50"/>
      <c r="AN21" s="50"/>
      <c r="AO21" s="50"/>
      <c r="AP21" s="50"/>
      <c r="AQ21" s="49"/>
      <c r="AR21" s="50"/>
      <c r="AS21" s="50"/>
      <c r="AT21" s="50"/>
      <c r="AU21" s="50"/>
      <c r="AV21" s="50"/>
      <c r="AW21" s="50"/>
      <c r="AX21" s="50"/>
      <c r="AY21" s="49"/>
      <c r="AZ21" s="50"/>
      <c r="BA21" s="50"/>
      <c r="BB21" s="50"/>
      <c r="BC21" s="50"/>
      <c r="BD21" s="50"/>
      <c r="BE21" s="50"/>
      <c r="BF21" s="50"/>
      <c r="BG21" s="50"/>
      <c r="BH21" s="50"/>
      <c r="BI21" s="50"/>
      <c r="BJ21" s="50"/>
      <c r="BK21" s="51"/>
      <c r="BL21" s="50"/>
      <c r="BM21" s="50"/>
      <c r="BN21" s="50"/>
      <c r="BO21" s="50"/>
      <c r="BP21" s="50"/>
      <c r="BQ21" s="49"/>
      <c r="BR21" s="50"/>
      <c r="BS21" s="50"/>
      <c r="BT21" s="51"/>
      <c r="BU21" s="49"/>
      <c r="BV21" s="50"/>
      <c r="BW21" s="50"/>
      <c r="BX21" s="50"/>
      <c r="BY21" s="50"/>
      <c r="BZ21" s="51"/>
    </row>
    <row r="22" spans="1:78" s="48" customFormat="1">
      <c r="A22" s="64" t="s">
        <v>326</v>
      </c>
      <c r="B22" s="50">
        <v>2020</v>
      </c>
      <c r="C22" s="48" t="s">
        <v>329</v>
      </c>
      <c r="D22" s="48" t="s">
        <v>328</v>
      </c>
      <c r="E22" s="49" t="s">
        <v>301</v>
      </c>
      <c r="F22" s="50">
        <f>1265*constants!C4</f>
        <v>1138.5</v>
      </c>
      <c r="G22" s="65">
        <f>26.34*constants!C4/lit_review_raw!F22</f>
        <v>2.0822134387351778E-2</v>
      </c>
      <c r="H22" s="50"/>
      <c r="I22" s="49"/>
      <c r="J22" s="50"/>
      <c r="K22" s="50"/>
      <c r="L22" s="50"/>
      <c r="M22" s="51"/>
      <c r="N22" s="50"/>
      <c r="O22" s="50"/>
      <c r="P22" s="50"/>
      <c r="Q22" s="50"/>
      <c r="R22" s="50"/>
      <c r="S22" s="49"/>
      <c r="T22" s="50"/>
      <c r="U22" s="50"/>
      <c r="V22" s="51"/>
      <c r="W22" s="50"/>
      <c r="X22" s="50">
        <f>347*constants!C4</f>
        <v>312.3</v>
      </c>
      <c r="Y22" s="65">
        <f>24.8/1389</f>
        <v>1.7854571634269258E-2</v>
      </c>
      <c r="Z22" s="50"/>
      <c r="AA22" s="50"/>
      <c r="AB22" s="50"/>
      <c r="AC22" s="49"/>
      <c r="AD22" s="50"/>
      <c r="AE22" s="50"/>
      <c r="AF22" s="50"/>
      <c r="AG22" s="50"/>
      <c r="AH22" s="50"/>
      <c r="AI22" s="52"/>
      <c r="AJ22" s="53"/>
      <c r="AK22" s="50"/>
      <c r="AL22" s="50"/>
      <c r="AM22" s="50"/>
      <c r="AN22" s="50"/>
      <c r="AO22" s="50"/>
      <c r="AP22" s="50"/>
      <c r="AQ22" s="49"/>
      <c r="AR22" s="50"/>
      <c r="AS22" s="50"/>
      <c r="AT22" s="50"/>
      <c r="AU22" s="50"/>
      <c r="AV22" s="50"/>
      <c r="AW22" s="50"/>
      <c r="AX22" s="50"/>
      <c r="AY22" s="49"/>
      <c r="AZ22" s="50"/>
      <c r="BA22" s="50"/>
      <c r="BB22" s="50"/>
      <c r="BC22" s="50"/>
      <c r="BD22" s="50"/>
      <c r="BE22" s="50"/>
      <c r="BF22" s="50"/>
      <c r="BG22" s="50"/>
      <c r="BH22" s="50"/>
      <c r="BI22" s="50"/>
      <c r="BJ22" s="50"/>
      <c r="BK22" s="51"/>
      <c r="BL22" s="50"/>
      <c r="BM22" s="50"/>
      <c r="BN22" s="50"/>
      <c r="BO22" s="50"/>
      <c r="BP22" s="50"/>
      <c r="BQ22" s="49"/>
      <c r="BR22" s="50"/>
      <c r="BS22" s="50"/>
      <c r="BT22" s="51"/>
      <c r="BU22" s="49"/>
      <c r="BV22" s="50"/>
      <c r="BW22" s="50"/>
      <c r="BX22" s="50"/>
      <c r="BY22" s="50"/>
      <c r="BZ22" s="51"/>
    </row>
    <row r="23" spans="1:78" s="48" customFormat="1">
      <c r="A23" s="64" t="s">
        <v>326</v>
      </c>
      <c r="B23" s="50">
        <v>2020</v>
      </c>
      <c r="C23" s="48" t="s">
        <v>330</v>
      </c>
      <c r="D23" s="48" t="s">
        <v>328</v>
      </c>
      <c r="E23" s="49" t="s">
        <v>301</v>
      </c>
      <c r="F23" s="50">
        <f>1677*constants!C4</f>
        <v>1509.3</v>
      </c>
      <c r="G23" s="65">
        <f>35.14*constants!C4/lit_review_raw!F23</f>
        <v>2.095408467501491E-2</v>
      </c>
      <c r="H23" s="50"/>
      <c r="I23" s="49"/>
      <c r="J23" s="50"/>
      <c r="K23" s="50"/>
      <c r="L23" s="50"/>
      <c r="M23" s="51"/>
      <c r="N23" s="50"/>
      <c r="O23" s="50"/>
      <c r="P23" s="50"/>
      <c r="Q23" s="50"/>
      <c r="R23" s="50"/>
      <c r="S23" s="49"/>
      <c r="T23" s="50"/>
      <c r="U23" s="50"/>
      <c r="V23" s="51"/>
      <c r="W23" s="50"/>
      <c r="X23" s="50">
        <f>423*constants!C4</f>
        <v>380.7</v>
      </c>
      <c r="Y23" s="65">
        <f>12.9/845</f>
        <v>1.5266272189349114E-2</v>
      </c>
      <c r="Z23" s="50"/>
      <c r="AA23" s="50"/>
      <c r="AB23" s="50"/>
      <c r="AC23" s="49"/>
      <c r="AD23" s="50"/>
      <c r="AE23" s="50"/>
      <c r="AF23" s="50"/>
      <c r="AG23" s="50"/>
      <c r="AH23" s="50"/>
      <c r="AI23" s="52"/>
      <c r="AJ23" s="53"/>
      <c r="AK23" s="50"/>
      <c r="AL23" s="50"/>
      <c r="AM23" s="50"/>
      <c r="AN23" s="50"/>
      <c r="AO23" s="50"/>
      <c r="AP23" s="50"/>
      <c r="AQ23" s="49"/>
      <c r="AR23" s="50"/>
      <c r="AS23" s="50"/>
      <c r="AT23" s="50"/>
      <c r="AU23" s="50"/>
      <c r="AV23" s="50"/>
      <c r="AW23" s="50"/>
      <c r="AX23" s="50"/>
      <c r="AY23" s="49"/>
      <c r="AZ23" s="50"/>
      <c r="BA23" s="50"/>
      <c r="BB23" s="50"/>
      <c r="BC23" s="50"/>
      <c r="BD23" s="50"/>
      <c r="BE23" s="50"/>
      <c r="BF23" s="50"/>
      <c r="BG23" s="50"/>
      <c r="BH23" s="50"/>
      <c r="BI23" s="50"/>
      <c r="BJ23" s="50"/>
      <c r="BK23" s="51"/>
      <c r="BL23" s="50"/>
      <c r="BM23" s="50"/>
      <c r="BN23" s="50"/>
      <c r="BO23" s="50"/>
      <c r="BP23" s="50"/>
      <c r="BQ23" s="49"/>
      <c r="BR23" s="50"/>
      <c r="BS23" s="50"/>
      <c r="BT23" s="51"/>
      <c r="BU23" s="49"/>
      <c r="BV23" s="50"/>
      <c r="BW23" s="50"/>
      <c r="BX23" s="50"/>
      <c r="BY23" s="50"/>
      <c r="BZ23" s="51"/>
    </row>
    <row r="24" spans="1:78" s="48" customFormat="1">
      <c r="A24" s="50" t="s">
        <v>331</v>
      </c>
      <c r="B24" s="50"/>
      <c r="C24" s="48" t="s">
        <v>332</v>
      </c>
      <c r="D24" s="48" t="s">
        <v>333</v>
      </c>
      <c r="E24" s="49" t="s">
        <v>301</v>
      </c>
      <c r="F24" s="50">
        <v>2009</v>
      </c>
      <c r="G24" s="65">
        <f>74/F24</f>
        <v>3.6834245893479341E-2</v>
      </c>
      <c r="H24" s="50">
        <v>20</v>
      </c>
      <c r="I24" s="49"/>
      <c r="J24" s="50"/>
      <c r="K24" s="50"/>
      <c r="L24" s="50"/>
      <c r="M24" s="51"/>
      <c r="N24" s="50"/>
      <c r="O24" s="50"/>
      <c r="P24" s="50">
        <v>1193</v>
      </c>
      <c r="Q24" s="65">
        <f>14/P24</f>
        <v>1.173512154233026E-2</v>
      </c>
      <c r="R24" s="50">
        <v>25</v>
      </c>
      <c r="S24" s="49"/>
      <c r="T24" s="50"/>
      <c r="U24" s="50"/>
      <c r="V24" s="51"/>
      <c r="W24" s="50"/>
      <c r="X24" s="50"/>
      <c r="Y24" s="50"/>
      <c r="Z24" s="50"/>
      <c r="AA24" s="50"/>
      <c r="AB24" s="50"/>
      <c r="AC24" s="49"/>
      <c r="AD24" s="50"/>
      <c r="AE24" s="50"/>
      <c r="AF24" s="50"/>
      <c r="AG24" s="50"/>
      <c r="AH24" s="50"/>
      <c r="AI24" s="52"/>
      <c r="AJ24" s="53"/>
      <c r="AK24" s="50"/>
      <c r="AL24" s="50"/>
      <c r="AM24" s="50"/>
      <c r="AN24" s="50"/>
      <c r="AO24" s="50"/>
      <c r="AP24" s="50"/>
      <c r="AQ24" s="49"/>
      <c r="AR24" s="50"/>
      <c r="AS24" s="50"/>
      <c r="AT24" s="50"/>
      <c r="AU24" s="50"/>
      <c r="AV24" s="50"/>
      <c r="AW24" s="50"/>
      <c r="AX24" s="50"/>
      <c r="AY24" s="49"/>
      <c r="AZ24" s="50"/>
      <c r="BA24" s="50"/>
      <c r="BB24" s="50"/>
      <c r="BC24" s="50"/>
      <c r="BD24" s="50"/>
      <c r="BE24" s="50"/>
      <c r="BF24" s="50"/>
      <c r="BG24" s="50"/>
      <c r="BH24" s="50"/>
      <c r="BI24" s="50"/>
      <c r="BJ24" s="50"/>
      <c r="BK24" s="51"/>
      <c r="BL24" s="50"/>
      <c r="BM24" s="50"/>
      <c r="BN24" s="50"/>
      <c r="BO24" s="50"/>
      <c r="BP24" s="50"/>
      <c r="BQ24" s="49"/>
      <c r="BR24" s="50"/>
      <c r="BS24" s="50"/>
      <c r="BT24" s="51"/>
      <c r="BU24" s="49"/>
      <c r="BV24" s="50"/>
      <c r="BW24" s="50"/>
      <c r="BX24" s="50"/>
      <c r="BY24" s="50"/>
      <c r="BZ24" s="51"/>
    </row>
    <row r="25" spans="1:78" s="48" customFormat="1">
      <c r="A25" s="50" t="s">
        <v>334</v>
      </c>
      <c r="B25" s="50"/>
      <c r="C25" s="48" t="s">
        <v>335</v>
      </c>
      <c r="D25" s="48" t="s">
        <v>324</v>
      </c>
      <c r="E25" s="49" t="s">
        <v>301</v>
      </c>
      <c r="F25" s="50"/>
      <c r="G25" s="50"/>
      <c r="H25" s="50"/>
      <c r="I25" s="49"/>
      <c r="J25" s="50"/>
      <c r="K25" s="50"/>
      <c r="L25" s="50"/>
      <c r="M25" s="51"/>
      <c r="N25" s="50"/>
      <c r="O25" s="50"/>
      <c r="P25" s="50"/>
      <c r="Q25" s="50"/>
      <c r="R25" s="50"/>
      <c r="S25" s="49"/>
      <c r="T25" s="50"/>
      <c r="U25" s="50"/>
      <c r="V25" s="51"/>
      <c r="W25" s="50"/>
      <c r="X25" s="50">
        <f>500*constants!C4</f>
        <v>450</v>
      </c>
      <c r="Y25" s="65">
        <f>(2.12+0.42)*constants!C4/X25</f>
        <v>5.0800000000000003E-3</v>
      </c>
      <c r="Z25" s="66" t="s">
        <v>336</v>
      </c>
      <c r="AA25" s="50" t="s">
        <v>337</v>
      </c>
      <c r="AB25" s="50"/>
      <c r="AC25" s="49"/>
      <c r="AD25" s="50"/>
      <c r="AE25" s="50"/>
      <c r="AF25" s="50"/>
      <c r="AG25" s="50"/>
      <c r="AH25" s="50"/>
      <c r="AI25" s="52"/>
      <c r="AJ25" s="53"/>
      <c r="AK25" s="50"/>
      <c r="AL25" s="50"/>
      <c r="AM25" s="50"/>
      <c r="AN25" s="50"/>
      <c r="AO25" s="50"/>
      <c r="AP25" s="50"/>
      <c r="AQ25" s="49"/>
      <c r="AR25" s="50"/>
      <c r="AS25" s="50"/>
      <c r="AT25" s="50"/>
      <c r="AU25" s="50"/>
      <c r="AV25" s="50"/>
      <c r="AW25" s="50"/>
      <c r="AX25" s="50"/>
      <c r="AY25" s="49"/>
      <c r="AZ25" s="50"/>
      <c r="BA25" s="50"/>
      <c r="BB25" s="50"/>
      <c r="BC25" s="50"/>
      <c r="BD25" s="50"/>
      <c r="BE25" s="50"/>
      <c r="BF25" s="50"/>
      <c r="BG25" s="50"/>
      <c r="BH25" s="50"/>
      <c r="BI25" s="50"/>
      <c r="BJ25" s="50"/>
      <c r="BK25" s="51"/>
      <c r="BL25" s="50"/>
      <c r="BM25" s="50"/>
      <c r="BN25" s="50"/>
      <c r="BO25" s="50"/>
      <c r="BP25" s="50"/>
      <c r="BQ25" s="49"/>
      <c r="BR25" s="50"/>
      <c r="BS25" s="50"/>
      <c r="BT25" s="51"/>
      <c r="BU25" s="49"/>
      <c r="BV25" s="50"/>
      <c r="BW25" s="50"/>
      <c r="BX25" s="50"/>
      <c r="BY25" s="50"/>
      <c r="BZ25" s="51"/>
    </row>
    <row r="26" spans="1:78" s="48" customFormat="1">
      <c r="A26" s="50" t="s">
        <v>338</v>
      </c>
      <c r="B26" s="50"/>
      <c r="D26" s="48" t="s">
        <v>339</v>
      </c>
      <c r="E26" s="49" t="s">
        <v>301</v>
      </c>
      <c r="F26" s="50"/>
      <c r="G26" s="50"/>
      <c r="H26" s="50"/>
      <c r="I26" s="49"/>
      <c r="J26" s="50"/>
      <c r="K26" s="50"/>
      <c r="L26" s="50"/>
      <c r="M26" s="51"/>
      <c r="N26" s="50"/>
      <c r="O26" s="50"/>
      <c r="P26" s="50">
        <f>1720*constants!C4</f>
        <v>1548</v>
      </c>
      <c r="Q26" s="50"/>
      <c r="R26" s="50"/>
      <c r="S26" s="49"/>
      <c r="T26" s="50"/>
      <c r="U26" s="50"/>
      <c r="V26" s="51"/>
      <c r="W26" s="50"/>
      <c r="X26" s="50">
        <f>601*constants!C4</f>
        <v>540.9</v>
      </c>
      <c r="Y26" s="50"/>
      <c r="Z26" s="50"/>
      <c r="AA26" s="50"/>
      <c r="AB26" s="50"/>
      <c r="AC26" s="49"/>
      <c r="AD26" s="50"/>
      <c r="AE26" s="50"/>
      <c r="AF26" s="50"/>
      <c r="AG26" s="50"/>
      <c r="AH26" s="50"/>
      <c r="AI26" s="52"/>
      <c r="AJ26" s="53"/>
      <c r="AK26" s="50"/>
      <c r="AL26" s="50"/>
      <c r="AM26" s="50"/>
      <c r="AN26" s="50"/>
      <c r="AO26" s="50"/>
      <c r="AP26" s="50"/>
      <c r="AQ26" s="49"/>
      <c r="AR26" s="50"/>
      <c r="AS26" s="50"/>
      <c r="AT26" s="50"/>
      <c r="AU26" s="50"/>
      <c r="AV26" s="50"/>
      <c r="AW26" s="50"/>
      <c r="AX26" s="50"/>
      <c r="AY26" s="49"/>
      <c r="AZ26" s="50"/>
      <c r="BA26" s="50"/>
      <c r="BB26" s="50"/>
      <c r="BC26" s="50"/>
      <c r="BD26" s="50"/>
      <c r="BE26" s="50"/>
      <c r="BF26" s="50"/>
      <c r="BG26" s="50"/>
      <c r="BH26" s="50"/>
      <c r="BI26" s="50"/>
      <c r="BJ26" s="50"/>
      <c r="BK26" s="51"/>
      <c r="BL26" s="50"/>
      <c r="BM26" s="50"/>
      <c r="BN26" s="50"/>
      <c r="BO26" s="50"/>
      <c r="BP26" s="50"/>
      <c r="BQ26" s="49"/>
      <c r="BR26" s="50"/>
      <c r="BS26" s="50"/>
      <c r="BT26" s="51"/>
      <c r="BU26" s="49"/>
      <c r="BV26" s="50"/>
      <c r="BW26" s="50"/>
      <c r="BX26" s="50"/>
      <c r="BY26" s="50"/>
      <c r="BZ26" s="51"/>
    </row>
    <row r="27" spans="1:78" s="48" customFormat="1">
      <c r="A27" s="64" t="s">
        <v>340</v>
      </c>
      <c r="B27" s="50"/>
      <c r="C27" s="48" t="s">
        <v>335</v>
      </c>
      <c r="D27" s="48" t="s">
        <v>324</v>
      </c>
      <c r="E27" s="49" t="s">
        <v>301</v>
      </c>
      <c r="F27" s="50"/>
      <c r="G27" s="50"/>
      <c r="H27" s="50"/>
      <c r="I27" s="49"/>
      <c r="J27" s="50"/>
      <c r="K27" s="50"/>
      <c r="L27" s="50"/>
      <c r="M27" s="51"/>
      <c r="N27" s="50"/>
      <c r="O27" s="50"/>
      <c r="P27" s="50">
        <f>888*constants!C4</f>
        <v>799.2</v>
      </c>
      <c r="Q27" s="65">
        <f>7.39*constants!C4/lit_review_raw!P27</f>
        <v>8.3220720720720721E-3</v>
      </c>
      <c r="R27" s="50">
        <v>20</v>
      </c>
      <c r="S27" s="49"/>
      <c r="T27" s="50"/>
      <c r="U27" s="50"/>
      <c r="V27" s="51"/>
      <c r="W27" s="50"/>
      <c r="X27" s="50">
        <f>380*constants!C4</f>
        <v>342</v>
      </c>
      <c r="Y27" s="65">
        <f>11.3*constants!C4/lit_review_raw!X27</f>
        <v>2.9736842105263162E-2</v>
      </c>
      <c r="Z27" s="50">
        <v>20</v>
      </c>
      <c r="AA27" s="50"/>
      <c r="AB27" s="50"/>
      <c r="AC27" s="49"/>
      <c r="AD27" s="50"/>
      <c r="AE27" s="50"/>
      <c r="AF27" s="50"/>
      <c r="AG27" s="50"/>
      <c r="AH27" s="50"/>
      <c r="AI27" s="52"/>
      <c r="AJ27" s="53"/>
      <c r="AK27" s="50"/>
      <c r="AL27" s="50"/>
      <c r="AM27" s="50"/>
      <c r="AN27" s="50"/>
      <c r="AO27" s="50"/>
      <c r="AP27" s="50"/>
      <c r="AQ27" s="49"/>
      <c r="AR27" s="50"/>
      <c r="AS27" s="50"/>
      <c r="AT27" s="50"/>
      <c r="AU27" s="50"/>
      <c r="AV27" s="50"/>
      <c r="AW27" s="50"/>
      <c r="AX27" s="50"/>
      <c r="AY27" s="49"/>
      <c r="AZ27" s="50"/>
      <c r="BA27" s="50"/>
      <c r="BB27" s="50"/>
      <c r="BC27" s="50"/>
      <c r="BD27" s="50"/>
      <c r="BE27" s="50"/>
      <c r="BF27" s="50"/>
      <c r="BG27" s="50"/>
      <c r="BH27" s="50"/>
      <c r="BI27" s="50"/>
      <c r="BJ27" s="50"/>
      <c r="BK27" s="51"/>
      <c r="BL27" s="50"/>
      <c r="BM27" s="50"/>
      <c r="BN27" s="50"/>
      <c r="BO27" s="50"/>
      <c r="BP27" s="50"/>
      <c r="BQ27" s="49"/>
      <c r="BR27" s="50"/>
      <c r="BS27" s="50"/>
      <c r="BT27" s="51"/>
      <c r="BU27" s="49"/>
      <c r="BV27" s="50"/>
      <c r="BW27" s="50"/>
      <c r="BX27" s="50"/>
      <c r="BY27" s="50"/>
      <c r="BZ27" s="51"/>
    </row>
    <row r="28" spans="1:78" s="48" customFormat="1">
      <c r="A28" s="50" t="s">
        <v>341</v>
      </c>
      <c r="B28" s="50"/>
      <c r="C28" s="48" t="s">
        <v>342</v>
      </c>
      <c r="D28" s="48" t="s">
        <v>333</v>
      </c>
      <c r="E28" s="49" t="s">
        <v>301</v>
      </c>
      <c r="F28" s="50"/>
      <c r="G28" s="50"/>
      <c r="H28" s="50"/>
      <c r="I28" s="49"/>
      <c r="J28" s="50"/>
      <c r="K28" s="50"/>
      <c r="L28" s="50"/>
      <c r="M28" s="51"/>
      <c r="N28" s="50"/>
      <c r="O28" s="50"/>
      <c r="P28" s="50"/>
      <c r="Q28" s="50"/>
      <c r="R28" s="50"/>
      <c r="S28" s="49"/>
      <c r="T28" s="50"/>
      <c r="U28" s="50"/>
      <c r="V28" s="51"/>
      <c r="W28" s="50"/>
      <c r="X28" s="50"/>
      <c r="Y28" s="50"/>
      <c r="Z28" s="50"/>
      <c r="AA28" s="50"/>
      <c r="AB28" s="50"/>
      <c r="AC28" s="49"/>
      <c r="AD28" s="50"/>
      <c r="AE28" s="50"/>
      <c r="AF28" s="50"/>
      <c r="AG28" s="50"/>
      <c r="AH28" s="50"/>
      <c r="AI28" s="52"/>
      <c r="AJ28" s="53"/>
      <c r="AK28" s="50"/>
      <c r="AL28" s="50"/>
      <c r="AM28" s="50"/>
      <c r="AN28" s="50"/>
      <c r="AO28" s="50"/>
      <c r="AP28" s="50"/>
      <c r="AQ28" s="49"/>
      <c r="AR28" s="50"/>
      <c r="AS28" s="50"/>
      <c r="AT28" s="50"/>
      <c r="AU28" s="50"/>
      <c r="AV28" s="50"/>
      <c r="AW28" s="50"/>
      <c r="AX28" s="50"/>
      <c r="AY28" s="49"/>
      <c r="AZ28" s="50"/>
      <c r="BA28" s="50"/>
      <c r="BB28" s="50"/>
      <c r="BC28" s="50"/>
      <c r="BD28" s="50"/>
      <c r="BE28" s="50"/>
      <c r="BF28" s="50"/>
      <c r="BG28" s="50"/>
      <c r="BH28" s="50"/>
      <c r="BI28" s="50"/>
      <c r="BJ28" s="50"/>
      <c r="BK28" s="51"/>
      <c r="BL28" s="50"/>
      <c r="BM28" s="50"/>
      <c r="BN28" s="50"/>
      <c r="BO28" s="50"/>
      <c r="BP28" s="50"/>
      <c r="BQ28" s="49"/>
      <c r="BR28" s="50"/>
      <c r="BS28" s="50"/>
      <c r="BT28" s="51"/>
      <c r="BU28" s="49"/>
      <c r="BV28" s="50"/>
      <c r="BW28" s="50"/>
      <c r="BX28" s="50"/>
      <c r="BY28" s="50"/>
      <c r="BZ28" s="51"/>
    </row>
    <row r="29" spans="1:78">
      <c r="A29" s="8" t="s">
        <v>343</v>
      </c>
      <c r="B29" s="8">
        <v>2018</v>
      </c>
      <c r="C29" t="s">
        <v>344</v>
      </c>
      <c r="E29" s="46" t="s">
        <v>301</v>
      </c>
      <c r="F29" s="10"/>
      <c r="G29" s="10"/>
      <c r="H29" s="10"/>
      <c r="I29" s="46"/>
      <c r="J29" s="10"/>
      <c r="K29" s="10"/>
      <c r="L29" s="10"/>
      <c r="M29" s="36"/>
      <c r="N29" s="10"/>
      <c r="O29" s="10"/>
      <c r="P29" s="10"/>
      <c r="Q29" s="10"/>
      <c r="R29" s="10"/>
      <c r="S29" s="46"/>
      <c r="T29" s="10"/>
      <c r="U29" s="10"/>
      <c r="V29" s="36"/>
      <c r="W29" s="10"/>
      <c r="X29" s="10"/>
      <c r="Y29" s="10"/>
      <c r="Z29" s="10"/>
      <c r="AA29" s="10"/>
      <c r="AB29" s="10"/>
      <c r="AC29" s="46"/>
      <c r="AD29" s="10">
        <v>1400</v>
      </c>
      <c r="AE29" s="10">
        <v>0.03</v>
      </c>
      <c r="AF29" s="10">
        <v>100000</v>
      </c>
      <c r="AG29" s="10"/>
      <c r="AH29" s="10">
        <v>0</v>
      </c>
      <c r="AI29" s="60"/>
      <c r="AJ29" s="61">
        <v>0.6</v>
      </c>
      <c r="AK29" s="10"/>
      <c r="AL29" s="10"/>
      <c r="AM29" s="10"/>
      <c r="AN29" s="10"/>
      <c r="AO29" s="10"/>
      <c r="AP29" s="10"/>
      <c r="AQ29" s="46"/>
      <c r="AR29" s="10"/>
      <c r="AS29" s="10"/>
      <c r="AT29" s="10"/>
      <c r="AU29" s="10"/>
      <c r="AV29" s="10"/>
      <c r="AW29" s="10"/>
      <c r="AX29" s="10"/>
      <c r="AY29" s="46"/>
      <c r="AZ29" s="10"/>
      <c r="BA29" s="10"/>
      <c r="BB29" s="10"/>
      <c r="BC29" s="10"/>
      <c r="BD29" s="10"/>
      <c r="BE29" s="10"/>
      <c r="BF29" s="10"/>
      <c r="BG29" s="10"/>
      <c r="BH29" s="10"/>
      <c r="BI29" s="10"/>
      <c r="BJ29" s="10"/>
      <c r="BK29" s="36"/>
      <c r="BL29" s="10"/>
      <c r="BM29" s="10"/>
      <c r="BN29" s="10"/>
      <c r="BO29" s="10"/>
      <c r="BP29" s="10"/>
      <c r="BQ29" s="46"/>
      <c r="BR29" s="10"/>
      <c r="BS29" s="10"/>
      <c r="BT29" s="36"/>
      <c r="BU29" s="46"/>
      <c r="BV29" s="10"/>
      <c r="BW29" s="10"/>
      <c r="BX29" s="10"/>
      <c r="BY29" s="10"/>
      <c r="BZ29" s="36"/>
    </row>
    <row r="30" spans="1:78" s="48" customFormat="1">
      <c r="A30" s="64" t="s">
        <v>345</v>
      </c>
      <c r="B30" s="50"/>
      <c r="D30" s="48" t="s">
        <v>346</v>
      </c>
      <c r="E30" s="49" t="s">
        <v>301</v>
      </c>
      <c r="F30" s="64" t="s">
        <v>347</v>
      </c>
      <c r="G30" s="50"/>
      <c r="H30" s="50">
        <v>25</v>
      </c>
      <c r="I30" s="49"/>
      <c r="J30" s="64" t="s">
        <v>348</v>
      </c>
      <c r="K30" s="50"/>
      <c r="L30" s="50">
        <v>25</v>
      </c>
      <c r="M30" s="51"/>
      <c r="N30" s="50"/>
      <c r="O30" s="50"/>
      <c r="P30" s="64" t="s">
        <v>349</v>
      </c>
      <c r="Q30" s="50">
        <v>2.5000000000000001E-2</v>
      </c>
      <c r="R30" s="50">
        <v>25</v>
      </c>
      <c r="S30" s="49"/>
      <c r="T30" s="50"/>
      <c r="U30" s="50"/>
      <c r="V30" s="51">
        <v>30</v>
      </c>
      <c r="W30" s="50"/>
      <c r="X30" s="50"/>
      <c r="Y30" s="50"/>
      <c r="Z30" s="50"/>
      <c r="AA30" s="50"/>
      <c r="AB30" s="50"/>
      <c r="AC30" s="49"/>
      <c r="AD30" s="50"/>
      <c r="AE30" s="50"/>
      <c r="AF30" s="50"/>
      <c r="AG30" s="50"/>
      <c r="AH30" s="50"/>
      <c r="AI30" s="52"/>
      <c r="AJ30" s="53"/>
      <c r="AK30" s="50"/>
      <c r="AL30" s="50"/>
      <c r="AM30" s="50"/>
      <c r="AN30" s="50"/>
      <c r="AO30" s="50"/>
      <c r="AP30" s="50"/>
      <c r="AQ30" s="49"/>
      <c r="AR30" s="50"/>
      <c r="AS30" s="50"/>
      <c r="AT30" s="50"/>
      <c r="AU30" s="50"/>
      <c r="AV30" s="50"/>
      <c r="AW30" s="50"/>
      <c r="AX30" s="50"/>
      <c r="AY30" s="49"/>
      <c r="AZ30" s="50"/>
      <c r="BA30" s="50"/>
      <c r="BB30" s="50"/>
      <c r="BC30" s="50"/>
      <c r="BD30" s="50"/>
      <c r="BE30" s="50"/>
      <c r="BF30" s="50"/>
      <c r="BG30" s="50"/>
      <c r="BH30" s="50"/>
      <c r="BI30" s="50"/>
      <c r="BJ30" s="50"/>
      <c r="BK30" s="51"/>
      <c r="BL30" s="50"/>
      <c r="BM30" s="50"/>
      <c r="BN30" s="50"/>
      <c r="BO30" s="50"/>
      <c r="BP30" s="50"/>
      <c r="BQ30" s="49"/>
      <c r="BR30" s="50"/>
      <c r="BS30" s="50"/>
      <c r="BT30" s="51"/>
      <c r="BU30" s="49"/>
      <c r="BV30" s="50"/>
      <c r="BW30" s="50"/>
      <c r="BX30" s="50"/>
      <c r="BY30" s="50"/>
      <c r="BZ30" s="51"/>
    </row>
    <row r="31" spans="1:78">
      <c r="A31" s="8" t="s">
        <v>350</v>
      </c>
      <c r="B31" s="8" t="s">
        <v>351</v>
      </c>
      <c r="C31" s="16" t="s">
        <v>352</v>
      </c>
      <c r="D31" s="48"/>
      <c r="E31" s="46" t="s">
        <v>301</v>
      </c>
      <c r="F31" s="10"/>
      <c r="G31" s="10"/>
      <c r="H31" s="10"/>
      <c r="I31" s="46"/>
      <c r="J31" s="10"/>
      <c r="K31" s="10"/>
      <c r="L31" s="10"/>
      <c r="M31" s="36"/>
      <c r="N31" s="10"/>
      <c r="O31" s="10"/>
      <c r="P31" s="10"/>
      <c r="Q31" s="10"/>
      <c r="R31" s="10"/>
      <c r="S31" s="46"/>
      <c r="T31" s="10"/>
      <c r="U31" s="10"/>
      <c r="V31" s="36"/>
      <c r="W31" s="10"/>
      <c r="X31" s="10">
        <f>110*constants!C4</f>
        <v>99</v>
      </c>
      <c r="Y31" s="10">
        <f>3/110</f>
        <v>2.7272727272727271E-2</v>
      </c>
      <c r="Z31" s="10">
        <v>13</v>
      </c>
      <c r="AA31" s="8">
        <v>0.86</v>
      </c>
      <c r="AB31" s="10"/>
      <c r="AC31" s="46"/>
      <c r="AD31" s="10">
        <f>900*constants!C4</f>
        <v>810</v>
      </c>
      <c r="AE31" s="10">
        <v>1.4999999999999999E-2</v>
      </c>
      <c r="AF31" s="10"/>
      <c r="AG31" s="10">
        <v>30</v>
      </c>
      <c r="AH31" s="10"/>
      <c r="AI31" s="60"/>
      <c r="AJ31" s="61">
        <v>0.64</v>
      </c>
      <c r="AK31" s="10"/>
      <c r="AL31" s="10" t="s">
        <v>302</v>
      </c>
      <c r="AM31" s="10">
        <f>0.25*constants!C4</f>
        <v>0.22500000000000001</v>
      </c>
      <c r="AN31" s="10"/>
      <c r="AO31" s="10">
        <v>20</v>
      </c>
      <c r="AP31" s="10"/>
      <c r="AQ31" s="46"/>
      <c r="AR31" s="10"/>
      <c r="AS31" s="10"/>
      <c r="AT31" s="10"/>
      <c r="AU31" s="10"/>
      <c r="AV31" s="10"/>
      <c r="AW31" s="10"/>
      <c r="AX31" s="10"/>
      <c r="AY31" s="46"/>
      <c r="BA31" s="10">
        <f>890*constants!C4</f>
        <v>801</v>
      </c>
      <c r="BB31" s="10">
        <v>0.04</v>
      </c>
      <c r="BC31" s="10">
        <v>0.73</v>
      </c>
      <c r="BD31" s="10"/>
      <c r="BE31" s="8">
        <v>30</v>
      </c>
      <c r="BF31" s="8"/>
      <c r="BG31" s="8"/>
      <c r="BH31" s="8"/>
      <c r="BI31" s="10"/>
      <c r="BJ31" s="10"/>
      <c r="BK31" s="36"/>
      <c r="BL31" s="10"/>
      <c r="BM31" s="10"/>
      <c r="BN31" s="10"/>
      <c r="BO31" s="10"/>
      <c r="BP31" s="10"/>
      <c r="BQ31" s="46"/>
      <c r="BR31" s="10"/>
      <c r="BS31" s="10"/>
      <c r="BT31" s="36"/>
      <c r="BU31" s="46"/>
      <c r="BV31" s="10"/>
      <c r="BW31" s="10"/>
      <c r="BX31" s="10"/>
      <c r="BY31" s="10"/>
      <c r="BZ31" s="36"/>
    </row>
    <row r="32" spans="1:78">
      <c r="A32" s="8" t="s">
        <v>350</v>
      </c>
      <c r="B32" s="8">
        <v>2030</v>
      </c>
      <c r="C32" s="16" t="s">
        <v>352</v>
      </c>
      <c r="D32" s="48"/>
      <c r="E32" s="46"/>
      <c r="F32" s="10"/>
      <c r="G32" s="10"/>
      <c r="H32" s="10"/>
      <c r="I32" s="46"/>
      <c r="J32" s="10"/>
      <c r="K32" s="10"/>
      <c r="L32" s="10"/>
      <c r="M32" s="36"/>
      <c r="N32" s="10"/>
      <c r="O32" s="10"/>
      <c r="P32" s="10"/>
      <c r="Q32" s="10"/>
      <c r="R32" s="10"/>
      <c r="S32" s="46"/>
      <c r="T32" s="10"/>
      <c r="U32" s="10"/>
      <c r="V32" s="36"/>
      <c r="W32" s="10"/>
      <c r="X32" s="10"/>
      <c r="Y32" s="10"/>
      <c r="Z32" s="10"/>
      <c r="AA32" s="10"/>
      <c r="AB32" s="10"/>
      <c r="AC32" s="46"/>
      <c r="AD32" s="10">
        <f>700*constants!C4</f>
        <v>630</v>
      </c>
      <c r="AE32" s="10">
        <v>1.4999999999999999E-2</v>
      </c>
      <c r="AF32" s="10"/>
      <c r="AG32" s="10">
        <v>30</v>
      </c>
      <c r="AH32" s="10"/>
      <c r="AI32" s="60"/>
      <c r="AJ32" s="61">
        <v>0.69</v>
      </c>
      <c r="AK32" s="10"/>
      <c r="AL32" s="10"/>
      <c r="AM32" s="10"/>
      <c r="AN32" s="10"/>
      <c r="AO32" s="10"/>
      <c r="AP32" s="10"/>
      <c r="AQ32" s="46"/>
      <c r="AR32" s="10"/>
      <c r="AS32" s="10"/>
      <c r="AT32" s="10"/>
      <c r="AU32" s="10"/>
      <c r="AV32" s="10"/>
      <c r="AW32" s="10"/>
      <c r="AX32" s="10"/>
      <c r="AY32" s="46"/>
      <c r="BA32" s="10">
        <f>760*constants!C4</f>
        <v>684</v>
      </c>
      <c r="BB32" s="10">
        <v>0.04</v>
      </c>
      <c r="BC32" s="10">
        <v>0.73</v>
      </c>
      <c r="BD32" s="10"/>
      <c r="BE32" s="8">
        <v>30</v>
      </c>
      <c r="BF32" s="8"/>
      <c r="BG32" s="8"/>
      <c r="BH32" s="8"/>
      <c r="BI32" s="10"/>
      <c r="BJ32" s="10"/>
      <c r="BK32" s="36"/>
      <c r="BL32" s="10"/>
      <c r="BM32" s="10"/>
      <c r="BN32" s="10"/>
      <c r="BO32" s="10"/>
      <c r="BP32" s="10"/>
      <c r="BQ32" s="46"/>
      <c r="BR32" s="10"/>
      <c r="BS32" s="10"/>
      <c r="BT32" s="36"/>
      <c r="BU32" s="46"/>
      <c r="BV32" s="10"/>
      <c r="BW32" s="10"/>
      <c r="BX32" s="10"/>
      <c r="BY32" s="10"/>
      <c r="BZ32" s="36"/>
    </row>
    <row r="33" spans="1:78">
      <c r="A33" s="8" t="s">
        <v>350</v>
      </c>
      <c r="B33" s="8" t="s">
        <v>353</v>
      </c>
      <c r="C33" s="16" t="s">
        <v>352</v>
      </c>
      <c r="D33" s="48"/>
      <c r="E33" s="46"/>
      <c r="F33" s="10"/>
      <c r="G33" s="10"/>
      <c r="H33" s="10"/>
      <c r="I33" s="46"/>
      <c r="J33" s="10"/>
      <c r="K33" s="10"/>
      <c r="L33" s="10"/>
      <c r="M33" s="36"/>
      <c r="N33" s="10"/>
      <c r="O33" s="10"/>
      <c r="P33" s="10"/>
      <c r="Q33" s="10"/>
      <c r="R33" s="10"/>
      <c r="S33" s="46"/>
      <c r="T33" s="10"/>
      <c r="U33" s="10"/>
      <c r="V33" s="36"/>
      <c r="W33" s="10"/>
      <c r="X33" s="10"/>
      <c r="Y33" s="10"/>
      <c r="Z33" s="10"/>
      <c r="AA33" s="10"/>
      <c r="AB33" s="10"/>
      <c r="AC33" s="46"/>
      <c r="AD33" s="10">
        <f>450*constants!C4</f>
        <v>405</v>
      </c>
      <c r="AE33" s="10">
        <v>1.4999999999999999E-2</v>
      </c>
      <c r="AF33" s="10"/>
      <c r="AG33" s="10">
        <v>30</v>
      </c>
      <c r="AH33" s="10"/>
      <c r="AI33" s="60"/>
      <c r="AJ33" s="61">
        <v>0.74</v>
      </c>
      <c r="AK33" s="10"/>
      <c r="AL33" s="10"/>
      <c r="AM33" s="10"/>
      <c r="AN33" s="10"/>
      <c r="AO33" s="10"/>
      <c r="AP33" s="10"/>
      <c r="AQ33" s="46"/>
      <c r="AR33" s="10"/>
      <c r="AS33" s="10"/>
      <c r="AT33" s="10"/>
      <c r="AU33" s="10"/>
      <c r="AV33" s="10"/>
      <c r="AW33" s="10"/>
      <c r="AX33" s="10"/>
      <c r="AY33" s="46"/>
      <c r="BA33" s="10">
        <f>565*constants!C4</f>
        <v>508.5</v>
      </c>
      <c r="BB33" s="10">
        <v>0.04</v>
      </c>
      <c r="BC33" s="10">
        <v>0.73</v>
      </c>
      <c r="BD33" s="10"/>
      <c r="BE33" s="8">
        <v>30</v>
      </c>
      <c r="BF33" s="8"/>
      <c r="BG33" s="8"/>
      <c r="BH33" s="8"/>
      <c r="BI33" s="10"/>
      <c r="BJ33" s="10"/>
      <c r="BK33" s="36"/>
      <c r="BL33" s="10"/>
      <c r="BM33" s="10"/>
      <c r="BN33" s="10"/>
      <c r="BO33" s="10"/>
      <c r="BP33" s="10"/>
      <c r="BQ33" s="46"/>
      <c r="BR33" s="10"/>
      <c r="BS33" s="10"/>
      <c r="BT33" s="36"/>
      <c r="BU33" s="46"/>
      <c r="BV33" s="10"/>
      <c r="BW33" s="10"/>
      <c r="BX33" s="10"/>
      <c r="BY33" s="10"/>
      <c r="BZ33" s="36"/>
    </row>
    <row r="34" spans="1:78">
      <c r="A34" s="8" t="s">
        <v>354</v>
      </c>
      <c r="B34" s="8"/>
      <c r="C34" t="s">
        <v>355</v>
      </c>
      <c r="E34" s="46"/>
      <c r="F34" s="10"/>
      <c r="G34" s="10"/>
      <c r="H34" s="10"/>
      <c r="I34" s="46"/>
      <c r="J34" s="10"/>
      <c r="K34" s="10"/>
      <c r="L34" s="10"/>
      <c r="M34" s="36"/>
      <c r="N34" s="10"/>
      <c r="O34" s="10"/>
      <c r="P34" s="10"/>
      <c r="Q34" s="10"/>
      <c r="R34" s="10"/>
      <c r="S34" s="46"/>
      <c r="T34" s="10"/>
      <c r="U34" s="10"/>
      <c r="V34" s="36"/>
      <c r="W34" s="10"/>
      <c r="X34" s="10"/>
      <c r="Y34" s="10"/>
      <c r="Z34" s="10"/>
      <c r="AA34" s="10"/>
      <c r="AB34" s="10"/>
      <c r="AC34" s="46"/>
      <c r="AD34" s="10"/>
      <c r="AE34" s="10"/>
      <c r="AF34" s="10"/>
      <c r="AG34" s="10"/>
      <c r="AH34" s="10"/>
      <c r="AI34" s="60"/>
      <c r="AJ34" s="61"/>
      <c r="AK34" s="10"/>
      <c r="AL34" s="10" t="s">
        <v>356</v>
      </c>
      <c r="AM34" s="67">
        <f>490*constants!C5</f>
        <v>14.714714714714717</v>
      </c>
      <c r="AN34" s="10">
        <v>0.01</v>
      </c>
      <c r="AO34" s="10"/>
      <c r="AP34" s="10"/>
      <c r="AQ34" s="46"/>
      <c r="AR34" s="10"/>
      <c r="AS34" s="10"/>
      <c r="AT34" s="10"/>
      <c r="AU34" s="10"/>
      <c r="AV34" s="10"/>
      <c r="AW34" s="10"/>
      <c r="AX34" s="10"/>
      <c r="AY34" s="46"/>
      <c r="BA34" s="10"/>
      <c r="BB34" s="10"/>
      <c r="BC34" s="10"/>
      <c r="BD34" s="10"/>
      <c r="BE34" s="8"/>
      <c r="BF34" s="8"/>
      <c r="BG34" s="8"/>
      <c r="BH34" s="8"/>
      <c r="BI34" s="10"/>
      <c r="BJ34" s="10"/>
      <c r="BK34" s="36"/>
      <c r="BL34" s="10"/>
      <c r="BM34" s="10"/>
      <c r="BN34" s="10"/>
      <c r="BO34" s="10"/>
      <c r="BP34" s="10"/>
      <c r="BQ34" s="46"/>
      <c r="BR34" s="10"/>
      <c r="BS34" s="10"/>
      <c r="BT34" s="36"/>
      <c r="BU34" s="46"/>
      <c r="BV34" s="10"/>
      <c r="BW34" s="10"/>
      <c r="BX34" s="10"/>
      <c r="BY34" s="10"/>
      <c r="BZ34" s="36"/>
    </row>
    <row r="35" spans="1:78">
      <c r="A35" s="8" t="s">
        <v>354</v>
      </c>
      <c r="B35" s="8"/>
      <c r="C35" t="s">
        <v>357</v>
      </c>
      <c r="E35" s="46"/>
      <c r="F35" s="10"/>
      <c r="G35" s="10"/>
      <c r="H35" s="10"/>
      <c r="I35" s="46"/>
      <c r="J35" s="10"/>
      <c r="K35" s="10"/>
      <c r="L35" s="10"/>
      <c r="M35" s="36"/>
      <c r="N35" s="10"/>
      <c r="O35" s="10"/>
      <c r="P35" s="10"/>
      <c r="Q35" s="10"/>
      <c r="R35" s="10"/>
      <c r="S35" s="46"/>
      <c r="T35" s="10"/>
      <c r="U35" s="10"/>
      <c r="V35" s="36"/>
      <c r="W35" s="10"/>
      <c r="X35" s="10"/>
      <c r="Y35" s="10"/>
      <c r="Z35" s="10"/>
      <c r="AA35" s="10"/>
      <c r="AB35" s="10"/>
      <c r="AC35" s="46"/>
      <c r="AD35" s="10"/>
      <c r="AE35" s="10"/>
      <c r="AF35" s="10"/>
      <c r="AG35" s="10"/>
      <c r="AH35" s="10"/>
      <c r="AI35" s="60"/>
      <c r="AJ35" s="61"/>
      <c r="AK35" s="10"/>
      <c r="AL35" s="10" t="s">
        <v>356</v>
      </c>
      <c r="AM35" s="67">
        <f>375*constants!C5</f>
        <v>11.261261261261263</v>
      </c>
      <c r="AN35" s="10">
        <v>0.01</v>
      </c>
      <c r="AO35" s="10"/>
      <c r="AP35" s="10"/>
      <c r="AQ35" s="46"/>
      <c r="AR35" s="10"/>
      <c r="AS35" s="10"/>
      <c r="AT35" s="10"/>
      <c r="AU35" s="10"/>
      <c r="AV35" s="10"/>
      <c r="AW35" s="10"/>
      <c r="AX35" s="10"/>
      <c r="AY35" s="46"/>
      <c r="BA35" s="10"/>
      <c r="BB35" s="10"/>
      <c r="BC35" s="10"/>
      <c r="BD35" s="10"/>
      <c r="BE35" s="8"/>
      <c r="BF35" s="8"/>
      <c r="BG35" s="8"/>
      <c r="BH35" s="8"/>
      <c r="BI35" s="10"/>
      <c r="BJ35" s="10"/>
      <c r="BK35" s="36"/>
      <c r="BL35" s="10"/>
      <c r="BM35" s="10"/>
      <c r="BN35" s="10"/>
      <c r="BO35" s="10"/>
      <c r="BP35" s="10"/>
      <c r="BQ35" s="46"/>
      <c r="BR35" s="10"/>
      <c r="BS35" s="10"/>
      <c r="BT35" s="36"/>
      <c r="BU35" s="46"/>
      <c r="BV35" s="10"/>
      <c r="BW35" s="10"/>
      <c r="BX35" s="10"/>
      <c r="BY35" s="10"/>
      <c r="BZ35" s="36"/>
    </row>
    <row r="36" spans="1:78">
      <c r="A36" s="8" t="s">
        <v>358</v>
      </c>
      <c r="B36" s="8"/>
      <c r="E36" s="46"/>
      <c r="F36" s="10"/>
      <c r="G36" s="10"/>
      <c r="H36" s="10"/>
      <c r="I36" s="46"/>
      <c r="J36" s="10"/>
      <c r="K36" s="10"/>
      <c r="L36" s="10"/>
      <c r="M36" s="36"/>
      <c r="N36" s="10"/>
      <c r="O36" s="10"/>
      <c r="P36" s="10"/>
      <c r="Q36" s="10"/>
      <c r="R36" s="10"/>
      <c r="S36" s="46"/>
      <c r="T36" s="10"/>
      <c r="U36" s="10"/>
      <c r="V36" s="36"/>
      <c r="W36" s="10"/>
      <c r="X36" s="10"/>
      <c r="Y36" s="10"/>
      <c r="Z36" s="10"/>
      <c r="AA36" s="10"/>
      <c r="AB36" s="10"/>
      <c r="AC36" s="46"/>
      <c r="AD36" s="10"/>
      <c r="AE36" s="10"/>
      <c r="AF36" s="10"/>
      <c r="AG36" s="10"/>
      <c r="AH36" s="10"/>
      <c r="AI36" s="60"/>
      <c r="AJ36" s="61"/>
      <c r="AK36" s="10"/>
      <c r="AL36" s="10"/>
      <c r="AM36" s="10"/>
      <c r="AN36" s="10"/>
      <c r="AO36" s="10"/>
      <c r="AP36" s="10"/>
      <c r="AQ36" s="46"/>
      <c r="AR36" s="10"/>
      <c r="AS36" s="10"/>
      <c r="AT36" s="10"/>
      <c r="AU36" s="10"/>
      <c r="AV36" s="10"/>
      <c r="AW36" s="10"/>
      <c r="AX36" s="10"/>
      <c r="AY36" s="46"/>
      <c r="BA36" s="10"/>
      <c r="BB36" s="10"/>
      <c r="BC36" s="10"/>
      <c r="BD36" s="10"/>
      <c r="BE36" s="8"/>
      <c r="BF36" s="8"/>
      <c r="BG36" s="8"/>
      <c r="BH36" s="8"/>
      <c r="BI36" s="10"/>
      <c r="BJ36" s="10"/>
      <c r="BK36" s="36"/>
      <c r="BL36" s="10"/>
      <c r="BM36" s="10"/>
      <c r="BN36" s="10"/>
      <c r="BO36" s="10"/>
      <c r="BP36" s="10"/>
      <c r="BQ36" s="46"/>
      <c r="BR36" s="10"/>
      <c r="BS36" s="10"/>
      <c r="BT36" s="36"/>
      <c r="BU36" s="46"/>
      <c r="BV36" s="10"/>
      <c r="BW36" s="10"/>
      <c r="BX36" s="10"/>
      <c r="BY36" s="10"/>
      <c r="BZ36" s="36"/>
    </row>
    <row r="37" spans="1:78">
      <c r="A37" s="8" t="s">
        <v>359</v>
      </c>
      <c r="B37" s="8"/>
      <c r="C37" t="s">
        <v>360</v>
      </c>
      <c r="E37" s="46"/>
      <c r="F37" s="10"/>
      <c r="G37" s="10"/>
      <c r="H37" s="10"/>
      <c r="I37" s="46"/>
      <c r="J37" s="10"/>
      <c r="K37" s="10"/>
      <c r="L37" s="10"/>
      <c r="M37" s="36"/>
      <c r="N37" s="10"/>
      <c r="O37" s="10"/>
      <c r="P37" s="10"/>
      <c r="Q37" s="10"/>
      <c r="R37" s="10"/>
      <c r="S37" s="46"/>
      <c r="T37" s="10"/>
      <c r="U37" s="10"/>
      <c r="V37" s="36"/>
      <c r="W37" s="10"/>
      <c r="X37" s="10"/>
      <c r="Y37" s="10"/>
      <c r="Z37" s="10"/>
      <c r="AA37" s="10"/>
      <c r="AB37" s="10"/>
      <c r="AC37" s="46"/>
      <c r="AD37" s="10"/>
      <c r="AE37" s="10"/>
      <c r="AF37" s="10"/>
      <c r="AG37" s="10"/>
      <c r="AH37" s="10"/>
      <c r="AI37" s="60"/>
      <c r="AJ37" s="61"/>
      <c r="AK37" s="10"/>
      <c r="AL37" s="10" t="s">
        <v>356</v>
      </c>
      <c r="AM37" s="67">
        <f>7400/1000*3.6</f>
        <v>26.64</v>
      </c>
      <c r="AN37" s="10">
        <v>0</v>
      </c>
      <c r="AO37" s="10"/>
      <c r="AP37" s="10"/>
      <c r="AQ37" s="46"/>
      <c r="AR37" s="10"/>
      <c r="AS37" s="10"/>
      <c r="AT37" s="10"/>
      <c r="AU37" s="10"/>
      <c r="AV37" s="10"/>
      <c r="AW37" s="10"/>
      <c r="AX37" s="10"/>
      <c r="AY37" s="46"/>
      <c r="BA37" s="10"/>
      <c r="BB37" s="10"/>
      <c r="BC37" s="10"/>
      <c r="BD37" s="10"/>
      <c r="BE37" s="8"/>
      <c r="BF37" s="8"/>
      <c r="BG37" s="8"/>
      <c r="BH37" s="8"/>
      <c r="BI37" s="10"/>
      <c r="BJ37" s="10"/>
      <c r="BK37" s="36"/>
      <c r="BL37" s="10"/>
      <c r="BM37" s="10"/>
      <c r="BN37" s="10"/>
      <c r="BO37" s="10"/>
      <c r="BP37" s="10"/>
      <c r="BQ37" s="46"/>
      <c r="BR37" s="10"/>
      <c r="BS37" s="10"/>
      <c r="BT37" s="36"/>
      <c r="BU37" s="46"/>
      <c r="BV37" s="10"/>
      <c r="BW37" s="10"/>
      <c r="BX37" s="10"/>
      <c r="BY37" s="10"/>
      <c r="BZ37" s="36"/>
    </row>
    <row r="38" spans="1:78" s="48" customFormat="1">
      <c r="A38" s="50" t="s">
        <v>359</v>
      </c>
      <c r="B38" s="50"/>
      <c r="C38" s="48" t="s">
        <v>361</v>
      </c>
      <c r="D38" s="48" t="s">
        <v>362</v>
      </c>
      <c r="E38" s="49"/>
      <c r="F38" s="50"/>
      <c r="G38" s="50"/>
      <c r="H38" s="50"/>
      <c r="I38" s="49"/>
      <c r="J38" s="50"/>
      <c r="K38" s="50"/>
      <c r="L38" s="50"/>
      <c r="M38" s="51"/>
      <c r="N38" s="50"/>
      <c r="O38" s="50"/>
      <c r="P38" s="50"/>
      <c r="Q38" s="50"/>
      <c r="R38" s="50"/>
      <c r="S38" s="49"/>
      <c r="T38" s="50"/>
      <c r="U38" s="50"/>
      <c r="V38" s="51"/>
      <c r="W38" s="50"/>
      <c r="X38" s="50"/>
      <c r="Y38" s="50"/>
      <c r="Z38" s="50"/>
      <c r="AA38" s="50"/>
      <c r="AB38" s="50"/>
      <c r="AC38" s="49"/>
      <c r="AD38" s="50"/>
      <c r="AE38" s="50"/>
      <c r="AF38" s="50"/>
      <c r="AG38" s="50"/>
      <c r="AH38" s="50"/>
      <c r="AI38" s="52"/>
      <c r="AJ38" s="53"/>
      <c r="AK38" s="50"/>
      <c r="AL38" s="50" t="s">
        <v>363</v>
      </c>
      <c r="AM38" s="50">
        <f>30/1000*3.6</f>
        <v>0.108</v>
      </c>
      <c r="AN38" s="65">
        <f>0.11/30</f>
        <v>3.6666666666666666E-3</v>
      </c>
      <c r="AO38" s="50"/>
      <c r="AP38" s="50"/>
      <c r="AQ38" s="49"/>
      <c r="AR38" s="50"/>
      <c r="AS38" s="50"/>
      <c r="AT38" s="50"/>
      <c r="AU38" s="50"/>
      <c r="AV38" s="50"/>
      <c r="AW38" s="50"/>
      <c r="AX38" s="50"/>
      <c r="AY38" s="49"/>
      <c r="BA38" s="50"/>
      <c r="BB38" s="50"/>
      <c r="BC38" s="50"/>
      <c r="BD38" s="50"/>
      <c r="BE38" s="50"/>
      <c r="BF38" s="50"/>
      <c r="BG38" s="50"/>
      <c r="BH38" s="50"/>
      <c r="BI38" s="50"/>
      <c r="BJ38" s="50"/>
      <c r="BK38" s="51"/>
      <c r="BL38" s="50"/>
      <c r="BM38" s="50"/>
      <c r="BN38" s="50"/>
      <c r="BO38" s="50"/>
      <c r="BP38" s="50"/>
      <c r="BQ38" s="49"/>
      <c r="BR38" s="50"/>
      <c r="BS38" s="50"/>
      <c r="BT38" s="51"/>
      <c r="BU38" s="49"/>
      <c r="BV38" s="50"/>
      <c r="BW38" s="50"/>
      <c r="BX38" s="50"/>
      <c r="BY38" s="50"/>
      <c r="BZ38" s="51"/>
    </row>
    <row r="39" spans="1:78" s="48" customFormat="1">
      <c r="A39" s="50" t="s">
        <v>359</v>
      </c>
      <c r="B39" s="50"/>
      <c r="C39" s="48" t="s">
        <v>364</v>
      </c>
      <c r="D39" s="48" t="s">
        <v>365</v>
      </c>
      <c r="E39" s="49"/>
      <c r="F39" s="50"/>
      <c r="G39" s="50"/>
      <c r="H39" s="50"/>
      <c r="I39" s="49"/>
      <c r="J39" s="50"/>
      <c r="K39" s="50"/>
      <c r="L39" s="50"/>
      <c r="M39" s="51"/>
      <c r="N39" s="50"/>
      <c r="O39" s="50"/>
      <c r="P39" s="50"/>
      <c r="Q39" s="50"/>
      <c r="R39" s="50"/>
      <c r="S39" s="49"/>
      <c r="T39" s="50"/>
      <c r="U39" s="50"/>
      <c r="V39" s="51"/>
      <c r="W39" s="50"/>
      <c r="X39" s="50"/>
      <c r="Y39" s="50"/>
      <c r="Z39" s="50"/>
      <c r="AA39" s="50"/>
      <c r="AB39" s="50"/>
      <c r="AC39" s="49"/>
      <c r="AD39" s="50"/>
      <c r="AE39" s="50"/>
      <c r="AF39" s="50"/>
      <c r="AG39" s="50"/>
      <c r="AH39" s="50"/>
      <c r="AI39" s="52"/>
      <c r="AJ39" s="53"/>
      <c r="AK39" s="50"/>
      <c r="AL39" s="50" t="s">
        <v>366</v>
      </c>
      <c r="AM39" s="48">
        <f>1300/1000*3.6</f>
        <v>4.6800000000000006</v>
      </c>
      <c r="AN39" s="50">
        <v>0</v>
      </c>
      <c r="AO39" s="50"/>
      <c r="AP39" s="50"/>
      <c r="AQ39" s="49"/>
      <c r="AR39" s="50"/>
      <c r="AS39" s="50"/>
      <c r="AT39" s="50"/>
      <c r="AU39" s="50"/>
      <c r="AV39" s="50"/>
      <c r="AW39" s="50"/>
      <c r="AX39" s="50"/>
      <c r="AY39" s="49"/>
      <c r="BA39" s="50"/>
      <c r="BB39" s="50"/>
      <c r="BC39" s="50"/>
      <c r="BD39" s="50"/>
      <c r="BE39" s="50"/>
      <c r="BF39" s="50"/>
      <c r="BG39" s="50"/>
      <c r="BH39" s="50"/>
      <c r="BI39" s="50"/>
      <c r="BJ39" s="50"/>
      <c r="BK39" s="51"/>
      <c r="BL39" s="50"/>
      <c r="BM39" s="50"/>
      <c r="BN39" s="50"/>
      <c r="BO39" s="50"/>
      <c r="BP39" s="50"/>
      <c r="BQ39" s="49"/>
      <c r="BR39" s="50"/>
      <c r="BS39" s="50"/>
      <c r="BT39" s="51"/>
      <c r="BU39" s="49"/>
      <c r="BV39" s="50"/>
      <c r="BW39" s="50"/>
      <c r="BX39" s="50"/>
      <c r="BY39" s="50"/>
      <c r="BZ39" s="51"/>
    </row>
    <row r="40" spans="1:78" s="48" customFormat="1">
      <c r="A40" s="50" t="s">
        <v>359</v>
      </c>
      <c r="B40" s="50"/>
      <c r="C40" s="48" t="s">
        <v>367</v>
      </c>
      <c r="D40" s="48" t="s">
        <v>368</v>
      </c>
      <c r="E40" s="49"/>
      <c r="F40" s="50"/>
      <c r="G40" s="50"/>
      <c r="H40" s="50"/>
      <c r="I40" s="49"/>
      <c r="J40" s="50"/>
      <c r="K40" s="50"/>
      <c r="L40" s="50"/>
      <c r="M40" s="51"/>
      <c r="N40" s="50"/>
      <c r="O40" s="50"/>
      <c r="P40" s="50"/>
      <c r="Q40" s="50"/>
      <c r="R40" s="50"/>
      <c r="S40" s="49"/>
      <c r="T40" s="50"/>
      <c r="U40" s="50"/>
      <c r="V40" s="51"/>
      <c r="W40" s="50"/>
      <c r="X40" s="50">
        <v>450</v>
      </c>
      <c r="Y40" s="50">
        <v>0.02</v>
      </c>
      <c r="Z40" s="50">
        <v>15</v>
      </c>
      <c r="AA40" s="50">
        <v>0.95</v>
      </c>
      <c r="AB40" s="50"/>
      <c r="AC40" s="49"/>
      <c r="AD40" s="50"/>
      <c r="AE40" s="50"/>
      <c r="AF40" s="50"/>
      <c r="AG40" s="50"/>
      <c r="AH40" s="50"/>
      <c r="AI40" s="52"/>
      <c r="AJ40" s="53"/>
      <c r="AK40" s="50"/>
      <c r="AL40" s="50"/>
      <c r="AM40" s="50"/>
      <c r="AN40" s="50"/>
      <c r="AO40" s="50"/>
      <c r="AP40" s="50"/>
      <c r="AQ40" s="49"/>
      <c r="AR40" s="50"/>
      <c r="AS40" s="50"/>
      <c r="AT40" s="50"/>
      <c r="AU40" s="50"/>
      <c r="AV40" s="50"/>
      <c r="AW40" s="50"/>
      <c r="AX40" s="50"/>
      <c r="AY40" s="49"/>
      <c r="BA40" s="50"/>
      <c r="BB40" s="50"/>
      <c r="BC40" s="50"/>
      <c r="BD40" s="50"/>
      <c r="BE40" s="50"/>
      <c r="BF40" s="50"/>
      <c r="BG40" s="50"/>
      <c r="BH40" s="50"/>
      <c r="BI40" s="50"/>
      <c r="BJ40" s="50"/>
      <c r="BK40" s="51"/>
      <c r="BL40" s="50"/>
      <c r="BM40" s="50"/>
      <c r="BN40" s="50"/>
      <c r="BO40" s="50"/>
      <c r="BP40" s="50"/>
      <c r="BQ40" s="49"/>
      <c r="BR40" s="50"/>
      <c r="BS40" s="50"/>
      <c r="BT40" s="51"/>
      <c r="BU40" s="49"/>
      <c r="BV40" s="50"/>
      <c r="BW40" s="50"/>
      <c r="BX40" s="50"/>
      <c r="BY40" s="50"/>
      <c r="BZ40" s="51"/>
    </row>
    <row r="41" spans="1:78">
      <c r="A41" s="68" t="s">
        <v>369</v>
      </c>
      <c r="B41" s="8"/>
      <c r="C41" t="s">
        <v>370</v>
      </c>
      <c r="E41" s="46"/>
      <c r="F41" s="10"/>
      <c r="G41" s="10"/>
      <c r="H41" s="10"/>
      <c r="I41" s="46"/>
      <c r="J41" s="10"/>
      <c r="K41" s="10"/>
      <c r="L41" s="10"/>
      <c r="M41" s="36"/>
      <c r="N41" s="10"/>
      <c r="O41" s="10"/>
      <c r="P41" s="10"/>
      <c r="Q41" s="10"/>
      <c r="R41" s="10"/>
      <c r="S41" s="46"/>
      <c r="T41" s="10"/>
      <c r="U41" s="10"/>
      <c r="V41" s="36"/>
      <c r="W41" s="10"/>
      <c r="X41" s="10"/>
      <c r="Y41" s="10"/>
      <c r="Z41" s="10"/>
      <c r="AA41" s="8"/>
      <c r="AB41" s="10"/>
      <c r="AC41" s="46"/>
      <c r="AD41" s="10"/>
      <c r="AE41" s="10"/>
      <c r="AF41" s="10"/>
      <c r="AG41" s="10"/>
      <c r="AH41" s="10"/>
      <c r="AI41" s="60"/>
      <c r="AJ41" s="61"/>
      <c r="AK41" s="10"/>
      <c r="AL41" s="8"/>
      <c r="AN41" s="10"/>
      <c r="AO41" s="10"/>
      <c r="AP41" s="10"/>
      <c r="AQ41" s="46">
        <f>3</f>
        <v>3</v>
      </c>
      <c r="AR41" s="10"/>
      <c r="AS41" s="69">
        <f>AQ41*constants!C4*constants!C5</f>
        <v>8.1081081081081099E-2</v>
      </c>
      <c r="AT41" s="69"/>
      <c r="AU41" s="10"/>
      <c r="AV41" s="10"/>
      <c r="AW41" s="10">
        <v>0.39900000000000002</v>
      </c>
      <c r="AX41" s="10"/>
      <c r="AY41" s="46"/>
      <c r="BA41" s="10"/>
      <c r="BB41" s="10"/>
      <c r="BC41" s="10"/>
      <c r="BD41" s="10"/>
      <c r="BE41" s="8"/>
      <c r="BF41" s="8"/>
      <c r="BG41" s="8"/>
      <c r="BH41" s="8"/>
      <c r="BI41" s="10"/>
      <c r="BJ41" s="10"/>
      <c r="BK41" s="36"/>
      <c r="BL41" s="10"/>
      <c r="BM41" s="10"/>
      <c r="BN41" s="10"/>
      <c r="BO41" s="10"/>
      <c r="BP41" s="10"/>
      <c r="BQ41" s="46"/>
      <c r="BR41" s="10"/>
      <c r="BS41" s="10"/>
      <c r="BT41" s="36"/>
      <c r="BU41" s="46"/>
      <c r="BV41" s="10"/>
      <c r="BW41" s="69"/>
      <c r="BX41" s="10"/>
      <c r="BY41" s="10"/>
      <c r="BZ41" s="36"/>
    </row>
    <row r="42" spans="1:78" s="16" customFormat="1">
      <c r="A42" s="8" t="s">
        <v>371</v>
      </c>
      <c r="B42" s="8"/>
      <c r="C42" s="16" t="s">
        <v>372</v>
      </c>
      <c r="E42" s="58"/>
      <c r="F42" s="8"/>
      <c r="G42" s="8"/>
      <c r="H42" s="8"/>
      <c r="I42" s="58"/>
      <c r="J42" s="8"/>
      <c r="K42" s="8"/>
      <c r="L42" s="8"/>
      <c r="M42" s="36"/>
      <c r="N42" s="8"/>
      <c r="O42" s="8"/>
      <c r="P42" s="8"/>
      <c r="Q42" s="8"/>
      <c r="R42" s="8"/>
      <c r="S42" s="58"/>
      <c r="T42" s="8"/>
      <c r="U42" s="8"/>
      <c r="V42" s="36"/>
      <c r="W42" s="8"/>
      <c r="X42" s="8"/>
      <c r="Y42" s="8"/>
      <c r="Z42" s="8"/>
      <c r="AA42" s="8"/>
      <c r="AB42" s="8"/>
      <c r="AC42" s="58"/>
      <c r="AD42" s="8"/>
      <c r="AE42" s="8"/>
      <c r="AF42" s="8"/>
      <c r="AG42" s="8"/>
      <c r="AH42" s="8"/>
      <c r="AI42" s="60"/>
      <c r="AJ42" s="61"/>
      <c r="AK42" s="8"/>
      <c r="AM42" s="70"/>
      <c r="AN42" s="8"/>
      <c r="AO42" s="8"/>
      <c r="AP42" s="8"/>
      <c r="AQ42" s="58"/>
      <c r="AR42" s="8"/>
      <c r="AS42" s="8"/>
      <c r="AT42" s="8"/>
      <c r="AU42" s="8"/>
      <c r="AV42" s="8"/>
      <c r="AW42" s="8"/>
      <c r="AX42" s="8"/>
      <c r="AY42" s="58"/>
      <c r="BA42" s="8"/>
      <c r="BB42" s="8"/>
      <c r="BC42" s="8"/>
      <c r="BD42" s="8"/>
      <c r="BE42" s="8"/>
      <c r="BF42" s="8"/>
      <c r="BG42" s="8"/>
      <c r="BH42" s="8"/>
      <c r="BI42" s="8"/>
      <c r="BJ42" s="8"/>
      <c r="BK42" s="36"/>
      <c r="BL42" s="8"/>
      <c r="BM42" s="8"/>
      <c r="BN42" s="8"/>
      <c r="BO42" s="8"/>
      <c r="BP42" s="8"/>
      <c r="BQ42" s="71">
        <f>516/constants!C7</f>
        <v>448.69565217391306</v>
      </c>
      <c r="BR42" s="8">
        <v>0.05</v>
      </c>
      <c r="BS42" s="8">
        <v>20</v>
      </c>
      <c r="BT42" s="36"/>
      <c r="BU42" s="58"/>
      <c r="BV42" s="8"/>
      <c r="BW42" s="8"/>
      <c r="BX42" s="8"/>
      <c r="BY42" s="8"/>
      <c r="BZ42" s="36"/>
    </row>
    <row r="43" spans="1:78" s="16" customFormat="1">
      <c r="A43" s="68" t="s">
        <v>373</v>
      </c>
      <c r="B43" s="8">
        <v>2017</v>
      </c>
      <c r="C43" s="16" t="s">
        <v>374</v>
      </c>
      <c r="E43" s="58"/>
      <c r="F43" s="8"/>
      <c r="G43" s="8"/>
      <c r="H43" s="8"/>
      <c r="I43" s="58"/>
      <c r="J43" s="8"/>
      <c r="K43" s="8"/>
      <c r="L43" s="8"/>
      <c r="M43" s="36"/>
      <c r="N43" s="8"/>
      <c r="O43" s="8"/>
      <c r="P43" s="8"/>
      <c r="Q43" s="8"/>
      <c r="R43" s="8"/>
      <c r="S43" s="58"/>
      <c r="T43" s="8"/>
      <c r="U43" s="8"/>
      <c r="V43" s="36"/>
      <c r="W43" s="8"/>
      <c r="X43" s="8">
        <v>402</v>
      </c>
      <c r="Y43" s="8"/>
      <c r="Z43" s="8"/>
      <c r="AA43" s="8"/>
      <c r="AB43" s="8"/>
      <c r="AC43" s="58"/>
      <c r="AD43" s="8"/>
      <c r="AE43" s="8"/>
      <c r="AF43" s="8"/>
      <c r="AG43" s="8"/>
      <c r="AH43" s="8"/>
      <c r="AI43" s="60"/>
      <c r="AJ43" s="61"/>
      <c r="AK43" s="8"/>
      <c r="AL43" s="8"/>
      <c r="AM43" s="70"/>
      <c r="AN43" s="8"/>
      <c r="AO43" s="8"/>
      <c r="AP43" s="8"/>
      <c r="AQ43" s="58"/>
      <c r="AR43" s="8"/>
      <c r="AS43" s="8"/>
      <c r="AT43" s="8"/>
      <c r="AU43" s="8"/>
      <c r="AV43" s="8"/>
      <c r="AW43" s="8"/>
      <c r="AX43" s="8"/>
      <c r="AY43" s="58"/>
      <c r="BA43" s="8"/>
      <c r="BB43" s="8"/>
      <c r="BC43" s="8"/>
      <c r="BD43" s="8"/>
      <c r="BE43" s="8"/>
      <c r="BF43" s="8"/>
      <c r="BG43" s="8"/>
      <c r="BH43" s="8"/>
      <c r="BI43" s="8"/>
      <c r="BJ43" s="8"/>
      <c r="BK43" s="36"/>
      <c r="BL43" s="8"/>
      <c r="BM43" s="8"/>
      <c r="BN43" s="8"/>
      <c r="BO43" s="8"/>
      <c r="BP43" s="8"/>
      <c r="BQ43" s="58"/>
      <c r="BR43" s="8"/>
      <c r="BS43" s="8"/>
      <c r="BT43" s="36"/>
      <c r="BU43" s="58"/>
      <c r="BV43" s="8"/>
      <c r="BW43" s="8"/>
      <c r="BX43" s="8"/>
      <c r="BY43" s="8"/>
      <c r="BZ43" s="36"/>
    </row>
    <row r="44" spans="1:78" s="16" customFormat="1">
      <c r="A44" s="68" t="s">
        <v>373</v>
      </c>
      <c r="B44" s="8">
        <v>2025</v>
      </c>
      <c r="C44" s="16" t="s">
        <v>375</v>
      </c>
      <c r="E44" s="58"/>
      <c r="F44" s="8"/>
      <c r="G44" s="8"/>
      <c r="H44" s="8"/>
      <c r="I44" s="58"/>
      <c r="J44" s="8"/>
      <c r="K44" s="8"/>
      <c r="L44" s="8"/>
      <c r="M44" s="36"/>
      <c r="N44" s="8"/>
      <c r="O44" s="8"/>
      <c r="P44" s="8"/>
      <c r="Q44" s="8"/>
      <c r="R44" s="8"/>
      <c r="S44" s="58"/>
      <c r="T44" s="8"/>
      <c r="U44" s="8"/>
      <c r="V44" s="36"/>
      <c r="W44" s="8"/>
      <c r="X44" s="8">
        <v>268</v>
      </c>
      <c r="Y44" s="8"/>
      <c r="Z44" s="8"/>
      <c r="AA44" s="8"/>
      <c r="AB44" s="8"/>
      <c r="AC44" s="58"/>
      <c r="AD44" s="8"/>
      <c r="AE44" s="8"/>
      <c r="AF44" s="8"/>
      <c r="AG44" s="8"/>
      <c r="AH44" s="8"/>
      <c r="AI44" s="60"/>
      <c r="AJ44" s="61"/>
      <c r="AK44" s="8"/>
      <c r="AL44" s="8"/>
      <c r="AM44" s="70"/>
      <c r="AN44" s="8"/>
      <c r="AO44" s="8"/>
      <c r="AP44" s="8"/>
      <c r="AQ44" s="58"/>
      <c r="AR44" s="8"/>
      <c r="AS44" s="8"/>
      <c r="AT44" s="8"/>
      <c r="AU44" s="8"/>
      <c r="AV44" s="8"/>
      <c r="AW44" s="8"/>
      <c r="AX44" s="8"/>
      <c r="AY44" s="58"/>
      <c r="BA44" s="8"/>
      <c r="BB44" s="8"/>
      <c r="BC44" s="8"/>
      <c r="BD44" s="8"/>
      <c r="BE44" s="8"/>
      <c r="BF44" s="8"/>
      <c r="BG44" s="8"/>
      <c r="BH44" s="8"/>
      <c r="BI44" s="8"/>
      <c r="BJ44" s="8"/>
      <c r="BK44" s="36"/>
      <c r="BL44" s="8"/>
      <c r="BM44" s="8"/>
      <c r="BN44" s="8"/>
      <c r="BO44" s="8"/>
      <c r="BP44" s="8"/>
      <c r="BQ44" s="58"/>
      <c r="BR44" s="8"/>
      <c r="BS44" s="8"/>
      <c r="BT44" s="36"/>
      <c r="BU44" s="58"/>
      <c r="BV44" s="8"/>
      <c r="BW44" s="8"/>
      <c r="BX44" s="8"/>
      <c r="BY44" s="8"/>
      <c r="BZ44" s="36"/>
    </row>
    <row r="45" spans="1:78" s="16" customFormat="1">
      <c r="A45" s="68" t="s">
        <v>373</v>
      </c>
      <c r="B45" s="8">
        <v>2030</v>
      </c>
      <c r="C45" s="16" t="s">
        <v>376</v>
      </c>
      <c r="E45" s="58"/>
      <c r="F45" s="8"/>
      <c r="G45" s="8"/>
      <c r="H45" s="8"/>
      <c r="I45" s="58"/>
      <c r="J45" s="8"/>
      <c r="K45" s="8"/>
      <c r="L45" s="8"/>
      <c r="M45" s="36"/>
      <c r="N45" s="8"/>
      <c r="O45" s="8"/>
      <c r="P45" s="8"/>
      <c r="Q45" s="8"/>
      <c r="R45" s="8"/>
      <c r="S45" s="58"/>
      <c r="T45" s="8"/>
      <c r="U45" s="8"/>
      <c r="V45" s="36"/>
      <c r="W45" s="8"/>
      <c r="X45" s="8">
        <v>243</v>
      </c>
      <c r="Y45" s="8"/>
      <c r="Z45" s="8"/>
      <c r="AA45" s="8"/>
      <c r="AB45" s="8"/>
      <c r="AC45" s="58"/>
      <c r="AD45" s="8"/>
      <c r="AE45" s="8"/>
      <c r="AF45" s="8"/>
      <c r="AG45" s="8"/>
      <c r="AH45" s="8"/>
      <c r="AI45" s="60"/>
      <c r="AJ45" s="61"/>
      <c r="AK45" s="8"/>
      <c r="AL45" s="8"/>
      <c r="AM45" s="70"/>
      <c r="AN45" s="8"/>
      <c r="AO45" s="8"/>
      <c r="AP45" s="8"/>
      <c r="AQ45" s="58"/>
      <c r="AR45" s="8"/>
      <c r="AS45" s="8"/>
      <c r="AT45" s="8"/>
      <c r="AU45" s="8"/>
      <c r="AV45" s="8"/>
      <c r="AW45" s="8"/>
      <c r="AX45" s="8"/>
      <c r="AY45" s="58"/>
      <c r="BA45" s="8"/>
      <c r="BB45" s="8"/>
      <c r="BC45" s="8"/>
      <c r="BD45" s="8"/>
      <c r="BE45" s="8"/>
      <c r="BF45" s="8"/>
      <c r="BG45" s="8"/>
      <c r="BH45" s="8"/>
      <c r="BI45" s="8"/>
      <c r="BJ45" s="8"/>
      <c r="BK45" s="36"/>
      <c r="BL45" s="8"/>
      <c r="BM45" s="8"/>
      <c r="BN45" s="8"/>
      <c r="BO45" s="8"/>
      <c r="BP45" s="8"/>
      <c r="BQ45" s="58"/>
      <c r="BR45" s="8"/>
      <c r="BS45" s="8"/>
      <c r="BT45" s="36"/>
      <c r="BU45" s="58"/>
      <c r="BV45" s="8"/>
      <c r="BW45" s="8"/>
      <c r="BX45" s="8"/>
      <c r="BY45" s="8"/>
      <c r="BZ45" s="36"/>
    </row>
    <row r="46" spans="1:78" s="16" customFormat="1">
      <c r="A46" s="68" t="s">
        <v>373</v>
      </c>
      <c r="B46" s="8">
        <v>2035</v>
      </c>
      <c r="C46" s="16" t="s">
        <v>377</v>
      </c>
      <c r="E46" s="58"/>
      <c r="F46" s="8"/>
      <c r="G46" s="8"/>
      <c r="H46" s="8"/>
      <c r="I46" s="58"/>
      <c r="J46" s="8"/>
      <c r="K46" s="8"/>
      <c r="L46" s="8"/>
      <c r="M46" s="36"/>
      <c r="N46" s="8"/>
      <c r="O46" s="8"/>
      <c r="P46" s="8"/>
      <c r="Q46" s="8"/>
      <c r="R46" s="8"/>
      <c r="S46" s="58"/>
      <c r="T46" s="8"/>
      <c r="U46" s="8"/>
      <c r="V46" s="36"/>
      <c r="W46" s="8"/>
      <c r="X46" s="8">
        <v>228</v>
      </c>
      <c r="Y46" s="8"/>
      <c r="Z46" s="8"/>
      <c r="AA46" s="8"/>
      <c r="AB46" s="8"/>
      <c r="AC46" s="58"/>
      <c r="AD46" s="8"/>
      <c r="AE46" s="8"/>
      <c r="AF46" s="8"/>
      <c r="AG46" s="8"/>
      <c r="AH46" s="8"/>
      <c r="AI46" s="60"/>
      <c r="AJ46" s="61"/>
      <c r="AK46" s="8"/>
      <c r="AL46" s="8"/>
      <c r="AM46" s="70"/>
      <c r="AN46" s="8"/>
      <c r="AO46" s="8"/>
      <c r="AP46" s="8"/>
      <c r="AQ46" s="58"/>
      <c r="AR46" s="8"/>
      <c r="AS46" s="8"/>
      <c r="AT46" s="8"/>
      <c r="AU46" s="8"/>
      <c r="AV46" s="8"/>
      <c r="AW46" s="8"/>
      <c r="AX46" s="8"/>
      <c r="AY46" s="58"/>
      <c r="BA46" s="8"/>
      <c r="BB46" s="8"/>
      <c r="BC46" s="8"/>
      <c r="BD46" s="8"/>
      <c r="BE46" s="8"/>
      <c r="BF46" s="8"/>
      <c r="BG46" s="8"/>
      <c r="BH46" s="8"/>
      <c r="BI46" s="8"/>
      <c r="BJ46" s="8"/>
      <c r="BK46" s="36"/>
      <c r="BL46" s="8"/>
      <c r="BM46" s="8"/>
      <c r="BN46" s="8"/>
      <c r="BO46" s="8"/>
      <c r="BP46" s="8"/>
      <c r="BQ46" s="58"/>
      <c r="BR46" s="8"/>
      <c r="BS46" s="8"/>
      <c r="BT46" s="36"/>
      <c r="BU46" s="58"/>
      <c r="BV46" s="8"/>
      <c r="BW46" s="8"/>
      <c r="BX46" s="8"/>
      <c r="BY46" s="8"/>
      <c r="BZ46" s="36"/>
    </row>
    <row r="47" spans="1:78" s="16" customFormat="1">
      <c r="A47" s="68" t="s">
        <v>373</v>
      </c>
      <c r="B47" s="8">
        <v>2040</v>
      </c>
      <c r="C47" s="16" t="s">
        <v>378</v>
      </c>
      <c r="E47" s="58"/>
      <c r="F47" s="8"/>
      <c r="G47" s="8"/>
      <c r="H47" s="8"/>
      <c r="I47" s="58"/>
      <c r="J47" s="8"/>
      <c r="K47" s="8"/>
      <c r="L47" s="8"/>
      <c r="M47" s="36"/>
      <c r="N47" s="8"/>
      <c r="O47" s="8"/>
      <c r="P47" s="8"/>
      <c r="Q47" s="8"/>
      <c r="R47" s="8"/>
      <c r="S47" s="58"/>
      <c r="T47" s="8"/>
      <c r="U47" s="8"/>
      <c r="V47" s="36"/>
      <c r="W47" s="8"/>
      <c r="X47" s="8">
        <v>218</v>
      </c>
      <c r="Y47" s="8"/>
      <c r="Z47" s="8"/>
      <c r="AA47" s="8"/>
      <c r="AB47" s="8"/>
      <c r="AC47" s="58"/>
      <c r="AD47" s="8"/>
      <c r="AE47" s="8"/>
      <c r="AF47" s="8"/>
      <c r="AG47" s="8"/>
      <c r="AH47" s="8"/>
      <c r="AI47" s="60"/>
      <c r="AJ47" s="61"/>
      <c r="AK47" s="8"/>
      <c r="AL47" s="8"/>
      <c r="AM47" s="70"/>
      <c r="AN47" s="8"/>
      <c r="AO47" s="8"/>
      <c r="AP47" s="8"/>
      <c r="AQ47" s="58"/>
      <c r="AR47" s="8"/>
      <c r="AS47" s="8"/>
      <c r="AT47" s="8"/>
      <c r="AU47" s="8"/>
      <c r="AV47" s="8"/>
      <c r="AW47" s="8"/>
      <c r="AX47" s="8"/>
      <c r="AY47" s="58"/>
      <c r="BA47" s="8"/>
      <c r="BB47" s="8"/>
      <c r="BC47" s="8"/>
      <c r="BD47" s="8"/>
      <c r="BE47" s="8"/>
      <c r="BF47" s="8"/>
      <c r="BG47" s="8"/>
      <c r="BH47" s="8"/>
      <c r="BI47" s="8"/>
      <c r="BJ47" s="8"/>
      <c r="BK47" s="36"/>
      <c r="BL47" s="8"/>
      <c r="BM47" s="8"/>
      <c r="BN47" s="8"/>
      <c r="BO47" s="8"/>
      <c r="BP47" s="8"/>
      <c r="BQ47" s="58"/>
      <c r="BR47" s="8"/>
      <c r="BS47" s="8"/>
      <c r="BT47" s="36"/>
      <c r="BU47" s="58"/>
      <c r="BV47" s="8"/>
      <c r="BW47" s="8"/>
      <c r="BX47" s="8"/>
      <c r="BY47" s="8"/>
      <c r="BZ47" s="36"/>
    </row>
    <row r="48" spans="1:78" s="16" customFormat="1">
      <c r="A48" s="8" t="s">
        <v>379</v>
      </c>
      <c r="B48" s="8">
        <v>2035</v>
      </c>
      <c r="C48" s="16" t="s">
        <v>380</v>
      </c>
      <c r="E48" s="58"/>
      <c r="F48" s="8"/>
      <c r="G48" s="8"/>
      <c r="H48" s="8"/>
      <c r="I48" s="58"/>
      <c r="J48" s="8"/>
      <c r="K48" s="8"/>
      <c r="L48" s="8"/>
      <c r="M48" s="36"/>
      <c r="N48" s="8"/>
      <c r="O48" s="8"/>
      <c r="P48" s="8"/>
      <c r="Q48" s="8"/>
      <c r="R48" s="8"/>
      <c r="S48" s="58"/>
      <c r="T48" s="8"/>
      <c r="U48" s="8"/>
      <c r="V48" s="36"/>
      <c r="W48" s="8"/>
      <c r="X48" s="8">
        <v>125</v>
      </c>
      <c r="Y48" s="8">
        <v>0.03</v>
      </c>
      <c r="Z48" s="8">
        <v>20</v>
      </c>
      <c r="AA48" s="8">
        <v>0.97</v>
      </c>
      <c r="AB48" s="8"/>
      <c r="AC48" s="58"/>
      <c r="AD48" s="8">
        <v>500</v>
      </c>
      <c r="AE48" s="8">
        <v>0.04</v>
      </c>
      <c r="AF48" s="8"/>
      <c r="AG48" s="8">
        <v>10</v>
      </c>
      <c r="AH48" s="8"/>
      <c r="AI48" s="60"/>
      <c r="AJ48" s="61">
        <v>0.72</v>
      </c>
      <c r="AK48" s="8"/>
      <c r="AL48" s="8" t="s">
        <v>381</v>
      </c>
      <c r="AM48" s="72">
        <f>450*constants!C5</f>
        <v>13.513513513513516</v>
      </c>
      <c r="AN48" s="8">
        <v>0.01</v>
      </c>
      <c r="AO48" s="8">
        <v>30</v>
      </c>
      <c r="AP48" s="8"/>
      <c r="AQ48" s="58"/>
      <c r="AR48" s="8">
        <v>730</v>
      </c>
      <c r="AS48" s="8"/>
      <c r="AT48" s="8"/>
      <c r="AU48" s="8">
        <v>0.04</v>
      </c>
      <c r="AV48" s="8"/>
      <c r="AW48" s="8"/>
      <c r="AX48" s="8">
        <v>15</v>
      </c>
      <c r="AY48" s="58"/>
      <c r="BA48" s="8">
        <v>183</v>
      </c>
      <c r="BB48" s="8">
        <v>0.04</v>
      </c>
      <c r="BC48" s="8">
        <v>0.83399999999999996</v>
      </c>
      <c r="BD48" s="8"/>
      <c r="BE48" s="8">
        <v>20</v>
      </c>
      <c r="BF48" s="8"/>
      <c r="BG48" s="73">
        <v>0.3</v>
      </c>
      <c r="BH48" s="8">
        <v>25</v>
      </c>
      <c r="BI48" s="8"/>
      <c r="BJ48" s="8"/>
      <c r="BK48" s="36"/>
      <c r="BL48" s="74" t="s">
        <v>382</v>
      </c>
      <c r="BM48" s="8">
        <v>0.04</v>
      </c>
      <c r="BN48" s="8">
        <v>0.214</v>
      </c>
      <c r="BO48" s="8">
        <v>1.393</v>
      </c>
      <c r="BP48" s="8">
        <v>28</v>
      </c>
      <c r="BQ48" s="58">
        <v>220</v>
      </c>
      <c r="BR48" s="8">
        <v>0.02</v>
      </c>
      <c r="BS48" s="8">
        <v>50</v>
      </c>
      <c r="BT48" s="36"/>
      <c r="BU48" s="75" t="s">
        <v>383</v>
      </c>
      <c r="BV48" s="8"/>
      <c r="BW48" s="8"/>
      <c r="BX48" s="8">
        <v>2.5000000000000001E-2</v>
      </c>
      <c r="BY48" s="8"/>
      <c r="BZ48" s="36">
        <v>30</v>
      </c>
    </row>
    <row r="49" spans="1:78" s="16" customFormat="1">
      <c r="A49" s="8" t="s">
        <v>384</v>
      </c>
      <c r="B49" s="8"/>
      <c r="E49" s="58"/>
      <c r="F49" s="8"/>
      <c r="G49" s="8"/>
      <c r="H49" s="8"/>
      <c r="I49" s="58"/>
      <c r="J49" s="8"/>
      <c r="K49" s="8"/>
      <c r="L49" s="8"/>
      <c r="M49" s="36"/>
      <c r="N49" s="8"/>
      <c r="O49" s="8"/>
      <c r="P49" s="8"/>
      <c r="Q49" s="8"/>
      <c r="R49" s="8"/>
      <c r="S49" s="58"/>
      <c r="T49" s="8"/>
      <c r="U49" s="8"/>
      <c r="V49" s="36"/>
      <c r="W49" s="8"/>
      <c r="X49" s="8"/>
      <c r="Y49" s="8"/>
      <c r="Z49" s="8"/>
      <c r="AA49" s="8"/>
      <c r="AB49" s="8"/>
      <c r="AC49" s="58"/>
      <c r="AD49" s="8">
        <v>800</v>
      </c>
      <c r="AE49" s="8">
        <v>0.02</v>
      </c>
      <c r="AF49" s="8"/>
      <c r="AG49" s="8"/>
      <c r="AH49" s="8"/>
      <c r="AI49" s="60"/>
      <c r="AJ49" s="61"/>
      <c r="AK49" s="8"/>
      <c r="AM49" s="70"/>
      <c r="AN49" s="8">
        <v>0.02</v>
      </c>
      <c r="AO49" s="8"/>
      <c r="AP49" s="8"/>
      <c r="AQ49" s="58"/>
      <c r="AR49" s="8"/>
      <c r="AS49" s="8"/>
      <c r="AT49" s="8"/>
      <c r="AU49" s="8"/>
      <c r="AV49" s="8"/>
      <c r="AW49" s="8"/>
      <c r="AX49" s="8"/>
      <c r="AY49" s="58"/>
      <c r="BA49" s="8"/>
      <c r="BB49" s="8"/>
      <c r="BC49" s="8"/>
      <c r="BD49" s="8"/>
      <c r="BE49" s="8"/>
      <c r="BF49" s="8"/>
      <c r="BG49" s="8"/>
      <c r="BH49" s="8"/>
      <c r="BI49" s="8"/>
      <c r="BJ49" s="8"/>
      <c r="BK49" s="36"/>
      <c r="BL49" s="8"/>
      <c r="BM49" s="8"/>
      <c r="BN49" s="8"/>
      <c r="BO49" s="8"/>
      <c r="BP49" s="8"/>
      <c r="BQ49" s="58"/>
      <c r="BR49" s="8"/>
      <c r="BS49" s="8"/>
      <c r="BT49" s="36"/>
      <c r="BU49" s="58"/>
      <c r="BV49" s="8"/>
      <c r="BW49" s="8"/>
      <c r="BX49" s="8"/>
      <c r="BY49" s="8"/>
      <c r="BZ49" s="36"/>
    </row>
    <row r="50" spans="1:78" s="16" customFormat="1">
      <c r="A50" s="8" t="s">
        <v>385</v>
      </c>
      <c r="B50" s="8">
        <v>2015</v>
      </c>
      <c r="E50" s="58"/>
      <c r="F50" s="8"/>
      <c r="G50" s="8"/>
      <c r="H50" s="8"/>
      <c r="I50" s="58"/>
      <c r="J50" s="8"/>
      <c r="K50" s="8"/>
      <c r="L50" s="8"/>
      <c r="M50" s="36"/>
      <c r="N50" s="8"/>
      <c r="O50" s="8"/>
      <c r="P50" s="8"/>
      <c r="Q50" s="8"/>
      <c r="R50" s="8"/>
      <c r="S50" s="58"/>
      <c r="T50" s="8"/>
      <c r="U50" s="8"/>
      <c r="V50" s="36"/>
      <c r="W50" s="8"/>
      <c r="X50" s="16">
        <v>605</v>
      </c>
      <c r="Y50" s="8"/>
      <c r="Z50" s="8"/>
      <c r="AA50" s="8"/>
      <c r="AB50" s="8"/>
      <c r="AC50" s="58"/>
      <c r="AD50" s="8"/>
      <c r="AE50" s="8"/>
      <c r="AF50" s="8"/>
      <c r="AG50" s="8"/>
      <c r="AH50" s="8"/>
      <c r="AI50" s="60"/>
      <c r="AJ50" s="61"/>
      <c r="AK50" s="8"/>
      <c r="AL50" s="8"/>
      <c r="AM50" s="70"/>
      <c r="AN50" s="8"/>
      <c r="AO50" s="8"/>
      <c r="AP50" s="8"/>
      <c r="AQ50" s="58"/>
      <c r="AR50" s="8"/>
      <c r="AS50" s="8"/>
      <c r="AT50" s="8"/>
      <c r="AU50" s="8"/>
      <c r="AV50" s="8"/>
      <c r="AW50" s="8"/>
      <c r="AX50" s="8"/>
      <c r="AY50" s="58"/>
      <c r="BA50" s="8"/>
      <c r="BB50" s="8"/>
      <c r="BC50" s="8"/>
      <c r="BD50" s="8"/>
      <c r="BE50" s="8"/>
      <c r="BF50" s="8"/>
      <c r="BG50" s="8"/>
      <c r="BH50" s="8"/>
      <c r="BI50" s="8"/>
      <c r="BJ50" s="8"/>
      <c r="BK50" s="36"/>
      <c r="BL50" s="8"/>
      <c r="BM50" s="8"/>
      <c r="BN50" s="8"/>
      <c r="BO50" s="8"/>
      <c r="BP50" s="8"/>
      <c r="BQ50" s="58"/>
      <c r="BR50" s="8"/>
      <c r="BS50" s="8"/>
      <c r="BT50" s="36"/>
      <c r="BU50" s="58"/>
      <c r="BV50" s="8"/>
      <c r="BW50" s="8"/>
      <c r="BX50" s="8"/>
      <c r="BY50" s="8"/>
      <c r="BZ50" s="36"/>
    </row>
    <row r="51" spans="1:78" s="16" customFormat="1">
      <c r="A51" s="8" t="s">
        <v>385</v>
      </c>
      <c r="B51" s="8">
        <v>2020</v>
      </c>
      <c r="E51" s="58"/>
      <c r="F51" s="8"/>
      <c r="G51" s="8"/>
      <c r="H51" s="8"/>
      <c r="I51" s="58"/>
      <c r="J51" s="8"/>
      <c r="K51" s="8"/>
      <c r="L51" s="8"/>
      <c r="M51" s="36"/>
      <c r="N51" s="8"/>
      <c r="O51" s="8"/>
      <c r="P51" s="8"/>
      <c r="Q51" s="8"/>
      <c r="R51" s="8"/>
      <c r="S51" s="58"/>
      <c r="T51" s="8"/>
      <c r="U51" s="8"/>
      <c r="V51" s="36"/>
      <c r="W51" s="8"/>
      <c r="X51" s="16">
        <v>455</v>
      </c>
      <c r="Y51" s="8"/>
      <c r="Z51" s="8"/>
      <c r="AA51" s="8"/>
      <c r="AB51" s="8"/>
      <c r="AC51" s="58"/>
      <c r="AD51" s="8"/>
      <c r="AE51" s="8"/>
      <c r="AF51" s="8"/>
      <c r="AG51" s="8"/>
      <c r="AH51" s="8"/>
      <c r="AI51" s="60"/>
      <c r="AJ51" s="61"/>
      <c r="AK51" s="8"/>
      <c r="AL51" s="8"/>
      <c r="AM51" s="70"/>
      <c r="AN51" s="8"/>
      <c r="AO51" s="8"/>
      <c r="AP51" s="8"/>
      <c r="AQ51" s="58"/>
      <c r="AR51" s="8"/>
      <c r="AS51" s="8"/>
      <c r="AT51" s="8"/>
      <c r="AU51" s="8"/>
      <c r="AV51" s="8"/>
      <c r="AW51" s="8"/>
      <c r="AX51" s="8"/>
      <c r="AY51" s="58"/>
      <c r="BA51" s="8"/>
      <c r="BB51" s="8"/>
      <c r="BC51" s="8"/>
      <c r="BD51" s="8"/>
      <c r="BE51" s="8"/>
      <c r="BF51" s="8"/>
      <c r="BG51" s="8"/>
      <c r="BH51" s="8"/>
      <c r="BI51" s="8"/>
      <c r="BJ51" s="8"/>
      <c r="BK51" s="36"/>
      <c r="BL51" s="8"/>
      <c r="BM51" s="8"/>
      <c r="BN51" s="8"/>
      <c r="BO51" s="8"/>
      <c r="BP51" s="8"/>
      <c r="BQ51" s="58"/>
      <c r="BR51" s="8"/>
      <c r="BS51" s="8"/>
      <c r="BT51" s="36"/>
      <c r="BU51" s="58"/>
      <c r="BV51" s="8"/>
      <c r="BW51" s="8"/>
      <c r="BX51" s="8"/>
      <c r="BY51" s="8"/>
      <c r="BZ51" s="36"/>
    </row>
    <row r="52" spans="1:78" s="16" customFormat="1">
      <c r="A52" s="8" t="s">
        <v>385</v>
      </c>
      <c r="B52" s="8">
        <v>2025</v>
      </c>
      <c r="E52" s="58"/>
      <c r="F52" s="8"/>
      <c r="G52" s="8"/>
      <c r="H52" s="8"/>
      <c r="I52" s="58"/>
      <c r="J52" s="8"/>
      <c r="K52" s="8"/>
      <c r="L52" s="8"/>
      <c r="M52" s="36"/>
      <c r="N52" s="8"/>
      <c r="O52" s="8"/>
      <c r="P52" s="8"/>
      <c r="Q52" s="8"/>
      <c r="R52" s="8"/>
      <c r="S52" s="58"/>
      <c r="T52" s="8"/>
      <c r="U52" s="8"/>
      <c r="V52" s="36"/>
      <c r="W52" s="8"/>
      <c r="X52" s="16">
        <v>345</v>
      </c>
      <c r="Y52" s="8"/>
      <c r="Z52" s="8"/>
      <c r="AA52" s="8"/>
      <c r="AB52" s="8"/>
      <c r="AC52" s="58"/>
      <c r="AD52" s="8"/>
      <c r="AE52" s="8"/>
      <c r="AF52" s="8"/>
      <c r="AG52" s="8"/>
      <c r="AH52" s="8"/>
      <c r="AI52" s="60"/>
      <c r="AJ52" s="61"/>
      <c r="AK52" s="8"/>
      <c r="AL52" s="8"/>
      <c r="AM52" s="70"/>
      <c r="AN52" s="8"/>
      <c r="AO52" s="8"/>
      <c r="AP52" s="8"/>
      <c r="AQ52" s="58"/>
      <c r="AR52" s="8"/>
      <c r="AS52" s="8"/>
      <c r="AT52" s="8"/>
      <c r="AU52" s="8"/>
      <c r="AV52" s="8"/>
      <c r="AW52" s="8"/>
      <c r="AX52" s="8"/>
      <c r="AY52" s="58"/>
      <c r="BA52" s="8"/>
      <c r="BB52" s="8"/>
      <c r="BC52" s="8"/>
      <c r="BD52" s="8"/>
      <c r="BE52" s="8"/>
      <c r="BF52" s="8"/>
      <c r="BG52" s="8"/>
      <c r="BH52" s="8"/>
      <c r="BI52" s="8"/>
      <c r="BJ52" s="8"/>
      <c r="BK52" s="36"/>
      <c r="BL52" s="8"/>
      <c r="BM52" s="8"/>
      <c r="BN52" s="8"/>
      <c r="BO52" s="8"/>
      <c r="BP52" s="8"/>
      <c r="BQ52" s="58"/>
      <c r="BR52" s="8"/>
      <c r="BS52" s="8"/>
      <c r="BT52" s="36"/>
      <c r="BU52" s="58"/>
      <c r="BV52" s="8"/>
      <c r="BW52" s="8"/>
      <c r="BX52" s="8"/>
      <c r="BY52" s="8"/>
      <c r="BZ52" s="36"/>
    </row>
    <row r="53" spans="1:78" s="16" customFormat="1">
      <c r="A53" s="8" t="s">
        <v>385</v>
      </c>
      <c r="B53" s="8">
        <v>2030</v>
      </c>
      <c r="E53" s="58"/>
      <c r="F53" s="8"/>
      <c r="G53" s="8"/>
      <c r="H53" s="8"/>
      <c r="I53" s="58"/>
      <c r="J53" s="8"/>
      <c r="K53" s="8"/>
      <c r="L53" s="8"/>
      <c r="M53" s="36"/>
      <c r="N53" s="8"/>
      <c r="O53" s="8"/>
      <c r="P53" s="8"/>
      <c r="Q53" s="8"/>
      <c r="R53" s="8"/>
      <c r="S53" s="58"/>
      <c r="T53" s="8"/>
      <c r="U53" s="8"/>
      <c r="V53" s="36"/>
      <c r="W53" s="8"/>
      <c r="X53" s="16">
        <v>260</v>
      </c>
      <c r="Y53" s="8"/>
      <c r="Z53" s="8"/>
      <c r="AA53" s="8"/>
      <c r="AB53" s="8"/>
      <c r="AC53" s="58"/>
      <c r="AD53" s="8"/>
      <c r="AE53" s="8"/>
      <c r="AF53" s="8"/>
      <c r="AG53" s="8"/>
      <c r="AH53" s="8"/>
      <c r="AI53" s="60"/>
      <c r="AJ53" s="61"/>
      <c r="AK53" s="8"/>
      <c r="AL53" s="8"/>
      <c r="AM53" s="8"/>
      <c r="AN53" s="8"/>
      <c r="AO53" s="8"/>
      <c r="AP53" s="8"/>
      <c r="AQ53" s="58"/>
      <c r="AR53" s="8"/>
      <c r="AS53" s="8"/>
      <c r="AT53" s="8"/>
      <c r="AU53" s="8"/>
      <c r="AV53" s="8"/>
      <c r="AW53" s="8"/>
      <c r="AX53" s="8"/>
      <c r="AY53" s="58"/>
      <c r="BA53" s="8"/>
      <c r="BB53" s="8"/>
      <c r="BC53" s="8"/>
      <c r="BD53" s="8"/>
      <c r="BE53" s="8"/>
      <c r="BF53" s="8"/>
      <c r="BG53" s="8"/>
      <c r="BH53" s="8"/>
      <c r="BI53" s="8"/>
      <c r="BJ53" s="8"/>
      <c r="BK53" s="36"/>
      <c r="BL53" s="8"/>
      <c r="BM53" s="8"/>
      <c r="BN53" s="8"/>
      <c r="BO53" s="8"/>
      <c r="BP53" s="8"/>
      <c r="BQ53" s="58"/>
      <c r="BR53" s="8"/>
      <c r="BS53" s="8"/>
      <c r="BT53" s="36"/>
      <c r="BU53" s="58"/>
      <c r="BV53" s="8"/>
      <c r="BW53" s="8"/>
      <c r="BX53" s="8"/>
      <c r="BY53" s="8"/>
      <c r="BZ53" s="36"/>
    </row>
    <row r="54" spans="1:78" s="77" customFormat="1">
      <c r="A54" s="76" t="s">
        <v>386</v>
      </c>
      <c r="B54" s="76">
        <v>2018</v>
      </c>
      <c r="C54" s="77" t="s">
        <v>387</v>
      </c>
      <c r="D54" s="77" t="s">
        <v>328</v>
      </c>
      <c r="E54" s="78"/>
      <c r="F54" s="76"/>
      <c r="G54" s="76"/>
      <c r="H54" s="76"/>
      <c r="I54" s="78"/>
      <c r="J54" s="76"/>
      <c r="K54" s="76"/>
      <c r="L54" s="76"/>
      <c r="M54" s="79"/>
      <c r="N54" s="76"/>
      <c r="O54" s="76"/>
      <c r="P54" s="76"/>
      <c r="Q54" s="76"/>
      <c r="R54" s="76"/>
      <c r="S54" s="78"/>
      <c r="T54" s="76"/>
      <c r="U54" s="76"/>
      <c r="V54" s="79"/>
      <c r="W54" s="76"/>
      <c r="X54" s="80">
        <f>271*constants!C4</f>
        <v>243.9</v>
      </c>
      <c r="Y54" s="76"/>
      <c r="Z54" s="76">
        <v>10</v>
      </c>
      <c r="AA54" s="76">
        <v>0.86</v>
      </c>
      <c r="AB54" s="76"/>
      <c r="AC54" s="78"/>
      <c r="AD54" s="76"/>
      <c r="AE54" s="76"/>
      <c r="AF54" s="76"/>
      <c r="AG54" s="76"/>
      <c r="AH54" s="76"/>
      <c r="AI54" s="81"/>
      <c r="AJ54" s="82"/>
      <c r="AK54" s="76"/>
      <c r="AL54" s="76"/>
      <c r="AM54" s="76"/>
      <c r="AN54" s="76"/>
      <c r="AO54" s="76"/>
      <c r="AP54" s="76"/>
      <c r="AQ54" s="78"/>
      <c r="AR54" s="76"/>
      <c r="AS54" s="76"/>
      <c r="AT54" s="76"/>
      <c r="AU54" s="76"/>
      <c r="AV54" s="76"/>
      <c r="AW54" s="76"/>
      <c r="AX54" s="76"/>
      <c r="AY54" s="78"/>
      <c r="BA54" s="76"/>
      <c r="BB54" s="76"/>
      <c r="BC54" s="76"/>
      <c r="BD54" s="76"/>
      <c r="BE54" s="76"/>
      <c r="BF54" s="76"/>
      <c r="BG54" s="76"/>
      <c r="BH54" s="76"/>
      <c r="BI54" s="76"/>
      <c r="BJ54" s="76"/>
      <c r="BK54" s="79"/>
      <c r="BL54" s="76"/>
      <c r="BM54" s="76"/>
      <c r="BN54" s="76"/>
      <c r="BO54" s="76"/>
      <c r="BP54" s="76"/>
      <c r="BQ54" s="78"/>
      <c r="BR54" s="76"/>
      <c r="BS54" s="76"/>
      <c r="BT54" s="79"/>
      <c r="BU54" s="78"/>
      <c r="BV54" s="76"/>
      <c r="BW54" s="76"/>
      <c r="BX54" s="76"/>
      <c r="BY54" s="76"/>
      <c r="BZ54" s="79"/>
    </row>
    <row r="55" spans="1:78" s="77" customFormat="1">
      <c r="A55" s="76" t="s">
        <v>386</v>
      </c>
      <c r="B55" s="76">
        <v>2025</v>
      </c>
      <c r="C55" s="77" t="s">
        <v>387</v>
      </c>
      <c r="D55" s="77" t="s">
        <v>328</v>
      </c>
      <c r="E55" s="78"/>
      <c r="F55" s="76"/>
      <c r="G55" s="76"/>
      <c r="H55" s="76"/>
      <c r="I55" s="78"/>
      <c r="J55" s="76"/>
      <c r="K55" s="76"/>
      <c r="L55" s="76"/>
      <c r="M55" s="79"/>
      <c r="N55" s="76"/>
      <c r="O55" s="76"/>
      <c r="P55" s="76"/>
      <c r="Q55" s="76"/>
      <c r="R55" s="76"/>
      <c r="S55" s="78"/>
      <c r="T55" s="76"/>
      <c r="U55" s="76"/>
      <c r="V55" s="79"/>
      <c r="W55" s="76"/>
      <c r="X55" s="80">
        <f>189*constants!C4</f>
        <v>170.1</v>
      </c>
      <c r="Y55" s="76"/>
      <c r="Z55" s="76"/>
      <c r="AA55" s="76"/>
      <c r="AB55" s="76"/>
      <c r="AC55" s="78"/>
      <c r="AD55" s="76"/>
      <c r="AE55" s="76"/>
      <c r="AF55" s="76"/>
      <c r="AG55" s="76"/>
      <c r="AH55" s="76"/>
      <c r="AI55" s="81"/>
      <c r="AJ55" s="82"/>
      <c r="AK55" s="76"/>
      <c r="AL55" s="76"/>
      <c r="AM55" s="76"/>
      <c r="AN55" s="76"/>
      <c r="AO55" s="76"/>
      <c r="AP55" s="76"/>
      <c r="AQ55" s="78"/>
      <c r="AR55" s="76"/>
      <c r="AS55" s="76"/>
      <c r="AT55" s="76"/>
      <c r="AU55" s="76"/>
      <c r="AV55" s="76"/>
      <c r="AW55" s="76"/>
      <c r="AX55" s="76"/>
      <c r="AY55" s="78"/>
      <c r="BA55" s="76"/>
      <c r="BB55" s="76"/>
      <c r="BC55" s="76"/>
      <c r="BD55" s="76"/>
      <c r="BE55" s="76"/>
      <c r="BF55" s="76"/>
      <c r="BG55" s="76"/>
      <c r="BH55" s="76"/>
      <c r="BI55" s="76"/>
      <c r="BJ55" s="76"/>
      <c r="BK55" s="79"/>
      <c r="BL55" s="76"/>
      <c r="BM55" s="76"/>
      <c r="BN55" s="76"/>
      <c r="BO55" s="76"/>
      <c r="BP55" s="76"/>
      <c r="BQ55" s="78"/>
      <c r="BR55" s="76"/>
      <c r="BS55" s="76"/>
      <c r="BT55" s="79"/>
      <c r="BU55" s="78"/>
      <c r="BV55" s="76"/>
      <c r="BW55" s="76"/>
      <c r="BX55" s="76"/>
      <c r="BY55" s="76"/>
      <c r="BZ55" s="79"/>
    </row>
    <row r="56" spans="1:78" s="16" customFormat="1">
      <c r="A56" s="68" t="s">
        <v>388</v>
      </c>
      <c r="B56" s="8"/>
      <c r="C56" s="16" t="s">
        <v>389</v>
      </c>
      <c r="E56" s="58"/>
      <c r="F56" s="8"/>
      <c r="G56" s="8"/>
      <c r="H56" s="8"/>
      <c r="I56" s="58"/>
      <c r="J56" s="8"/>
      <c r="K56" s="8"/>
      <c r="L56" s="8"/>
      <c r="M56" s="36"/>
      <c r="N56" s="8"/>
      <c r="O56" s="8"/>
      <c r="P56" s="8"/>
      <c r="Q56" s="8"/>
      <c r="R56" s="8"/>
      <c r="S56" s="58"/>
      <c r="T56" s="8"/>
      <c r="U56" s="8"/>
      <c r="V56" s="36"/>
      <c r="W56" s="8"/>
      <c r="Y56" s="8"/>
      <c r="Z56" s="8"/>
      <c r="AA56" s="8"/>
      <c r="AB56" s="8"/>
      <c r="AC56" s="58"/>
      <c r="AD56" s="8"/>
      <c r="AE56" s="8"/>
      <c r="AF56" s="8"/>
      <c r="AG56" s="8"/>
      <c r="AH56" s="8"/>
      <c r="AI56" s="60"/>
      <c r="AJ56" s="61"/>
      <c r="AK56" s="8"/>
      <c r="AL56" s="8" t="s">
        <v>390</v>
      </c>
      <c r="AM56" s="72">
        <f>23/constants!$C$6*constants!$C$5</f>
        <v>7.6743410076743421</v>
      </c>
      <c r="AN56" s="8">
        <v>5.0000000000000001E-3</v>
      </c>
      <c r="AO56" s="8">
        <v>20</v>
      </c>
      <c r="AP56" s="8"/>
      <c r="AQ56" s="58"/>
      <c r="AR56" s="8"/>
      <c r="AS56" s="8"/>
      <c r="AT56" s="8"/>
      <c r="AU56" s="8"/>
      <c r="AV56" s="8"/>
      <c r="AW56" s="8"/>
      <c r="AX56" s="8"/>
      <c r="AY56" s="58"/>
      <c r="BA56" s="8"/>
      <c r="BB56" s="8"/>
      <c r="BC56" s="8"/>
      <c r="BD56" s="8"/>
      <c r="BE56" s="8"/>
      <c r="BF56" s="8"/>
      <c r="BG56" s="8"/>
      <c r="BH56" s="8"/>
      <c r="BI56" s="8"/>
      <c r="BJ56" s="8"/>
      <c r="BK56" s="36"/>
      <c r="BL56" s="8"/>
      <c r="BM56" s="8"/>
      <c r="BN56" s="8"/>
      <c r="BO56" s="8"/>
      <c r="BP56" s="8"/>
      <c r="BQ56" s="58"/>
      <c r="BR56" s="8"/>
      <c r="BS56" s="8"/>
      <c r="BT56" s="36"/>
      <c r="BU56" s="58"/>
      <c r="BV56" s="8"/>
      <c r="BW56" s="8"/>
      <c r="BX56" s="8"/>
      <c r="BY56" s="8"/>
      <c r="BZ56" s="36"/>
    </row>
    <row r="57" spans="1:78" s="16" customFormat="1">
      <c r="A57" s="68" t="s">
        <v>388</v>
      </c>
      <c r="B57" s="8"/>
      <c r="C57" s="16" t="s">
        <v>391</v>
      </c>
      <c r="E57" s="58"/>
      <c r="F57" s="8"/>
      <c r="G57" s="8"/>
      <c r="H57" s="8"/>
      <c r="I57" s="58"/>
      <c r="J57" s="8"/>
      <c r="K57" s="8"/>
      <c r="L57" s="8"/>
      <c r="M57" s="36"/>
      <c r="N57" s="8"/>
      <c r="O57" s="8"/>
      <c r="P57" s="8"/>
      <c r="Q57" s="8"/>
      <c r="R57" s="8"/>
      <c r="S57" s="58"/>
      <c r="T57" s="8"/>
      <c r="U57" s="8"/>
      <c r="V57" s="36"/>
      <c r="W57" s="8"/>
      <c r="Y57" s="8"/>
      <c r="Z57" s="8"/>
      <c r="AA57" s="8"/>
      <c r="AB57" s="8"/>
      <c r="AC57" s="58"/>
      <c r="AD57" s="8"/>
      <c r="AE57" s="8"/>
      <c r="AF57" s="8"/>
      <c r="AG57" s="8"/>
      <c r="AH57" s="8"/>
      <c r="AI57" s="60"/>
      <c r="AJ57" s="61"/>
      <c r="AK57" s="8"/>
      <c r="AL57" s="8" t="s">
        <v>390</v>
      </c>
      <c r="AM57" s="72">
        <f>100/constants!$C$6*constants!$C$5</f>
        <v>33.366700033366705</v>
      </c>
      <c r="AN57" s="8">
        <v>1.4999999999999999E-2</v>
      </c>
      <c r="AO57" s="8">
        <v>25</v>
      </c>
      <c r="AP57" s="8"/>
      <c r="AQ57" s="58"/>
      <c r="AR57" s="8"/>
      <c r="AS57" s="8"/>
      <c r="AT57" s="8"/>
      <c r="AU57" s="8"/>
      <c r="AV57" s="8"/>
      <c r="AW57" s="8"/>
      <c r="AX57" s="8"/>
      <c r="AY57" s="58"/>
      <c r="BA57" s="8"/>
      <c r="BB57" s="8"/>
      <c r="BC57" s="8"/>
      <c r="BD57" s="8"/>
      <c r="BE57" s="8"/>
      <c r="BF57" s="8"/>
      <c r="BG57" s="8"/>
      <c r="BH57" s="8"/>
      <c r="BI57" s="8"/>
      <c r="BJ57" s="8"/>
      <c r="BK57" s="36"/>
      <c r="BL57" s="8"/>
      <c r="BM57" s="8"/>
      <c r="BN57" s="8"/>
      <c r="BO57" s="8"/>
      <c r="BP57" s="8"/>
      <c r="BQ57" s="58"/>
      <c r="BR57" s="8"/>
      <c r="BS57" s="8"/>
      <c r="BT57" s="36"/>
      <c r="BU57" s="58"/>
      <c r="BV57" s="8"/>
      <c r="BW57" s="8"/>
      <c r="BX57" s="8"/>
      <c r="BY57" s="8"/>
      <c r="BZ57" s="36"/>
    </row>
    <row r="58" spans="1:78" s="16" customFormat="1">
      <c r="A58" s="68" t="s">
        <v>388</v>
      </c>
      <c r="B58" s="8"/>
      <c r="C58" s="16" t="s">
        <v>392</v>
      </c>
      <c r="E58" s="58"/>
      <c r="F58" s="8"/>
      <c r="G58" s="8"/>
      <c r="H58" s="8"/>
      <c r="I58" s="58"/>
      <c r="J58" s="8"/>
      <c r="K58" s="8"/>
      <c r="L58" s="8"/>
      <c r="M58" s="36"/>
      <c r="N58" s="8"/>
      <c r="O58" s="8"/>
      <c r="P58" s="8"/>
      <c r="Q58" s="8"/>
      <c r="R58" s="8"/>
      <c r="S58" s="58"/>
      <c r="T58" s="8"/>
      <c r="U58" s="8"/>
      <c r="V58" s="36"/>
      <c r="W58" s="8"/>
      <c r="Y58" s="8"/>
      <c r="Z58" s="8"/>
      <c r="AA58" s="8"/>
      <c r="AB58" s="8"/>
      <c r="AC58" s="58"/>
      <c r="AD58" s="8"/>
      <c r="AE58" s="8"/>
      <c r="AF58" s="8"/>
      <c r="AG58" s="8"/>
      <c r="AH58" s="8"/>
      <c r="AI58" s="60"/>
      <c r="AJ58" s="61"/>
      <c r="AK58" s="8"/>
      <c r="AL58" s="8" t="s">
        <v>390</v>
      </c>
      <c r="AM58" s="72">
        <f>195/constants!$C$6*constants!$C$5</f>
        <v>65.065065065065085</v>
      </c>
      <c r="AN58" s="8">
        <v>2.5000000000000001E-2</v>
      </c>
      <c r="AO58" s="8">
        <v>30</v>
      </c>
      <c r="AP58" s="8"/>
      <c r="AQ58" s="58"/>
      <c r="AR58" s="8"/>
      <c r="AS58" s="8"/>
      <c r="AT58" s="8"/>
      <c r="AU58" s="8"/>
      <c r="AV58" s="8"/>
      <c r="AW58" s="8"/>
      <c r="AX58" s="8"/>
      <c r="AY58" s="58"/>
      <c r="BA58" s="8"/>
      <c r="BB58" s="8"/>
      <c r="BC58" s="8"/>
      <c r="BD58" s="8"/>
      <c r="BE58" s="8"/>
      <c r="BF58" s="8"/>
      <c r="BG58" s="8"/>
      <c r="BH58" s="8"/>
      <c r="BI58" s="8"/>
      <c r="BJ58" s="8"/>
      <c r="BK58" s="36"/>
      <c r="BL58" s="8"/>
      <c r="BM58" s="8"/>
      <c r="BN58" s="8"/>
      <c r="BO58" s="8"/>
      <c r="BP58" s="8"/>
      <c r="BQ58" s="58"/>
      <c r="BR58" s="8"/>
      <c r="BS58" s="8"/>
      <c r="BT58" s="36"/>
      <c r="BU58" s="58"/>
      <c r="BV58" s="8"/>
      <c r="BW58" s="8"/>
      <c r="BX58" s="8"/>
      <c r="BY58" s="8"/>
      <c r="BZ58" s="36"/>
    </row>
    <row r="59" spans="1:78" s="16" customFormat="1">
      <c r="A59" s="8" t="s">
        <v>393</v>
      </c>
      <c r="B59" s="8"/>
      <c r="C59" s="16" t="s">
        <v>389</v>
      </c>
      <c r="E59" s="58"/>
      <c r="F59" s="8"/>
      <c r="G59" s="8"/>
      <c r="H59" s="8"/>
      <c r="I59" s="58"/>
      <c r="J59" s="8"/>
      <c r="K59" s="8"/>
      <c r="L59" s="8"/>
      <c r="M59" s="36"/>
      <c r="N59" s="8"/>
      <c r="O59" s="8"/>
      <c r="P59" s="8"/>
      <c r="Q59" s="8"/>
      <c r="R59" s="8"/>
      <c r="S59" s="58"/>
      <c r="T59" s="8"/>
      <c r="U59" s="8"/>
      <c r="V59" s="36"/>
      <c r="W59" s="8"/>
      <c r="Y59" s="8"/>
      <c r="Z59" s="8"/>
      <c r="AA59" s="8"/>
      <c r="AB59" s="8"/>
      <c r="AC59" s="58"/>
      <c r="AD59" s="8">
        <v>1820</v>
      </c>
      <c r="AE59" s="8"/>
      <c r="AF59" s="8"/>
      <c r="AG59" s="8"/>
      <c r="AH59" s="8"/>
      <c r="AI59" s="60"/>
      <c r="AJ59" s="61"/>
      <c r="AK59" s="8"/>
      <c r="AL59" s="8" t="s">
        <v>394</v>
      </c>
      <c r="AM59" s="72">
        <f>50*constants!C5</f>
        <v>1.5015015015015016</v>
      </c>
      <c r="AN59" s="8"/>
      <c r="AO59" s="8">
        <v>20</v>
      </c>
      <c r="AP59" s="8"/>
      <c r="AQ59" s="58"/>
      <c r="AR59" s="8"/>
      <c r="AS59" s="8"/>
      <c r="AT59" s="8"/>
      <c r="AU59" s="8"/>
      <c r="AV59" s="8"/>
      <c r="AW59" s="8"/>
      <c r="AX59" s="8"/>
      <c r="AY59" s="58"/>
      <c r="BA59" s="8"/>
      <c r="BB59" s="8"/>
      <c r="BC59" s="8"/>
      <c r="BD59" s="8"/>
      <c r="BE59" s="8"/>
      <c r="BF59" s="8"/>
      <c r="BG59" s="8"/>
      <c r="BH59" s="8"/>
      <c r="BI59" s="8"/>
      <c r="BJ59" s="8"/>
      <c r="BK59" s="36"/>
      <c r="BL59" s="8"/>
      <c r="BM59" s="8"/>
      <c r="BN59" s="8"/>
      <c r="BO59" s="8"/>
      <c r="BP59" s="8"/>
      <c r="BQ59" s="58"/>
      <c r="BR59" s="8"/>
      <c r="BS59" s="8"/>
      <c r="BT59" s="36"/>
      <c r="BU59" s="58"/>
      <c r="BV59" s="8"/>
      <c r="BW59" s="8"/>
      <c r="BX59" s="8"/>
      <c r="BY59" s="8"/>
      <c r="BZ59" s="36"/>
    </row>
    <row r="60" spans="1:78" s="16" customFormat="1">
      <c r="A60" s="8" t="s">
        <v>393</v>
      </c>
      <c r="B60" s="8"/>
      <c r="C60" s="16" t="s">
        <v>392</v>
      </c>
      <c r="E60" s="58"/>
      <c r="F60" s="8"/>
      <c r="G60" s="8"/>
      <c r="H60" s="8"/>
      <c r="I60" s="58"/>
      <c r="J60" s="8"/>
      <c r="K60" s="8"/>
      <c r="L60" s="8"/>
      <c r="M60" s="36"/>
      <c r="N60" s="8"/>
      <c r="O60" s="8"/>
      <c r="P60" s="8"/>
      <c r="Q60" s="8"/>
      <c r="R60" s="8"/>
      <c r="S60" s="58"/>
      <c r="T60" s="8"/>
      <c r="U60" s="8"/>
      <c r="V60" s="36"/>
      <c r="W60" s="8"/>
      <c r="Y60" s="8"/>
      <c r="Z60" s="8"/>
      <c r="AA60" s="8"/>
      <c r="AB60" s="8"/>
      <c r="AC60" s="58"/>
      <c r="AD60" s="8">
        <v>182</v>
      </c>
      <c r="AE60" s="8"/>
      <c r="AF60" s="8"/>
      <c r="AG60" s="8"/>
      <c r="AH60" s="8"/>
      <c r="AI60" s="60"/>
      <c r="AJ60" s="61"/>
      <c r="AK60" s="8"/>
      <c r="AL60" s="8" t="s">
        <v>394</v>
      </c>
      <c r="AM60" s="72">
        <f>500*constants!C5</f>
        <v>15.015015015015017</v>
      </c>
      <c r="AN60" s="8"/>
      <c r="AO60" s="8"/>
      <c r="AP60" s="8"/>
      <c r="AQ60" s="58"/>
      <c r="AR60" s="8"/>
      <c r="AS60" s="8"/>
      <c r="AT60" s="8"/>
      <c r="AU60" s="8"/>
      <c r="AV60" s="8"/>
      <c r="AW60" s="8"/>
      <c r="AX60" s="8"/>
      <c r="AY60" s="58"/>
      <c r="BA60" s="8"/>
      <c r="BB60" s="8"/>
      <c r="BC60" s="8"/>
      <c r="BD60" s="8"/>
      <c r="BE60" s="8"/>
      <c r="BF60" s="8"/>
      <c r="BG60" s="8"/>
      <c r="BH60" s="8"/>
      <c r="BI60" s="8"/>
      <c r="BJ60" s="8"/>
      <c r="BK60" s="36"/>
      <c r="BL60" s="8"/>
      <c r="BM60" s="8"/>
      <c r="BN60" s="8"/>
      <c r="BO60" s="8"/>
      <c r="BP60" s="8"/>
      <c r="BQ60" s="58"/>
      <c r="BR60" s="8"/>
      <c r="BS60" s="8"/>
      <c r="BT60" s="36"/>
      <c r="BU60" s="58"/>
      <c r="BV60" s="8"/>
      <c r="BW60" s="8"/>
      <c r="BX60" s="8"/>
      <c r="BY60" s="8"/>
      <c r="BZ60" s="36"/>
    </row>
    <row r="61" spans="1:78" s="16" customFormat="1">
      <c r="A61" s="8" t="s">
        <v>395</v>
      </c>
      <c r="B61" s="8"/>
      <c r="E61" s="58"/>
      <c r="F61" s="8"/>
      <c r="G61" s="8"/>
      <c r="H61" s="8"/>
      <c r="I61" s="58"/>
      <c r="J61" s="8"/>
      <c r="K61" s="8"/>
      <c r="L61" s="8"/>
      <c r="M61" s="36"/>
      <c r="N61" s="8"/>
      <c r="O61" s="8"/>
      <c r="P61" s="8"/>
      <c r="Q61" s="8"/>
      <c r="R61" s="8"/>
      <c r="S61" s="58"/>
      <c r="T61" s="8"/>
      <c r="U61" s="8"/>
      <c r="V61" s="36"/>
      <c r="W61" s="8"/>
      <c r="Y61" s="8"/>
      <c r="Z61" s="8"/>
      <c r="AA61" s="8"/>
      <c r="AB61" s="8"/>
      <c r="AC61" s="58"/>
      <c r="AD61" s="8"/>
      <c r="AE61" s="8"/>
      <c r="AF61" s="8"/>
      <c r="AG61" s="8"/>
      <c r="AH61" s="8"/>
      <c r="AI61" s="60"/>
      <c r="AJ61" s="61"/>
      <c r="AK61" s="8"/>
      <c r="AL61" s="8"/>
      <c r="AM61" s="72"/>
      <c r="AN61" s="8"/>
      <c r="AO61" s="8"/>
      <c r="AP61" s="8"/>
      <c r="AQ61" s="58"/>
      <c r="AR61" s="72">
        <f>450000/257</f>
        <v>1750.9727626459144</v>
      </c>
      <c r="AU61" s="8">
        <v>0.01</v>
      </c>
      <c r="AV61" s="60">
        <v>0.9</v>
      </c>
      <c r="AW61" s="8"/>
      <c r="AX61" s="8">
        <v>15</v>
      </c>
      <c r="AY61" s="58"/>
      <c r="BA61" s="8"/>
      <c r="BB61" s="8"/>
      <c r="BC61" s="8"/>
      <c r="BD61" s="8"/>
      <c r="BE61" s="8"/>
      <c r="BF61" s="8"/>
      <c r="BG61" s="8"/>
      <c r="BH61" s="8"/>
      <c r="BI61" s="8"/>
      <c r="BJ61" s="8"/>
      <c r="BK61" s="36"/>
      <c r="BL61" s="8"/>
      <c r="BM61" s="8"/>
      <c r="BN61" s="8"/>
      <c r="BO61" s="8"/>
      <c r="BP61" s="8"/>
      <c r="BQ61" s="58"/>
      <c r="BR61" s="8"/>
      <c r="BS61" s="8"/>
      <c r="BT61" s="36"/>
      <c r="BU61" s="58"/>
      <c r="BV61" s="8"/>
      <c r="BW61" s="8"/>
      <c r="BX61" s="8"/>
      <c r="BY61" s="8"/>
      <c r="BZ61" s="36"/>
    </row>
    <row r="62" spans="1:78" s="16" customFormat="1">
      <c r="A62" s="8" t="s">
        <v>396</v>
      </c>
      <c r="B62" s="8">
        <v>2025</v>
      </c>
      <c r="E62" s="58"/>
      <c r="F62" s="8"/>
      <c r="G62" s="8"/>
      <c r="H62" s="8"/>
      <c r="I62" s="58"/>
      <c r="J62" s="8"/>
      <c r="K62" s="8"/>
      <c r="L62" s="8"/>
      <c r="M62" s="36"/>
      <c r="N62" s="8"/>
      <c r="O62" s="8"/>
      <c r="P62" s="8"/>
      <c r="Q62" s="8"/>
      <c r="R62" s="8"/>
      <c r="S62" s="58"/>
      <c r="T62" s="8"/>
      <c r="U62" s="8"/>
      <c r="V62" s="36"/>
      <c r="W62" s="8"/>
      <c r="Y62" s="8"/>
      <c r="Z62" s="8"/>
      <c r="AA62" s="8"/>
      <c r="AB62" s="8"/>
      <c r="AC62" s="58"/>
      <c r="AD62" s="8">
        <v>932</v>
      </c>
      <c r="AE62" s="8">
        <v>7.0000000000000007E-2</v>
      </c>
      <c r="AF62" s="8"/>
      <c r="AG62" s="8">
        <v>30</v>
      </c>
      <c r="AH62" s="8"/>
      <c r="AI62" s="60"/>
      <c r="AJ62" s="61">
        <v>0.57999999999999996</v>
      </c>
      <c r="AK62" s="8"/>
      <c r="AL62" s="8"/>
      <c r="AM62" s="72"/>
      <c r="AN62" s="8"/>
      <c r="AO62" s="8"/>
      <c r="AP62" s="8"/>
      <c r="AQ62" s="58"/>
      <c r="AR62" s="8"/>
      <c r="AS62" s="8"/>
      <c r="AT62" s="8">
        <v>300</v>
      </c>
      <c r="AU62" s="8">
        <v>0.04</v>
      </c>
      <c r="AV62" s="8"/>
      <c r="AW62" s="8">
        <v>1</v>
      </c>
      <c r="AX62" s="8">
        <v>15</v>
      </c>
      <c r="AY62" s="58"/>
      <c r="BA62" s="8"/>
      <c r="BB62" s="8"/>
      <c r="BC62" s="8"/>
      <c r="BD62" s="8"/>
      <c r="BE62" s="8"/>
      <c r="BF62" s="8"/>
      <c r="BG62" s="8"/>
      <c r="BH62" s="8"/>
      <c r="BI62" s="8"/>
      <c r="BJ62" s="8"/>
      <c r="BK62" s="36"/>
      <c r="BL62" s="8"/>
      <c r="BM62" s="8"/>
      <c r="BN62" s="8"/>
      <c r="BO62" s="8"/>
      <c r="BP62" s="8"/>
      <c r="BQ62" s="58"/>
      <c r="BR62" s="8"/>
      <c r="BS62" s="8"/>
      <c r="BT62" s="36"/>
      <c r="BU62" s="58"/>
      <c r="BV62" s="8"/>
      <c r="BW62" s="8"/>
      <c r="BX62" s="8"/>
      <c r="BY62" s="8"/>
      <c r="BZ62" s="36"/>
    </row>
    <row r="63" spans="1:78" s="16" customFormat="1">
      <c r="A63" s="8" t="s">
        <v>396</v>
      </c>
      <c r="B63" s="8">
        <v>2050</v>
      </c>
      <c r="E63" s="58"/>
      <c r="F63" s="8"/>
      <c r="G63" s="8"/>
      <c r="H63" s="8"/>
      <c r="I63" s="58"/>
      <c r="J63" s="8"/>
      <c r="K63" s="8"/>
      <c r="L63" s="8"/>
      <c r="M63" s="36"/>
      <c r="N63" s="8"/>
      <c r="O63" s="8"/>
      <c r="P63" s="8"/>
      <c r="Q63" s="8"/>
      <c r="R63" s="8"/>
      <c r="S63" s="58"/>
      <c r="T63" s="8"/>
      <c r="U63" s="8"/>
      <c r="V63" s="36"/>
      <c r="W63" s="8"/>
      <c r="Y63" s="8"/>
      <c r="Z63" s="8"/>
      <c r="AA63" s="8"/>
      <c r="AB63" s="8"/>
      <c r="AC63" s="58"/>
      <c r="AD63" s="8">
        <v>334</v>
      </c>
      <c r="AE63" s="8">
        <v>0.02</v>
      </c>
      <c r="AF63" s="8"/>
      <c r="AG63" s="8">
        <v>30</v>
      </c>
      <c r="AH63" s="8"/>
      <c r="AI63" s="60"/>
      <c r="AJ63" s="61">
        <v>0.7</v>
      </c>
      <c r="AK63" s="8"/>
      <c r="AL63" s="8"/>
      <c r="AM63" s="8"/>
      <c r="AN63" s="8"/>
      <c r="AO63" s="8"/>
      <c r="AP63" s="8"/>
      <c r="AQ63" s="58"/>
      <c r="AR63" s="8"/>
      <c r="AS63" s="8"/>
      <c r="AT63" s="8"/>
      <c r="AU63" s="8"/>
      <c r="AV63" s="8"/>
      <c r="AW63" s="8"/>
      <c r="AX63" s="8"/>
      <c r="AY63" s="58"/>
      <c r="BA63" s="8"/>
      <c r="BB63" s="8"/>
      <c r="BC63" s="8"/>
      <c r="BD63" s="8"/>
      <c r="BE63" s="8"/>
      <c r="BF63" s="8"/>
      <c r="BG63" s="8"/>
      <c r="BH63" s="8"/>
      <c r="BI63" s="8"/>
      <c r="BJ63" s="8"/>
      <c r="BK63" s="36"/>
      <c r="BL63" s="8"/>
      <c r="BM63" s="8"/>
      <c r="BN63" s="8"/>
      <c r="BO63" s="8"/>
      <c r="BP63" s="8"/>
      <c r="BQ63" s="58"/>
      <c r="BR63" s="8"/>
      <c r="BS63" s="8"/>
      <c r="BT63" s="36"/>
      <c r="BU63" s="58"/>
      <c r="BV63" s="8"/>
      <c r="BW63" s="8"/>
      <c r="BX63" s="8"/>
      <c r="BY63" s="8"/>
      <c r="BZ63" s="36"/>
    </row>
    <row r="64" spans="1:78" s="16" customFormat="1">
      <c r="A64" s="8" t="s">
        <v>397</v>
      </c>
      <c r="B64" s="8"/>
      <c r="C64" s="16" t="s">
        <v>398</v>
      </c>
      <c r="E64" s="58"/>
      <c r="F64" s="8"/>
      <c r="G64" s="8"/>
      <c r="H64" s="8"/>
      <c r="I64" s="58"/>
      <c r="J64" s="8"/>
      <c r="K64" s="8"/>
      <c r="L64" s="8"/>
      <c r="M64" s="36"/>
      <c r="N64" s="8"/>
      <c r="O64" s="8"/>
      <c r="P64" s="8"/>
      <c r="Q64" s="8"/>
      <c r="R64" s="8"/>
      <c r="S64" s="58"/>
      <c r="T64" s="8"/>
      <c r="U64" s="8"/>
      <c r="V64" s="36"/>
      <c r="W64" s="8"/>
      <c r="Y64" s="8"/>
      <c r="Z64" s="8"/>
      <c r="AA64" s="8"/>
      <c r="AB64" s="8"/>
      <c r="AC64" s="58"/>
      <c r="AD64" s="8"/>
      <c r="AE64" s="8"/>
      <c r="AF64" s="8"/>
      <c r="AG64" s="8"/>
      <c r="AH64" s="8"/>
      <c r="AI64" s="60"/>
      <c r="AJ64" s="61"/>
      <c r="AK64" s="8"/>
      <c r="AL64" s="222" t="s">
        <v>399</v>
      </c>
      <c r="AM64" s="222"/>
      <c r="AN64" s="222"/>
      <c r="AO64" s="222"/>
      <c r="AP64" s="8"/>
      <c r="AQ64" s="58"/>
      <c r="AR64" s="8"/>
      <c r="AS64" s="8"/>
      <c r="AT64" s="8"/>
      <c r="AU64" s="8"/>
      <c r="AV64" s="8"/>
      <c r="AW64" s="8"/>
      <c r="AX64" s="8"/>
      <c r="AY64" s="58"/>
      <c r="BA64" s="8"/>
      <c r="BB64" s="8"/>
      <c r="BC64" s="8"/>
      <c r="BD64" s="8"/>
      <c r="BE64" s="8"/>
      <c r="BF64" s="8"/>
      <c r="BG64" s="8"/>
      <c r="BH64" s="8"/>
      <c r="BI64" s="8"/>
      <c r="BJ64" s="8"/>
      <c r="BK64" s="36"/>
      <c r="BL64" s="8"/>
      <c r="BM64" s="8"/>
      <c r="BN64" s="8"/>
      <c r="BO64" s="8"/>
      <c r="BP64" s="8"/>
      <c r="BQ64" s="58"/>
      <c r="BR64" s="8"/>
      <c r="BS64" s="8"/>
      <c r="BT64" s="36"/>
      <c r="BU64" s="58"/>
      <c r="BV64" s="8"/>
      <c r="BW64" s="8"/>
      <c r="BX64" s="8"/>
      <c r="BY64" s="8"/>
      <c r="BZ64" s="36"/>
    </row>
    <row r="65" spans="1:78" s="16" customFormat="1">
      <c r="A65" s="8" t="s">
        <v>400</v>
      </c>
      <c r="B65" s="8" t="s">
        <v>401</v>
      </c>
      <c r="C65" s="16" t="s">
        <v>402</v>
      </c>
      <c r="E65" s="58"/>
      <c r="F65" s="8"/>
      <c r="G65" s="8"/>
      <c r="H65" s="8"/>
      <c r="I65" s="58"/>
      <c r="J65" s="8"/>
      <c r="K65" s="8"/>
      <c r="L65" s="8"/>
      <c r="M65" s="36"/>
      <c r="N65" s="8"/>
      <c r="O65" s="8"/>
      <c r="P65" s="8"/>
      <c r="Q65" s="8"/>
      <c r="R65" s="8"/>
      <c r="S65" s="58"/>
      <c r="T65" s="8"/>
      <c r="U65" s="8"/>
      <c r="V65" s="36"/>
      <c r="W65" s="8"/>
      <c r="Y65" s="8"/>
      <c r="Z65" s="8"/>
      <c r="AA65" s="8"/>
      <c r="AB65" s="8"/>
      <c r="AC65" s="58"/>
      <c r="AD65" s="8"/>
      <c r="AE65" s="8"/>
      <c r="AF65" s="8"/>
      <c r="AG65" s="8"/>
      <c r="AH65" s="8"/>
      <c r="AI65" s="60"/>
      <c r="AJ65" s="61"/>
      <c r="AK65" s="8"/>
      <c r="AL65" s="8"/>
      <c r="AM65" s="83">
        <f>11.45*constants!C7</f>
        <v>13.167499999999999</v>
      </c>
      <c r="AN65" s="84">
        <f>0.34/11.45</f>
        <v>2.9694323144104806E-2</v>
      </c>
      <c r="AO65" s="8"/>
      <c r="AP65" s="8"/>
      <c r="AQ65" s="58"/>
      <c r="AR65" s="8"/>
      <c r="AS65" s="8"/>
      <c r="AT65" s="8"/>
      <c r="AU65" s="8"/>
      <c r="AV65" s="8"/>
      <c r="AW65" s="8"/>
      <c r="AX65" s="8"/>
      <c r="AY65" s="58"/>
      <c r="BA65" s="8"/>
      <c r="BB65" s="8"/>
      <c r="BC65" s="8"/>
      <c r="BD65" s="8"/>
      <c r="BE65" s="8"/>
      <c r="BF65" s="8"/>
      <c r="BG65" s="8"/>
      <c r="BH65" s="8"/>
      <c r="BI65" s="8"/>
      <c r="BJ65" s="8"/>
      <c r="BK65" s="36"/>
      <c r="BL65" s="8"/>
      <c r="BM65" s="8"/>
      <c r="BN65" s="8"/>
      <c r="BO65" s="8"/>
      <c r="BP65" s="8"/>
      <c r="BQ65" s="58"/>
      <c r="BR65" s="8"/>
      <c r="BS65" s="8"/>
      <c r="BT65" s="36"/>
      <c r="BU65" s="58"/>
      <c r="BV65" s="8"/>
      <c r="BW65" s="8"/>
      <c r="BX65" s="8"/>
      <c r="BY65" s="8"/>
      <c r="BZ65" s="36"/>
    </row>
    <row r="66" spans="1:78" s="16" customFormat="1">
      <c r="A66" s="8" t="s">
        <v>400</v>
      </c>
      <c r="B66" s="8" t="s">
        <v>401</v>
      </c>
      <c r="C66" s="16" t="s">
        <v>403</v>
      </c>
      <c r="E66" s="58"/>
      <c r="F66" s="8"/>
      <c r="G66" s="8"/>
      <c r="H66" s="8"/>
      <c r="I66" s="58"/>
      <c r="J66" s="8"/>
      <c r="K66" s="8"/>
      <c r="L66" s="8"/>
      <c r="M66" s="36"/>
      <c r="N66" s="8"/>
      <c r="O66" s="8"/>
      <c r="P66" s="8"/>
      <c r="Q66" s="8"/>
      <c r="R66" s="8"/>
      <c r="S66" s="58"/>
      <c r="T66" s="8"/>
      <c r="U66" s="8"/>
      <c r="V66" s="36"/>
      <c r="W66" s="8"/>
      <c r="Y66" s="8"/>
      <c r="Z66" s="8"/>
      <c r="AA66" s="8"/>
      <c r="AB66" s="8"/>
      <c r="AC66" s="58"/>
      <c r="AD66" s="8"/>
      <c r="AE66" s="8"/>
      <c r="AF66" s="8"/>
      <c r="AG66" s="8"/>
      <c r="AH66" s="8"/>
      <c r="AI66" s="60"/>
      <c r="AJ66" s="61"/>
      <c r="AK66" s="8"/>
      <c r="AL66" s="8"/>
      <c r="AM66" s="83">
        <f>55*constants!C7</f>
        <v>63.249999999999993</v>
      </c>
      <c r="AN66" s="84">
        <f>1.06/55</f>
        <v>1.9272727272727275E-2</v>
      </c>
      <c r="AO66" s="8"/>
      <c r="AP66" s="8"/>
      <c r="AQ66" s="58"/>
      <c r="AR66" s="8"/>
      <c r="AS66" s="8"/>
      <c r="AT66" s="8"/>
      <c r="AU66" s="8"/>
      <c r="AV66" s="8"/>
      <c r="AW66" s="8"/>
      <c r="AX66" s="8"/>
      <c r="AY66" s="58"/>
      <c r="BA66" s="8"/>
      <c r="BB66" s="8"/>
      <c r="BC66" s="8"/>
      <c r="BD66" s="8"/>
      <c r="BE66" s="8"/>
      <c r="BF66" s="8"/>
      <c r="BG66" s="8"/>
      <c r="BH66" s="8"/>
      <c r="BI66" s="8"/>
      <c r="BJ66" s="8"/>
      <c r="BK66" s="36"/>
      <c r="BL66" s="8"/>
      <c r="BM66" s="8"/>
      <c r="BN66" s="8"/>
      <c r="BO66" s="8"/>
      <c r="BP66" s="8"/>
      <c r="BQ66" s="58"/>
      <c r="BR66" s="8"/>
      <c r="BS66" s="8"/>
      <c r="BT66" s="36"/>
      <c r="BU66" s="58"/>
      <c r="BV66" s="8"/>
      <c r="BW66" s="8"/>
      <c r="BX66" s="8"/>
      <c r="BY66" s="8"/>
      <c r="BZ66" s="36"/>
    </row>
    <row r="67" spans="1:78" s="16" customFormat="1">
      <c r="A67" s="8" t="s">
        <v>400</v>
      </c>
      <c r="B67" s="8" t="s">
        <v>404</v>
      </c>
      <c r="C67" s="16" t="s">
        <v>403</v>
      </c>
      <c r="E67" s="58"/>
      <c r="F67" s="8"/>
      <c r="G67" s="8"/>
      <c r="H67" s="8"/>
      <c r="I67" s="58"/>
      <c r="J67" s="8"/>
      <c r="K67" s="8"/>
      <c r="L67" s="8"/>
      <c r="M67" s="36"/>
      <c r="N67" s="8"/>
      <c r="O67" s="8"/>
      <c r="P67" s="8"/>
      <c r="Q67" s="8"/>
      <c r="R67" s="8"/>
      <c r="S67" s="58"/>
      <c r="T67" s="8"/>
      <c r="U67" s="8"/>
      <c r="V67" s="36"/>
      <c r="W67" s="8"/>
      <c r="Y67" s="8"/>
      <c r="Z67" s="8"/>
      <c r="AA67" s="8"/>
      <c r="AB67" s="8"/>
      <c r="AC67" s="58"/>
      <c r="AD67" s="8"/>
      <c r="AE67" s="8"/>
      <c r="AF67" s="8"/>
      <c r="AG67" s="8"/>
      <c r="AH67" s="8"/>
      <c r="AI67" s="60"/>
      <c r="AJ67" s="61"/>
      <c r="AK67" s="8"/>
      <c r="AL67" s="8"/>
      <c r="AM67" s="83">
        <f>35*constants!C7</f>
        <v>40.25</v>
      </c>
      <c r="AN67" s="84">
        <f>0.82/35</f>
        <v>2.3428571428571427E-2</v>
      </c>
      <c r="AO67" s="8"/>
      <c r="AP67" s="8"/>
      <c r="AQ67" s="58"/>
      <c r="AR67" s="8"/>
      <c r="AS67" s="8"/>
      <c r="AT67" s="8"/>
      <c r="AU67" s="8"/>
      <c r="AV67" s="8"/>
      <c r="AW67" s="8"/>
      <c r="AX67" s="8"/>
      <c r="AY67" s="58"/>
      <c r="BA67" s="8"/>
      <c r="BB67" s="8"/>
      <c r="BC67" s="8"/>
      <c r="BD67" s="8"/>
      <c r="BE67" s="8"/>
      <c r="BF67" s="8"/>
      <c r="BG67" s="8"/>
      <c r="BH67" s="8"/>
      <c r="BI67" s="8"/>
      <c r="BJ67" s="8"/>
      <c r="BK67" s="36"/>
      <c r="BL67" s="8"/>
      <c r="BM67" s="8"/>
      <c r="BN67" s="8"/>
      <c r="BO67" s="8"/>
      <c r="BP67" s="8"/>
      <c r="BQ67" s="58"/>
      <c r="BR67" s="8"/>
      <c r="BS67" s="8"/>
      <c r="BT67" s="36"/>
      <c r="BU67" s="58"/>
      <c r="BV67" s="8"/>
      <c r="BW67" s="8"/>
      <c r="BX67" s="8"/>
      <c r="BY67" s="8"/>
      <c r="BZ67" s="36"/>
    </row>
    <row r="68" spans="1:78" s="16" customFormat="1">
      <c r="A68" s="8" t="s">
        <v>405</v>
      </c>
      <c r="B68" s="8">
        <v>2018</v>
      </c>
      <c r="C68" s="16" t="s">
        <v>406</v>
      </c>
      <c r="E68" s="58"/>
      <c r="F68" s="8"/>
      <c r="G68" s="8"/>
      <c r="H68" s="8"/>
      <c r="I68" s="58"/>
      <c r="J68" s="8"/>
      <c r="K68" s="8"/>
      <c r="L68" s="8"/>
      <c r="M68" s="36"/>
      <c r="N68" s="8"/>
      <c r="O68" s="8"/>
      <c r="P68" s="8"/>
      <c r="Q68" s="8"/>
      <c r="R68" s="8"/>
      <c r="S68" s="58"/>
      <c r="T68" s="8"/>
      <c r="U68" s="8"/>
      <c r="V68" s="36"/>
      <c r="W68" s="8"/>
      <c r="Y68" s="8"/>
      <c r="Z68" s="8"/>
      <c r="AA68" s="8"/>
      <c r="AB68" s="8"/>
      <c r="AC68" s="58"/>
      <c r="AD68" s="8">
        <v>1900</v>
      </c>
      <c r="AE68" s="8">
        <v>0.02</v>
      </c>
      <c r="AF68" s="8"/>
      <c r="AG68" s="8"/>
      <c r="AH68" s="8"/>
      <c r="AI68" s="60"/>
      <c r="AJ68" s="61">
        <v>0.62</v>
      </c>
      <c r="AK68" s="8"/>
      <c r="AL68" s="8"/>
      <c r="AM68" s="83"/>
      <c r="AN68" s="8"/>
      <c r="AO68" s="8"/>
      <c r="AP68" s="8"/>
      <c r="AQ68" s="58"/>
      <c r="AR68" s="8"/>
      <c r="AS68" s="8"/>
      <c r="AT68" s="8"/>
      <c r="AU68" s="8"/>
      <c r="AV68" s="8"/>
      <c r="AW68" s="8"/>
      <c r="AX68" s="8"/>
      <c r="AY68" s="58"/>
      <c r="BA68" s="8">
        <v>800</v>
      </c>
      <c r="BB68" s="8">
        <v>0.83</v>
      </c>
      <c r="BC68" s="8"/>
      <c r="BD68" s="8"/>
      <c r="BE68" s="8"/>
      <c r="BF68" s="8"/>
      <c r="BG68" s="8"/>
      <c r="BH68" s="8"/>
      <c r="BI68" s="8"/>
      <c r="BJ68" s="8"/>
      <c r="BK68" s="36"/>
      <c r="BL68" s="8"/>
      <c r="BM68" s="8"/>
      <c r="BN68" s="8"/>
      <c r="BO68" s="8"/>
      <c r="BP68" s="8"/>
      <c r="BQ68" s="58"/>
      <c r="BR68" s="8"/>
      <c r="BS68" s="8"/>
      <c r="BT68" s="36"/>
      <c r="BU68" s="58"/>
      <c r="BV68" s="8"/>
      <c r="BW68" s="8"/>
      <c r="BX68" s="8"/>
      <c r="BY68" s="8"/>
      <c r="BZ68" s="36"/>
    </row>
    <row r="69" spans="1:78" s="16" customFormat="1">
      <c r="A69" s="8" t="s">
        <v>405</v>
      </c>
      <c r="B69" s="8">
        <v>2030</v>
      </c>
      <c r="E69" s="58"/>
      <c r="F69" s="8"/>
      <c r="G69" s="8"/>
      <c r="H69" s="8"/>
      <c r="I69" s="58"/>
      <c r="J69" s="8"/>
      <c r="K69" s="8"/>
      <c r="L69" s="8"/>
      <c r="M69" s="36"/>
      <c r="N69" s="8"/>
      <c r="O69" s="8"/>
      <c r="P69" s="8"/>
      <c r="Q69" s="8"/>
      <c r="R69" s="8"/>
      <c r="S69" s="58"/>
      <c r="T69" s="8"/>
      <c r="U69" s="8"/>
      <c r="V69" s="36"/>
      <c r="W69" s="8"/>
      <c r="Y69" s="8"/>
      <c r="Z69" s="8"/>
      <c r="AA69" s="8"/>
      <c r="AB69" s="8"/>
      <c r="AC69" s="58"/>
      <c r="AD69" s="8">
        <v>300</v>
      </c>
      <c r="AE69" s="8">
        <v>0.02</v>
      </c>
      <c r="AF69" s="8"/>
      <c r="AG69" s="8"/>
      <c r="AH69" s="8"/>
      <c r="AI69" s="60"/>
      <c r="AJ69" s="61">
        <v>0.69</v>
      </c>
      <c r="AK69" s="8"/>
      <c r="AL69" s="8"/>
      <c r="AM69" s="83"/>
      <c r="AN69" s="8"/>
      <c r="AO69" s="8"/>
      <c r="AP69" s="8"/>
      <c r="AQ69" s="58"/>
      <c r="AR69" s="8"/>
      <c r="AS69" s="8"/>
      <c r="AT69" s="8"/>
      <c r="AU69" s="8"/>
      <c r="AV69" s="8"/>
      <c r="AW69" s="8"/>
      <c r="AX69" s="8"/>
      <c r="AY69" s="58"/>
      <c r="BA69" s="8"/>
      <c r="BB69" s="8"/>
      <c r="BC69" s="8"/>
      <c r="BD69" s="8"/>
      <c r="BE69" s="8"/>
      <c r="BF69" s="8"/>
      <c r="BG69" s="8"/>
      <c r="BH69" s="8"/>
      <c r="BI69" s="8"/>
      <c r="BJ69" s="8"/>
      <c r="BK69" s="36"/>
      <c r="BL69" s="8"/>
      <c r="BM69" s="8"/>
      <c r="BN69" s="8"/>
      <c r="BO69" s="8"/>
      <c r="BP69" s="8"/>
      <c r="BQ69" s="58"/>
      <c r="BR69" s="8"/>
      <c r="BS69" s="8"/>
      <c r="BT69" s="36"/>
      <c r="BU69" s="58"/>
      <c r="BV69" s="8"/>
      <c r="BW69" s="8"/>
      <c r="BX69" s="8"/>
      <c r="BY69" s="8"/>
      <c r="BZ69" s="36"/>
    </row>
    <row r="70" spans="1:78" s="16" customFormat="1">
      <c r="A70" s="8"/>
      <c r="B70" s="8"/>
      <c r="E70" s="58"/>
      <c r="F70" s="8"/>
      <c r="G70" s="8"/>
      <c r="H70" s="8"/>
      <c r="I70" s="58"/>
      <c r="J70" s="8"/>
      <c r="K70" s="8"/>
      <c r="L70" s="8"/>
      <c r="M70" s="36"/>
      <c r="N70" s="8"/>
      <c r="O70" s="8"/>
      <c r="P70" s="8"/>
      <c r="Q70" s="8"/>
      <c r="R70" s="8"/>
      <c r="S70" s="58"/>
      <c r="T70" s="8"/>
      <c r="U70" s="8"/>
      <c r="V70" s="36"/>
      <c r="W70" s="8"/>
      <c r="Y70" s="8"/>
      <c r="Z70" s="8"/>
      <c r="AA70" s="8"/>
      <c r="AB70" s="8"/>
      <c r="AC70" s="58"/>
      <c r="AD70" s="8"/>
      <c r="AE70" s="8"/>
      <c r="AF70" s="8"/>
      <c r="AG70" s="8"/>
      <c r="AH70" s="8"/>
      <c r="AI70" s="60"/>
      <c r="AJ70" s="61"/>
      <c r="AK70" s="8"/>
      <c r="AL70" s="8"/>
      <c r="AM70" s="83"/>
      <c r="AN70" s="8"/>
      <c r="AO70" s="8"/>
      <c r="AP70" s="8"/>
      <c r="AQ70" s="58"/>
      <c r="AR70" s="8"/>
      <c r="AS70" s="8"/>
      <c r="AT70" s="8"/>
      <c r="AU70" s="8"/>
      <c r="AV70" s="8"/>
      <c r="AW70" s="8"/>
      <c r="AX70" s="8"/>
      <c r="AY70" s="58"/>
      <c r="BA70" s="8"/>
      <c r="BB70" s="8"/>
      <c r="BC70" s="8"/>
      <c r="BD70" s="8"/>
      <c r="BE70" s="8"/>
      <c r="BF70" s="8"/>
      <c r="BG70" s="8"/>
      <c r="BH70" s="8"/>
      <c r="BI70" s="8"/>
      <c r="BJ70" s="8"/>
      <c r="BK70" s="36"/>
      <c r="BL70" s="8"/>
      <c r="BM70" s="8"/>
      <c r="BN70" s="8"/>
      <c r="BO70" s="8"/>
      <c r="BP70" s="8"/>
      <c r="BQ70" s="58"/>
      <c r="BR70" s="8"/>
      <c r="BS70" s="8"/>
      <c r="BT70" s="36"/>
      <c r="BU70" s="58"/>
      <c r="BV70" s="8"/>
      <c r="BW70" s="8"/>
      <c r="BX70" s="8"/>
      <c r="BY70" s="8"/>
      <c r="BZ70" s="36"/>
    </row>
    <row r="71" spans="1:78" s="16" customFormat="1">
      <c r="A71" s="8"/>
      <c r="B71" s="8"/>
      <c r="E71" s="58"/>
      <c r="F71" s="8"/>
      <c r="G71" s="8"/>
      <c r="H71" s="8"/>
      <c r="I71" s="58"/>
      <c r="J71" s="8"/>
      <c r="K71" s="8"/>
      <c r="L71" s="8"/>
      <c r="M71" s="36"/>
      <c r="N71" s="8"/>
      <c r="O71" s="8"/>
      <c r="P71" s="8"/>
      <c r="Q71" s="8"/>
      <c r="R71" s="8"/>
      <c r="S71" s="58"/>
      <c r="T71" s="8"/>
      <c r="U71" s="8"/>
      <c r="V71" s="36"/>
      <c r="W71" s="8"/>
      <c r="Y71" s="8"/>
      <c r="Z71" s="8"/>
      <c r="AA71" s="8"/>
      <c r="AB71" s="8"/>
      <c r="AC71" s="58"/>
      <c r="AD71" s="8"/>
      <c r="AE71" s="8"/>
      <c r="AF71" s="8"/>
      <c r="AG71" s="8"/>
      <c r="AH71" s="8"/>
      <c r="AI71" s="60"/>
      <c r="AJ71" s="61"/>
      <c r="AK71" s="8"/>
      <c r="AL71" s="8"/>
      <c r="AM71" s="83"/>
      <c r="AN71" s="8"/>
      <c r="AO71" s="8"/>
      <c r="AP71" s="8"/>
      <c r="AQ71" s="58"/>
      <c r="AR71" s="8"/>
      <c r="AS71" s="8"/>
      <c r="AT71" s="8"/>
      <c r="AU71" s="8"/>
      <c r="AV71" s="8"/>
      <c r="AW71" s="8"/>
      <c r="AX71" s="8"/>
      <c r="AY71" s="58"/>
      <c r="BA71" s="8"/>
      <c r="BB71" s="8"/>
      <c r="BC71" s="8"/>
      <c r="BD71" s="8"/>
      <c r="BE71" s="8"/>
      <c r="BF71" s="8"/>
      <c r="BG71" s="8"/>
      <c r="BH71" s="8"/>
      <c r="BI71" s="8"/>
      <c r="BJ71" s="8"/>
      <c r="BK71" s="36"/>
      <c r="BL71" s="8"/>
      <c r="BM71" s="8"/>
      <c r="BN71" s="8"/>
      <c r="BO71" s="8"/>
      <c r="BP71" s="8"/>
      <c r="BQ71" s="58"/>
      <c r="BR71" s="8"/>
      <c r="BS71" s="8"/>
      <c r="BT71" s="36"/>
      <c r="BU71" s="58"/>
      <c r="BV71" s="8"/>
      <c r="BW71" s="8"/>
      <c r="BX71" s="8"/>
      <c r="BY71" s="8"/>
      <c r="BZ71" s="36"/>
    </row>
    <row r="72" spans="1:78" s="16" customFormat="1">
      <c r="A72" s="8"/>
      <c r="B72" s="8"/>
      <c r="E72" s="58"/>
      <c r="F72" s="8"/>
      <c r="G72" s="8"/>
      <c r="H72" s="8"/>
      <c r="I72" s="58"/>
      <c r="J72" s="8"/>
      <c r="K72" s="8"/>
      <c r="L72" s="8"/>
      <c r="M72" s="36"/>
      <c r="N72" s="8"/>
      <c r="O72" s="8"/>
      <c r="P72" s="8"/>
      <c r="Q72" s="8"/>
      <c r="R72" s="8"/>
      <c r="S72" s="58"/>
      <c r="T72" s="8"/>
      <c r="U72" s="8"/>
      <c r="V72" s="36"/>
      <c r="W72" s="8"/>
      <c r="Y72" s="8"/>
      <c r="Z72" s="8"/>
      <c r="AA72" s="8"/>
      <c r="AB72" s="8"/>
      <c r="AC72" s="58"/>
      <c r="AD72" s="8"/>
      <c r="AE72" s="8"/>
      <c r="AF72" s="8"/>
      <c r="AG72" s="8"/>
      <c r="AH72" s="8"/>
      <c r="AI72" s="60"/>
      <c r="AJ72" s="61"/>
      <c r="AK72" s="8"/>
      <c r="AL72" s="8"/>
      <c r="AM72" s="83"/>
      <c r="AN72" s="8"/>
      <c r="AO72" s="8"/>
      <c r="AP72" s="8"/>
      <c r="AQ72" s="58"/>
      <c r="AR72" s="8"/>
      <c r="AS72" s="8"/>
      <c r="AT72" s="8"/>
      <c r="AU72" s="8"/>
      <c r="AV72" s="8"/>
      <c r="AW72" s="8"/>
      <c r="AX72" s="8"/>
      <c r="AY72" s="58"/>
      <c r="BA72" s="8"/>
      <c r="BB72" s="8"/>
      <c r="BC72" s="8"/>
      <c r="BD72" s="8"/>
      <c r="BE72" s="8"/>
      <c r="BF72" s="8"/>
      <c r="BG72" s="8"/>
      <c r="BH72" s="8"/>
      <c r="BI72" s="8"/>
      <c r="BJ72" s="8"/>
      <c r="BK72" s="36"/>
      <c r="BL72" s="8"/>
      <c r="BM72" s="8"/>
      <c r="BN72" s="8"/>
      <c r="BO72" s="8"/>
      <c r="BP72" s="8"/>
      <c r="BQ72" s="58"/>
      <c r="BR72" s="8"/>
      <c r="BS72" s="8"/>
      <c r="BT72" s="36"/>
      <c r="BU72" s="58"/>
      <c r="BV72" s="8"/>
      <c r="BW72" s="8"/>
      <c r="BX72" s="8"/>
      <c r="BY72" s="8"/>
      <c r="BZ72" s="36"/>
    </row>
    <row r="73" spans="1:78" s="16" customFormat="1">
      <c r="A73" s="8"/>
      <c r="B73" s="8"/>
      <c r="E73" s="58"/>
      <c r="F73" s="8"/>
      <c r="G73" s="8"/>
      <c r="H73" s="8"/>
      <c r="I73" s="58"/>
      <c r="J73" s="8"/>
      <c r="K73" s="8"/>
      <c r="L73" s="8"/>
      <c r="M73" s="36"/>
      <c r="N73" s="8"/>
      <c r="O73" s="8"/>
      <c r="P73" s="8"/>
      <c r="Q73" s="8"/>
      <c r="R73" s="8"/>
      <c r="S73" s="58"/>
      <c r="T73" s="8"/>
      <c r="U73" s="8"/>
      <c r="V73" s="36"/>
      <c r="W73" s="8"/>
      <c r="Y73" s="8"/>
      <c r="Z73" s="8"/>
      <c r="AA73" s="8"/>
      <c r="AB73" s="8"/>
      <c r="AC73" s="58"/>
      <c r="AD73" s="8"/>
      <c r="AE73" s="8"/>
      <c r="AF73" s="8"/>
      <c r="AG73" s="8"/>
      <c r="AH73" s="8"/>
      <c r="AI73" s="60"/>
      <c r="AJ73" s="61"/>
      <c r="AK73" s="8"/>
      <c r="AL73" s="8"/>
      <c r="AM73" s="83"/>
      <c r="AN73" s="8"/>
      <c r="AO73" s="8"/>
      <c r="AP73" s="8"/>
      <c r="AQ73" s="58"/>
      <c r="AR73" s="8"/>
      <c r="AS73" s="8"/>
      <c r="AT73" s="8"/>
      <c r="AU73" s="8"/>
      <c r="AV73" s="8"/>
      <c r="AW73" s="8"/>
      <c r="AX73" s="8"/>
      <c r="AY73" s="58"/>
      <c r="BA73" s="8"/>
      <c r="BB73" s="8"/>
      <c r="BC73" s="8"/>
      <c r="BD73" s="8"/>
      <c r="BE73" s="8"/>
      <c r="BF73" s="8"/>
      <c r="BG73" s="8"/>
      <c r="BH73" s="8"/>
      <c r="BI73" s="8"/>
      <c r="BJ73" s="8"/>
      <c r="BK73" s="36"/>
      <c r="BL73" s="8"/>
      <c r="BM73" s="8"/>
      <c r="BN73" s="8"/>
      <c r="BO73" s="8"/>
      <c r="BP73" s="8"/>
      <c r="BQ73" s="58"/>
      <c r="BR73" s="8"/>
      <c r="BS73" s="8"/>
      <c r="BT73" s="36"/>
      <c r="BU73" s="58"/>
      <c r="BV73" s="8"/>
      <c r="BW73" s="8"/>
      <c r="BX73" s="8"/>
      <c r="BY73" s="8"/>
      <c r="BZ73" s="36"/>
    </row>
    <row r="74" spans="1:78" s="16" customFormat="1">
      <c r="A74" s="85" t="s">
        <v>407</v>
      </c>
      <c r="B74" s="8"/>
      <c r="E74" s="58"/>
      <c r="F74" s="8"/>
      <c r="G74" s="8"/>
      <c r="H74" s="8"/>
      <c r="I74" s="58"/>
      <c r="J74" s="8"/>
      <c r="K74" s="8"/>
      <c r="L74" s="8"/>
      <c r="M74" s="36"/>
      <c r="N74" s="8"/>
      <c r="O74" s="8"/>
      <c r="P74" s="8"/>
      <c r="Q74" s="8"/>
      <c r="R74" s="8"/>
      <c r="S74" s="58"/>
      <c r="T74" s="8"/>
      <c r="U74" s="8"/>
      <c r="V74" s="36"/>
      <c r="W74" s="8"/>
      <c r="Y74" s="8"/>
      <c r="Z74" s="8"/>
      <c r="AA74" s="8"/>
      <c r="AB74" s="8"/>
      <c r="AC74" s="58"/>
      <c r="AD74" s="8"/>
      <c r="AE74" s="8"/>
      <c r="AF74" s="8"/>
      <c r="AG74" s="8"/>
      <c r="AH74" s="8"/>
      <c r="AI74" s="60"/>
      <c r="AJ74" s="61"/>
      <c r="AK74" s="8"/>
      <c r="AL74" s="8"/>
      <c r="AM74" s="83"/>
      <c r="AN74" s="8"/>
      <c r="AO74" s="8"/>
      <c r="AP74" s="8"/>
      <c r="AQ74" s="58"/>
      <c r="AR74" s="8"/>
      <c r="AS74" s="8"/>
      <c r="AT74" s="8"/>
      <c r="AU74" s="8"/>
      <c r="AV74" s="8"/>
      <c r="AW74" s="8"/>
      <c r="AX74" s="8"/>
      <c r="AY74" s="58"/>
      <c r="BA74" s="8"/>
      <c r="BB74" s="8"/>
      <c r="BC74" s="8"/>
      <c r="BD74" s="8"/>
      <c r="BE74" s="8"/>
      <c r="BF74" s="8"/>
      <c r="BG74" s="8"/>
      <c r="BH74" s="8"/>
      <c r="BI74" s="8"/>
      <c r="BJ74" s="8"/>
      <c r="BK74" s="36"/>
      <c r="BL74" s="8"/>
      <c r="BM74" s="8"/>
      <c r="BN74" s="8"/>
      <c r="BO74" s="8"/>
      <c r="BP74" s="8"/>
      <c r="BQ74" s="58"/>
      <c r="BR74" s="8"/>
      <c r="BS74" s="8"/>
      <c r="BT74" s="36"/>
      <c r="BU74" s="58"/>
      <c r="BV74" s="8"/>
      <c r="BW74" s="8"/>
      <c r="BX74" s="8"/>
      <c r="BY74" s="8"/>
      <c r="BZ74" s="36"/>
    </row>
    <row r="75" spans="1:78" s="16" customFormat="1">
      <c r="A75" s="21" t="s">
        <v>408</v>
      </c>
      <c r="B75" s="29"/>
      <c r="C75" s="24"/>
      <c r="E75" s="58"/>
      <c r="F75" s="8"/>
      <c r="G75" s="8"/>
      <c r="H75" s="8"/>
      <c r="I75" s="58"/>
      <c r="J75" s="8"/>
      <c r="K75" s="8"/>
      <c r="L75" s="8"/>
      <c r="M75" s="36"/>
      <c r="N75" s="8"/>
      <c r="O75" s="8"/>
      <c r="P75" s="8"/>
      <c r="Q75" s="8"/>
      <c r="R75" s="8"/>
      <c r="S75" s="58"/>
      <c r="T75" s="8"/>
      <c r="U75" s="8"/>
      <c r="V75" s="36"/>
      <c r="W75" s="8"/>
      <c r="Y75" s="8"/>
      <c r="Z75" s="8"/>
      <c r="AA75" s="8"/>
      <c r="AB75" s="8"/>
      <c r="AC75" s="58"/>
      <c r="AD75" s="8"/>
      <c r="AE75" s="8"/>
      <c r="AF75" s="8"/>
      <c r="AG75" s="8"/>
      <c r="AH75" s="8"/>
      <c r="AI75" s="60"/>
      <c r="AJ75" s="61"/>
      <c r="AK75" s="8"/>
      <c r="AL75" s="8"/>
      <c r="AM75" s="83"/>
      <c r="AN75" s="8"/>
      <c r="AO75" s="8"/>
      <c r="AP75" s="8"/>
      <c r="AQ75" s="58"/>
      <c r="AR75" s="8"/>
      <c r="AS75" s="8"/>
      <c r="AT75" s="8"/>
      <c r="AU75" s="8"/>
      <c r="AV75" s="8"/>
      <c r="AW75" s="8"/>
      <c r="AX75" s="8"/>
      <c r="AY75" s="58"/>
      <c r="BA75" s="8"/>
      <c r="BB75" s="8"/>
      <c r="BC75" s="8"/>
      <c r="BD75" s="8"/>
      <c r="BE75" s="8"/>
      <c r="BF75" s="8"/>
      <c r="BG75" s="8"/>
      <c r="BH75" s="8"/>
      <c r="BI75" s="8"/>
      <c r="BJ75" s="8"/>
      <c r="BK75" s="36"/>
      <c r="BL75" s="8"/>
      <c r="BM75" s="8"/>
      <c r="BN75" s="8"/>
      <c r="BO75" s="8"/>
      <c r="BP75" s="8"/>
      <c r="BQ75" s="58"/>
      <c r="BR75" s="8"/>
      <c r="BS75" s="8"/>
      <c r="BT75" s="36"/>
      <c r="BU75" s="58"/>
      <c r="BV75" s="8"/>
      <c r="BW75" s="8"/>
      <c r="BX75" s="8"/>
      <c r="BY75" s="8"/>
      <c r="BZ75" s="36"/>
    </row>
    <row r="76" spans="1:78" s="16" customFormat="1">
      <c r="E76" s="86" t="s">
        <v>301</v>
      </c>
      <c r="F76" s="87"/>
      <c r="G76" s="87"/>
      <c r="H76" s="87"/>
      <c r="I76" s="86"/>
      <c r="J76" s="87"/>
      <c r="K76" s="87"/>
      <c r="L76" s="87"/>
      <c r="M76" s="88"/>
      <c r="N76" s="87"/>
      <c r="O76" s="87"/>
      <c r="P76" s="87"/>
      <c r="Q76" s="87"/>
      <c r="R76" s="87"/>
      <c r="S76" s="86"/>
      <c r="T76" s="87"/>
      <c r="U76" s="87"/>
      <c r="V76" s="88"/>
      <c r="W76" s="87"/>
      <c r="X76" s="87"/>
      <c r="Y76" s="87"/>
      <c r="Z76" s="87"/>
      <c r="AA76" s="87"/>
      <c r="AB76" s="87"/>
      <c r="AC76" s="86"/>
      <c r="AD76" s="87"/>
      <c r="AE76" s="87"/>
      <c r="AF76" s="87"/>
      <c r="AG76" s="87"/>
      <c r="AH76" s="87"/>
      <c r="AI76" s="89"/>
      <c r="AJ76" s="90"/>
      <c r="AK76" s="87"/>
      <c r="AL76" s="87"/>
      <c r="AM76" s="87"/>
      <c r="AN76" s="87"/>
      <c r="AO76" s="87"/>
      <c r="AP76" s="87"/>
      <c r="AQ76" s="86"/>
      <c r="AR76" s="87"/>
      <c r="AS76" s="87"/>
      <c r="AT76" s="87"/>
      <c r="AU76" s="87"/>
      <c r="AV76" s="87"/>
      <c r="AW76" s="87"/>
      <c r="AX76" s="87"/>
      <c r="AY76" s="86"/>
      <c r="AZ76" s="87"/>
      <c r="BA76" s="87"/>
      <c r="BB76" s="87"/>
      <c r="BC76" s="87"/>
      <c r="BD76" s="87"/>
      <c r="BE76" s="87"/>
      <c r="BF76" s="87"/>
      <c r="BG76" s="87"/>
      <c r="BH76" s="87"/>
      <c r="BI76" s="87"/>
      <c r="BJ76" s="87"/>
      <c r="BK76" s="88"/>
      <c r="BL76" s="87"/>
      <c r="BM76" s="87"/>
      <c r="BN76" s="87"/>
      <c r="BO76" s="87"/>
      <c r="BP76" s="87"/>
      <c r="BQ76" s="86"/>
      <c r="BR76" s="87"/>
      <c r="BS76" s="87"/>
      <c r="BT76" s="88"/>
      <c r="BU76" s="86"/>
      <c r="BV76" s="87"/>
      <c r="BW76" s="87"/>
      <c r="BX76" s="87"/>
      <c r="BY76" s="87"/>
      <c r="BZ76" s="88"/>
    </row>
    <row r="78" spans="1:78">
      <c r="A78" s="91" t="s">
        <v>409</v>
      </c>
      <c r="B78" s="92"/>
      <c r="C78" s="92"/>
    </row>
    <row r="79" spans="1:78">
      <c r="A79" s="92" t="s">
        <v>410</v>
      </c>
      <c r="B79" s="92"/>
      <c r="C79" s="92"/>
    </row>
    <row r="80" spans="1:78">
      <c r="A80" s="92" t="s">
        <v>411</v>
      </c>
      <c r="B80" s="92"/>
      <c r="C80" s="92"/>
    </row>
    <row r="82" spans="1:3">
      <c r="A82" s="91" t="s">
        <v>412</v>
      </c>
      <c r="B82" s="92"/>
      <c r="C82" s="92"/>
    </row>
    <row r="83" spans="1:3">
      <c r="A83" s="92" t="s">
        <v>413</v>
      </c>
      <c r="B83" s="92"/>
      <c r="C83" s="92"/>
    </row>
    <row r="84" spans="1:3">
      <c r="A84" s="92" t="s">
        <v>414</v>
      </c>
      <c r="B84" s="92"/>
      <c r="C84" s="92"/>
    </row>
    <row r="85" spans="1:3">
      <c r="A85" s="92" t="s">
        <v>415</v>
      </c>
      <c r="B85" s="92"/>
      <c r="C85" s="92"/>
    </row>
    <row r="86" spans="1:3">
      <c r="A86" s="92" t="s">
        <v>416</v>
      </c>
      <c r="B86" s="92"/>
      <c r="C86" s="92"/>
    </row>
    <row r="87" spans="1:3">
      <c r="A87" s="92" t="s">
        <v>417</v>
      </c>
      <c r="B87" s="92"/>
      <c r="C87" s="92"/>
    </row>
    <row r="89" spans="1:3">
      <c r="A89" s="91" t="s">
        <v>418</v>
      </c>
      <c r="B89" s="92"/>
      <c r="C89" s="92"/>
    </row>
    <row r="90" spans="1:3">
      <c r="A90" s="92" t="s">
        <v>419</v>
      </c>
      <c r="B90" s="92"/>
      <c r="C90" s="92"/>
    </row>
    <row r="91" spans="1:3">
      <c r="A91" s="92" t="s">
        <v>420</v>
      </c>
      <c r="B91" s="92"/>
      <c r="C91" s="92"/>
    </row>
    <row r="92" spans="1:3">
      <c r="A92" s="92" t="s">
        <v>421</v>
      </c>
      <c r="B92" s="92"/>
      <c r="C92" s="92"/>
    </row>
  </sheetData>
  <mergeCells count="13">
    <mergeCell ref="BQ1:BT1"/>
    <mergeCell ref="BU1:BZ1"/>
    <mergeCell ref="AL64:AO64"/>
    <mergeCell ref="AC1:AJ1"/>
    <mergeCell ref="AK1:AP1"/>
    <mergeCell ref="AQ1:AX1"/>
    <mergeCell ref="AY1:BK1"/>
    <mergeCell ref="BL1:BP1"/>
    <mergeCell ref="E1:H1"/>
    <mergeCell ref="I1:M1"/>
    <mergeCell ref="N1:R1"/>
    <mergeCell ref="S1:V1"/>
    <mergeCell ref="W1:AB1"/>
  </mergeCells>
  <hyperlinks>
    <hyperlink ref="A11" r:id="rId1" xr:uid="{00000000-0004-0000-0100-000000000000}"/>
  </hyperlinks>
  <pageMargins left="0.7" right="0.7" top="0.78749999999999998" bottom="0.78749999999999998" header="0.51180555555555496" footer="0.51180555555555496"/>
  <pageSetup paperSize="9" firstPageNumber="0" orientation="portrait" horizontalDpi="300" verticalDpi="30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ED7D31"/>
  </sheetPr>
  <dimension ref="A1:F11"/>
  <sheetViews>
    <sheetView zoomScaleNormal="100" workbookViewId="0">
      <selection activeCell="C2" sqref="C2:C3"/>
    </sheetView>
  </sheetViews>
  <sheetFormatPr baseColWidth="10" defaultColWidth="9" defaultRowHeight="16"/>
  <cols>
    <col min="1" max="1" width="39.5" customWidth="1"/>
    <col min="2" max="2" width="14" customWidth="1"/>
    <col min="3" max="6" width="5.1640625" customWidth="1"/>
    <col min="7" max="1025" width="10.6640625" customWidth="1"/>
  </cols>
  <sheetData>
    <row r="1" spans="1:6">
      <c r="A1" s="1" t="s">
        <v>422</v>
      </c>
      <c r="B1" s="1"/>
      <c r="C1" s="1">
        <v>2020</v>
      </c>
      <c r="D1" s="1">
        <v>2030</v>
      </c>
      <c r="E1" s="1">
        <v>2040</v>
      </c>
      <c r="F1" s="1">
        <v>2050</v>
      </c>
    </row>
    <row r="2" spans="1:6">
      <c r="A2" t="s">
        <v>58</v>
      </c>
      <c r="B2" t="s">
        <v>423</v>
      </c>
      <c r="C2">
        <v>730</v>
      </c>
      <c r="D2">
        <v>338</v>
      </c>
      <c r="E2">
        <v>237</v>
      </c>
      <c r="F2">
        <v>199</v>
      </c>
    </row>
    <row r="3" spans="1:6">
      <c r="A3" t="s">
        <v>60</v>
      </c>
      <c r="B3" t="s">
        <v>424</v>
      </c>
      <c r="C3">
        <v>0.04</v>
      </c>
      <c r="D3">
        <v>0.04</v>
      </c>
      <c r="E3">
        <v>0.04</v>
      </c>
      <c r="F3">
        <v>0.04</v>
      </c>
    </row>
    <row r="4" spans="1:6">
      <c r="A4" t="s">
        <v>112</v>
      </c>
      <c r="B4" t="s">
        <v>45</v>
      </c>
      <c r="C4">
        <v>20</v>
      </c>
      <c r="D4">
        <v>25</v>
      </c>
      <c r="E4">
        <v>30</v>
      </c>
      <c r="F4">
        <v>30</v>
      </c>
    </row>
    <row r="5" spans="1:6">
      <c r="A5" t="s">
        <v>271</v>
      </c>
      <c r="B5" t="s">
        <v>425</v>
      </c>
      <c r="C5">
        <v>250</v>
      </c>
      <c r="D5">
        <v>225</v>
      </c>
      <c r="E5">
        <v>203</v>
      </c>
      <c r="F5">
        <v>182</v>
      </c>
    </row>
    <row r="6" spans="1:6">
      <c r="A6" t="s">
        <v>426</v>
      </c>
      <c r="B6" t="s">
        <v>427</v>
      </c>
      <c r="C6">
        <v>1750</v>
      </c>
      <c r="D6">
        <v>1500</v>
      </c>
      <c r="E6">
        <v>1286</v>
      </c>
      <c r="F6">
        <v>1102</v>
      </c>
    </row>
    <row r="9" spans="1:6">
      <c r="A9" t="s">
        <v>428</v>
      </c>
      <c r="B9" t="s">
        <v>429</v>
      </c>
    </row>
    <row r="11" spans="1:6">
      <c r="A11" t="s">
        <v>430</v>
      </c>
    </row>
  </sheetData>
  <pageMargins left="0.7" right="0.7" top="0.78749999999999998" bottom="0.78749999999999998"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D7D31"/>
  </sheetPr>
  <dimension ref="A1:H16"/>
  <sheetViews>
    <sheetView zoomScaleNormal="100" workbookViewId="0">
      <selection activeCell="A16" sqref="A16"/>
    </sheetView>
  </sheetViews>
  <sheetFormatPr baseColWidth="10" defaultColWidth="9" defaultRowHeight="16"/>
  <cols>
    <col min="1" max="1" width="39.6640625" customWidth="1"/>
    <col min="2" max="1025" width="10.6640625" customWidth="1"/>
  </cols>
  <sheetData>
    <row r="1" spans="1:8">
      <c r="A1" t="s">
        <v>431</v>
      </c>
      <c r="D1" s="93">
        <v>2018</v>
      </c>
      <c r="E1" s="93">
        <v>2020</v>
      </c>
      <c r="F1" s="93">
        <v>2025</v>
      </c>
      <c r="G1" s="93">
        <v>2030</v>
      </c>
      <c r="H1" s="93">
        <v>2050</v>
      </c>
    </row>
    <row r="2" spans="1:8" s="94" customFormat="1">
      <c r="A2" s="94" t="s">
        <v>432</v>
      </c>
      <c r="B2" s="94" t="s">
        <v>58</v>
      </c>
      <c r="C2" s="94" t="s">
        <v>433</v>
      </c>
      <c r="D2" s="94">
        <v>380</v>
      </c>
      <c r="E2" s="94">
        <v>359</v>
      </c>
      <c r="F2" s="94">
        <v>330</v>
      </c>
      <c r="G2" s="94">
        <v>301</v>
      </c>
      <c r="H2" s="94">
        <v>265</v>
      </c>
    </row>
    <row r="3" spans="1:8" s="94" customFormat="1">
      <c r="A3" s="94" t="s">
        <v>434</v>
      </c>
      <c r="B3" s="94" t="s">
        <v>58</v>
      </c>
      <c r="C3" s="94" t="s">
        <v>433</v>
      </c>
      <c r="D3" s="94">
        <v>380</v>
      </c>
      <c r="E3" s="94">
        <v>330</v>
      </c>
      <c r="F3" s="94">
        <v>248</v>
      </c>
      <c r="G3" s="94">
        <v>207</v>
      </c>
      <c r="H3" s="94">
        <v>158</v>
      </c>
    </row>
    <row r="4" spans="1:8" s="94" customFormat="1">
      <c r="A4" s="94" t="s">
        <v>435</v>
      </c>
      <c r="B4" s="94" t="s">
        <v>58</v>
      </c>
      <c r="C4" s="94" t="s">
        <v>433</v>
      </c>
      <c r="D4" s="94">
        <v>380</v>
      </c>
      <c r="E4" s="94">
        <v>297</v>
      </c>
      <c r="F4" s="94">
        <v>184</v>
      </c>
      <c r="G4" s="94">
        <v>124</v>
      </c>
      <c r="H4" s="94">
        <v>78</v>
      </c>
    </row>
    <row r="5" spans="1:8">
      <c r="A5" t="s">
        <v>432</v>
      </c>
      <c r="B5" s="16" t="s">
        <v>58</v>
      </c>
      <c r="C5" s="16" t="s">
        <v>436</v>
      </c>
      <c r="D5" s="95">
        <f>D2*constants!$C$4</f>
        <v>342</v>
      </c>
      <c r="E5" s="95">
        <f>E2*constants!$C$4</f>
        <v>323.10000000000002</v>
      </c>
      <c r="F5" s="95">
        <f>F2*constants!$C$4</f>
        <v>297</v>
      </c>
      <c r="G5" s="95">
        <f>G2*constants!$C$4</f>
        <v>270.90000000000003</v>
      </c>
      <c r="H5" s="95">
        <f>H2*constants!$C$4</f>
        <v>238.5</v>
      </c>
    </row>
    <row r="6" spans="1:8">
      <c r="A6" s="1" t="s">
        <v>434</v>
      </c>
      <c r="B6" s="1" t="s">
        <v>58</v>
      </c>
      <c r="C6" s="1" t="s">
        <v>436</v>
      </c>
      <c r="D6" s="96">
        <f>D3*constants!$C$4</f>
        <v>342</v>
      </c>
      <c r="E6" s="96">
        <f>E3*constants!$C$4</f>
        <v>297</v>
      </c>
      <c r="F6" s="96">
        <f>F3*constants!$C$4</f>
        <v>223.20000000000002</v>
      </c>
      <c r="G6" s="96">
        <f>G3*constants!$C$4</f>
        <v>186.3</v>
      </c>
      <c r="H6" s="96">
        <f>H3*constants!$C$4</f>
        <v>142.20000000000002</v>
      </c>
    </row>
    <row r="7" spans="1:8">
      <c r="A7" t="s">
        <v>435</v>
      </c>
      <c r="B7" s="16" t="s">
        <v>58</v>
      </c>
      <c r="C7" s="16" t="s">
        <v>436</v>
      </c>
      <c r="D7" s="95">
        <f>D4*constants!$C$4</f>
        <v>342</v>
      </c>
      <c r="E7" s="95">
        <f>E4*constants!$C$4</f>
        <v>267.3</v>
      </c>
      <c r="F7" s="95">
        <f>F4*constants!$C$4</f>
        <v>165.6</v>
      </c>
      <c r="G7" s="95">
        <f>G4*constants!$C$4</f>
        <v>111.60000000000001</v>
      </c>
      <c r="H7" s="95">
        <f>H4*constants!$C$4</f>
        <v>70.2</v>
      </c>
    </row>
    <row r="8" spans="1:8">
      <c r="B8" s="16"/>
      <c r="C8" s="16"/>
    </row>
    <row r="9" spans="1:8">
      <c r="B9" s="16"/>
      <c r="C9" s="16"/>
    </row>
    <row r="10" spans="1:8">
      <c r="B10" s="93" t="s">
        <v>437</v>
      </c>
      <c r="C10" s="93" t="s">
        <v>438</v>
      </c>
      <c r="D10" s="93" t="s">
        <v>439</v>
      </c>
    </row>
    <row r="11" spans="1:8">
      <c r="A11" t="s">
        <v>440</v>
      </c>
      <c r="B11">
        <v>0.8</v>
      </c>
      <c r="C11" s="16">
        <v>0.95</v>
      </c>
      <c r="D11" s="1">
        <v>0.85</v>
      </c>
    </row>
    <row r="12" spans="1:8">
      <c r="A12" t="s">
        <v>112</v>
      </c>
      <c r="B12">
        <v>5</v>
      </c>
      <c r="C12">
        <v>20</v>
      </c>
      <c r="D12" s="1">
        <v>15</v>
      </c>
    </row>
    <row r="13" spans="1:8">
      <c r="A13" t="s">
        <v>60</v>
      </c>
      <c r="B13" s="97">
        <f>5/D2</f>
        <v>1.3157894736842105E-2</v>
      </c>
      <c r="C13" s="97">
        <f>40/D2</f>
        <v>0.10526315789473684</v>
      </c>
      <c r="D13" s="98">
        <f>15/D3</f>
        <v>3.9473684210526314E-2</v>
      </c>
    </row>
    <row r="16" spans="1:8">
      <c r="A16" t="s">
        <v>428</v>
      </c>
      <c r="B16" t="s">
        <v>441</v>
      </c>
    </row>
  </sheetData>
  <pageMargins left="0.7" right="0.7" top="0.78749999999999998" bottom="0.78749999999999998"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ED7D31"/>
  </sheetPr>
  <dimension ref="A1:G19"/>
  <sheetViews>
    <sheetView zoomScaleNormal="100" workbookViewId="0">
      <selection activeCell="A2" sqref="A2"/>
    </sheetView>
  </sheetViews>
  <sheetFormatPr baseColWidth="10" defaultColWidth="9" defaultRowHeight="16"/>
  <cols>
    <col min="1" max="1" width="83.1640625" customWidth="1"/>
    <col min="2" max="3" width="10.6640625" customWidth="1"/>
    <col min="4" max="6" width="12.1640625" customWidth="1"/>
    <col min="7" max="1025" width="10.6640625" customWidth="1"/>
  </cols>
  <sheetData>
    <row r="1" spans="1:7">
      <c r="D1" s="1">
        <v>2017</v>
      </c>
      <c r="E1" s="1">
        <v>2030</v>
      </c>
      <c r="F1" s="1">
        <v>2050</v>
      </c>
    </row>
    <row r="2" spans="1:7">
      <c r="A2" s="10" t="s">
        <v>442</v>
      </c>
      <c r="B2" s="10" t="s">
        <v>58</v>
      </c>
      <c r="C2" s="10" t="s">
        <v>443</v>
      </c>
      <c r="D2" s="10">
        <v>1180</v>
      </c>
      <c r="E2" s="10">
        <v>470</v>
      </c>
      <c r="F2" s="10">
        <v>245</v>
      </c>
    </row>
    <row r="3" spans="1:7">
      <c r="A3" s="10" t="s">
        <v>444</v>
      </c>
      <c r="B3" s="10" t="s">
        <v>60</v>
      </c>
      <c r="C3" s="10" t="s">
        <v>445</v>
      </c>
      <c r="D3" s="10">
        <v>0.04</v>
      </c>
      <c r="E3" s="10">
        <v>0.03</v>
      </c>
      <c r="F3" s="10">
        <v>0.02</v>
      </c>
    </row>
    <row r="4" spans="1:7">
      <c r="A4" s="10" t="s">
        <v>444</v>
      </c>
      <c r="B4" s="10" t="s">
        <v>141</v>
      </c>
      <c r="C4" s="10" t="s">
        <v>286</v>
      </c>
      <c r="D4" s="10">
        <v>0.64</v>
      </c>
      <c r="E4" s="10">
        <v>0.75</v>
      </c>
      <c r="F4" s="10">
        <v>0.78</v>
      </c>
    </row>
    <row r="5" spans="1:7">
      <c r="A5" s="8" t="s">
        <v>444</v>
      </c>
      <c r="B5" s="8" t="s">
        <v>446</v>
      </c>
      <c r="C5" s="8" t="s">
        <v>45</v>
      </c>
      <c r="D5" s="99">
        <v>10</v>
      </c>
      <c r="E5" s="99">
        <v>10</v>
      </c>
      <c r="F5" s="99">
        <v>10</v>
      </c>
    </row>
    <row r="6" spans="1:7">
      <c r="A6" s="100" t="s">
        <v>447</v>
      </c>
      <c r="B6" s="100" t="s">
        <v>58</v>
      </c>
      <c r="C6" s="100" t="s">
        <v>448</v>
      </c>
      <c r="D6" s="100">
        <v>100</v>
      </c>
      <c r="E6" s="100">
        <v>75</v>
      </c>
      <c r="F6" s="100">
        <v>50</v>
      </c>
    </row>
    <row r="7" spans="1:7">
      <c r="A7" s="10" t="s">
        <v>447</v>
      </c>
      <c r="B7" s="10" t="s">
        <v>58</v>
      </c>
      <c r="C7" s="10" t="s">
        <v>449</v>
      </c>
      <c r="D7" s="101">
        <f>D6/constants!$C$6</f>
        <v>1111.1111111111111</v>
      </c>
      <c r="E7" s="101">
        <f>E6/constants!$C$6</f>
        <v>833.33333333333337</v>
      </c>
      <c r="F7" s="101">
        <f>F6/constants!$C$6</f>
        <v>555.55555555555554</v>
      </c>
      <c r="G7" s="102"/>
    </row>
    <row r="8" spans="1:7">
      <c r="A8" s="10" t="s">
        <v>447</v>
      </c>
      <c r="B8" s="10" t="s">
        <v>60</v>
      </c>
      <c r="C8" s="10" t="s">
        <v>445</v>
      </c>
      <c r="D8" s="8">
        <v>1.4999999999999999E-2</v>
      </c>
      <c r="E8" s="8">
        <v>1.4999999999999999E-2</v>
      </c>
      <c r="F8" s="8">
        <v>1.4999999999999999E-2</v>
      </c>
    </row>
    <row r="9" spans="1:7">
      <c r="A9" s="11" t="s">
        <v>447</v>
      </c>
      <c r="B9" s="11" t="s">
        <v>112</v>
      </c>
      <c r="C9" s="11" t="s">
        <v>45</v>
      </c>
      <c r="D9" s="11">
        <v>20</v>
      </c>
      <c r="E9" s="11">
        <v>20</v>
      </c>
      <c r="F9" s="11">
        <v>20</v>
      </c>
    </row>
    <row r="10" spans="1:7">
      <c r="A10" s="100" t="s">
        <v>261</v>
      </c>
      <c r="B10" s="100" t="s">
        <v>58</v>
      </c>
      <c r="C10" s="100" t="s">
        <v>450</v>
      </c>
      <c r="D10" s="100">
        <v>100</v>
      </c>
      <c r="E10" s="100">
        <v>50</v>
      </c>
      <c r="F10" s="100">
        <v>50</v>
      </c>
    </row>
    <row r="11" spans="1:7">
      <c r="A11" s="10" t="s">
        <v>261</v>
      </c>
      <c r="B11" s="10" t="s">
        <v>60</v>
      </c>
      <c r="C11" s="10" t="s">
        <v>445</v>
      </c>
      <c r="D11" s="8">
        <v>3.5000000000000003E-2</v>
      </c>
      <c r="E11" s="8">
        <v>1.4999999999999999E-2</v>
      </c>
      <c r="F11" s="8">
        <v>0.01</v>
      </c>
    </row>
    <row r="12" spans="1:7">
      <c r="A12" s="11" t="s">
        <v>261</v>
      </c>
      <c r="B12" s="11" t="s">
        <v>112</v>
      </c>
      <c r="C12" s="11" t="s">
        <v>45</v>
      </c>
      <c r="D12" s="11">
        <v>20</v>
      </c>
      <c r="E12" s="11">
        <v>20</v>
      </c>
      <c r="F12" s="11">
        <v>20</v>
      </c>
    </row>
    <row r="13" spans="1:7">
      <c r="A13" s="100" t="s">
        <v>262</v>
      </c>
      <c r="B13" s="100" t="s">
        <v>58</v>
      </c>
      <c r="C13" s="100" t="s">
        <v>451</v>
      </c>
      <c r="D13" s="100">
        <v>2465</v>
      </c>
      <c r="E13" s="100">
        <v>1233</v>
      </c>
      <c r="F13" s="100">
        <v>750</v>
      </c>
    </row>
    <row r="14" spans="1:7">
      <c r="A14" s="10" t="s">
        <v>262</v>
      </c>
      <c r="B14" s="10" t="s">
        <v>60</v>
      </c>
      <c r="C14" s="10" t="s">
        <v>445</v>
      </c>
      <c r="D14" s="8">
        <v>3.5000000000000003E-2</v>
      </c>
      <c r="E14" s="8">
        <v>3.5000000000000003E-2</v>
      </c>
      <c r="F14" s="8">
        <v>3.5000000000000003E-2</v>
      </c>
    </row>
    <row r="15" spans="1:7">
      <c r="A15" s="11" t="s">
        <v>262</v>
      </c>
      <c r="B15" s="11" t="s">
        <v>112</v>
      </c>
      <c r="C15" s="11" t="s">
        <v>45</v>
      </c>
      <c r="D15" s="11">
        <v>20</v>
      </c>
      <c r="E15" s="11">
        <v>20</v>
      </c>
      <c r="F15" s="11">
        <v>20</v>
      </c>
    </row>
    <row r="17" spans="1:2">
      <c r="A17" t="s">
        <v>428</v>
      </c>
      <c r="B17" t="s">
        <v>452</v>
      </c>
    </row>
    <row r="19" spans="1:2" ht="34">
      <c r="A19" s="37" t="s">
        <v>453</v>
      </c>
    </row>
  </sheetData>
  <pageMargins left="0.7" right="0.7" top="0.78749999999999998" bottom="0.78749999999999998"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ED7D31"/>
  </sheetPr>
  <dimension ref="A1:F19"/>
  <sheetViews>
    <sheetView zoomScaleNormal="100" workbookViewId="0">
      <selection activeCell="D18" sqref="D18"/>
    </sheetView>
  </sheetViews>
  <sheetFormatPr baseColWidth="10" defaultColWidth="9" defaultRowHeight="16"/>
  <cols>
    <col min="1" max="1" width="23" customWidth="1"/>
    <col min="2" max="1025" width="10.6640625" customWidth="1"/>
  </cols>
  <sheetData>
    <row r="1" spans="1:6">
      <c r="A1" s="1" t="s">
        <v>454</v>
      </c>
      <c r="D1" s="1">
        <v>2020</v>
      </c>
      <c r="E1" s="1">
        <v>2030</v>
      </c>
      <c r="F1" s="1">
        <v>2050</v>
      </c>
    </row>
    <row r="2" spans="1:6">
      <c r="A2" s="10" t="s">
        <v>455</v>
      </c>
      <c r="B2" s="10" t="s">
        <v>58</v>
      </c>
      <c r="C2" s="10" t="s">
        <v>443</v>
      </c>
      <c r="D2" s="10">
        <v>908</v>
      </c>
      <c r="E2" s="10">
        <v>718</v>
      </c>
      <c r="F2" s="10">
        <v>486</v>
      </c>
    </row>
    <row r="3" spans="1:6">
      <c r="A3" s="10" t="s">
        <v>455</v>
      </c>
      <c r="B3" s="10" t="s">
        <v>60</v>
      </c>
      <c r="C3" s="10" t="s">
        <v>445</v>
      </c>
      <c r="D3" s="10">
        <v>1.4999999999999999E-2</v>
      </c>
      <c r="E3" s="10">
        <v>1.4999999999999999E-2</v>
      </c>
      <c r="F3" s="10">
        <v>1.4999999999999999E-2</v>
      </c>
    </row>
    <row r="4" spans="1:6">
      <c r="A4" s="11" t="s">
        <v>455</v>
      </c>
      <c r="B4" s="11" t="s">
        <v>112</v>
      </c>
      <c r="C4" s="11" t="s">
        <v>45</v>
      </c>
      <c r="D4" s="11">
        <v>25</v>
      </c>
      <c r="E4" s="11">
        <v>25</v>
      </c>
      <c r="F4" s="11">
        <v>25</v>
      </c>
    </row>
    <row r="5" spans="1:6">
      <c r="A5" s="100" t="s">
        <v>456</v>
      </c>
      <c r="B5" s="100" t="s">
        <v>58</v>
      </c>
      <c r="C5" s="100" t="s">
        <v>443</v>
      </c>
      <c r="D5" s="100">
        <v>1526</v>
      </c>
      <c r="E5" s="100">
        <v>1260</v>
      </c>
      <c r="F5" s="100">
        <v>1078</v>
      </c>
    </row>
    <row r="6" spans="1:6">
      <c r="A6" s="10" t="s">
        <v>456</v>
      </c>
      <c r="B6" s="10" t="s">
        <v>60</v>
      </c>
      <c r="C6" s="10" t="s">
        <v>445</v>
      </c>
      <c r="D6" s="10">
        <v>2.5000000000000001E-2</v>
      </c>
      <c r="E6" s="10">
        <v>2.5000000000000001E-2</v>
      </c>
      <c r="F6" s="10">
        <v>2.5000000000000001E-2</v>
      </c>
    </row>
    <row r="7" spans="1:6">
      <c r="A7" s="11" t="s">
        <v>456</v>
      </c>
      <c r="B7" s="11" t="s">
        <v>112</v>
      </c>
      <c r="C7" s="11" t="s">
        <v>45</v>
      </c>
      <c r="D7" s="11">
        <v>20</v>
      </c>
      <c r="E7" s="11">
        <v>20</v>
      </c>
      <c r="F7" s="11">
        <v>20</v>
      </c>
    </row>
    <row r="8" spans="1:6">
      <c r="A8" s="100" t="s">
        <v>457</v>
      </c>
      <c r="B8" s="100" t="s">
        <v>58</v>
      </c>
      <c r="C8" s="100" t="s">
        <v>443</v>
      </c>
      <c r="D8" s="100">
        <v>2800</v>
      </c>
      <c r="E8" s="100">
        <v>2200</v>
      </c>
      <c r="F8" s="100">
        <v>1600</v>
      </c>
    </row>
    <row r="9" spans="1:6">
      <c r="A9" s="10" t="s">
        <v>457</v>
      </c>
      <c r="B9" s="10" t="s">
        <v>60</v>
      </c>
      <c r="C9" s="10" t="s">
        <v>445</v>
      </c>
      <c r="D9" s="10">
        <v>3.2000000000000001E-2</v>
      </c>
      <c r="E9" s="10">
        <v>3.2000000000000001E-2</v>
      </c>
      <c r="F9" s="10">
        <v>3.2000000000000001E-2</v>
      </c>
    </row>
    <row r="10" spans="1:6">
      <c r="A10" s="11" t="s">
        <v>457</v>
      </c>
      <c r="B10" s="11" t="s">
        <v>112</v>
      </c>
      <c r="C10" s="11" t="s">
        <v>45</v>
      </c>
      <c r="D10" s="11">
        <v>25</v>
      </c>
      <c r="E10" s="11">
        <v>25</v>
      </c>
      <c r="F10" s="11">
        <v>25</v>
      </c>
    </row>
    <row r="11" spans="1:6">
      <c r="A11" s="100" t="s">
        <v>458</v>
      </c>
      <c r="B11" s="100" t="s">
        <v>58</v>
      </c>
      <c r="C11" s="100" t="s">
        <v>459</v>
      </c>
      <c r="D11" s="100">
        <v>737</v>
      </c>
      <c r="E11" s="100">
        <v>625</v>
      </c>
      <c r="F11" s="100">
        <v>450</v>
      </c>
    </row>
    <row r="12" spans="1:6">
      <c r="A12" s="10" t="s">
        <v>458</v>
      </c>
      <c r="B12" s="10" t="s">
        <v>60</v>
      </c>
      <c r="C12" s="10" t="s">
        <v>445</v>
      </c>
      <c r="D12" s="8">
        <v>0.03</v>
      </c>
      <c r="E12" s="8">
        <v>0.03</v>
      </c>
      <c r="F12" s="8">
        <v>0.03</v>
      </c>
    </row>
    <row r="13" spans="1:6">
      <c r="A13" s="11" t="s">
        <v>458</v>
      </c>
      <c r="B13" s="11" t="s">
        <v>460</v>
      </c>
      <c r="C13" s="11"/>
      <c r="D13" s="11">
        <v>0.67</v>
      </c>
      <c r="E13" s="11">
        <v>0.71</v>
      </c>
      <c r="F13" s="11">
        <v>0.8</v>
      </c>
    </row>
    <row r="14" spans="1:6">
      <c r="A14" t="s">
        <v>461</v>
      </c>
      <c r="B14" t="s">
        <v>58</v>
      </c>
      <c r="C14" t="s">
        <v>462</v>
      </c>
      <c r="D14">
        <v>788</v>
      </c>
      <c r="E14">
        <v>677</v>
      </c>
      <c r="F14">
        <v>500</v>
      </c>
    </row>
    <row r="15" spans="1:6">
      <c r="A15" t="s">
        <v>461</v>
      </c>
      <c r="B15" t="s">
        <v>60</v>
      </c>
      <c r="C15" t="s">
        <v>445</v>
      </c>
      <c r="D15">
        <v>0.03</v>
      </c>
      <c r="E15">
        <v>0.03</v>
      </c>
      <c r="F15">
        <v>0.03</v>
      </c>
    </row>
    <row r="16" spans="1:6">
      <c r="A16" t="s">
        <v>461</v>
      </c>
      <c r="B16" t="s">
        <v>141</v>
      </c>
      <c r="C16" t="s">
        <v>463</v>
      </c>
      <c r="D16">
        <v>0.8</v>
      </c>
      <c r="E16">
        <v>0.8</v>
      </c>
      <c r="F16">
        <v>0.8</v>
      </c>
    </row>
    <row r="19" spans="1:2">
      <c r="A19" t="s">
        <v>428</v>
      </c>
      <c r="B19" t="s">
        <v>464</v>
      </c>
    </row>
  </sheetData>
  <pageMargins left="0.7" right="0.7" top="0.78749999999999998" bottom="0.78749999999999998"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ED7D31"/>
  </sheetPr>
  <dimension ref="A1:G8"/>
  <sheetViews>
    <sheetView zoomScaleNormal="100" workbookViewId="0">
      <selection activeCell="B9" sqref="B9"/>
    </sheetView>
  </sheetViews>
  <sheetFormatPr baseColWidth="10" defaultColWidth="9" defaultRowHeight="16"/>
  <cols>
    <col min="1" max="1" width="44" customWidth="1"/>
    <col min="2" max="2" width="31" customWidth="1"/>
    <col min="3" max="3" width="24.5" customWidth="1"/>
    <col min="4" max="4" width="17.83203125" customWidth="1"/>
    <col min="5" max="1025" width="10.6640625" customWidth="1"/>
  </cols>
  <sheetData>
    <row r="1" spans="1:7">
      <c r="B1" t="s">
        <v>465</v>
      </c>
      <c r="E1" s="103">
        <v>2015</v>
      </c>
      <c r="F1" s="1">
        <v>2030</v>
      </c>
      <c r="G1" s="1">
        <v>2050</v>
      </c>
    </row>
    <row r="2" spans="1:7">
      <c r="A2" s="100" t="s">
        <v>466</v>
      </c>
      <c r="B2" s="100" t="s">
        <v>467</v>
      </c>
      <c r="C2" s="100" t="s">
        <v>468</v>
      </c>
      <c r="D2" s="100" t="s">
        <v>443</v>
      </c>
      <c r="E2" s="100">
        <v>850</v>
      </c>
      <c r="F2" s="100">
        <v>675</v>
      </c>
      <c r="G2" s="100">
        <v>500</v>
      </c>
    </row>
    <row r="3" spans="1:7">
      <c r="A3" t="s">
        <v>466</v>
      </c>
      <c r="B3" t="s">
        <v>467</v>
      </c>
      <c r="C3" t="s">
        <v>469</v>
      </c>
      <c r="D3" t="s">
        <v>424</v>
      </c>
      <c r="E3">
        <v>0.03</v>
      </c>
      <c r="F3">
        <v>0.03</v>
      </c>
      <c r="G3">
        <v>0.03</v>
      </c>
    </row>
    <row r="4" spans="1:7">
      <c r="A4" t="s">
        <v>466</v>
      </c>
      <c r="B4" t="s">
        <v>467</v>
      </c>
      <c r="C4" t="s">
        <v>141</v>
      </c>
      <c r="D4" t="s">
        <v>470</v>
      </c>
      <c r="E4">
        <v>0.8</v>
      </c>
      <c r="F4">
        <v>0.8</v>
      </c>
      <c r="G4">
        <v>0.8</v>
      </c>
    </row>
    <row r="5" spans="1:7">
      <c r="A5" t="s">
        <v>466</v>
      </c>
      <c r="B5" t="s">
        <v>281</v>
      </c>
      <c r="C5" t="s">
        <v>112</v>
      </c>
      <c r="D5" t="s">
        <v>45</v>
      </c>
      <c r="E5">
        <v>30</v>
      </c>
      <c r="F5">
        <v>30</v>
      </c>
      <c r="G5">
        <v>30</v>
      </c>
    </row>
    <row r="6" spans="1:7">
      <c r="A6" s="1" t="s">
        <v>471</v>
      </c>
    </row>
    <row r="8" spans="1:7">
      <c r="A8" t="s">
        <v>428</v>
      </c>
      <c r="B8" t="s">
        <v>472</v>
      </c>
    </row>
  </sheetData>
  <pageMargins left="0.7" right="0.7" top="0.78749999999999998" bottom="0.78749999999999998"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ED7D31"/>
  </sheetPr>
  <dimension ref="A1:H34"/>
  <sheetViews>
    <sheetView zoomScaleNormal="100" workbookViewId="0">
      <selection activeCell="A27" sqref="A27"/>
    </sheetView>
  </sheetViews>
  <sheetFormatPr baseColWidth="10" defaultColWidth="9" defaultRowHeight="16"/>
  <cols>
    <col min="1" max="1" width="40.6640625" customWidth="1"/>
    <col min="2" max="2" width="10.6640625" customWidth="1"/>
    <col min="3" max="3" width="14" customWidth="1"/>
    <col min="4" max="1025" width="10.6640625" customWidth="1"/>
  </cols>
  <sheetData>
    <row r="1" spans="1:8">
      <c r="D1" s="1">
        <v>2015</v>
      </c>
      <c r="E1" s="104" t="s">
        <v>473</v>
      </c>
      <c r="F1" s="1">
        <v>2030</v>
      </c>
      <c r="G1" s="1">
        <v>2040</v>
      </c>
      <c r="H1" s="1">
        <v>2050</v>
      </c>
    </row>
    <row r="2" spans="1:8">
      <c r="A2" s="100" t="s">
        <v>474</v>
      </c>
      <c r="B2" s="100" t="s">
        <v>58</v>
      </c>
      <c r="C2" s="100" t="s">
        <v>443</v>
      </c>
      <c r="D2" s="100">
        <v>1850</v>
      </c>
      <c r="E2" s="100">
        <v>1760</v>
      </c>
      <c r="F2" s="100">
        <v>1630</v>
      </c>
      <c r="G2" s="100">
        <v>1560</v>
      </c>
      <c r="H2" s="100">
        <v>1520</v>
      </c>
    </row>
    <row r="3" spans="1:8">
      <c r="A3" t="s">
        <v>474</v>
      </c>
      <c r="B3" t="s">
        <v>60</v>
      </c>
      <c r="C3" t="s">
        <v>424</v>
      </c>
      <c r="D3">
        <v>0.03</v>
      </c>
      <c r="E3">
        <v>0.03</v>
      </c>
      <c r="F3">
        <v>0.03</v>
      </c>
      <c r="G3">
        <v>0.03</v>
      </c>
      <c r="H3">
        <v>0.03</v>
      </c>
    </row>
    <row r="4" spans="1:8">
      <c r="A4" t="s">
        <v>475</v>
      </c>
      <c r="B4" t="s">
        <v>58</v>
      </c>
      <c r="C4" t="s">
        <v>443</v>
      </c>
      <c r="D4">
        <v>1350</v>
      </c>
      <c r="E4">
        <v>1290</v>
      </c>
      <c r="F4">
        <v>1190</v>
      </c>
      <c r="G4">
        <v>1140</v>
      </c>
      <c r="H4">
        <v>1110</v>
      </c>
    </row>
    <row r="5" spans="1:8">
      <c r="A5" t="s">
        <v>475</v>
      </c>
      <c r="B5" t="s">
        <v>60</v>
      </c>
      <c r="C5" t="s">
        <v>424</v>
      </c>
      <c r="D5">
        <v>0.03</v>
      </c>
      <c r="E5">
        <v>0.03</v>
      </c>
      <c r="F5">
        <v>0.03</v>
      </c>
      <c r="G5">
        <v>0.03</v>
      </c>
      <c r="H5">
        <v>0.03</v>
      </c>
    </row>
    <row r="6" spans="1:8">
      <c r="A6" t="s">
        <v>476</v>
      </c>
      <c r="B6" t="s">
        <v>58</v>
      </c>
      <c r="C6" t="s">
        <v>443</v>
      </c>
      <c r="D6">
        <v>1090</v>
      </c>
      <c r="E6">
        <v>1040</v>
      </c>
      <c r="F6">
        <v>960</v>
      </c>
      <c r="G6">
        <v>920</v>
      </c>
      <c r="H6">
        <v>890</v>
      </c>
    </row>
    <row r="7" spans="1:8">
      <c r="A7" t="s">
        <v>476</v>
      </c>
      <c r="B7" t="s">
        <v>60</v>
      </c>
      <c r="C7" t="s">
        <v>424</v>
      </c>
      <c r="D7">
        <v>0.03</v>
      </c>
      <c r="E7">
        <v>0.03</v>
      </c>
      <c r="F7">
        <v>0.03</v>
      </c>
      <c r="G7">
        <v>0.03</v>
      </c>
      <c r="H7">
        <v>0.03</v>
      </c>
    </row>
    <row r="8" spans="1:8">
      <c r="A8" s="100" t="s">
        <v>477</v>
      </c>
      <c r="B8" s="100" t="s">
        <v>58</v>
      </c>
      <c r="C8" s="100" t="s">
        <v>443</v>
      </c>
      <c r="D8" s="100">
        <v>3500</v>
      </c>
      <c r="E8" s="100">
        <v>2890</v>
      </c>
      <c r="F8" s="100">
        <v>2310</v>
      </c>
      <c r="G8" s="100">
        <v>2150</v>
      </c>
      <c r="H8" s="100">
        <v>2100</v>
      </c>
    </row>
    <row r="9" spans="1:8">
      <c r="A9" t="s">
        <v>477</v>
      </c>
      <c r="B9" t="s">
        <v>60</v>
      </c>
      <c r="C9" t="s">
        <v>424</v>
      </c>
      <c r="D9">
        <v>0.02</v>
      </c>
      <c r="E9">
        <v>0.02</v>
      </c>
      <c r="F9">
        <v>0.02</v>
      </c>
      <c r="G9">
        <v>0.02</v>
      </c>
      <c r="H9">
        <v>0.02</v>
      </c>
    </row>
    <row r="10" spans="1:8">
      <c r="A10" t="s">
        <v>478</v>
      </c>
      <c r="B10" t="s">
        <v>58</v>
      </c>
      <c r="C10" t="s">
        <v>443</v>
      </c>
      <c r="D10">
        <v>3600</v>
      </c>
      <c r="E10">
        <v>2970</v>
      </c>
      <c r="F10">
        <v>2370</v>
      </c>
      <c r="G10">
        <v>2220</v>
      </c>
      <c r="H10">
        <v>2160</v>
      </c>
    </row>
    <row r="11" spans="1:8">
      <c r="A11" t="s">
        <v>478</v>
      </c>
      <c r="B11" t="s">
        <v>60</v>
      </c>
      <c r="C11" t="s">
        <v>424</v>
      </c>
      <c r="D11">
        <v>0.02</v>
      </c>
      <c r="E11">
        <v>0.02</v>
      </c>
      <c r="F11">
        <v>0.02</v>
      </c>
      <c r="G11">
        <v>0.02</v>
      </c>
      <c r="H11">
        <v>0.02</v>
      </c>
    </row>
    <row r="12" spans="1:8">
      <c r="A12" t="s">
        <v>479</v>
      </c>
      <c r="B12" t="s">
        <v>58</v>
      </c>
      <c r="C12" t="s">
        <v>443</v>
      </c>
      <c r="D12">
        <v>5500</v>
      </c>
      <c r="E12">
        <v>4540</v>
      </c>
      <c r="F12">
        <v>3620</v>
      </c>
      <c r="G12">
        <v>3390</v>
      </c>
      <c r="H12">
        <v>3300</v>
      </c>
    </row>
    <row r="13" spans="1:8">
      <c r="A13" t="s">
        <v>479</v>
      </c>
      <c r="B13" t="s">
        <v>60</v>
      </c>
      <c r="C13" t="s">
        <v>424</v>
      </c>
      <c r="D13">
        <v>0.02</v>
      </c>
      <c r="E13">
        <v>0.02</v>
      </c>
      <c r="F13">
        <v>0.02</v>
      </c>
      <c r="G13">
        <v>0.02</v>
      </c>
      <c r="H13">
        <v>0.02</v>
      </c>
    </row>
    <row r="14" spans="1:8">
      <c r="A14" s="100" t="s">
        <v>480</v>
      </c>
      <c r="B14" s="100" t="s">
        <v>58</v>
      </c>
      <c r="C14" s="100" t="s">
        <v>443</v>
      </c>
      <c r="D14" s="100">
        <v>1120</v>
      </c>
      <c r="E14" s="100">
        <v>760</v>
      </c>
      <c r="F14" s="100">
        <v>490</v>
      </c>
      <c r="G14" s="100">
        <v>400</v>
      </c>
      <c r="H14" s="100">
        <v>350</v>
      </c>
    </row>
    <row r="15" spans="1:8">
      <c r="A15" t="s">
        <v>480</v>
      </c>
      <c r="B15" t="s">
        <v>60</v>
      </c>
      <c r="C15" t="s">
        <v>424</v>
      </c>
      <c r="D15">
        <v>2.3E-2</v>
      </c>
      <c r="E15">
        <v>2.3E-2</v>
      </c>
      <c r="F15">
        <v>2.3E-2</v>
      </c>
      <c r="G15">
        <v>2.3E-2</v>
      </c>
      <c r="H15">
        <v>2.3E-2</v>
      </c>
    </row>
    <row r="16" spans="1:8">
      <c r="A16" t="s">
        <v>481</v>
      </c>
      <c r="B16" t="s">
        <v>58</v>
      </c>
      <c r="C16" t="s">
        <v>443</v>
      </c>
      <c r="D16">
        <v>1020</v>
      </c>
      <c r="E16">
        <v>690</v>
      </c>
      <c r="F16">
        <v>450</v>
      </c>
      <c r="G16">
        <v>370</v>
      </c>
      <c r="H16">
        <v>320</v>
      </c>
    </row>
    <row r="17" spans="1:8">
      <c r="A17" t="s">
        <v>481</v>
      </c>
      <c r="B17" t="s">
        <v>60</v>
      </c>
      <c r="C17" t="s">
        <v>424</v>
      </c>
      <c r="D17">
        <v>1.7000000000000001E-2</v>
      </c>
      <c r="E17">
        <v>1.7000000000000001E-2</v>
      </c>
      <c r="F17">
        <v>1.7000000000000001E-2</v>
      </c>
      <c r="G17">
        <v>1.7000000000000001E-2</v>
      </c>
      <c r="H17">
        <v>1.7000000000000001E-2</v>
      </c>
    </row>
    <row r="18" spans="1:8">
      <c r="A18" t="s">
        <v>482</v>
      </c>
      <c r="B18" t="s">
        <v>58</v>
      </c>
      <c r="C18" t="s">
        <v>443</v>
      </c>
      <c r="D18">
        <v>1140</v>
      </c>
      <c r="E18">
        <v>770</v>
      </c>
      <c r="F18">
        <v>500</v>
      </c>
      <c r="G18">
        <v>410</v>
      </c>
      <c r="H18">
        <v>350</v>
      </c>
    </row>
    <row r="19" spans="1:8">
      <c r="A19" t="s">
        <v>482</v>
      </c>
      <c r="B19" t="s">
        <v>60</v>
      </c>
      <c r="C19" t="s">
        <v>424</v>
      </c>
      <c r="D19">
        <v>2.5000000000000001E-2</v>
      </c>
      <c r="E19">
        <v>2.5000000000000001E-2</v>
      </c>
      <c r="F19">
        <v>2.5000000000000001E-2</v>
      </c>
      <c r="G19">
        <v>2.5000000000000001E-2</v>
      </c>
      <c r="H19">
        <v>2.5000000000000001E-2</v>
      </c>
    </row>
    <row r="20" spans="1:8">
      <c r="A20" s="100" t="s">
        <v>483</v>
      </c>
      <c r="B20" s="100" t="s">
        <v>58</v>
      </c>
      <c r="C20" s="100" t="s">
        <v>443</v>
      </c>
      <c r="D20" s="100">
        <v>6000</v>
      </c>
      <c r="E20" s="100">
        <v>4920</v>
      </c>
      <c r="F20" s="100">
        <v>3760</v>
      </c>
      <c r="G20" s="100">
        <v>3430</v>
      </c>
      <c r="H20" s="100">
        <v>3280</v>
      </c>
    </row>
    <row r="21" spans="1:8">
      <c r="A21" t="s">
        <v>483</v>
      </c>
      <c r="B21" t="s">
        <v>60</v>
      </c>
      <c r="C21" t="s">
        <v>424</v>
      </c>
      <c r="D21">
        <v>1.7000000000000001E-2</v>
      </c>
      <c r="E21">
        <v>1.7000000000000001E-2</v>
      </c>
      <c r="F21">
        <v>1.7000000000000001E-2</v>
      </c>
      <c r="G21">
        <v>1.7000000000000001E-2</v>
      </c>
      <c r="H21">
        <v>1.7000000000000001E-2</v>
      </c>
    </row>
    <row r="22" spans="1:8">
      <c r="A22" t="s">
        <v>484</v>
      </c>
      <c r="B22" t="s">
        <v>58</v>
      </c>
      <c r="C22" t="s">
        <v>443</v>
      </c>
      <c r="D22">
        <v>5280</v>
      </c>
      <c r="E22">
        <v>4330</v>
      </c>
      <c r="F22">
        <v>3310</v>
      </c>
      <c r="G22">
        <v>3010</v>
      </c>
      <c r="H22">
        <v>2880</v>
      </c>
    </row>
    <row r="23" spans="1:8">
      <c r="A23" t="s">
        <v>484</v>
      </c>
      <c r="B23" t="s">
        <v>60</v>
      </c>
      <c r="C23" t="s">
        <v>424</v>
      </c>
      <c r="D23">
        <v>1.7000000000000001E-2</v>
      </c>
      <c r="E23">
        <v>1.7000000000000001E-2</v>
      </c>
      <c r="F23">
        <v>1.7000000000000001E-2</v>
      </c>
      <c r="G23">
        <v>1.7000000000000001E-2</v>
      </c>
      <c r="H23">
        <v>1.7000000000000001E-2</v>
      </c>
    </row>
    <row r="25" spans="1:8">
      <c r="A25" t="s">
        <v>456</v>
      </c>
      <c r="B25" t="s">
        <v>112</v>
      </c>
      <c r="C25" t="s">
        <v>45</v>
      </c>
      <c r="D25">
        <v>25</v>
      </c>
    </row>
    <row r="26" spans="1:8">
      <c r="A26" t="s">
        <v>457</v>
      </c>
      <c r="B26" t="s">
        <v>112</v>
      </c>
      <c r="C26" t="s">
        <v>45</v>
      </c>
      <c r="D26">
        <v>30</v>
      </c>
    </row>
    <row r="27" spans="1:8">
      <c r="A27" t="s">
        <v>455</v>
      </c>
      <c r="B27" t="s">
        <v>112</v>
      </c>
      <c r="C27" t="s">
        <v>45</v>
      </c>
      <c r="D27">
        <v>25</v>
      </c>
    </row>
    <row r="28" spans="1:8">
      <c r="A28" t="s">
        <v>485</v>
      </c>
      <c r="B28" t="s">
        <v>112</v>
      </c>
      <c r="C28" t="s">
        <v>45</v>
      </c>
      <c r="D28">
        <v>30</v>
      </c>
    </row>
    <row r="32" spans="1:8">
      <c r="A32" s="1" t="s">
        <v>428</v>
      </c>
      <c r="B32" t="s">
        <v>486</v>
      </c>
    </row>
    <row r="33" spans="1:7">
      <c r="A33" s="1" t="s">
        <v>487</v>
      </c>
    </row>
    <row r="34" spans="1:7" ht="132" customHeight="1">
      <c r="A34" s="223" t="s">
        <v>488</v>
      </c>
      <c r="B34" s="223"/>
      <c r="C34" s="223"/>
      <c r="D34" s="223"/>
      <c r="E34" s="223"/>
      <c r="F34" s="223"/>
      <c r="G34" s="223"/>
    </row>
  </sheetData>
  <mergeCells count="1">
    <mergeCell ref="A34:G34"/>
  </mergeCells>
  <pageMargins left="0.7" right="0.7" top="0.78749999999999998" bottom="0.78749999999999998" header="0.51180555555555496" footer="0.51180555555555496"/>
  <pageSetup paperSize="9" firstPageNumber="0"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ED7D31"/>
  </sheetPr>
  <dimension ref="A1:AM15"/>
  <sheetViews>
    <sheetView zoomScaleNormal="100" workbookViewId="0">
      <selection activeCell="E7" sqref="E7"/>
    </sheetView>
  </sheetViews>
  <sheetFormatPr baseColWidth="10" defaultColWidth="9" defaultRowHeight="16"/>
  <cols>
    <col min="1" max="1" width="29.1640625" customWidth="1"/>
    <col min="2" max="3" width="10.6640625" customWidth="1"/>
    <col min="4" max="4" width="12.6640625" customWidth="1"/>
    <col min="5" max="1025" width="10.6640625" customWidth="1"/>
  </cols>
  <sheetData>
    <row r="1" spans="1:39">
      <c r="A1" s="11"/>
      <c r="B1" s="11"/>
      <c r="C1" s="11"/>
      <c r="D1" s="105" t="s">
        <v>489</v>
      </c>
      <c r="E1" s="7">
        <v>2020</v>
      </c>
      <c r="F1" s="7">
        <v>2021</v>
      </c>
      <c r="G1" s="7">
        <v>2022</v>
      </c>
      <c r="H1" s="7">
        <v>2023</v>
      </c>
      <c r="I1" s="7">
        <v>2024</v>
      </c>
      <c r="J1" s="7">
        <v>2025</v>
      </c>
      <c r="K1" s="7">
        <v>2026</v>
      </c>
      <c r="L1" s="7">
        <v>2027</v>
      </c>
      <c r="M1" s="7">
        <v>2028</v>
      </c>
      <c r="N1" s="7">
        <v>2029</v>
      </c>
      <c r="O1" s="7">
        <v>2030</v>
      </c>
      <c r="P1" s="7">
        <v>2031</v>
      </c>
      <c r="Q1" s="7">
        <v>2032</v>
      </c>
      <c r="R1" s="7">
        <v>2033</v>
      </c>
      <c r="S1" s="7">
        <v>2034</v>
      </c>
      <c r="T1" s="7">
        <v>2035</v>
      </c>
      <c r="U1" s="7">
        <v>2036</v>
      </c>
      <c r="V1" s="7">
        <v>2037</v>
      </c>
      <c r="W1" s="7">
        <v>2038</v>
      </c>
      <c r="X1" s="7">
        <v>2039</v>
      </c>
      <c r="Y1" s="7">
        <v>2040</v>
      </c>
      <c r="Z1" s="7">
        <v>2041</v>
      </c>
      <c r="AA1" s="7">
        <v>2042</v>
      </c>
      <c r="AB1" s="7">
        <v>2043</v>
      </c>
      <c r="AC1" s="7">
        <v>2044</v>
      </c>
      <c r="AD1" s="7">
        <v>2045</v>
      </c>
      <c r="AE1" s="7">
        <v>2046</v>
      </c>
      <c r="AF1" s="7">
        <v>2047</v>
      </c>
      <c r="AG1" s="7">
        <v>2048</v>
      </c>
      <c r="AH1" s="7">
        <v>2049</v>
      </c>
      <c r="AI1" s="7">
        <v>2050</v>
      </c>
      <c r="AJ1" s="1"/>
      <c r="AK1" s="1"/>
      <c r="AL1" s="1"/>
      <c r="AM1" s="1"/>
    </row>
    <row r="2" spans="1:39" s="48" customFormat="1">
      <c r="A2" s="48" t="s">
        <v>490</v>
      </c>
      <c r="B2" s="48" t="s">
        <v>58</v>
      </c>
      <c r="C2" s="48" t="s">
        <v>491</v>
      </c>
      <c r="D2" s="48">
        <v>0.46200000000000002</v>
      </c>
      <c r="E2" s="48">
        <v>0.43099999999999999</v>
      </c>
      <c r="F2" s="48">
        <v>0.40600000000000003</v>
      </c>
      <c r="G2" s="48">
        <v>0.38400000000000001</v>
      </c>
      <c r="H2" s="48">
        <v>0.36499999999999999</v>
      </c>
      <c r="I2" s="48">
        <v>0.34799999999999998</v>
      </c>
      <c r="J2" s="48">
        <v>0.33300000000000002</v>
      </c>
      <c r="K2" s="48">
        <v>0.31900000000000001</v>
      </c>
      <c r="L2" s="48">
        <v>0.307</v>
      </c>
      <c r="M2" s="48">
        <v>0.29599999999999999</v>
      </c>
      <c r="N2" s="48">
        <v>0.28499999999999998</v>
      </c>
      <c r="O2" s="48">
        <v>0.27500000000000002</v>
      </c>
      <c r="P2" s="48">
        <v>0.26600000000000001</v>
      </c>
      <c r="Q2" s="48">
        <v>0.25700000000000001</v>
      </c>
      <c r="R2" s="48">
        <v>0.249</v>
      </c>
      <c r="S2" s="48">
        <v>0.24199999999999999</v>
      </c>
      <c r="T2" s="48">
        <v>0.23499999999999999</v>
      </c>
      <c r="U2" s="48">
        <v>0.22800000000000001</v>
      </c>
      <c r="V2" s="48">
        <v>0.221</v>
      </c>
      <c r="W2" s="48">
        <v>0.215</v>
      </c>
      <c r="X2" s="48">
        <v>0.20899999999999999</v>
      </c>
      <c r="Y2" s="48">
        <v>0.20399999999999999</v>
      </c>
      <c r="Z2" s="48">
        <v>0.19900000000000001</v>
      </c>
      <c r="AA2" s="48">
        <v>0.19400000000000001</v>
      </c>
      <c r="AB2" s="48">
        <v>0.189</v>
      </c>
      <c r="AC2" s="48">
        <v>0.185</v>
      </c>
      <c r="AD2" s="48">
        <v>0.18099999999999999</v>
      </c>
      <c r="AE2" s="48">
        <v>0.17699999999999999</v>
      </c>
      <c r="AF2" s="48">
        <v>0.17399999999999999</v>
      </c>
      <c r="AG2" s="48">
        <v>0.17</v>
      </c>
      <c r="AH2" s="48">
        <v>0.16700000000000001</v>
      </c>
      <c r="AI2" s="48">
        <v>0.16400000000000001</v>
      </c>
    </row>
    <row r="3" spans="1:39" s="16" customFormat="1">
      <c r="A3" s="16" t="s">
        <v>490</v>
      </c>
      <c r="B3" s="16" t="s">
        <v>58</v>
      </c>
      <c r="C3" s="16" t="s">
        <v>492</v>
      </c>
      <c r="D3" s="16">
        <f t="shared" ref="D3:AI3" si="0">D2*1000</f>
        <v>462</v>
      </c>
      <c r="E3" s="16">
        <f t="shared" si="0"/>
        <v>431</v>
      </c>
      <c r="F3" s="16">
        <f t="shared" si="0"/>
        <v>406</v>
      </c>
      <c r="G3" s="16">
        <f t="shared" si="0"/>
        <v>384</v>
      </c>
      <c r="H3" s="16">
        <f t="shared" si="0"/>
        <v>365</v>
      </c>
      <c r="I3" s="16">
        <f t="shared" si="0"/>
        <v>348</v>
      </c>
      <c r="J3" s="16">
        <f t="shared" si="0"/>
        <v>333</v>
      </c>
      <c r="K3" s="16">
        <f t="shared" si="0"/>
        <v>319</v>
      </c>
      <c r="L3" s="16">
        <f t="shared" si="0"/>
        <v>307</v>
      </c>
      <c r="M3" s="16">
        <f t="shared" si="0"/>
        <v>296</v>
      </c>
      <c r="N3" s="16">
        <f t="shared" si="0"/>
        <v>285</v>
      </c>
      <c r="O3" s="16">
        <f t="shared" si="0"/>
        <v>275</v>
      </c>
      <c r="P3" s="16">
        <f t="shared" si="0"/>
        <v>266</v>
      </c>
      <c r="Q3" s="16">
        <f t="shared" si="0"/>
        <v>257</v>
      </c>
      <c r="R3" s="16">
        <f t="shared" si="0"/>
        <v>249</v>
      </c>
      <c r="S3" s="16">
        <f t="shared" si="0"/>
        <v>242</v>
      </c>
      <c r="T3" s="16">
        <f t="shared" si="0"/>
        <v>235</v>
      </c>
      <c r="U3" s="16">
        <f t="shared" si="0"/>
        <v>228</v>
      </c>
      <c r="V3" s="16">
        <f t="shared" si="0"/>
        <v>221</v>
      </c>
      <c r="W3" s="16">
        <f t="shared" si="0"/>
        <v>215</v>
      </c>
      <c r="X3" s="16">
        <f t="shared" si="0"/>
        <v>209</v>
      </c>
      <c r="Y3" s="16">
        <f t="shared" si="0"/>
        <v>204</v>
      </c>
      <c r="Z3" s="16">
        <f t="shared" si="0"/>
        <v>199</v>
      </c>
      <c r="AA3" s="16">
        <f t="shared" si="0"/>
        <v>194</v>
      </c>
      <c r="AB3" s="16">
        <f t="shared" si="0"/>
        <v>189</v>
      </c>
      <c r="AC3" s="16">
        <f t="shared" si="0"/>
        <v>185</v>
      </c>
      <c r="AD3" s="16">
        <f t="shared" si="0"/>
        <v>181</v>
      </c>
      <c r="AE3" s="16">
        <f t="shared" si="0"/>
        <v>177</v>
      </c>
      <c r="AF3" s="16">
        <f t="shared" si="0"/>
        <v>174</v>
      </c>
      <c r="AG3" s="16">
        <f t="shared" si="0"/>
        <v>170</v>
      </c>
      <c r="AH3" s="16">
        <f t="shared" si="0"/>
        <v>167</v>
      </c>
      <c r="AI3" s="16">
        <f t="shared" si="0"/>
        <v>164</v>
      </c>
    </row>
    <row r="4" spans="1:39" s="48" customFormat="1">
      <c r="A4" s="48" t="s">
        <v>490</v>
      </c>
      <c r="B4" s="48" t="s">
        <v>60</v>
      </c>
      <c r="C4" s="48" t="s">
        <v>493</v>
      </c>
      <c r="D4" s="48">
        <v>9.1999999999999993</v>
      </c>
      <c r="E4" s="48">
        <v>8.8000000000000007</v>
      </c>
      <c r="F4" s="48">
        <v>8.4</v>
      </c>
      <c r="G4" s="48">
        <v>8.1</v>
      </c>
      <c r="H4" s="48">
        <v>7.8</v>
      </c>
      <c r="I4" s="48">
        <v>7.6</v>
      </c>
      <c r="J4" s="48">
        <v>7.4</v>
      </c>
      <c r="K4" s="48">
        <v>7.1</v>
      </c>
      <c r="L4" s="48">
        <v>6.9</v>
      </c>
      <c r="M4" s="48">
        <v>6.7</v>
      </c>
      <c r="N4" s="48">
        <v>6.6</v>
      </c>
      <c r="O4" s="48">
        <v>6.4</v>
      </c>
      <c r="P4" s="48">
        <v>6.2</v>
      </c>
      <c r="Q4" s="48">
        <v>6.1</v>
      </c>
      <c r="R4" s="48">
        <v>5.9</v>
      </c>
      <c r="S4" s="48">
        <v>5.8</v>
      </c>
      <c r="T4" s="48">
        <v>5.6</v>
      </c>
      <c r="U4" s="48">
        <v>5.5</v>
      </c>
      <c r="V4" s="48">
        <v>5.4</v>
      </c>
      <c r="W4" s="48">
        <v>5.3</v>
      </c>
      <c r="X4" s="48">
        <v>5.0999999999999996</v>
      </c>
      <c r="Y4" s="48">
        <v>5</v>
      </c>
      <c r="Z4" s="48">
        <v>4.9000000000000004</v>
      </c>
      <c r="AA4" s="48">
        <v>4.8</v>
      </c>
      <c r="AB4" s="48">
        <v>4.7</v>
      </c>
      <c r="AC4" s="48">
        <v>4.5999999999999996</v>
      </c>
      <c r="AD4" s="48">
        <v>4.5999999999999996</v>
      </c>
      <c r="AE4" s="48">
        <v>4.5</v>
      </c>
      <c r="AF4" s="48">
        <v>4.4000000000000004</v>
      </c>
      <c r="AG4" s="48">
        <v>4.3</v>
      </c>
      <c r="AH4" s="48">
        <v>4.2</v>
      </c>
      <c r="AI4" s="48">
        <v>4.2</v>
      </c>
    </row>
    <row r="5" spans="1:39">
      <c r="A5" s="11" t="s">
        <v>490</v>
      </c>
      <c r="B5" s="11" t="s">
        <v>60</v>
      </c>
      <c r="C5" s="106" t="s">
        <v>424</v>
      </c>
      <c r="D5" s="106">
        <f t="shared" ref="D5:AI5" si="1">D4/D3</f>
        <v>1.9913419913419911E-2</v>
      </c>
      <c r="E5" s="106">
        <f t="shared" si="1"/>
        <v>2.0417633410672854E-2</v>
      </c>
      <c r="F5" s="106">
        <f t="shared" si="1"/>
        <v>2.0689655172413793E-2</v>
      </c>
      <c r="G5" s="106">
        <f t="shared" si="1"/>
        <v>2.1093749999999998E-2</v>
      </c>
      <c r="H5" s="106">
        <f t="shared" si="1"/>
        <v>2.1369863013698628E-2</v>
      </c>
      <c r="I5" s="106">
        <f t="shared" si="1"/>
        <v>2.1839080459770115E-2</v>
      </c>
      <c r="J5" s="106">
        <f t="shared" si="1"/>
        <v>2.2222222222222223E-2</v>
      </c>
      <c r="K5" s="106">
        <f t="shared" si="1"/>
        <v>2.2257053291536048E-2</v>
      </c>
      <c r="L5" s="106">
        <f t="shared" si="1"/>
        <v>2.2475570032573292E-2</v>
      </c>
      <c r="M5" s="106">
        <f t="shared" si="1"/>
        <v>2.2635135135135136E-2</v>
      </c>
      <c r="N5" s="106">
        <f t="shared" si="1"/>
        <v>2.3157894736842103E-2</v>
      </c>
      <c r="O5" s="106">
        <f t="shared" si="1"/>
        <v>2.3272727272727275E-2</v>
      </c>
      <c r="P5" s="106">
        <f t="shared" si="1"/>
        <v>2.3308270676691729E-2</v>
      </c>
      <c r="Q5" s="106">
        <f t="shared" si="1"/>
        <v>2.3735408560311283E-2</v>
      </c>
      <c r="R5" s="106">
        <f t="shared" si="1"/>
        <v>2.3694779116465864E-2</v>
      </c>
      <c r="S5" s="106">
        <f t="shared" si="1"/>
        <v>2.3966942148760328E-2</v>
      </c>
      <c r="T5" s="106">
        <f t="shared" si="1"/>
        <v>2.3829787234042551E-2</v>
      </c>
      <c r="U5" s="106">
        <f t="shared" si="1"/>
        <v>2.4122807017543858E-2</v>
      </c>
      <c r="V5" s="106">
        <f t="shared" si="1"/>
        <v>2.4434389140271493E-2</v>
      </c>
      <c r="W5" s="106">
        <f t="shared" si="1"/>
        <v>2.4651162790697675E-2</v>
      </c>
      <c r="X5" s="106">
        <f t="shared" si="1"/>
        <v>2.4401913875598084E-2</v>
      </c>
      <c r="Y5" s="106">
        <f t="shared" si="1"/>
        <v>2.4509803921568627E-2</v>
      </c>
      <c r="Z5" s="106">
        <f t="shared" si="1"/>
        <v>2.4623115577889449E-2</v>
      </c>
      <c r="AA5" s="106">
        <f t="shared" si="1"/>
        <v>2.4742268041237112E-2</v>
      </c>
      <c r="AB5" s="106">
        <f t="shared" si="1"/>
        <v>2.4867724867724868E-2</v>
      </c>
      <c r="AC5" s="106">
        <f t="shared" si="1"/>
        <v>2.4864864864864864E-2</v>
      </c>
      <c r="AD5" s="106">
        <f t="shared" si="1"/>
        <v>2.5414364640883976E-2</v>
      </c>
      <c r="AE5" s="106">
        <f t="shared" si="1"/>
        <v>2.5423728813559324E-2</v>
      </c>
      <c r="AF5" s="106">
        <f t="shared" si="1"/>
        <v>2.5287356321839084E-2</v>
      </c>
      <c r="AG5" s="106">
        <f t="shared" si="1"/>
        <v>2.5294117647058821E-2</v>
      </c>
      <c r="AH5" s="106">
        <f t="shared" si="1"/>
        <v>2.5149700598802397E-2</v>
      </c>
      <c r="AI5" s="106">
        <f t="shared" si="1"/>
        <v>2.5609756097560978E-2</v>
      </c>
    </row>
    <row r="6" spans="1:39" s="48" customFormat="1">
      <c r="A6" s="48" t="s">
        <v>494</v>
      </c>
      <c r="B6" s="48" t="s">
        <v>58</v>
      </c>
      <c r="C6" s="48" t="s">
        <v>495</v>
      </c>
      <c r="D6" s="48">
        <v>0.27500000000000002</v>
      </c>
      <c r="E6" s="48">
        <v>0.251</v>
      </c>
      <c r="F6" s="48">
        <v>0.22900000000000001</v>
      </c>
      <c r="G6" s="48">
        <v>0.20899999999999999</v>
      </c>
      <c r="H6" s="48">
        <v>0.192</v>
      </c>
      <c r="I6" s="48">
        <v>0.17599999999999999</v>
      </c>
      <c r="J6" s="48">
        <v>0.16300000000000001</v>
      </c>
      <c r="K6" s="48">
        <v>0.151</v>
      </c>
      <c r="L6" s="48">
        <v>0.14099999999999999</v>
      </c>
      <c r="M6" s="48">
        <v>0.13200000000000001</v>
      </c>
      <c r="N6" s="48">
        <v>0.124</v>
      </c>
      <c r="O6" s="48">
        <v>0.11700000000000001</v>
      </c>
      <c r="P6" s="48">
        <v>0.112</v>
      </c>
      <c r="Q6" s="48">
        <v>0.106</v>
      </c>
      <c r="R6" s="48">
        <v>0.10199999999999999</v>
      </c>
      <c r="S6" s="48">
        <v>9.8000000000000004E-2</v>
      </c>
      <c r="T6" s="48">
        <v>9.4E-2</v>
      </c>
      <c r="U6" s="48">
        <v>9.0999999999999998E-2</v>
      </c>
      <c r="V6" s="48">
        <v>8.7999999999999995E-2</v>
      </c>
      <c r="W6" s="48">
        <v>8.5000000000000006E-2</v>
      </c>
      <c r="X6" s="48">
        <v>8.2000000000000003E-2</v>
      </c>
      <c r="Y6" s="48">
        <v>0.08</v>
      </c>
      <c r="Z6" s="48">
        <v>7.8E-2</v>
      </c>
      <c r="AA6" s="48">
        <v>7.5999999999999998E-2</v>
      </c>
      <c r="AB6" s="48">
        <v>7.3999999999999996E-2</v>
      </c>
      <c r="AC6" s="48">
        <v>7.2999999999999995E-2</v>
      </c>
      <c r="AD6" s="48">
        <v>7.0999999999999994E-2</v>
      </c>
      <c r="AE6" s="48">
        <v>7.0000000000000007E-2</v>
      </c>
      <c r="AF6" s="48">
        <v>6.9000000000000006E-2</v>
      </c>
      <c r="AG6" s="48">
        <v>6.7000000000000004E-2</v>
      </c>
      <c r="AH6" s="48">
        <v>6.6000000000000003E-2</v>
      </c>
      <c r="AI6" s="48">
        <v>6.5000000000000002E-2</v>
      </c>
    </row>
    <row r="7" spans="1:39" s="16" customFormat="1">
      <c r="A7" s="16" t="s">
        <v>494</v>
      </c>
      <c r="B7" s="16" t="s">
        <v>58</v>
      </c>
      <c r="C7" s="16" t="s">
        <v>436</v>
      </c>
      <c r="D7" s="16">
        <f t="shared" ref="D7:AI7" si="2">D6*1000</f>
        <v>275</v>
      </c>
      <c r="E7" s="16">
        <f t="shared" si="2"/>
        <v>251</v>
      </c>
      <c r="F7" s="16">
        <f t="shared" si="2"/>
        <v>229</v>
      </c>
      <c r="G7" s="16">
        <f t="shared" si="2"/>
        <v>209</v>
      </c>
      <c r="H7" s="16">
        <f t="shared" si="2"/>
        <v>192</v>
      </c>
      <c r="I7" s="16">
        <f t="shared" si="2"/>
        <v>176</v>
      </c>
      <c r="J7" s="16">
        <f t="shared" si="2"/>
        <v>163</v>
      </c>
      <c r="K7" s="16">
        <f t="shared" si="2"/>
        <v>151</v>
      </c>
      <c r="L7" s="16">
        <f t="shared" si="2"/>
        <v>141</v>
      </c>
      <c r="M7" s="16">
        <f t="shared" si="2"/>
        <v>132</v>
      </c>
      <c r="N7" s="16">
        <f t="shared" si="2"/>
        <v>124</v>
      </c>
      <c r="O7" s="16">
        <f t="shared" si="2"/>
        <v>117</v>
      </c>
      <c r="P7" s="16">
        <f t="shared" si="2"/>
        <v>112</v>
      </c>
      <c r="Q7" s="16">
        <f t="shared" si="2"/>
        <v>106</v>
      </c>
      <c r="R7" s="16">
        <f t="shared" si="2"/>
        <v>102</v>
      </c>
      <c r="S7" s="16">
        <f t="shared" si="2"/>
        <v>98</v>
      </c>
      <c r="T7" s="16">
        <f t="shared" si="2"/>
        <v>94</v>
      </c>
      <c r="U7" s="16">
        <f t="shared" si="2"/>
        <v>91</v>
      </c>
      <c r="V7" s="16">
        <f t="shared" si="2"/>
        <v>88</v>
      </c>
      <c r="W7" s="16">
        <f t="shared" si="2"/>
        <v>85</v>
      </c>
      <c r="X7" s="16">
        <f t="shared" si="2"/>
        <v>82</v>
      </c>
      <c r="Y7" s="16">
        <f t="shared" si="2"/>
        <v>80</v>
      </c>
      <c r="Z7" s="16">
        <f t="shared" si="2"/>
        <v>78</v>
      </c>
      <c r="AA7" s="16">
        <f t="shared" si="2"/>
        <v>76</v>
      </c>
      <c r="AB7" s="16">
        <f t="shared" si="2"/>
        <v>74</v>
      </c>
      <c r="AC7" s="16">
        <f t="shared" si="2"/>
        <v>73</v>
      </c>
      <c r="AD7" s="16">
        <f t="shared" si="2"/>
        <v>71</v>
      </c>
      <c r="AE7" s="16">
        <f t="shared" si="2"/>
        <v>70</v>
      </c>
      <c r="AF7" s="16">
        <f t="shared" si="2"/>
        <v>69</v>
      </c>
      <c r="AG7" s="16">
        <f t="shared" si="2"/>
        <v>67</v>
      </c>
      <c r="AH7" s="16">
        <f t="shared" si="2"/>
        <v>66</v>
      </c>
      <c r="AI7" s="16">
        <f t="shared" si="2"/>
        <v>65</v>
      </c>
    </row>
    <row r="8" spans="1:39" s="48" customFormat="1">
      <c r="A8" s="48" t="s">
        <v>494</v>
      </c>
      <c r="B8" s="48" t="s">
        <v>60</v>
      </c>
      <c r="C8" s="48" t="s">
        <v>496</v>
      </c>
      <c r="D8" s="48">
        <v>4.0999999999999996</v>
      </c>
      <c r="E8" s="48">
        <v>3.9</v>
      </c>
      <c r="F8" s="48">
        <v>3.7</v>
      </c>
      <c r="G8" s="48">
        <v>3.6</v>
      </c>
      <c r="H8" s="48">
        <v>3.4</v>
      </c>
      <c r="I8" s="48">
        <v>3.3</v>
      </c>
      <c r="J8" s="48">
        <v>3.2</v>
      </c>
      <c r="K8" s="48">
        <v>3</v>
      </c>
      <c r="L8" s="48">
        <v>2.9</v>
      </c>
      <c r="M8" s="48">
        <v>2.9</v>
      </c>
      <c r="N8" s="48">
        <v>2.8</v>
      </c>
      <c r="O8" s="48">
        <v>2.7</v>
      </c>
      <c r="P8" s="48">
        <v>2.6</v>
      </c>
      <c r="Q8" s="48">
        <v>2.6</v>
      </c>
      <c r="R8" s="48">
        <v>2.5</v>
      </c>
      <c r="S8" s="48">
        <v>2.5</v>
      </c>
      <c r="T8" s="48">
        <v>2.4</v>
      </c>
      <c r="U8" s="48">
        <v>2.4</v>
      </c>
      <c r="V8" s="48">
        <v>2.2999999999999998</v>
      </c>
      <c r="W8" s="48">
        <v>2.2999999999999998</v>
      </c>
      <c r="X8" s="48">
        <v>2.2999999999999998</v>
      </c>
      <c r="Y8" s="48">
        <v>2.2000000000000002</v>
      </c>
      <c r="Z8" s="48">
        <v>2.2000000000000002</v>
      </c>
      <c r="AA8" s="48">
        <v>2.2000000000000002</v>
      </c>
      <c r="AB8" s="48">
        <v>2.2000000000000002</v>
      </c>
      <c r="AC8" s="48">
        <v>2.1</v>
      </c>
      <c r="AD8" s="48">
        <v>2.1</v>
      </c>
      <c r="AE8" s="48">
        <v>2.1</v>
      </c>
      <c r="AF8" s="48">
        <v>2.1</v>
      </c>
      <c r="AG8" s="48">
        <v>2.1</v>
      </c>
      <c r="AH8" s="107">
        <v>2</v>
      </c>
      <c r="AI8" s="107">
        <v>2</v>
      </c>
    </row>
    <row r="9" spans="1:39">
      <c r="A9" t="s">
        <v>494</v>
      </c>
      <c r="B9" t="s">
        <v>60</v>
      </c>
      <c r="C9" t="s">
        <v>424</v>
      </c>
      <c r="D9" s="108">
        <f t="shared" ref="D9:AI9" si="3">D8/D7</f>
        <v>1.4909090909090908E-2</v>
      </c>
      <c r="E9" s="108">
        <f t="shared" si="3"/>
        <v>1.5537848605577689E-2</v>
      </c>
      <c r="F9" s="108">
        <f t="shared" si="3"/>
        <v>1.6157205240174673E-2</v>
      </c>
      <c r="G9" s="108">
        <f t="shared" si="3"/>
        <v>1.7224880382775119E-2</v>
      </c>
      <c r="H9" s="108">
        <f t="shared" si="3"/>
        <v>1.7708333333333333E-2</v>
      </c>
      <c r="I9" s="108">
        <f t="shared" si="3"/>
        <v>1.8749999999999999E-2</v>
      </c>
      <c r="J9" s="108">
        <f t="shared" si="3"/>
        <v>1.9631901840490799E-2</v>
      </c>
      <c r="K9" s="108">
        <f t="shared" si="3"/>
        <v>1.9867549668874173E-2</v>
      </c>
      <c r="L9" s="108">
        <f t="shared" si="3"/>
        <v>2.0567375886524821E-2</v>
      </c>
      <c r="M9" s="108">
        <f t="shared" si="3"/>
        <v>2.1969696969696969E-2</v>
      </c>
      <c r="N9" s="108">
        <f t="shared" si="3"/>
        <v>2.2580645161290321E-2</v>
      </c>
      <c r="O9" s="108">
        <f t="shared" si="3"/>
        <v>2.3076923076923078E-2</v>
      </c>
      <c r="P9" s="108">
        <f t="shared" si="3"/>
        <v>2.3214285714285715E-2</v>
      </c>
      <c r="Q9" s="108">
        <f t="shared" si="3"/>
        <v>2.4528301886792454E-2</v>
      </c>
      <c r="R9" s="108">
        <f t="shared" si="3"/>
        <v>2.4509803921568627E-2</v>
      </c>
      <c r="S9" s="108">
        <f t="shared" si="3"/>
        <v>2.5510204081632654E-2</v>
      </c>
      <c r="T9" s="108">
        <f t="shared" si="3"/>
        <v>2.553191489361702E-2</v>
      </c>
      <c r="U9" s="108">
        <f t="shared" si="3"/>
        <v>2.6373626373626374E-2</v>
      </c>
      <c r="V9" s="108">
        <f t="shared" si="3"/>
        <v>2.6136363636363635E-2</v>
      </c>
      <c r="W9" s="108">
        <f t="shared" si="3"/>
        <v>2.7058823529411764E-2</v>
      </c>
      <c r="X9" s="108">
        <f t="shared" si="3"/>
        <v>2.8048780487804875E-2</v>
      </c>
      <c r="Y9" s="108">
        <f t="shared" si="3"/>
        <v>2.7500000000000004E-2</v>
      </c>
      <c r="Z9" s="108">
        <f t="shared" si="3"/>
        <v>2.8205128205128209E-2</v>
      </c>
      <c r="AA9" s="108">
        <f t="shared" si="3"/>
        <v>2.8947368421052635E-2</v>
      </c>
      <c r="AB9" s="108">
        <f t="shared" si="3"/>
        <v>2.9729729729729731E-2</v>
      </c>
      <c r="AC9" s="108">
        <f t="shared" si="3"/>
        <v>2.8767123287671233E-2</v>
      </c>
      <c r="AD9" s="108">
        <f t="shared" si="3"/>
        <v>2.9577464788732397E-2</v>
      </c>
      <c r="AE9" s="108">
        <f t="shared" si="3"/>
        <v>3.0000000000000002E-2</v>
      </c>
      <c r="AF9" s="108">
        <f t="shared" si="3"/>
        <v>3.0434782608695653E-2</v>
      </c>
      <c r="AG9" s="108">
        <f t="shared" si="3"/>
        <v>3.1343283582089557E-2</v>
      </c>
      <c r="AH9" s="108">
        <f t="shared" si="3"/>
        <v>3.0303030303030304E-2</v>
      </c>
      <c r="AI9" s="108">
        <f t="shared" si="3"/>
        <v>3.0769230769230771E-2</v>
      </c>
    </row>
    <row r="11" spans="1:39">
      <c r="A11" t="s">
        <v>490</v>
      </c>
      <c r="B11" t="s">
        <v>112</v>
      </c>
      <c r="C11" t="s">
        <v>45</v>
      </c>
      <c r="D11">
        <v>30</v>
      </c>
    </row>
    <row r="12" spans="1:39">
      <c r="A12" t="s">
        <v>494</v>
      </c>
      <c r="B12" t="s">
        <v>112</v>
      </c>
      <c r="C12" t="s">
        <v>45</v>
      </c>
      <c r="D12">
        <v>15</v>
      </c>
    </row>
    <row r="15" spans="1:39">
      <c r="A15" t="s">
        <v>428</v>
      </c>
      <c r="B15" t="s">
        <v>104</v>
      </c>
    </row>
  </sheetData>
  <pageMargins left="0.7" right="0.7"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overview</vt:lpstr>
      <vt:lpstr>lit_review_raw</vt:lpstr>
      <vt:lpstr>Fasihi, 2019</vt:lpstr>
      <vt:lpstr>Cole, 2019</vt:lpstr>
      <vt:lpstr>Gorre, 2019</vt:lpstr>
      <vt:lpstr>Agora2019</vt:lpstr>
      <vt:lpstr>EUC2018</vt:lpstr>
      <vt:lpstr>JRC2018</vt:lpstr>
      <vt:lpstr>Vartiainen2020</vt:lpstr>
      <vt:lpstr>PV</vt:lpstr>
      <vt:lpstr>on-shore_wind</vt:lpstr>
      <vt:lpstr>off-shore_wind</vt:lpstr>
      <vt:lpstr>battery</vt:lpstr>
      <vt:lpstr>CSP</vt:lpstr>
      <vt:lpstr>electrolyser</vt:lpstr>
      <vt:lpstr>H2 storage</vt:lpstr>
      <vt:lpstr>FT</vt:lpstr>
      <vt:lpstr>constants</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mdzwg7k44o@student.ethz.ch</dc:creator>
  <dc:description/>
  <cp:lastModifiedBy>Microsoft Office User</cp:lastModifiedBy>
  <cp:revision>12</cp:revision>
  <dcterms:created xsi:type="dcterms:W3CDTF">2020-06-16T11:08:11Z</dcterms:created>
  <dcterms:modified xsi:type="dcterms:W3CDTF">2021-02-01T14:38:00Z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