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4.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5.xml" ContentType="application/vnd.openxmlformats-officedocument.drawing+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drawings/drawing6.xml" ContentType="application/vnd.openxmlformats-officedocument.drawing+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drawings/drawing7.xml" ContentType="application/vnd.openxmlformats-officedocument.drawing+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drawings/drawing8.xml" ContentType="application/vnd.openxmlformats-officedocument.drawing+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drawings/drawing9.xml" ContentType="application/vnd.openxmlformats-officedocument.drawing+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mc:AlternateContent xmlns:mc="http://schemas.openxmlformats.org/markup-compatibility/2006">
    <mc:Choice Requires="x15">
      <x15ac:absPath xmlns:x15ac="http://schemas.microsoft.com/office/spreadsheetml/2010/11/ac" url="/Users/kyleseymour/GitHub/EuroSAFs/data/"/>
    </mc:Choice>
  </mc:AlternateContent>
  <xr:revisionPtr revIDLastSave="0" documentId="13_ncr:1_{2D0B21EE-76C5-D844-99D9-1E4CAF61BB96}" xr6:coauthVersionLast="47" xr6:coauthVersionMax="47" xr10:uidLastSave="{00000000-0000-0000-0000-000000000000}"/>
  <bookViews>
    <workbookView xWindow="-37580" yWindow="1540" windowWidth="35840" windowHeight="21100" xr2:uid="{00000000-000D-0000-FFFF-FFFF00000000}"/>
  </bookViews>
  <sheets>
    <sheet name="overview" sheetId="1" r:id="rId1"/>
    <sheet name="data" sheetId="2" r:id="rId2"/>
    <sheet name="sankey" sheetId="22" r:id="rId3"/>
    <sheet name="lit_review_raw" sheetId="3" r:id="rId4"/>
    <sheet name="Fasihi, 2019" sheetId="4" r:id="rId5"/>
    <sheet name="Cole, 2019" sheetId="5" r:id="rId6"/>
    <sheet name="Gorre, 2019" sheetId="6" r:id="rId7"/>
    <sheet name="Agora2019" sheetId="7" r:id="rId8"/>
    <sheet name="EUC2018" sheetId="8" r:id="rId9"/>
    <sheet name="Tsiropoulos2018 (JRC)" sheetId="9" r:id="rId10"/>
    <sheet name="Vartiainen2020" sheetId="10" r:id="rId11"/>
    <sheet name="PV" sheetId="11" r:id="rId12"/>
    <sheet name="on-shore_wind" sheetId="12" r:id="rId13"/>
    <sheet name="off-shore_wind" sheetId="13" r:id="rId14"/>
    <sheet name="battery" sheetId="14" r:id="rId15"/>
    <sheet name="CSP" sheetId="15" r:id="rId16"/>
    <sheet name="electrolyser" sheetId="16" r:id="rId17"/>
    <sheet name="stack_replacement" sheetId="17" r:id="rId18"/>
    <sheet name="H2 storage" sheetId="18" r:id="rId19"/>
    <sheet name="FT" sheetId="19" r:id="rId20"/>
    <sheet name="constants" sheetId="20" r:id="rId21"/>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24" roundtripDataSignature="AMtx7mi2numBD9b+SAuoeEZOtczU743QKg=="/>
    </ext>
  </extLst>
</workbook>
</file>

<file path=xl/calcChain.xml><?xml version="1.0" encoding="utf-8"?>
<calcChain xmlns="http://schemas.openxmlformats.org/spreadsheetml/2006/main">
  <c r="C30" i="1" l="1"/>
  <c r="AI3" i="2"/>
  <c r="AH3" i="2"/>
  <c r="AG3" i="2"/>
  <c r="AF3" i="2"/>
  <c r="AE3" i="2"/>
  <c r="AD3" i="2"/>
  <c r="AC3" i="2"/>
  <c r="AB3" i="2"/>
  <c r="AA3" i="2"/>
  <c r="Z3" i="2"/>
  <c r="Y3" i="2"/>
  <c r="X3" i="2"/>
  <c r="W3" i="2"/>
  <c r="V3" i="2"/>
  <c r="U3" i="2"/>
  <c r="T3" i="2"/>
  <c r="S3" i="2"/>
  <c r="R3" i="2"/>
  <c r="Q3" i="2"/>
  <c r="P3" i="2"/>
  <c r="O3" i="2"/>
  <c r="N3" i="2"/>
  <c r="M3" i="2"/>
  <c r="L3" i="2"/>
  <c r="K3" i="2"/>
  <c r="J3" i="2"/>
  <c r="I3" i="2"/>
  <c r="H3" i="2"/>
  <c r="G3" i="2"/>
  <c r="F3" i="2"/>
  <c r="E3" i="2"/>
  <c r="D3" i="2"/>
  <c r="C3" i="2"/>
  <c r="B3" i="2"/>
  <c r="B14" i="22"/>
  <c r="B15" i="22"/>
  <c r="B4" i="22"/>
  <c r="B3" i="22"/>
  <c r="B2" i="22"/>
  <c r="B11" i="22" s="1"/>
  <c r="C5" i="20"/>
  <c r="O40" i="19"/>
  <c r="G40" i="19"/>
  <c r="F40" i="19"/>
  <c r="B40" i="19"/>
  <c r="P25" i="19"/>
  <c r="P24" i="19" s="1"/>
  <c r="L25" i="19"/>
  <c r="H25" i="19"/>
  <c r="H24" i="19" s="1"/>
  <c r="D25" i="19"/>
  <c r="D24" i="19" s="1"/>
  <c r="O20" i="19"/>
  <c r="G20" i="19"/>
  <c r="F20" i="19"/>
  <c r="B20" i="19"/>
  <c r="O10" i="19"/>
  <c r="N10" i="19"/>
  <c r="N20" i="19" s="1"/>
  <c r="G10" i="19"/>
  <c r="F10" i="19"/>
  <c r="B10" i="19"/>
  <c r="K5" i="19"/>
  <c r="C4" i="19"/>
  <c r="G4" i="19" s="1"/>
  <c r="B4" i="19"/>
  <c r="J4" i="19" s="1"/>
  <c r="J3" i="19"/>
  <c r="H3" i="19"/>
  <c r="L3" i="19" s="1"/>
  <c r="P3" i="19" s="1"/>
  <c r="D3" i="19"/>
  <c r="C3" i="19"/>
  <c r="O66" i="19" s="1"/>
  <c r="B3" i="19"/>
  <c r="K66" i="19" s="1"/>
  <c r="C10" i="17"/>
  <c r="B10" i="17"/>
  <c r="C9" i="17"/>
  <c r="B9" i="17"/>
  <c r="C8" i="17"/>
  <c r="C7" i="17"/>
  <c r="C6" i="17"/>
  <c r="C5" i="17"/>
  <c r="B5" i="17"/>
  <c r="C3" i="17"/>
  <c r="C2" i="17"/>
  <c r="C4" i="17" s="1"/>
  <c r="B2" i="17"/>
  <c r="B3" i="17" s="1"/>
  <c r="T66" i="16"/>
  <c r="AC40" i="16"/>
  <c r="AB40" i="16"/>
  <c r="Y40" i="16"/>
  <c r="X40" i="16"/>
  <c r="V40" i="16"/>
  <c r="S40" i="16"/>
  <c r="O40" i="16"/>
  <c r="N40" i="16"/>
  <c r="K40" i="16"/>
  <c r="J40" i="16"/>
  <c r="G40" i="16"/>
  <c r="F40" i="16"/>
  <c r="E40" i="16"/>
  <c r="B40" i="16"/>
  <c r="AB20" i="16"/>
  <c r="Y20" i="16"/>
  <c r="X20" i="16"/>
  <c r="S20" i="16"/>
  <c r="P20" i="16"/>
  <c r="N20" i="16"/>
  <c r="K20" i="16"/>
  <c r="J20" i="16"/>
  <c r="H20" i="16"/>
  <c r="F20" i="16"/>
  <c r="E20" i="16"/>
  <c r="B20" i="16"/>
  <c r="AD18" i="16"/>
  <c r="AC15" i="16"/>
  <c r="V15" i="16"/>
  <c r="T15" i="16"/>
  <c r="O15" i="16"/>
  <c r="L15" i="16"/>
  <c r="G15" i="16"/>
  <c r="D15" i="16"/>
  <c r="Y10" i="16"/>
  <c r="X10" i="16"/>
  <c r="S10" i="16"/>
  <c r="K10" i="16"/>
  <c r="J10" i="16"/>
  <c r="E10" i="16"/>
  <c r="B10" i="16"/>
  <c r="AE8" i="16"/>
  <c r="AE7" i="16" s="1"/>
  <c r="AD8" i="16"/>
  <c r="Q8" i="16"/>
  <c r="Q7" i="16" s="1"/>
  <c r="P8" i="16"/>
  <c r="I8" i="16"/>
  <c r="H8" i="16"/>
  <c r="AB7" i="16"/>
  <c r="T7" i="16"/>
  <c r="N7" i="16"/>
  <c r="L7" i="16"/>
  <c r="I7" i="16"/>
  <c r="F7" i="16"/>
  <c r="D7" i="16"/>
  <c r="AD4" i="16"/>
  <c r="Z4" i="16"/>
  <c r="Y4" i="16"/>
  <c r="P4" i="16"/>
  <c r="K4" i="16"/>
  <c r="J4" i="16"/>
  <c r="I4" i="16"/>
  <c r="H4" i="16"/>
  <c r="F4" i="16"/>
  <c r="N4" i="16" s="1"/>
  <c r="AB4" i="16" s="1"/>
  <c r="C4" i="16"/>
  <c r="S4" i="16" s="1"/>
  <c r="B4" i="16"/>
  <c r="X4" i="16" s="1"/>
  <c r="AB3" i="16"/>
  <c r="W3" i="16"/>
  <c r="U3" i="16"/>
  <c r="R3" i="16"/>
  <c r="P3" i="16"/>
  <c r="AD3" i="16" s="1"/>
  <c r="O3" i="16"/>
  <c r="V3" i="16" s="1"/>
  <c r="AC3" i="16" s="1"/>
  <c r="L3" i="16"/>
  <c r="Z3" i="16" s="1"/>
  <c r="K3" i="16"/>
  <c r="Y3" i="16" s="1"/>
  <c r="I3" i="16"/>
  <c r="Q3" i="16" s="1"/>
  <c r="AE3" i="16" s="1"/>
  <c r="H3" i="16"/>
  <c r="G3" i="16"/>
  <c r="F3" i="16"/>
  <c r="E3" i="16"/>
  <c r="M3" i="16" s="1"/>
  <c r="AA3" i="16" s="1"/>
  <c r="D3" i="16"/>
  <c r="T3" i="16" s="1"/>
  <c r="C3" i="16"/>
  <c r="W66" i="16" s="1"/>
  <c r="B3" i="16"/>
  <c r="J3" i="16" s="1"/>
  <c r="X3" i="16" s="1"/>
  <c r="D66" i="15"/>
  <c r="C40" i="15"/>
  <c r="B40" i="15"/>
  <c r="C30" i="15"/>
  <c r="B30" i="15"/>
  <c r="C20" i="15"/>
  <c r="B20" i="15"/>
  <c r="C10" i="15"/>
  <c r="B10" i="15"/>
  <c r="D5" i="15"/>
  <c r="C5" i="15"/>
  <c r="B5" i="15"/>
  <c r="D4" i="15"/>
  <c r="C4" i="15"/>
  <c r="B4" i="15"/>
  <c r="C3" i="15"/>
  <c r="B3" i="15"/>
  <c r="D3" i="15" s="1"/>
  <c r="C30" i="14"/>
  <c r="O25" i="14"/>
  <c r="M25" i="14"/>
  <c r="M24" i="14" s="1"/>
  <c r="J25" i="14"/>
  <c r="E25" i="14"/>
  <c r="C25" i="14"/>
  <c r="O24" i="14"/>
  <c r="J24" i="14"/>
  <c r="E24" i="14"/>
  <c r="D20" i="14"/>
  <c r="C20" i="14"/>
  <c r="G15" i="14"/>
  <c r="D15" i="14"/>
  <c r="C15" i="14"/>
  <c r="F10" i="14"/>
  <c r="D10" i="14"/>
  <c r="P9" i="14"/>
  <c r="N9" i="14"/>
  <c r="C7" i="14"/>
  <c r="L5" i="14"/>
  <c r="D5" i="14"/>
  <c r="H4" i="14"/>
  <c r="G4" i="14"/>
  <c r="F4" i="14"/>
  <c r="K3" i="14"/>
  <c r="N3" i="14" s="1"/>
  <c r="P3" i="14" s="1"/>
  <c r="J3" i="14"/>
  <c r="M3" i="14" s="1"/>
  <c r="O3" i="14" s="1"/>
  <c r="H3" i="14"/>
  <c r="G3" i="14"/>
  <c r="F3" i="14"/>
  <c r="I66" i="14" s="1"/>
  <c r="E3" i="14"/>
  <c r="D3" i="14"/>
  <c r="C3" i="14"/>
  <c r="B3" i="14"/>
  <c r="I3" i="14" s="1"/>
  <c r="G66" i="13"/>
  <c r="E40" i="13"/>
  <c r="D40" i="13"/>
  <c r="C40" i="13"/>
  <c r="B40" i="13"/>
  <c r="D30" i="13"/>
  <c r="B30" i="13"/>
  <c r="E20" i="13"/>
  <c r="D20" i="13"/>
  <c r="C20" i="13"/>
  <c r="B20" i="13"/>
  <c r="E10" i="13"/>
  <c r="D10" i="13"/>
  <c r="C10" i="13"/>
  <c r="B10" i="13"/>
  <c r="G5" i="13"/>
  <c r="F5" i="13"/>
  <c r="D5" i="13"/>
  <c r="B5" i="13"/>
  <c r="B4" i="13"/>
  <c r="F4" i="13" s="1"/>
  <c r="G3" i="13"/>
  <c r="F3" i="13"/>
  <c r="E3" i="13"/>
  <c r="D3" i="13"/>
  <c r="C3" i="13"/>
  <c r="B3" i="13"/>
  <c r="E40" i="12"/>
  <c r="D40" i="12"/>
  <c r="C40" i="12"/>
  <c r="B40" i="12"/>
  <c r="D30" i="12"/>
  <c r="B30" i="12"/>
  <c r="E20" i="12"/>
  <c r="D20" i="12"/>
  <c r="C20" i="12"/>
  <c r="B20" i="12"/>
  <c r="E10" i="12"/>
  <c r="D10" i="12"/>
  <c r="C10" i="12"/>
  <c r="B10" i="12"/>
  <c r="G5" i="12"/>
  <c r="F5" i="12"/>
  <c r="D5" i="12"/>
  <c r="B5" i="12"/>
  <c r="F4" i="12"/>
  <c r="D4" i="12"/>
  <c r="B4" i="12"/>
  <c r="G3" i="12"/>
  <c r="F3" i="12"/>
  <c r="E3" i="12"/>
  <c r="D3" i="12"/>
  <c r="C3" i="12"/>
  <c r="B3" i="12"/>
  <c r="G66" i="12" s="1"/>
  <c r="G40" i="11"/>
  <c r="F40" i="11"/>
  <c r="D40" i="11"/>
  <c r="C40" i="11"/>
  <c r="B40" i="11"/>
  <c r="B38" i="11"/>
  <c r="B34" i="11"/>
  <c r="B32" i="11"/>
  <c r="F30" i="11"/>
  <c r="C30" i="11"/>
  <c r="B22" i="11"/>
  <c r="G21" i="11"/>
  <c r="F21" i="11"/>
  <c r="B21" i="11"/>
  <c r="D20" i="11"/>
  <c r="C20" i="11"/>
  <c r="B19" i="11"/>
  <c r="B16" i="11"/>
  <c r="B15" i="11"/>
  <c r="L10" i="11"/>
  <c r="L11" i="11" s="1"/>
  <c r="L12" i="11" s="1"/>
  <c r="L13" i="11" s="1"/>
  <c r="L14" i="11" s="1"/>
  <c r="L15" i="11" s="1"/>
  <c r="L16" i="11" s="1"/>
  <c r="L17" i="11" s="1"/>
  <c r="L18" i="11" s="1"/>
  <c r="L19" i="11" s="1"/>
  <c r="L20" i="11" s="1"/>
  <c r="L21" i="11" s="1"/>
  <c r="L22" i="11" s="1"/>
  <c r="L23" i="11" s="1"/>
  <c r="L24" i="11" s="1"/>
  <c r="L25" i="11" s="1"/>
  <c r="L26" i="11" s="1"/>
  <c r="L27" i="11" s="1"/>
  <c r="L28" i="11" s="1"/>
  <c r="L29" i="11" s="1"/>
  <c r="L30" i="11" s="1"/>
  <c r="L31" i="11" s="1"/>
  <c r="L32" i="11" s="1"/>
  <c r="L33" i="11" s="1"/>
  <c r="L34" i="11" s="1"/>
  <c r="L35" i="11" s="1"/>
  <c r="L36" i="11" s="1"/>
  <c r="L37" i="11" s="1"/>
  <c r="L38" i="11" s="1"/>
  <c r="L39" i="11" s="1"/>
  <c r="G10" i="11"/>
  <c r="F10" i="11"/>
  <c r="D10" i="11"/>
  <c r="C10" i="11"/>
  <c r="L9" i="11"/>
  <c r="K9" i="11"/>
  <c r="K10" i="11" s="1"/>
  <c r="K11" i="11" s="1"/>
  <c r="K12" i="11" s="1"/>
  <c r="K13" i="11" s="1"/>
  <c r="K14" i="11" s="1"/>
  <c r="K15" i="11" s="1"/>
  <c r="K16" i="11" s="1"/>
  <c r="K17" i="11" s="1"/>
  <c r="K18" i="11" s="1"/>
  <c r="K19" i="11" s="1"/>
  <c r="K20" i="11" s="1"/>
  <c r="K21" i="11" s="1"/>
  <c r="K22" i="11" s="1"/>
  <c r="K23" i="11" s="1"/>
  <c r="K24" i="11" s="1"/>
  <c r="K25" i="11" s="1"/>
  <c r="K26" i="11" s="1"/>
  <c r="K27" i="11" s="1"/>
  <c r="K28" i="11" s="1"/>
  <c r="K29" i="11" s="1"/>
  <c r="K30" i="11" s="1"/>
  <c r="K31" i="11" s="1"/>
  <c r="K32" i="11" s="1"/>
  <c r="K33" i="11" s="1"/>
  <c r="K34" i="11" s="1"/>
  <c r="K35" i="11" s="1"/>
  <c r="K36" i="11" s="1"/>
  <c r="K37" i="11" s="1"/>
  <c r="K38" i="11" s="1"/>
  <c r="K39" i="11" s="1"/>
  <c r="K40" i="11" s="1"/>
  <c r="M5" i="11"/>
  <c r="L5" i="11"/>
  <c r="K5" i="11"/>
  <c r="J5" i="11"/>
  <c r="I5" i="11"/>
  <c r="H5" i="11"/>
  <c r="F5" i="11"/>
  <c r="C5" i="11"/>
  <c r="I4" i="11"/>
  <c r="F4" i="11"/>
  <c r="L4" i="11" s="1"/>
  <c r="C4" i="11"/>
  <c r="J3" i="11"/>
  <c r="I3" i="11"/>
  <c r="H3" i="11"/>
  <c r="G3" i="11"/>
  <c r="F3" i="11"/>
  <c r="E3" i="11"/>
  <c r="D3" i="11"/>
  <c r="C3" i="11"/>
  <c r="G67" i="11" s="1"/>
  <c r="B3" i="11"/>
  <c r="AI7" i="10"/>
  <c r="AI9" i="10" s="1"/>
  <c r="I40" i="14" s="1"/>
  <c r="AH7" i="10"/>
  <c r="AH9" i="10" s="1"/>
  <c r="I39" i="14" s="1"/>
  <c r="AG7" i="10"/>
  <c r="AG9" i="10" s="1"/>
  <c r="I38" i="14" s="1"/>
  <c r="AF7" i="10"/>
  <c r="AF9" i="10" s="1"/>
  <c r="I37" i="14" s="1"/>
  <c r="AE7" i="10"/>
  <c r="AE9" i="10" s="1"/>
  <c r="I36" i="14" s="1"/>
  <c r="AD7" i="10"/>
  <c r="B35" i="14" s="1"/>
  <c r="AC7" i="10"/>
  <c r="B34" i="14" s="1"/>
  <c r="AB7" i="10"/>
  <c r="B33" i="14" s="1"/>
  <c r="AA7" i="10"/>
  <c r="B32" i="14" s="1"/>
  <c r="Z7" i="10"/>
  <c r="B31" i="14" s="1"/>
  <c r="Y7" i="10"/>
  <c r="B30" i="14" s="1"/>
  <c r="X7" i="10"/>
  <c r="B29" i="14" s="1"/>
  <c r="W7" i="10"/>
  <c r="W9" i="10" s="1"/>
  <c r="I28" i="14" s="1"/>
  <c r="V7" i="10"/>
  <c r="B27" i="14" s="1"/>
  <c r="U7" i="10"/>
  <c r="U9" i="10" s="1"/>
  <c r="I26" i="14" s="1"/>
  <c r="T7" i="10"/>
  <c r="T9" i="10" s="1"/>
  <c r="I25" i="14" s="1"/>
  <c r="S7" i="10"/>
  <c r="B24" i="14" s="1"/>
  <c r="R7" i="10"/>
  <c r="B23" i="14" s="1"/>
  <c r="Q7" i="10"/>
  <c r="B22" i="14" s="1"/>
  <c r="P7" i="10"/>
  <c r="B21" i="14" s="1"/>
  <c r="O7" i="10"/>
  <c r="O9" i="10" s="1"/>
  <c r="I20" i="14" s="1"/>
  <c r="N7" i="10"/>
  <c r="N9" i="10" s="1"/>
  <c r="I19" i="14" s="1"/>
  <c r="M7" i="10"/>
  <c r="B18" i="14" s="1"/>
  <c r="L7" i="10"/>
  <c r="B17" i="14" s="1"/>
  <c r="K7" i="10"/>
  <c r="B16" i="14" s="1"/>
  <c r="J7" i="10"/>
  <c r="B15" i="14" s="1"/>
  <c r="I7" i="10"/>
  <c r="B14" i="14" s="1"/>
  <c r="H7" i="10"/>
  <c r="B13" i="14" s="1"/>
  <c r="G7" i="10"/>
  <c r="G9" i="10" s="1"/>
  <c r="I12" i="14" s="1"/>
  <c r="F7" i="10"/>
  <c r="F9" i="10" s="1"/>
  <c r="I11" i="14" s="1"/>
  <c r="E7" i="10"/>
  <c r="E9" i="10" s="1"/>
  <c r="I10" i="14" s="1"/>
  <c r="D7" i="10"/>
  <c r="D9" i="10" s="1"/>
  <c r="I9" i="14" s="1"/>
  <c r="AI3" i="10"/>
  <c r="AI5" i="10" s="1"/>
  <c r="E40" i="11" s="1"/>
  <c r="AH3" i="10"/>
  <c r="AH5" i="10" s="1"/>
  <c r="E39" i="11" s="1"/>
  <c r="AG3" i="10"/>
  <c r="AG5" i="10" s="1"/>
  <c r="E38" i="11" s="1"/>
  <c r="AF3" i="10"/>
  <c r="B37" i="11" s="1"/>
  <c r="AE3" i="10"/>
  <c r="B36" i="11" s="1"/>
  <c r="AD3" i="10"/>
  <c r="AD5" i="10" s="1"/>
  <c r="E35" i="11" s="1"/>
  <c r="AC3" i="10"/>
  <c r="AC5" i="10" s="1"/>
  <c r="E34" i="11" s="1"/>
  <c r="AB3" i="10"/>
  <c r="B33" i="11" s="1"/>
  <c r="AA3" i="10"/>
  <c r="AA5" i="10" s="1"/>
  <c r="E32" i="11" s="1"/>
  <c r="Z3" i="10"/>
  <c r="B31" i="11" s="1"/>
  <c r="Y3" i="10"/>
  <c r="B30" i="11" s="1"/>
  <c r="X3" i="10"/>
  <c r="B29" i="11" s="1"/>
  <c r="W3" i="10"/>
  <c r="W5" i="10" s="1"/>
  <c r="E28" i="11" s="1"/>
  <c r="V3" i="10"/>
  <c r="V5" i="10" s="1"/>
  <c r="E27" i="11" s="1"/>
  <c r="U3" i="10"/>
  <c r="B26" i="11" s="1"/>
  <c r="T3" i="10"/>
  <c r="T5" i="10" s="1"/>
  <c r="E25" i="11" s="1"/>
  <c r="S3" i="10"/>
  <c r="S5" i="10" s="1"/>
  <c r="E24" i="11" s="1"/>
  <c r="R3" i="10"/>
  <c r="R5" i="10" s="1"/>
  <c r="E23" i="11" s="1"/>
  <c r="Q3" i="10"/>
  <c r="Q5" i="10" s="1"/>
  <c r="E22" i="11" s="1"/>
  <c r="P3" i="10"/>
  <c r="P5" i="10" s="1"/>
  <c r="E21" i="11" s="1"/>
  <c r="O3" i="10"/>
  <c r="O5" i="10" s="1"/>
  <c r="E20" i="11" s="1"/>
  <c r="N3" i="10"/>
  <c r="N5" i="10" s="1"/>
  <c r="E19" i="11" s="1"/>
  <c r="M3" i="10"/>
  <c r="B18" i="11" s="1"/>
  <c r="L3" i="10"/>
  <c r="B17" i="11" s="1"/>
  <c r="K3" i="10"/>
  <c r="K5" i="10" s="1"/>
  <c r="E16" i="11" s="1"/>
  <c r="J3" i="10"/>
  <c r="J5" i="10" s="1"/>
  <c r="E15" i="11" s="1"/>
  <c r="I3" i="10"/>
  <c r="B14" i="11" s="1"/>
  <c r="H3" i="10"/>
  <c r="B13" i="11" s="1"/>
  <c r="G3" i="10"/>
  <c r="G5" i="10" s="1"/>
  <c r="E12" i="11" s="1"/>
  <c r="F3" i="10"/>
  <c r="F5" i="10" s="1"/>
  <c r="E11" i="11" s="1"/>
  <c r="E3" i="10"/>
  <c r="E5" i="10" s="1"/>
  <c r="E10" i="11" s="1"/>
  <c r="D3" i="10"/>
  <c r="D5" i="10" s="1"/>
  <c r="E9" i="11" s="1"/>
  <c r="K10" i="6"/>
  <c r="J10" i="6"/>
  <c r="I10" i="6"/>
  <c r="F7" i="6"/>
  <c r="E7" i="6"/>
  <c r="D7" i="6"/>
  <c r="D13" i="5"/>
  <c r="K9" i="14" s="1"/>
  <c r="K8" i="14" s="1"/>
  <c r="C13" i="5"/>
  <c r="B13" i="5"/>
  <c r="H7" i="5"/>
  <c r="H40" i="14" s="1"/>
  <c r="G7" i="5"/>
  <c r="H20" i="14" s="1"/>
  <c r="F7" i="5"/>
  <c r="H15" i="14" s="1"/>
  <c r="E7" i="5"/>
  <c r="H10" i="14" s="1"/>
  <c r="D7" i="5"/>
  <c r="H8" i="14" s="1"/>
  <c r="H6" i="5"/>
  <c r="F40" i="14" s="1"/>
  <c r="G6" i="5"/>
  <c r="F20" i="14" s="1"/>
  <c r="F6" i="5"/>
  <c r="F15" i="14" s="1"/>
  <c r="E6" i="5"/>
  <c r="D6" i="5"/>
  <c r="F8" i="14" s="1"/>
  <c r="H5" i="5"/>
  <c r="G40" i="14" s="1"/>
  <c r="G5" i="5"/>
  <c r="G20" i="14" s="1"/>
  <c r="F5" i="5"/>
  <c r="E5" i="5"/>
  <c r="G10" i="14" s="1"/>
  <c r="D5" i="5"/>
  <c r="G8" i="14" s="1"/>
  <c r="AN67" i="3"/>
  <c r="AM67" i="3"/>
  <c r="AN66" i="3"/>
  <c r="AM66" i="3"/>
  <c r="AN65" i="3"/>
  <c r="AM65" i="3"/>
  <c r="AR61" i="3"/>
  <c r="AM60" i="3"/>
  <c r="AM59" i="3"/>
  <c r="AM58" i="3"/>
  <c r="AM57" i="3"/>
  <c r="AM56" i="3"/>
  <c r="X55" i="3"/>
  <c r="X54" i="3"/>
  <c r="AM48" i="3"/>
  <c r="BQ42" i="3"/>
  <c r="AS41" i="3"/>
  <c r="AQ41" i="3"/>
  <c r="AM39" i="3"/>
  <c r="AN38" i="3"/>
  <c r="AM38" i="3"/>
  <c r="AM37" i="3"/>
  <c r="AM35" i="3"/>
  <c r="AM34" i="3"/>
  <c r="BA33" i="3"/>
  <c r="AD33" i="3"/>
  <c r="C40" i="16" s="1"/>
  <c r="BA32" i="3"/>
  <c r="AD32" i="3"/>
  <c r="C20" i="19" s="1"/>
  <c r="BA31" i="3"/>
  <c r="AM31" i="3"/>
  <c r="AD31" i="3"/>
  <c r="C10" i="16" s="1"/>
  <c r="Y31" i="3"/>
  <c r="X31" i="3"/>
  <c r="X27" i="3"/>
  <c r="Y27" i="3" s="1"/>
  <c r="P27" i="3"/>
  <c r="Q27" i="3" s="1"/>
  <c r="X26" i="3"/>
  <c r="P26" i="3"/>
  <c r="Y25" i="3"/>
  <c r="X25" i="3"/>
  <c r="Q24" i="3"/>
  <c r="G24" i="3"/>
  <c r="Y23" i="3"/>
  <c r="X23" i="3"/>
  <c r="G23" i="3"/>
  <c r="F23" i="3"/>
  <c r="Y22" i="3"/>
  <c r="X22" i="3"/>
  <c r="F22" i="3"/>
  <c r="G22" i="3" s="1"/>
  <c r="U21" i="3"/>
  <c r="P21" i="3"/>
  <c r="Q21" i="3" s="1"/>
  <c r="K21" i="3"/>
  <c r="J21" i="3"/>
  <c r="AE16" i="3"/>
  <c r="Q16" i="3"/>
  <c r="AD15" i="3"/>
  <c r="AD14" i="3"/>
  <c r="AI13" i="3"/>
  <c r="Z15" i="16" s="1"/>
  <c r="AI12" i="3"/>
  <c r="Z7" i="16" s="1"/>
  <c r="M7" i="3"/>
  <c r="K7" i="3"/>
  <c r="J7" i="3"/>
  <c r="AI82" i="2"/>
  <c r="AH82" i="2"/>
  <c r="AG82" i="2"/>
  <c r="AF82" i="2"/>
  <c r="AE82" i="2"/>
  <c r="AD82" i="2"/>
  <c r="AC82" i="2"/>
  <c r="AB82" i="2"/>
  <c r="AA82" i="2"/>
  <c r="Z82" i="2"/>
  <c r="Y82" i="2"/>
  <c r="X82" i="2"/>
  <c r="W82" i="2"/>
  <c r="V82" i="2"/>
  <c r="U82" i="2"/>
  <c r="T82" i="2"/>
  <c r="S82" i="2"/>
  <c r="R82" i="2"/>
  <c r="Q82" i="2"/>
  <c r="P82" i="2"/>
  <c r="O82" i="2"/>
  <c r="N82" i="2"/>
  <c r="M82" i="2"/>
  <c r="L82" i="2"/>
  <c r="K82" i="2"/>
  <c r="J82" i="2"/>
  <c r="I82" i="2"/>
  <c r="H82" i="2"/>
  <c r="G82" i="2"/>
  <c r="F82" i="2"/>
  <c r="E82" i="2"/>
  <c r="D82" i="2"/>
  <c r="C82" i="2"/>
  <c r="B82" i="2"/>
  <c r="AI81" i="2"/>
  <c r="AH81" i="2"/>
  <c r="AG81" i="2"/>
  <c r="AF81" i="2"/>
  <c r="AE81" i="2"/>
  <c r="AD81" i="2"/>
  <c r="AC81" i="2"/>
  <c r="AB81" i="2"/>
  <c r="AA81" i="2"/>
  <c r="Z81" i="2"/>
  <c r="Y81" i="2"/>
  <c r="X81" i="2"/>
  <c r="W81" i="2"/>
  <c r="V81" i="2"/>
  <c r="U81" i="2"/>
  <c r="T81" i="2"/>
  <c r="S81" i="2"/>
  <c r="R81" i="2"/>
  <c r="Q81" i="2"/>
  <c r="P81" i="2"/>
  <c r="O81" i="2"/>
  <c r="N81" i="2"/>
  <c r="M81" i="2"/>
  <c r="L81" i="2"/>
  <c r="K81" i="2"/>
  <c r="J81" i="2"/>
  <c r="I81" i="2"/>
  <c r="H81" i="2"/>
  <c r="G81" i="2"/>
  <c r="F81" i="2"/>
  <c r="E81" i="2"/>
  <c r="D81" i="2"/>
  <c r="C81" i="2"/>
  <c r="B81" i="2"/>
  <c r="AI80" i="2"/>
  <c r="AH80" i="2"/>
  <c r="AG80" i="2"/>
  <c r="AF80" i="2"/>
  <c r="AE80" i="2"/>
  <c r="AD80" i="2"/>
  <c r="AC80" i="2"/>
  <c r="AB80" i="2"/>
  <c r="AA80" i="2"/>
  <c r="Z80" i="2"/>
  <c r="Y80" i="2"/>
  <c r="X80" i="2"/>
  <c r="W80" i="2"/>
  <c r="V80" i="2"/>
  <c r="U80" i="2"/>
  <c r="T80" i="2"/>
  <c r="S80" i="2"/>
  <c r="R80" i="2"/>
  <c r="Q80" i="2"/>
  <c r="P80" i="2"/>
  <c r="O80" i="2"/>
  <c r="N80" i="2"/>
  <c r="M80" i="2"/>
  <c r="L80" i="2"/>
  <c r="K80" i="2"/>
  <c r="J80" i="2"/>
  <c r="I80" i="2"/>
  <c r="H80" i="2"/>
  <c r="G80" i="2"/>
  <c r="F80" i="2"/>
  <c r="E80" i="2"/>
  <c r="D80" i="2"/>
  <c r="C80" i="2"/>
  <c r="B80" i="2"/>
  <c r="AI79" i="2"/>
  <c r="AH79" i="2"/>
  <c r="AG79" i="2"/>
  <c r="AF79" i="2"/>
  <c r="AE79" i="2"/>
  <c r="AD79" i="2"/>
  <c r="AC79" i="2"/>
  <c r="AB79" i="2"/>
  <c r="AA79" i="2"/>
  <c r="Z79" i="2"/>
  <c r="Y79" i="2"/>
  <c r="X79" i="2"/>
  <c r="W79" i="2"/>
  <c r="V79" i="2"/>
  <c r="U79" i="2"/>
  <c r="T79" i="2"/>
  <c r="S79" i="2"/>
  <c r="R79" i="2"/>
  <c r="Q79" i="2"/>
  <c r="P79" i="2"/>
  <c r="O79" i="2"/>
  <c r="N79" i="2"/>
  <c r="M79" i="2"/>
  <c r="L79" i="2"/>
  <c r="K79" i="2"/>
  <c r="J79" i="2"/>
  <c r="I79" i="2"/>
  <c r="H79" i="2"/>
  <c r="G79" i="2"/>
  <c r="F79" i="2"/>
  <c r="E79" i="2"/>
  <c r="B79" i="2"/>
  <c r="AI78" i="2"/>
  <c r="AH78" i="2"/>
  <c r="AG78" i="2"/>
  <c r="AF78" i="2"/>
  <c r="AE78" i="2"/>
  <c r="AD78" i="2"/>
  <c r="AC78" i="2"/>
  <c r="AB78" i="2"/>
  <c r="AA78" i="2"/>
  <c r="Z78" i="2"/>
  <c r="Y78" i="2"/>
  <c r="X78" i="2"/>
  <c r="W78" i="2"/>
  <c r="V78" i="2"/>
  <c r="U78" i="2"/>
  <c r="T78" i="2"/>
  <c r="S78" i="2"/>
  <c r="R78" i="2"/>
  <c r="Q78" i="2"/>
  <c r="P78" i="2"/>
  <c r="O78" i="2"/>
  <c r="N78" i="2"/>
  <c r="M78" i="2"/>
  <c r="L78" i="2"/>
  <c r="K78" i="2"/>
  <c r="J78" i="2"/>
  <c r="I78" i="2"/>
  <c r="H78" i="2"/>
  <c r="G78" i="2"/>
  <c r="F78" i="2"/>
  <c r="E78" i="2"/>
  <c r="B78" i="2"/>
  <c r="AI77" i="2"/>
  <c r="AH77" i="2"/>
  <c r="AG77" i="2"/>
  <c r="AF77" i="2"/>
  <c r="AE77" i="2"/>
  <c r="AD77" i="2"/>
  <c r="AC77" i="2"/>
  <c r="AB77" i="2"/>
  <c r="AA77" i="2"/>
  <c r="Z77" i="2"/>
  <c r="Y77" i="2"/>
  <c r="X77" i="2"/>
  <c r="W77" i="2"/>
  <c r="V77" i="2"/>
  <c r="U77" i="2"/>
  <c r="T77" i="2"/>
  <c r="S77" i="2"/>
  <c r="R77" i="2"/>
  <c r="Q77" i="2"/>
  <c r="P77" i="2"/>
  <c r="O77" i="2"/>
  <c r="N77" i="2"/>
  <c r="M77" i="2"/>
  <c r="L77" i="2"/>
  <c r="K77" i="2"/>
  <c r="J77" i="2"/>
  <c r="I77" i="2"/>
  <c r="H77" i="2"/>
  <c r="G77" i="2"/>
  <c r="F77" i="2"/>
  <c r="E77" i="2"/>
  <c r="D77" i="2"/>
  <c r="B77" i="2"/>
  <c r="AI76" i="2"/>
  <c r="AH76" i="2"/>
  <c r="AG76" i="2"/>
  <c r="AF76" i="2"/>
  <c r="AE76" i="2"/>
  <c r="AD76" i="2"/>
  <c r="AC76" i="2"/>
  <c r="AB76" i="2"/>
  <c r="AA76" i="2"/>
  <c r="Z76" i="2"/>
  <c r="Y76" i="2"/>
  <c r="X76" i="2"/>
  <c r="W76" i="2"/>
  <c r="V76" i="2"/>
  <c r="U76" i="2"/>
  <c r="T76" i="2"/>
  <c r="S76" i="2"/>
  <c r="R76" i="2"/>
  <c r="Q76" i="2"/>
  <c r="P76" i="2"/>
  <c r="O76" i="2"/>
  <c r="N76" i="2"/>
  <c r="M76" i="2"/>
  <c r="L76" i="2"/>
  <c r="K76" i="2"/>
  <c r="J76" i="2"/>
  <c r="I76" i="2"/>
  <c r="H76" i="2"/>
  <c r="G76" i="2"/>
  <c r="F76" i="2"/>
  <c r="E76" i="2"/>
  <c r="D76" i="2"/>
  <c r="C76" i="2"/>
  <c r="B76" i="2"/>
  <c r="AI75" i="2"/>
  <c r="AH75" i="2"/>
  <c r="AG75" i="2"/>
  <c r="AF75" i="2"/>
  <c r="AE75" i="2"/>
  <c r="AD75" i="2"/>
  <c r="AC75" i="2"/>
  <c r="AB75" i="2"/>
  <c r="AA75" i="2"/>
  <c r="Z75" i="2"/>
  <c r="Y75" i="2"/>
  <c r="X75" i="2"/>
  <c r="W75" i="2"/>
  <c r="V75" i="2"/>
  <c r="U75" i="2"/>
  <c r="T75" i="2"/>
  <c r="S75" i="2"/>
  <c r="R75" i="2"/>
  <c r="Q75" i="2"/>
  <c r="P75" i="2"/>
  <c r="O75" i="2"/>
  <c r="N75" i="2"/>
  <c r="M75" i="2"/>
  <c r="L75" i="2"/>
  <c r="K75" i="2"/>
  <c r="J75" i="2"/>
  <c r="I75" i="2"/>
  <c r="H75" i="2"/>
  <c r="G75" i="2"/>
  <c r="F75" i="2"/>
  <c r="E75" i="2"/>
  <c r="D75" i="2"/>
  <c r="C75" i="2"/>
  <c r="B75" i="2"/>
  <c r="AI74" i="2"/>
  <c r="AH74" i="2"/>
  <c r="AG74" i="2"/>
  <c r="AF74" i="2"/>
  <c r="AE74" i="2"/>
  <c r="AD74" i="2"/>
  <c r="AC74" i="2"/>
  <c r="AB74" i="2"/>
  <c r="AA74" i="2"/>
  <c r="Z74" i="2"/>
  <c r="Y74" i="2"/>
  <c r="X74" i="2"/>
  <c r="W74" i="2"/>
  <c r="V74" i="2"/>
  <c r="U74" i="2"/>
  <c r="T74" i="2"/>
  <c r="S74" i="2"/>
  <c r="R74" i="2"/>
  <c r="Q74" i="2"/>
  <c r="P74" i="2"/>
  <c r="O74" i="2"/>
  <c r="N74" i="2"/>
  <c r="M74" i="2"/>
  <c r="L74" i="2"/>
  <c r="K74" i="2"/>
  <c r="J74" i="2"/>
  <c r="I74" i="2"/>
  <c r="H74" i="2"/>
  <c r="G74" i="2"/>
  <c r="F74" i="2"/>
  <c r="E74" i="2"/>
  <c r="D74" i="2"/>
  <c r="C74" i="2"/>
  <c r="B74" i="2"/>
  <c r="AH73" i="2"/>
  <c r="AG73" i="2"/>
  <c r="AF73" i="2"/>
  <c r="AE73" i="2"/>
  <c r="AD73" i="2"/>
  <c r="AC73" i="2"/>
  <c r="AB73" i="2"/>
  <c r="AA73" i="2"/>
  <c r="Z73" i="2"/>
  <c r="Y73" i="2"/>
  <c r="X73" i="2"/>
  <c r="W73" i="2"/>
  <c r="V73" i="2"/>
  <c r="U73" i="2"/>
  <c r="T73" i="2"/>
  <c r="S73" i="2"/>
  <c r="R73" i="2"/>
  <c r="Q73" i="2"/>
  <c r="P73" i="2"/>
  <c r="O73" i="2"/>
  <c r="N73" i="2"/>
  <c r="M73" i="2"/>
  <c r="L73" i="2"/>
  <c r="K73" i="2"/>
  <c r="J73" i="2"/>
  <c r="I73" i="2"/>
  <c r="H73" i="2"/>
  <c r="G73" i="2"/>
  <c r="F73" i="2"/>
  <c r="E73" i="2"/>
  <c r="D73" i="2"/>
  <c r="C73" i="2"/>
  <c r="AH72" i="2"/>
  <c r="AG72" i="2"/>
  <c r="AF72" i="2"/>
  <c r="AE72" i="2"/>
  <c r="AD72" i="2"/>
  <c r="AC72" i="2"/>
  <c r="AB72" i="2"/>
  <c r="AA72" i="2"/>
  <c r="Z72" i="2"/>
  <c r="Y72" i="2"/>
  <c r="X72" i="2"/>
  <c r="W72" i="2"/>
  <c r="V72" i="2"/>
  <c r="U72" i="2"/>
  <c r="T72" i="2"/>
  <c r="S72" i="2"/>
  <c r="R72" i="2"/>
  <c r="Q72" i="2"/>
  <c r="P72" i="2"/>
  <c r="O72" i="2"/>
  <c r="N72" i="2"/>
  <c r="M72" i="2"/>
  <c r="L72" i="2"/>
  <c r="K72" i="2"/>
  <c r="J72" i="2"/>
  <c r="I72" i="2"/>
  <c r="H72" i="2"/>
  <c r="G72" i="2"/>
  <c r="F72" i="2"/>
  <c r="E72" i="2"/>
  <c r="D72" i="2"/>
  <c r="C72" i="2"/>
  <c r="AH71" i="2"/>
  <c r="AG71" i="2"/>
  <c r="AF71" i="2"/>
  <c r="AE71" i="2"/>
  <c r="AD71" i="2"/>
  <c r="AC71" i="2"/>
  <c r="AB71" i="2"/>
  <c r="AA71" i="2"/>
  <c r="Z71" i="2"/>
  <c r="Y71" i="2"/>
  <c r="X71" i="2"/>
  <c r="W71" i="2"/>
  <c r="V71" i="2"/>
  <c r="U71" i="2"/>
  <c r="T71" i="2"/>
  <c r="S71" i="2"/>
  <c r="R71" i="2"/>
  <c r="Q71" i="2"/>
  <c r="P71" i="2"/>
  <c r="O71" i="2"/>
  <c r="N71" i="2"/>
  <c r="M71" i="2"/>
  <c r="L71" i="2"/>
  <c r="K71" i="2"/>
  <c r="J71" i="2"/>
  <c r="I71" i="2"/>
  <c r="H71" i="2"/>
  <c r="G71" i="2"/>
  <c r="F71" i="2"/>
  <c r="E71" i="2"/>
  <c r="D71" i="2"/>
  <c r="C71" i="2"/>
  <c r="AI70" i="2"/>
  <c r="AH70" i="2"/>
  <c r="AG70" i="2"/>
  <c r="AF70" i="2"/>
  <c r="AE70" i="2"/>
  <c r="AD70" i="2"/>
  <c r="AC70" i="2"/>
  <c r="AB70" i="2"/>
  <c r="AA70" i="2"/>
  <c r="Z70" i="2"/>
  <c r="Y70" i="2"/>
  <c r="X70" i="2"/>
  <c r="W70" i="2"/>
  <c r="V70" i="2"/>
  <c r="U70" i="2"/>
  <c r="T70" i="2"/>
  <c r="S70" i="2"/>
  <c r="R70" i="2"/>
  <c r="Q70" i="2"/>
  <c r="P70" i="2"/>
  <c r="O70" i="2"/>
  <c r="N70" i="2"/>
  <c r="M70" i="2"/>
  <c r="L70" i="2"/>
  <c r="K70" i="2"/>
  <c r="J70" i="2"/>
  <c r="I70" i="2"/>
  <c r="H70" i="2"/>
  <c r="G70" i="2"/>
  <c r="F70" i="2"/>
  <c r="E70" i="2"/>
  <c r="D70" i="2"/>
  <c r="C70" i="2"/>
  <c r="B70" i="2"/>
  <c r="AI69" i="2"/>
  <c r="AH69" i="2"/>
  <c r="AG69" i="2"/>
  <c r="AF69" i="2"/>
  <c r="AE69" i="2"/>
  <c r="AD69" i="2"/>
  <c r="AC69" i="2"/>
  <c r="AB69" i="2"/>
  <c r="AA69" i="2"/>
  <c r="Z69" i="2"/>
  <c r="Y69" i="2"/>
  <c r="X69" i="2"/>
  <c r="W69" i="2"/>
  <c r="V69" i="2"/>
  <c r="U69" i="2"/>
  <c r="T69" i="2"/>
  <c r="S69" i="2"/>
  <c r="R69" i="2"/>
  <c r="Q69" i="2"/>
  <c r="P69" i="2"/>
  <c r="O69" i="2"/>
  <c r="N69" i="2"/>
  <c r="M69" i="2"/>
  <c r="L69" i="2"/>
  <c r="K69" i="2"/>
  <c r="J69" i="2"/>
  <c r="I69" i="2"/>
  <c r="H69" i="2"/>
  <c r="G69" i="2"/>
  <c r="F69" i="2"/>
  <c r="E69" i="2"/>
  <c r="D69" i="2"/>
  <c r="C69" i="2"/>
  <c r="B69" i="2"/>
  <c r="AI68" i="2"/>
  <c r="AH68" i="2"/>
  <c r="AG68" i="2"/>
  <c r="AF68" i="2"/>
  <c r="AE68" i="2"/>
  <c r="AD68" i="2"/>
  <c r="AC68" i="2"/>
  <c r="AB68" i="2"/>
  <c r="AA68" i="2"/>
  <c r="Z68" i="2"/>
  <c r="Y68" i="2"/>
  <c r="X68" i="2"/>
  <c r="W68" i="2"/>
  <c r="V68" i="2"/>
  <c r="U68" i="2"/>
  <c r="T68" i="2"/>
  <c r="S68" i="2"/>
  <c r="R68" i="2"/>
  <c r="Q68" i="2"/>
  <c r="P68" i="2"/>
  <c r="O68" i="2"/>
  <c r="N68" i="2"/>
  <c r="M68" i="2"/>
  <c r="L68" i="2"/>
  <c r="K68" i="2"/>
  <c r="J68" i="2"/>
  <c r="I68" i="2"/>
  <c r="H68" i="2"/>
  <c r="G68" i="2"/>
  <c r="F68" i="2"/>
  <c r="E68" i="2"/>
  <c r="D68" i="2"/>
  <c r="C68" i="2"/>
  <c r="B68" i="2"/>
  <c r="AI67" i="2"/>
  <c r="AH67" i="2"/>
  <c r="AG67" i="2"/>
  <c r="AF67" i="2"/>
  <c r="AE67" i="2"/>
  <c r="AD67" i="2"/>
  <c r="AC67" i="2"/>
  <c r="AB67" i="2"/>
  <c r="AA67" i="2"/>
  <c r="Z67" i="2"/>
  <c r="Y67" i="2"/>
  <c r="X67" i="2"/>
  <c r="W67" i="2"/>
  <c r="V67" i="2"/>
  <c r="U67" i="2"/>
  <c r="T67" i="2"/>
  <c r="S67" i="2"/>
  <c r="R67" i="2"/>
  <c r="Q67" i="2"/>
  <c r="P67" i="2"/>
  <c r="O67" i="2"/>
  <c r="N67" i="2"/>
  <c r="M67" i="2"/>
  <c r="L67" i="2"/>
  <c r="K67" i="2"/>
  <c r="J67" i="2"/>
  <c r="I67" i="2"/>
  <c r="H67" i="2"/>
  <c r="G67" i="2"/>
  <c r="F67" i="2"/>
  <c r="E67" i="2"/>
  <c r="D67" i="2"/>
  <c r="C67" i="2"/>
  <c r="B67" i="2"/>
  <c r="AI66" i="2"/>
  <c r="AH66" i="2"/>
  <c r="AG66" i="2"/>
  <c r="AF66" i="2"/>
  <c r="AE66" i="2"/>
  <c r="AD66" i="2"/>
  <c r="AC66" i="2"/>
  <c r="AB66" i="2"/>
  <c r="AA66" i="2"/>
  <c r="Z66" i="2"/>
  <c r="Y66" i="2"/>
  <c r="X66" i="2"/>
  <c r="W66" i="2"/>
  <c r="V66" i="2"/>
  <c r="U66" i="2"/>
  <c r="T66" i="2"/>
  <c r="S66" i="2"/>
  <c r="R66" i="2"/>
  <c r="Q66" i="2"/>
  <c r="P66" i="2"/>
  <c r="O66" i="2"/>
  <c r="N66" i="2"/>
  <c r="M66" i="2"/>
  <c r="L66" i="2"/>
  <c r="K66" i="2"/>
  <c r="J66" i="2"/>
  <c r="I66" i="2"/>
  <c r="H66" i="2"/>
  <c r="G66" i="2"/>
  <c r="F66" i="2"/>
  <c r="E66" i="2"/>
  <c r="D66" i="2"/>
  <c r="C66" i="2"/>
  <c r="AI65" i="2"/>
  <c r="AH65" i="2"/>
  <c r="AG65" i="2"/>
  <c r="AF65" i="2"/>
  <c r="AE65" i="2"/>
  <c r="AD65" i="2"/>
  <c r="AC65" i="2"/>
  <c r="AB65" i="2"/>
  <c r="AA65" i="2"/>
  <c r="Z65" i="2"/>
  <c r="Y65" i="2"/>
  <c r="X65" i="2"/>
  <c r="W65" i="2"/>
  <c r="V65" i="2"/>
  <c r="U65" i="2"/>
  <c r="T65" i="2"/>
  <c r="S65" i="2"/>
  <c r="R65" i="2"/>
  <c r="Q65" i="2"/>
  <c r="P65" i="2"/>
  <c r="O65" i="2"/>
  <c r="N65" i="2"/>
  <c r="M65" i="2"/>
  <c r="L65" i="2"/>
  <c r="K65" i="2"/>
  <c r="J65" i="2"/>
  <c r="I65" i="2"/>
  <c r="H65" i="2"/>
  <c r="G65" i="2"/>
  <c r="F65" i="2"/>
  <c r="E65" i="2"/>
  <c r="D65" i="2"/>
  <c r="C65" i="2"/>
  <c r="B65" i="2"/>
  <c r="AI64" i="2"/>
  <c r="AH64" i="2"/>
  <c r="AG64" i="2"/>
  <c r="AF64" i="2"/>
  <c r="AE64" i="2"/>
  <c r="AD64" i="2"/>
  <c r="AC64" i="2"/>
  <c r="AB64" i="2"/>
  <c r="AA64" i="2"/>
  <c r="Z64" i="2"/>
  <c r="Y64" i="2"/>
  <c r="X64" i="2"/>
  <c r="W64" i="2"/>
  <c r="V64" i="2"/>
  <c r="U64" i="2"/>
  <c r="T64" i="2"/>
  <c r="S64" i="2"/>
  <c r="R64" i="2"/>
  <c r="Q64" i="2"/>
  <c r="P64" i="2"/>
  <c r="O64" i="2"/>
  <c r="N64" i="2"/>
  <c r="M64" i="2"/>
  <c r="L64" i="2"/>
  <c r="K64" i="2"/>
  <c r="J64" i="2"/>
  <c r="I64" i="2"/>
  <c r="H64" i="2"/>
  <c r="G64" i="2"/>
  <c r="F64" i="2"/>
  <c r="E64" i="2"/>
  <c r="D64" i="2"/>
  <c r="C64" i="2"/>
  <c r="AI63" i="2"/>
  <c r="AH63" i="2"/>
  <c r="AG63" i="2"/>
  <c r="AF63" i="2"/>
  <c r="AE63" i="2"/>
  <c r="AD63" i="2"/>
  <c r="AC63" i="2"/>
  <c r="AB63" i="2"/>
  <c r="AA63" i="2"/>
  <c r="Z63" i="2"/>
  <c r="Y63" i="2"/>
  <c r="X63" i="2"/>
  <c r="W63" i="2"/>
  <c r="V63" i="2"/>
  <c r="U63" i="2"/>
  <c r="T63" i="2"/>
  <c r="S63" i="2"/>
  <c r="R63" i="2"/>
  <c r="Q63" i="2"/>
  <c r="P63" i="2"/>
  <c r="O63" i="2"/>
  <c r="N63" i="2"/>
  <c r="M63" i="2"/>
  <c r="L63" i="2"/>
  <c r="K63" i="2"/>
  <c r="J63" i="2"/>
  <c r="I63" i="2"/>
  <c r="H63" i="2"/>
  <c r="G63" i="2"/>
  <c r="F63" i="2"/>
  <c r="E63" i="2"/>
  <c r="D63" i="2"/>
  <c r="C63" i="2"/>
  <c r="AI62" i="2"/>
  <c r="AH62" i="2"/>
  <c r="D62" i="2"/>
  <c r="C62" i="2"/>
  <c r="B62" i="2"/>
  <c r="AI61" i="2"/>
  <c r="AH61" i="2"/>
  <c r="AG61" i="2"/>
  <c r="AF61" i="2"/>
  <c r="AE61" i="2"/>
  <c r="AD61" i="2"/>
  <c r="AC61" i="2"/>
  <c r="AB61" i="2"/>
  <c r="AA61" i="2"/>
  <c r="Z61" i="2"/>
  <c r="Y61" i="2"/>
  <c r="X61" i="2"/>
  <c r="W61" i="2"/>
  <c r="V61" i="2"/>
  <c r="U61" i="2"/>
  <c r="T61" i="2"/>
  <c r="S61" i="2"/>
  <c r="R61" i="2"/>
  <c r="Q61" i="2"/>
  <c r="P61" i="2"/>
  <c r="O61" i="2"/>
  <c r="N61" i="2"/>
  <c r="M61" i="2"/>
  <c r="L61" i="2"/>
  <c r="K61" i="2"/>
  <c r="J61" i="2"/>
  <c r="I61" i="2"/>
  <c r="H61" i="2"/>
  <c r="G61" i="2"/>
  <c r="F61" i="2"/>
  <c r="E61" i="2"/>
  <c r="D61" i="2"/>
  <c r="C61" i="2"/>
  <c r="B61" i="2"/>
  <c r="AI60" i="2"/>
  <c r="AH60" i="2"/>
  <c r="AG60" i="2"/>
  <c r="AF60" i="2"/>
  <c r="AE60" i="2"/>
  <c r="AD60" i="2"/>
  <c r="AC60" i="2"/>
  <c r="AB60" i="2"/>
  <c r="AA60" i="2"/>
  <c r="Z60" i="2"/>
  <c r="Y60" i="2"/>
  <c r="X60" i="2"/>
  <c r="W60" i="2"/>
  <c r="V60" i="2"/>
  <c r="U60" i="2"/>
  <c r="T60" i="2"/>
  <c r="S60" i="2"/>
  <c r="R60" i="2"/>
  <c r="Q60" i="2"/>
  <c r="P60" i="2"/>
  <c r="O60" i="2"/>
  <c r="N60" i="2"/>
  <c r="M60" i="2"/>
  <c r="L60" i="2"/>
  <c r="K60" i="2"/>
  <c r="J60" i="2"/>
  <c r="I60" i="2"/>
  <c r="H60" i="2"/>
  <c r="G60" i="2"/>
  <c r="F60" i="2"/>
  <c r="E60" i="2"/>
  <c r="B60" i="2"/>
  <c r="AI59" i="2"/>
  <c r="AH59" i="2"/>
  <c r="AG59" i="2"/>
  <c r="AF59" i="2"/>
  <c r="AE59" i="2"/>
  <c r="AD59" i="2"/>
  <c r="AC59" i="2"/>
  <c r="AB59" i="2"/>
  <c r="AA59" i="2"/>
  <c r="Z59" i="2"/>
  <c r="Y59" i="2"/>
  <c r="X59" i="2"/>
  <c r="W59" i="2"/>
  <c r="V59" i="2"/>
  <c r="U59" i="2"/>
  <c r="T59" i="2"/>
  <c r="S59" i="2"/>
  <c r="R59" i="2"/>
  <c r="Q59" i="2"/>
  <c r="P59" i="2"/>
  <c r="O59" i="2"/>
  <c r="N59" i="2"/>
  <c r="M59" i="2"/>
  <c r="L59" i="2"/>
  <c r="K59" i="2"/>
  <c r="J59" i="2"/>
  <c r="I59" i="2"/>
  <c r="H59" i="2"/>
  <c r="G59" i="2"/>
  <c r="F59" i="2"/>
  <c r="E59" i="2"/>
  <c r="D59" i="2"/>
  <c r="C59" i="2"/>
  <c r="B59" i="2"/>
  <c r="AI58" i="2"/>
  <c r="AH58" i="2"/>
  <c r="AG58" i="2"/>
  <c r="AF58" i="2"/>
  <c r="AE58" i="2"/>
  <c r="AD58" i="2"/>
  <c r="AC58" i="2"/>
  <c r="AB58" i="2"/>
  <c r="AA58" i="2"/>
  <c r="Z58" i="2"/>
  <c r="Y58" i="2"/>
  <c r="X58" i="2"/>
  <c r="W58" i="2"/>
  <c r="V58" i="2"/>
  <c r="U58" i="2"/>
  <c r="T58" i="2"/>
  <c r="S58" i="2"/>
  <c r="R58" i="2"/>
  <c r="Q58" i="2"/>
  <c r="P58" i="2"/>
  <c r="O58" i="2"/>
  <c r="N58" i="2"/>
  <c r="M58" i="2"/>
  <c r="L58" i="2"/>
  <c r="K58" i="2"/>
  <c r="J58" i="2"/>
  <c r="I58" i="2"/>
  <c r="H58" i="2"/>
  <c r="G58" i="2"/>
  <c r="F58" i="2"/>
  <c r="E58" i="2"/>
  <c r="D58" i="2"/>
  <c r="C58" i="2"/>
  <c r="B58" i="2"/>
  <c r="AI57" i="2"/>
  <c r="AH57" i="2"/>
  <c r="AG57" i="2"/>
  <c r="AF57" i="2"/>
  <c r="AE57" i="2"/>
  <c r="AD57" i="2"/>
  <c r="AC57" i="2"/>
  <c r="AB57" i="2"/>
  <c r="AA57" i="2"/>
  <c r="Z57" i="2"/>
  <c r="Y57" i="2"/>
  <c r="X57" i="2"/>
  <c r="W57" i="2"/>
  <c r="V57" i="2"/>
  <c r="U57" i="2"/>
  <c r="T57" i="2"/>
  <c r="S57" i="2"/>
  <c r="R57" i="2"/>
  <c r="Q57" i="2"/>
  <c r="P57" i="2"/>
  <c r="O57" i="2"/>
  <c r="N57" i="2"/>
  <c r="M57" i="2"/>
  <c r="L57" i="2"/>
  <c r="K57" i="2"/>
  <c r="J57" i="2"/>
  <c r="I57" i="2"/>
  <c r="H57" i="2"/>
  <c r="G57" i="2"/>
  <c r="F57" i="2"/>
  <c r="E57" i="2"/>
  <c r="D57" i="2"/>
  <c r="C57" i="2"/>
  <c r="B57" i="2"/>
  <c r="AI56" i="2"/>
  <c r="AH56" i="2"/>
  <c r="AG56" i="2"/>
  <c r="AF56" i="2"/>
  <c r="AE56" i="2"/>
  <c r="AD56" i="2"/>
  <c r="AC56" i="2"/>
  <c r="AB56" i="2"/>
  <c r="AA56" i="2"/>
  <c r="Z56" i="2"/>
  <c r="Y56" i="2"/>
  <c r="X56" i="2"/>
  <c r="W56" i="2"/>
  <c r="V56" i="2"/>
  <c r="U56" i="2"/>
  <c r="T56" i="2"/>
  <c r="S56" i="2"/>
  <c r="R56" i="2"/>
  <c r="Q56" i="2"/>
  <c r="P56" i="2"/>
  <c r="O56" i="2"/>
  <c r="N56" i="2"/>
  <c r="M56" i="2"/>
  <c r="L56" i="2"/>
  <c r="K56" i="2"/>
  <c r="J56" i="2"/>
  <c r="I56" i="2"/>
  <c r="H56" i="2"/>
  <c r="G56" i="2"/>
  <c r="F56" i="2"/>
  <c r="E56" i="2"/>
  <c r="D56" i="2"/>
  <c r="C56" i="2"/>
  <c r="B56" i="2"/>
  <c r="AI55" i="2"/>
  <c r="AH55" i="2"/>
  <c r="B55" i="2"/>
  <c r="AI54" i="2"/>
  <c r="AH54" i="2"/>
  <c r="AG54" i="2"/>
  <c r="AF54" i="2"/>
  <c r="AE54" i="2"/>
  <c r="AD54" i="2"/>
  <c r="AC54" i="2"/>
  <c r="AB54" i="2"/>
  <c r="AA54" i="2"/>
  <c r="Z54" i="2"/>
  <c r="Y54" i="2"/>
  <c r="X54" i="2"/>
  <c r="W54" i="2"/>
  <c r="V54" i="2"/>
  <c r="U54" i="2"/>
  <c r="T54" i="2"/>
  <c r="S54" i="2"/>
  <c r="R54" i="2"/>
  <c r="Q54" i="2"/>
  <c r="P54" i="2"/>
  <c r="O54" i="2"/>
  <c r="N54" i="2"/>
  <c r="M54" i="2"/>
  <c r="L54" i="2"/>
  <c r="K54" i="2"/>
  <c r="J54" i="2"/>
  <c r="I54" i="2"/>
  <c r="H54" i="2"/>
  <c r="G54" i="2"/>
  <c r="F54" i="2"/>
  <c r="E54" i="2"/>
  <c r="D54" i="2"/>
  <c r="C54" i="2"/>
  <c r="B54" i="2"/>
  <c r="AI53" i="2"/>
  <c r="AH53" i="2"/>
  <c r="AG53" i="2"/>
  <c r="AF53" i="2"/>
  <c r="AE53" i="2"/>
  <c r="AD53" i="2"/>
  <c r="AC53" i="2"/>
  <c r="AB53" i="2"/>
  <c r="AA53" i="2"/>
  <c r="Z53" i="2"/>
  <c r="Y53" i="2"/>
  <c r="X53" i="2"/>
  <c r="W53" i="2"/>
  <c r="V53" i="2"/>
  <c r="U53" i="2"/>
  <c r="T53" i="2"/>
  <c r="S53" i="2"/>
  <c r="R53" i="2"/>
  <c r="Q53" i="2"/>
  <c r="P53" i="2"/>
  <c r="O53" i="2"/>
  <c r="N53" i="2"/>
  <c r="M53" i="2"/>
  <c r="L53" i="2"/>
  <c r="K53" i="2"/>
  <c r="J53" i="2"/>
  <c r="I53" i="2"/>
  <c r="H53" i="2"/>
  <c r="G53" i="2"/>
  <c r="F53" i="2"/>
  <c r="E53" i="2"/>
  <c r="D53" i="2"/>
  <c r="C53" i="2"/>
  <c r="B53" i="2"/>
  <c r="AI52" i="2"/>
  <c r="AH52" i="2"/>
  <c r="AG52" i="2"/>
  <c r="AF52" i="2"/>
  <c r="AE52" i="2"/>
  <c r="AD52" i="2"/>
  <c r="AC52" i="2"/>
  <c r="AB52" i="2"/>
  <c r="AA52" i="2"/>
  <c r="Z52" i="2"/>
  <c r="Y52" i="2"/>
  <c r="X52" i="2"/>
  <c r="W52" i="2"/>
  <c r="V52" i="2"/>
  <c r="U52" i="2"/>
  <c r="T52" i="2"/>
  <c r="S52" i="2"/>
  <c r="R52" i="2"/>
  <c r="Q52" i="2"/>
  <c r="P52" i="2"/>
  <c r="O52" i="2"/>
  <c r="N52" i="2"/>
  <c r="M52" i="2"/>
  <c r="L52" i="2"/>
  <c r="K52" i="2"/>
  <c r="J52" i="2"/>
  <c r="I52" i="2"/>
  <c r="H52" i="2"/>
  <c r="G52" i="2"/>
  <c r="F52" i="2"/>
  <c r="E52" i="2"/>
  <c r="D52" i="2"/>
  <c r="C52" i="2"/>
  <c r="B52" i="2"/>
  <c r="AI51" i="2"/>
  <c r="AH51" i="2"/>
  <c r="AG51" i="2"/>
  <c r="AF51" i="2"/>
  <c r="AE51" i="2"/>
  <c r="AD51" i="2"/>
  <c r="AC51" i="2"/>
  <c r="AB51" i="2"/>
  <c r="AA51" i="2"/>
  <c r="Z51" i="2"/>
  <c r="Y51" i="2"/>
  <c r="X51" i="2"/>
  <c r="W51" i="2"/>
  <c r="V51" i="2"/>
  <c r="U51" i="2"/>
  <c r="T51" i="2"/>
  <c r="S51" i="2"/>
  <c r="R51" i="2"/>
  <c r="Q51" i="2"/>
  <c r="P51" i="2"/>
  <c r="O51" i="2"/>
  <c r="N51" i="2"/>
  <c r="M51" i="2"/>
  <c r="L51" i="2"/>
  <c r="K51" i="2"/>
  <c r="J51" i="2"/>
  <c r="I51" i="2"/>
  <c r="H51" i="2"/>
  <c r="G51" i="2"/>
  <c r="F51" i="2"/>
  <c r="E51" i="2"/>
  <c r="D51" i="2"/>
  <c r="C51" i="2"/>
  <c r="B51" i="2"/>
  <c r="AI50" i="2"/>
  <c r="AH50" i="2"/>
  <c r="AG50" i="2"/>
  <c r="AF50" i="2"/>
  <c r="AE50" i="2"/>
  <c r="AD50" i="2"/>
  <c r="AC50" i="2"/>
  <c r="AB50" i="2"/>
  <c r="AA50" i="2"/>
  <c r="Z50" i="2"/>
  <c r="Y50" i="2"/>
  <c r="X50" i="2"/>
  <c r="W50" i="2"/>
  <c r="V50" i="2"/>
  <c r="U50" i="2"/>
  <c r="T50" i="2"/>
  <c r="S50" i="2"/>
  <c r="R50" i="2"/>
  <c r="Q50" i="2"/>
  <c r="P50" i="2"/>
  <c r="O50" i="2"/>
  <c r="N50" i="2"/>
  <c r="M50" i="2"/>
  <c r="L50" i="2"/>
  <c r="K50" i="2"/>
  <c r="J50" i="2"/>
  <c r="I50" i="2"/>
  <c r="H50" i="2"/>
  <c r="G50" i="2"/>
  <c r="F50" i="2"/>
  <c r="E50" i="2"/>
  <c r="D50" i="2"/>
  <c r="C50" i="2"/>
  <c r="B50" i="2"/>
  <c r="AI49" i="2"/>
  <c r="AH49" i="2"/>
  <c r="AG49" i="2"/>
  <c r="AF49" i="2"/>
  <c r="AE49" i="2"/>
  <c r="AD49" i="2"/>
  <c r="AC49" i="2"/>
  <c r="AB49" i="2"/>
  <c r="AA49" i="2"/>
  <c r="Z49" i="2"/>
  <c r="Y49" i="2"/>
  <c r="X49" i="2"/>
  <c r="W49" i="2"/>
  <c r="V49" i="2"/>
  <c r="U49" i="2"/>
  <c r="T49" i="2"/>
  <c r="S49" i="2"/>
  <c r="R49" i="2"/>
  <c r="Q49" i="2"/>
  <c r="P49" i="2"/>
  <c r="O49" i="2"/>
  <c r="N49" i="2"/>
  <c r="M49" i="2"/>
  <c r="L49" i="2"/>
  <c r="K49" i="2"/>
  <c r="J49" i="2"/>
  <c r="I49" i="2"/>
  <c r="H49" i="2"/>
  <c r="G49" i="2"/>
  <c r="F49" i="2"/>
  <c r="E49" i="2"/>
  <c r="B49" i="2"/>
  <c r="AI48" i="2"/>
  <c r="AH48" i="2"/>
  <c r="AG48" i="2"/>
  <c r="AF48" i="2"/>
  <c r="AE48" i="2"/>
  <c r="AD48" i="2"/>
  <c r="AC48" i="2"/>
  <c r="AB48" i="2"/>
  <c r="AA48" i="2"/>
  <c r="Z48" i="2"/>
  <c r="Y48" i="2"/>
  <c r="X48" i="2"/>
  <c r="W48" i="2"/>
  <c r="V48" i="2"/>
  <c r="U48" i="2"/>
  <c r="T48" i="2"/>
  <c r="S48" i="2"/>
  <c r="R48" i="2"/>
  <c r="Q48" i="2"/>
  <c r="P48" i="2"/>
  <c r="O48" i="2"/>
  <c r="N48" i="2"/>
  <c r="M48" i="2"/>
  <c r="L48" i="2"/>
  <c r="K48" i="2"/>
  <c r="J48" i="2"/>
  <c r="I48" i="2"/>
  <c r="H48" i="2"/>
  <c r="G48" i="2"/>
  <c r="F48" i="2"/>
  <c r="E48" i="2"/>
  <c r="D48" i="2"/>
  <c r="C48" i="2"/>
  <c r="B48" i="2"/>
  <c r="AI47" i="2"/>
  <c r="AH47" i="2"/>
  <c r="AG47" i="2"/>
  <c r="AF47" i="2"/>
  <c r="AE47" i="2"/>
  <c r="AD47" i="2"/>
  <c r="AC47" i="2"/>
  <c r="AB47" i="2"/>
  <c r="AA47" i="2"/>
  <c r="Z47" i="2"/>
  <c r="Y47" i="2"/>
  <c r="X47" i="2"/>
  <c r="W47" i="2"/>
  <c r="V47" i="2"/>
  <c r="U47" i="2"/>
  <c r="T47" i="2"/>
  <c r="S47" i="2"/>
  <c r="R47" i="2"/>
  <c r="Q47" i="2"/>
  <c r="P47" i="2"/>
  <c r="O47" i="2"/>
  <c r="N47" i="2"/>
  <c r="M47" i="2"/>
  <c r="L47" i="2"/>
  <c r="K47" i="2"/>
  <c r="J47" i="2"/>
  <c r="I47" i="2"/>
  <c r="H47" i="2"/>
  <c r="G47" i="2"/>
  <c r="F47" i="2"/>
  <c r="E47" i="2"/>
  <c r="D47" i="2"/>
  <c r="C47" i="2"/>
  <c r="B47" i="2"/>
  <c r="AI46" i="2"/>
  <c r="AH46" i="2"/>
  <c r="R46" i="2"/>
  <c r="D46" i="2"/>
  <c r="C46" i="2"/>
  <c r="B46" i="2"/>
  <c r="AI45" i="2"/>
  <c r="AH45" i="2"/>
  <c r="AG45" i="2"/>
  <c r="AF45" i="2"/>
  <c r="AE45" i="2"/>
  <c r="AD45" i="2"/>
  <c r="AC45" i="2"/>
  <c r="AB45" i="2"/>
  <c r="AA45" i="2"/>
  <c r="Z45" i="2"/>
  <c r="Y45" i="2"/>
  <c r="X45" i="2"/>
  <c r="W45" i="2"/>
  <c r="V45" i="2"/>
  <c r="U45" i="2"/>
  <c r="T45" i="2"/>
  <c r="S45" i="2"/>
  <c r="R45" i="2"/>
  <c r="Q45" i="2"/>
  <c r="P45" i="2"/>
  <c r="O45" i="2"/>
  <c r="N45" i="2"/>
  <c r="M45" i="2"/>
  <c r="L45" i="2"/>
  <c r="K45" i="2"/>
  <c r="J45" i="2"/>
  <c r="I45" i="2"/>
  <c r="H45" i="2"/>
  <c r="G45" i="2"/>
  <c r="F45" i="2"/>
  <c r="E45" i="2"/>
  <c r="B45" i="2"/>
  <c r="AI44" i="2"/>
  <c r="AH44" i="2"/>
  <c r="AG44" i="2"/>
  <c r="AF44" i="2"/>
  <c r="AE44" i="2"/>
  <c r="AD44" i="2"/>
  <c r="AC44" i="2"/>
  <c r="AB44" i="2"/>
  <c r="AA44" i="2"/>
  <c r="Z44" i="2"/>
  <c r="Y44" i="2"/>
  <c r="X44" i="2"/>
  <c r="W44" i="2"/>
  <c r="V44" i="2"/>
  <c r="U44" i="2"/>
  <c r="T44" i="2"/>
  <c r="S44" i="2"/>
  <c r="R44" i="2"/>
  <c r="Q44" i="2"/>
  <c r="P44" i="2"/>
  <c r="O44" i="2"/>
  <c r="N44" i="2"/>
  <c r="M44" i="2"/>
  <c r="L44" i="2"/>
  <c r="K44" i="2"/>
  <c r="J44" i="2"/>
  <c r="I44" i="2"/>
  <c r="H44" i="2"/>
  <c r="G44" i="2"/>
  <c r="F44" i="2"/>
  <c r="E44" i="2"/>
  <c r="D44" i="2"/>
  <c r="C44" i="2"/>
  <c r="B44" i="2"/>
  <c r="AI43" i="2"/>
  <c r="AH43" i="2"/>
  <c r="AG43" i="2"/>
  <c r="AF43" i="2"/>
  <c r="AE43" i="2"/>
  <c r="AD43" i="2"/>
  <c r="AC43" i="2"/>
  <c r="AB43" i="2"/>
  <c r="AA43" i="2"/>
  <c r="Z43" i="2"/>
  <c r="Y43" i="2"/>
  <c r="X43" i="2"/>
  <c r="W43" i="2"/>
  <c r="V43" i="2"/>
  <c r="U43" i="2"/>
  <c r="T43" i="2"/>
  <c r="S43" i="2"/>
  <c r="R43" i="2"/>
  <c r="Q43" i="2"/>
  <c r="P43" i="2"/>
  <c r="O43" i="2"/>
  <c r="N43" i="2"/>
  <c r="M43" i="2"/>
  <c r="L43" i="2"/>
  <c r="K43" i="2"/>
  <c r="J43" i="2"/>
  <c r="I43" i="2"/>
  <c r="H43" i="2"/>
  <c r="G43" i="2"/>
  <c r="F43" i="2"/>
  <c r="E43" i="2"/>
  <c r="D43" i="2"/>
  <c r="C43" i="2"/>
  <c r="B43" i="2"/>
  <c r="AI42" i="2"/>
  <c r="AH42" i="2"/>
  <c r="AG42" i="2"/>
  <c r="AF42" i="2"/>
  <c r="AE42" i="2"/>
  <c r="AD42" i="2"/>
  <c r="AC42" i="2"/>
  <c r="AB42" i="2"/>
  <c r="AA42" i="2"/>
  <c r="Z42" i="2"/>
  <c r="Y42" i="2"/>
  <c r="X42" i="2"/>
  <c r="W42" i="2"/>
  <c r="V42" i="2"/>
  <c r="U42" i="2"/>
  <c r="T42" i="2"/>
  <c r="S42" i="2"/>
  <c r="R42" i="2"/>
  <c r="Q42" i="2"/>
  <c r="P42" i="2"/>
  <c r="O42" i="2"/>
  <c r="N42" i="2"/>
  <c r="M42" i="2"/>
  <c r="L42" i="2"/>
  <c r="K42" i="2"/>
  <c r="J42" i="2"/>
  <c r="I42" i="2"/>
  <c r="H42" i="2"/>
  <c r="G42" i="2"/>
  <c r="F42" i="2"/>
  <c r="E42" i="2"/>
  <c r="B42" i="2"/>
  <c r="AI41" i="2"/>
  <c r="AH41" i="2"/>
  <c r="AG41" i="2"/>
  <c r="AF41" i="2"/>
  <c r="AE41" i="2"/>
  <c r="AD41" i="2"/>
  <c r="AC41" i="2"/>
  <c r="AB41" i="2"/>
  <c r="AA41" i="2"/>
  <c r="Z41" i="2"/>
  <c r="Y41" i="2"/>
  <c r="X41" i="2"/>
  <c r="W41" i="2"/>
  <c r="V41" i="2"/>
  <c r="U41" i="2"/>
  <c r="T41" i="2"/>
  <c r="S41" i="2"/>
  <c r="R41" i="2"/>
  <c r="Q41" i="2"/>
  <c r="P41" i="2"/>
  <c r="O41" i="2"/>
  <c r="N41" i="2"/>
  <c r="M41" i="2"/>
  <c r="L41" i="2"/>
  <c r="K41" i="2"/>
  <c r="J41" i="2"/>
  <c r="I41" i="2"/>
  <c r="H41" i="2"/>
  <c r="G41" i="2"/>
  <c r="F41" i="2"/>
  <c r="E41" i="2"/>
  <c r="D41" i="2"/>
  <c r="C41" i="2"/>
  <c r="B41" i="2"/>
  <c r="AI40" i="2"/>
  <c r="AH40" i="2"/>
  <c r="AG40" i="2"/>
  <c r="AF40" i="2"/>
  <c r="AE40" i="2"/>
  <c r="AD40" i="2"/>
  <c r="AC40" i="2"/>
  <c r="AB40" i="2"/>
  <c r="AA40" i="2"/>
  <c r="Z40" i="2"/>
  <c r="Y40" i="2"/>
  <c r="X40" i="2"/>
  <c r="W40" i="2"/>
  <c r="V40" i="2"/>
  <c r="U40" i="2"/>
  <c r="T40" i="2"/>
  <c r="S40" i="2"/>
  <c r="R40" i="2"/>
  <c r="Q40" i="2"/>
  <c r="P40" i="2"/>
  <c r="O40" i="2"/>
  <c r="N40" i="2"/>
  <c r="M40" i="2"/>
  <c r="L40" i="2"/>
  <c r="K40" i="2"/>
  <c r="J40" i="2"/>
  <c r="I40" i="2"/>
  <c r="H40" i="2"/>
  <c r="G40" i="2"/>
  <c r="F40" i="2"/>
  <c r="E40" i="2"/>
  <c r="D40" i="2"/>
  <c r="C40" i="2"/>
  <c r="B40" i="2"/>
  <c r="AI39" i="2"/>
  <c r="AH39" i="2"/>
  <c r="AG39" i="2"/>
  <c r="AF39" i="2"/>
  <c r="AE39" i="2"/>
  <c r="AD39" i="2"/>
  <c r="AC39" i="2"/>
  <c r="AB39" i="2"/>
  <c r="AA39" i="2"/>
  <c r="Z39" i="2"/>
  <c r="Y39" i="2"/>
  <c r="X39" i="2"/>
  <c r="W39" i="2"/>
  <c r="V39" i="2"/>
  <c r="U39" i="2"/>
  <c r="T39" i="2"/>
  <c r="S39" i="2"/>
  <c r="R39" i="2"/>
  <c r="Q39" i="2"/>
  <c r="P39" i="2"/>
  <c r="O39" i="2"/>
  <c r="N39" i="2"/>
  <c r="M39" i="2"/>
  <c r="L39" i="2"/>
  <c r="K39" i="2"/>
  <c r="J39" i="2"/>
  <c r="I39" i="2"/>
  <c r="H39" i="2"/>
  <c r="G39" i="2"/>
  <c r="F39" i="2"/>
  <c r="E39" i="2"/>
  <c r="D39" i="2"/>
  <c r="C39" i="2"/>
  <c r="B39" i="2"/>
  <c r="AI38" i="2"/>
  <c r="AH38" i="2"/>
  <c r="AG38" i="2"/>
  <c r="AF38" i="2"/>
  <c r="AE38" i="2"/>
  <c r="AD38" i="2"/>
  <c r="AC38" i="2"/>
  <c r="AB38" i="2"/>
  <c r="AA38" i="2"/>
  <c r="Z38" i="2"/>
  <c r="Y38" i="2"/>
  <c r="X38" i="2"/>
  <c r="W38" i="2"/>
  <c r="V38" i="2"/>
  <c r="U38" i="2"/>
  <c r="T38" i="2"/>
  <c r="S38" i="2"/>
  <c r="R38" i="2"/>
  <c r="Q38" i="2"/>
  <c r="P38" i="2"/>
  <c r="O38" i="2"/>
  <c r="N38" i="2"/>
  <c r="M38" i="2"/>
  <c r="L38" i="2"/>
  <c r="K38" i="2"/>
  <c r="J38" i="2"/>
  <c r="I38" i="2"/>
  <c r="H38" i="2"/>
  <c r="G38" i="2"/>
  <c r="F38" i="2"/>
  <c r="E38" i="2"/>
  <c r="D38" i="2"/>
  <c r="C38" i="2"/>
  <c r="B38" i="2"/>
  <c r="AI37" i="2"/>
  <c r="AH37" i="2"/>
  <c r="AG37" i="2"/>
  <c r="AF37" i="2"/>
  <c r="AE37" i="2"/>
  <c r="AD37" i="2"/>
  <c r="AC37" i="2"/>
  <c r="AB37" i="2"/>
  <c r="AA37" i="2"/>
  <c r="Z37" i="2"/>
  <c r="Y37" i="2"/>
  <c r="X37" i="2"/>
  <c r="W37" i="2"/>
  <c r="V37" i="2"/>
  <c r="U37" i="2"/>
  <c r="T37" i="2"/>
  <c r="S37" i="2"/>
  <c r="R37" i="2"/>
  <c r="Q37" i="2"/>
  <c r="P37" i="2"/>
  <c r="O37" i="2"/>
  <c r="N37" i="2"/>
  <c r="M37" i="2"/>
  <c r="L37" i="2"/>
  <c r="K37" i="2"/>
  <c r="J37" i="2"/>
  <c r="I37" i="2"/>
  <c r="H37" i="2"/>
  <c r="G37" i="2"/>
  <c r="F37" i="2"/>
  <c r="E37" i="2"/>
  <c r="D37" i="2"/>
  <c r="B37" i="2"/>
  <c r="AI36" i="2"/>
  <c r="AH36" i="2"/>
  <c r="AG36" i="2"/>
  <c r="AF36" i="2"/>
  <c r="AE36" i="2"/>
  <c r="AD36" i="2"/>
  <c r="AC36" i="2"/>
  <c r="AB36" i="2"/>
  <c r="AA36" i="2"/>
  <c r="Z36" i="2"/>
  <c r="Y36" i="2"/>
  <c r="X36" i="2"/>
  <c r="W36" i="2"/>
  <c r="V36" i="2"/>
  <c r="U36" i="2"/>
  <c r="T36" i="2"/>
  <c r="S36" i="2"/>
  <c r="R36" i="2"/>
  <c r="Q36" i="2"/>
  <c r="P36" i="2"/>
  <c r="O36" i="2"/>
  <c r="N36" i="2"/>
  <c r="M36" i="2"/>
  <c r="L36" i="2"/>
  <c r="K36" i="2"/>
  <c r="J36" i="2"/>
  <c r="I36" i="2"/>
  <c r="H36" i="2"/>
  <c r="G36" i="2"/>
  <c r="F36" i="2"/>
  <c r="E36" i="2"/>
  <c r="D36" i="2"/>
  <c r="C36" i="2"/>
  <c r="B36" i="2"/>
  <c r="AI35" i="2"/>
  <c r="AH35" i="2"/>
  <c r="AG35" i="2"/>
  <c r="AF35" i="2"/>
  <c r="AE35" i="2"/>
  <c r="AD35" i="2"/>
  <c r="AC35" i="2"/>
  <c r="AB35" i="2"/>
  <c r="AA35" i="2"/>
  <c r="Z35" i="2"/>
  <c r="Y35" i="2"/>
  <c r="X35" i="2"/>
  <c r="W35" i="2"/>
  <c r="V35" i="2"/>
  <c r="U35" i="2"/>
  <c r="T35" i="2"/>
  <c r="S35" i="2"/>
  <c r="R35" i="2"/>
  <c r="Q35" i="2"/>
  <c r="P35" i="2"/>
  <c r="O35" i="2"/>
  <c r="N35" i="2"/>
  <c r="M35" i="2"/>
  <c r="L35" i="2"/>
  <c r="K35" i="2"/>
  <c r="J35" i="2"/>
  <c r="I35" i="2"/>
  <c r="H35" i="2"/>
  <c r="G35" i="2"/>
  <c r="F35" i="2"/>
  <c r="E35" i="2"/>
  <c r="D35" i="2"/>
  <c r="C35" i="2"/>
  <c r="B35" i="2"/>
  <c r="AI34" i="2"/>
  <c r="AH34" i="2"/>
  <c r="Z34" i="2"/>
  <c r="J34" i="2"/>
  <c r="D34" i="2"/>
  <c r="C34" i="2"/>
  <c r="B34" i="2"/>
  <c r="AI33" i="2"/>
  <c r="AH33" i="2"/>
  <c r="AG33" i="2"/>
  <c r="AF33" i="2"/>
  <c r="AE33" i="2"/>
  <c r="AD33" i="2"/>
  <c r="AC33" i="2"/>
  <c r="AB33" i="2"/>
  <c r="AA33" i="2"/>
  <c r="Z33" i="2"/>
  <c r="Y33" i="2"/>
  <c r="X33" i="2"/>
  <c r="W33" i="2"/>
  <c r="V33" i="2"/>
  <c r="U33" i="2"/>
  <c r="T33" i="2"/>
  <c r="S33" i="2"/>
  <c r="R33" i="2"/>
  <c r="Q33" i="2"/>
  <c r="P33" i="2"/>
  <c r="O33" i="2"/>
  <c r="N33" i="2"/>
  <c r="M33" i="2"/>
  <c r="L33" i="2"/>
  <c r="K33" i="2"/>
  <c r="J33" i="2"/>
  <c r="I33" i="2"/>
  <c r="H33" i="2"/>
  <c r="G33" i="2"/>
  <c r="F33" i="2"/>
  <c r="E33" i="2"/>
  <c r="D33" i="2"/>
  <c r="C33" i="2"/>
  <c r="B33" i="2"/>
  <c r="AI32" i="2"/>
  <c r="AH32" i="2"/>
  <c r="AD32" i="2"/>
  <c r="N32" i="2"/>
  <c r="D32" i="2"/>
  <c r="C32" i="2"/>
  <c r="B32" i="2"/>
  <c r="AI31" i="2"/>
  <c r="AH31" i="2"/>
  <c r="AG31" i="2"/>
  <c r="AF31" i="2"/>
  <c r="AE31" i="2"/>
  <c r="AD31" i="2"/>
  <c r="AC31" i="2"/>
  <c r="AB31" i="2"/>
  <c r="AA31" i="2"/>
  <c r="Z31" i="2"/>
  <c r="Y31" i="2"/>
  <c r="X31" i="2"/>
  <c r="W31" i="2"/>
  <c r="V31" i="2"/>
  <c r="U31" i="2"/>
  <c r="T31" i="2"/>
  <c r="S31" i="2"/>
  <c r="R31" i="2"/>
  <c r="Q31" i="2"/>
  <c r="P31" i="2"/>
  <c r="O31" i="2"/>
  <c r="N31" i="2"/>
  <c r="M31" i="2"/>
  <c r="L31" i="2"/>
  <c r="K31" i="2"/>
  <c r="J31" i="2"/>
  <c r="I31" i="2"/>
  <c r="H31" i="2"/>
  <c r="G31" i="2"/>
  <c r="F31" i="2"/>
  <c r="E31" i="2"/>
  <c r="D31" i="2"/>
  <c r="C31" i="2"/>
  <c r="B31" i="2"/>
  <c r="AI30" i="2"/>
  <c r="AH30" i="2"/>
  <c r="AG30" i="2"/>
  <c r="AF30" i="2"/>
  <c r="AE30" i="2"/>
  <c r="AD30" i="2"/>
  <c r="AC30" i="2"/>
  <c r="AB30" i="2"/>
  <c r="AA30" i="2"/>
  <c r="Z30" i="2"/>
  <c r="Y30" i="2"/>
  <c r="X30" i="2"/>
  <c r="W30" i="2"/>
  <c r="V30" i="2"/>
  <c r="U30" i="2"/>
  <c r="T30" i="2"/>
  <c r="S30" i="2"/>
  <c r="R30" i="2"/>
  <c r="Q30" i="2"/>
  <c r="P30" i="2"/>
  <c r="O30" i="2"/>
  <c r="N30" i="2"/>
  <c r="M30" i="2"/>
  <c r="L30" i="2"/>
  <c r="K30" i="2"/>
  <c r="J30" i="2"/>
  <c r="I30" i="2"/>
  <c r="H30" i="2"/>
  <c r="G30" i="2"/>
  <c r="F30" i="2"/>
  <c r="E30" i="2"/>
  <c r="D30" i="2"/>
  <c r="C30" i="2"/>
  <c r="B30" i="2"/>
  <c r="AI29" i="2"/>
  <c r="AH29" i="2"/>
  <c r="AG29" i="2"/>
  <c r="AF29" i="2"/>
  <c r="AE29" i="2"/>
  <c r="AD29" i="2"/>
  <c r="AC29" i="2"/>
  <c r="AB29" i="2"/>
  <c r="AA29" i="2"/>
  <c r="Z29" i="2"/>
  <c r="Y29" i="2"/>
  <c r="X29" i="2"/>
  <c r="W29" i="2"/>
  <c r="V29" i="2"/>
  <c r="U29" i="2"/>
  <c r="T29" i="2"/>
  <c r="S29" i="2"/>
  <c r="R29" i="2"/>
  <c r="Q29" i="2"/>
  <c r="P29" i="2"/>
  <c r="O29" i="2"/>
  <c r="N29" i="2"/>
  <c r="M29" i="2"/>
  <c r="L29" i="2"/>
  <c r="K29" i="2"/>
  <c r="J29" i="2"/>
  <c r="I29" i="2"/>
  <c r="H29" i="2"/>
  <c r="G29" i="2"/>
  <c r="F29" i="2"/>
  <c r="E29" i="2"/>
  <c r="D29" i="2"/>
  <c r="C29" i="2"/>
  <c r="B29" i="2"/>
  <c r="AI28" i="2"/>
  <c r="AH28" i="2"/>
  <c r="AG28" i="2"/>
  <c r="AF28" i="2"/>
  <c r="AE28" i="2"/>
  <c r="AD28" i="2"/>
  <c r="AC28" i="2"/>
  <c r="AB28" i="2"/>
  <c r="AA28" i="2"/>
  <c r="Z28" i="2"/>
  <c r="Y28" i="2"/>
  <c r="X28" i="2"/>
  <c r="W28" i="2"/>
  <c r="V28" i="2"/>
  <c r="U28" i="2"/>
  <c r="T28" i="2"/>
  <c r="S28" i="2"/>
  <c r="R28" i="2"/>
  <c r="Q28" i="2"/>
  <c r="P28" i="2"/>
  <c r="O28" i="2"/>
  <c r="N28" i="2"/>
  <c r="M28" i="2"/>
  <c r="L28" i="2"/>
  <c r="K28" i="2"/>
  <c r="J28" i="2"/>
  <c r="I28" i="2"/>
  <c r="H28" i="2"/>
  <c r="G28" i="2"/>
  <c r="F28" i="2"/>
  <c r="E28" i="2"/>
  <c r="B28" i="2"/>
  <c r="AI27" i="2"/>
  <c r="AH27" i="2"/>
  <c r="AG27" i="2"/>
  <c r="AF27" i="2"/>
  <c r="AE27" i="2"/>
  <c r="AD27" i="2"/>
  <c r="AC27" i="2"/>
  <c r="AB27" i="2"/>
  <c r="AA27" i="2"/>
  <c r="Z27" i="2"/>
  <c r="Y27" i="2"/>
  <c r="X27" i="2"/>
  <c r="W27" i="2"/>
  <c r="V27" i="2"/>
  <c r="U27" i="2"/>
  <c r="T27" i="2"/>
  <c r="S27" i="2"/>
  <c r="R27" i="2"/>
  <c r="Q27" i="2"/>
  <c r="P27" i="2"/>
  <c r="O27" i="2"/>
  <c r="N27" i="2"/>
  <c r="M27" i="2"/>
  <c r="L27" i="2"/>
  <c r="K27" i="2"/>
  <c r="J27" i="2"/>
  <c r="I27" i="2"/>
  <c r="H27" i="2"/>
  <c r="G27" i="2"/>
  <c r="F27" i="2"/>
  <c r="E27" i="2"/>
  <c r="D27" i="2"/>
  <c r="C27" i="2"/>
  <c r="B27" i="2"/>
  <c r="AI26" i="2"/>
  <c r="AH26" i="2"/>
  <c r="AG26" i="2"/>
  <c r="AF26" i="2"/>
  <c r="AE26" i="2"/>
  <c r="AD26" i="2"/>
  <c r="AC26" i="2"/>
  <c r="AB26" i="2"/>
  <c r="AA26" i="2"/>
  <c r="Z26" i="2"/>
  <c r="Y26" i="2"/>
  <c r="X26" i="2"/>
  <c r="W26" i="2"/>
  <c r="V26" i="2"/>
  <c r="U26" i="2"/>
  <c r="T26" i="2"/>
  <c r="S26" i="2"/>
  <c r="R26" i="2"/>
  <c r="Q26" i="2"/>
  <c r="P26" i="2"/>
  <c r="O26" i="2"/>
  <c r="N26" i="2"/>
  <c r="M26" i="2"/>
  <c r="L26" i="2"/>
  <c r="K26" i="2"/>
  <c r="J26" i="2"/>
  <c r="I26" i="2"/>
  <c r="H26" i="2"/>
  <c r="G26" i="2"/>
  <c r="F26" i="2"/>
  <c r="E26" i="2"/>
  <c r="D26" i="2"/>
  <c r="C26" i="2"/>
  <c r="B26" i="2"/>
  <c r="AI25" i="2"/>
  <c r="AH25" i="2"/>
  <c r="AG25" i="2"/>
  <c r="AF25" i="2"/>
  <c r="AE25" i="2"/>
  <c r="AD25" i="2"/>
  <c r="AC25" i="2"/>
  <c r="AB25" i="2"/>
  <c r="AA25" i="2"/>
  <c r="Z25" i="2"/>
  <c r="Y25" i="2"/>
  <c r="X25" i="2"/>
  <c r="W25" i="2"/>
  <c r="V25" i="2"/>
  <c r="U25" i="2"/>
  <c r="T25" i="2"/>
  <c r="S25" i="2"/>
  <c r="R25" i="2"/>
  <c r="Q25" i="2"/>
  <c r="P25" i="2"/>
  <c r="O25" i="2"/>
  <c r="N25" i="2"/>
  <c r="M25" i="2"/>
  <c r="L25" i="2"/>
  <c r="K25" i="2"/>
  <c r="J25" i="2"/>
  <c r="I25" i="2"/>
  <c r="H25" i="2"/>
  <c r="G25" i="2"/>
  <c r="F25" i="2"/>
  <c r="E25" i="2"/>
  <c r="D25" i="2"/>
  <c r="C25" i="2"/>
  <c r="B25" i="2"/>
  <c r="AI24" i="2"/>
  <c r="AH24" i="2"/>
  <c r="AG24" i="2"/>
  <c r="AF24" i="2"/>
  <c r="AE24" i="2"/>
  <c r="AD24" i="2"/>
  <c r="AC24" i="2"/>
  <c r="AB24" i="2"/>
  <c r="AA24" i="2"/>
  <c r="Z24" i="2"/>
  <c r="Y24" i="2"/>
  <c r="X24" i="2"/>
  <c r="W24" i="2"/>
  <c r="V24" i="2"/>
  <c r="U24" i="2"/>
  <c r="T24" i="2"/>
  <c r="S24" i="2"/>
  <c r="R24" i="2"/>
  <c r="Q24" i="2"/>
  <c r="P24" i="2"/>
  <c r="O24" i="2"/>
  <c r="N24" i="2"/>
  <c r="M24" i="2"/>
  <c r="L24" i="2"/>
  <c r="K24" i="2"/>
  <c r="J24" i="2"/>
  <c r="I24" i="2"/>
  <c r="H24" i="2"/>
  <c r="G24" i="2"/>
  <c r="F24" i="2"/>
  <c r="E24" i="2"/>
  <c r="D24" i="2"/>
  <c r="C24" i="2"/>
  <c r="B24" i="2"/>
  <c r="AI23" i="2"/>
  <c r="AH23" i="2"/>
  <c r="AG23" i="2"/>
  <c r="AF23" i="2"/>
  <c r="AE23" i="2"/>
  <c r="AD23" i="2"/>
  <c r="AC23" i="2"/>
  <c r="AB23" i="2"/>
  <c r="AA23" i="2"/>
  <c r="Z23" i="2"/>
  <c r="Y23" i="2"/>
  <c r="X23" i="2"/>
  <c r="W23" i="2"/>
  <c r="V23" i="2"/>
  <c r="U23" i="2"/>
  <c r="T23" i="2"/>
  <c r="S23" i="2"/>
  <c r="R23" i="2"/>
  <c r="Q23" i="2"/>
  <c r="P23" i="2"/>
  <c r="O23" i="2"/>
  <c r="N23" i="2"/>
  <c r="M23" i="2"/>
  <c r="L23" i="2"/>
  <c r="K23" i="2"/>
  <c r="J23" i="2"/>
  <c r="I23" i="2"/>
  <c r="H23" i="2"/>
  <c r="G23" i="2"/>
  <c r="F23" i="2"/>
  <c r="E23" i="2"/>
  <c r="D23" i="2"/>
  <c r="C23" i="2"/>
  <c r="B23" i="2"/>
  <c r="AI22" i="2"/>
  <c r="AH22" i="2"/>
  <c r="AG22" i="2"/>
  <c r="AF22" i="2"/>
  <c r="AE22" i="2"/>
  <c r="AD22" i="2"/>
  <c r="AC22" i="2"/>
  <c r="AB22" i="2"/>
  <c r="AA22" i="2"/>
  <c r="Z22" i="2"/>
  <c r="Y22" i="2"/>
  <c r="X22" i="2"/>
  <c r="W22" i="2"/>
  <c r="V22" i="2"/>
  <c r="U22" i="2"/>
  <c r="T22" i="2"/>
  <c r="S22" i="2"/>
  <c r="R22" i="2"/>
  <c r="Q22" i="2"/>
  <c r="P22" i="2"/>
  <c r="O22" i="2"/>
  <c r="N22" i="2"/>
  <c r="M22" i="2"/>
  <c r="L22" i="2"/>
  <c r="K22" i="2"/>
  <c r="J22" i="2"/>
  <c r="I22" i="2"/>
  <c r="H22" i="2"/>
  <c r="G22" i="2"/>
  <c r="F22" i="2"/>
  <c r="E22" i="2"/>
  <c r="D22" i="2"/>
  <c r="C22" i="2"/>
  <c r="B22" i="2"/>
  <c r="AI21" i="2"/>
  <c r="AH21" i="2"/>
  <c r="AG21" i="2"/>
  <c r="AF21" i="2"/>
  <c r="AE21" i="2"/>
  <c r="AD21" i="2"/>
  <c r="AC21" i="2"/>
  <c r="AB21" i="2"/>
  <c r="AA21" i="2"/>
  <c r="Z21" i="2"/>
  <c r="Y21" i="2"/>
  <c r="X21" i="2"/>
  <c r="W21" i="2"/>
  <c r="V21" i="2"/>
  <c r="U21" i="2"/>
  <c r="T21" i="2"/>
  <c r="S21" i="2"/>
  <c r="R21" i="2"/>
  <c r="Q21" i="2"/>
  <c r="P21" i="2"/>
  <c r="O21" i="2"/>
  <c r="N21" i="2"/>
  <c r="M21" i="2"/>
  <c r="L21" i="2"/>
  <c r="K21" i="2"/>
  <c r="J21" i="2"/>
  <c r="I21" i="2"/>
  <c r="H21" i="2"/>
  <c r="G21" i="2"/>
  <c r="F21" i="2"/>
  <c r="E21" i="2"/>
  <c r="D21" i="2"/>
  <c r="B21" i="2"/>
  <c r="AI20" i="2"/>
  <c r="AH20" i="2"/>
  <c r="AG20" i="2"/>
  <c r="AF20" i="2"/>
  <c r="AE20" i="2"/>
  <c r="AD20" i="2"/>
  <c r="AC20" i="2"/>
  <c r="AB20" i="2"/>
  <c r="AA20" i="2"/>
  <c r="Z20" i="2"/>
  <c r="Y20" i="2"/>
  <c r="X20" i="2"/>
  <c r="W20" i="2"/>
  <c r="V20" i="2"/>
  <c r="U20" i="2"/>
  <c r="T20" i="2"/>
  <c r="S20" i="2"/>
  <c r="R20" i="2"/>
  <c r="Q20" i="2"/>
  <c r="P20" i="2"/>
  <c r="O20" i="2"/>
  <c r="N20" i="2"/>
  <c r="M20" i="2"/>
  <c r="L20" i="2"/>
  <c r="K20" i="2"/>
  <c r="J20" i="2"/>
  <c r="I20" i="2"/>
  <c r="H20" i="2"/>
  <c r="G20" i="2"/>
  <c r="F20" i="2"/>
  <c r="E20" i="2"/>
  <c r="D20" i="2"/>
  <c r="C20" i="2"/>
  <c r="B20" i="2"/>
  <c r="AI19" i="2"/>
  <c r="AH19" i="2"/>
  <c r="AG19" i="2"/>
  <c r="AF19" i="2"/>
  <c r="AE19" i="2"/>
  <c r="AD19" i="2"/>
  <c r="AC19" i="2"/>
  <c r="AB19" i="2"/>
  <c r="AA19" i="2"/>
  <c r="Z19" i="2"/>
  <c r="Y19" i="2"/>
  <c r="X19" i="2"/>
  <c r="W19" i="2"/>
  <c r="V19" i="2"/>
  <c r="U19" i="2"/>
  <c r="T19" i="2"/>
  <c r="S19" i="2"/>
  <c r="R19" i="2"/>
  <c r="Q19" i="2"/>
  <c r="P19" i="2"/>
  <c r="O19" i="2"/>
  <c r="N19" i="2"/>
  <c r="M19" i="2"/>
  <c r="L19" i="2"/>
  <c r="K19" i="2"/>
  <c r="J19" i="2"/>
  <c r="I19" i="2"/>
  <c r="H19" i="2"/>
  <c r="G19" i="2"/>
  <c r="F19" i="2"/>
  <c r="E19" i="2"/>
  <c r="D19" i="2"/>
  <c r="C19" i="2"/>
  <c r="B19" i="2"/>
  <c r="AI18" i="2"/>
  <c r="AH18" i="2"/>
  <c r="AG18" i="2"/>
  <c r="AF18" i="2"/>
  <c r="AE18" i="2"/>
  <c r="AD18" i="2"/>
  <c r="AC18" i="2"/>
  <c r="AB18" i="2"/>
  <c r="AA18" i="2"/>
  <c r="Z18" i="2"/>
  <c r="Y18" i="2"/>
  <c r="X18" i="2"/>
  <c r="W18" i="2"/>
  <c r="V18" i="2"/>
  <c r="U18" i="2"/>
  <c r="T18" i="2"/>
  <c r="S18" i="2"/>
  <c r="R18" i="2"/>
  <c r="Q18" i="2"/>
  <c r="P18" i="2"/>
  <c r="O18" i="2"/>
  <c r="N18" i="2"/>
  <c r="M18" i="2"/>
  <c r="L18" i="2"/>
  <c r="K18" i="2"/>
  <c r="J18" i="2"/>
  <c r="I18" i="2"/>
  <c r="H18" i="2"/>
  <c r="G18" i="2"/>
  <c r="F18" i="2"/>
  <c r="E18" i="2"/>
  <c r="D18" i="2"/>
  <c r="C18" i="2"/>
  <c r="B18" i="2"/>
  <c r="AI17" i="2"/>
  <c r="AH17" i="2"/>
  <c r="AG17" i="2"/>
  <c r="AF17" i="2"/>
  <c r="AE17" i="2"/>
  <c r="AD17" i="2"/>
  <c r="AC17" i="2"/>
  <c r="AB17" i="2"/>
  <c r="AA17" i="2"/>
  <c r="Z17" i="2"/>
  <c r="Y17" i="2"/>
  <c r="X17" i="2"/>
  <c r="W17" i="2"/>
  <c r="V17" i="2"/>
  <c r="U17" i="2"/>
  <c r="T17" i="2"/>
  <c r="S17" i="2"/>
  <c r="R17" i="2"/>
  <c r="Q17" i="2"/>
  <c r="P17" i="2"/>
  <c r="O17" i="2"/>
  <c r="N17" i="2"/>
  <c r="M17" i="2"/>
  <c r="L17" i="2"/>
  <c r="K17" i="2"/>
  <c r="J17" i="2"/>
  <c r="I17" i="2"/>
  <c r="H17" i="2"/>
  <c r="G17" i="2"/>
  <c r="F17" i="2"/>
  <c r="E17" i="2"/>
  <c r="D17" i="2"/>
  <c r="C17" i="2"/>
  <c r="B17" i="2"/>
  <c r="AI16" i="2"/>
  <c r="AH16" i="2"/>
  <c r="AG16" i="2"/>
  <c r="AF16" i="2"/>
  <c r="AE16" i="2"/>
  <c r="AD16" i="2"/>
  <c r="AC16" i="2"/>
  <c r="AB16" i="2"/>
  <c r="AA16" i="2"/>
  <c r="Z16" i="2"/>
  <c r="Y16" i="2"/>
  <c r="X16" i="2"/>
  <c r="W16" i="2"/>
  <c r="V16" i="2"/>
  <c r="U16" i="2"/>
  <c r="T16" i="2"/>
  <c r="S16" i="2"/>
  <c r="R16" i="2"/>
  <c r="Q16" i="2"/>
  <c r="P16" i="2"/>
  <c r="O16" i="2"/>
  <c r="N16" i="2"/>
  <c r="M16" i="2"/>
  <c r="L16" i="2"/>
  <c r="K16" i="2"/>
  <c r="J16" i="2"/>
  <c r="I16" i="2"/>
  <c r="H16" i="2"/>
  <c r="G16" i="2"/>
  <c r="F16" i="2"/>
  <c r="E16" i="2"/>
  <c r="B16" i="2"/>
  <c r="AI15" i="2"/>
  <c r="AH15" i="2"/>
  <c r="AG15" i="2"/>
  <c r="AF15" i="2"/>
  <c r="AE15" i="2"/>
  <c r="AD15" i="2"/>
  <c r="AC15" i="2"/>
  <c r="AB15" i="2"/>
  <c r="AA15" i="2"/>
  <c r="Z15" i="2"/>
  <c r="Y15" i="2"/>
  <c r="X15" i="2"/>
  <c r="W15" i="2"/>
  <c r="V15" i="2"/>
  <c r="U15" i="2"/>
  <c r="T15" i="2"/>
  <c r="S15" i="2"/>
  <c r="R15" i="2"/>
  <c r="Q15" i="2"/>
  <c r="P15" i="2"/>
  <c r="O15" i="2"/>
  <c r="N15" i="2"/>
  <c r="M15" i="2"/>
  <c r="L15" i="2"/>
  <c r="K15" i="2"/>
  <c r="J15" i="2"/>
  <c r="I15" i="2"/>
  <c r="H15" i="2"/>
  <c r="G15" i="2"/>
  <c r="F15" i="2"/>
  <c r="E15" i="2"/>
  <c r="D15" i="2"/>
  <c r="C15" i="2"/>
  <c r="B15" i="2"/>
  <c r="AI14" i="2"/>
  <c r="AH14" i="2"/>
  <c r="AG14" i="2"/>
  <c r="AF14" i="2"/>
  <c r="AE14" i="2"/>
  <c r="AD14" i="2"/>
  <c r="AC14" i="2"/>
  <c r="AB14" i="2"/>
  <c r="AA14" i="2"/>
  <c r="Z14" i="2"/>
  <c r="Y14" i="2"/>
  <c r="X14" i="2"/>
  <c r="W14" i="2"/>
  <c r="V14" i="2"/>
  <c r="U14" i="2"/>
  <c r="T14" i="2"/>
  <c r="S14" i="2"/>
  <c r="R14" i="2"/>
  <c r="Q14" i="2"/>
  <c r="P14" i="2"/>
  <c r="O14" i="2"/>
  <c r="N14" i="2"/>
  <c r="M14" i="2"/>
  <c r="L14" i="2"/>
  <c r="K14" i="2"/>
  <c r="J14" i="2"/>
  <c r="I14" i="2"/>
  <c r="H14" i="2"/>
  <c r="G14" i="2"/>
  <c r="F14" i="2"/>
  <c r="E14" i="2"/>
  <c r="D14" i="2"/>
  <c r="C14" i="2"/>
  <c r="B14" i="2"/>
  <c r="AI13" i="2"/>
  <c r="AH13" i="2"/>
  <c r="AG13" i="2"/>
  <c r="AF13" i="2"/>
  <c r="AE13" i="2"/>
  <c r="AD13" i="2"/>
  <c r="AC13" i="2"/>
  <c r="AB13" i="2"/>
  <c r="AA13" i="2"/>
  <c r="Z13" i="2"/>
  <c r="Y13" i="2"/>
  <c r="X13" i="2"/>
  <c r="W13" i="2"/>
  <c r="V13" i="2"/>
  <c r="U13" i="2"/>
  <c r="T13" i="2"/>
  <c r="S13" i="2"/>
  <c r="R13" i="2"/>
  <c r="Q13" i="2"/>
  <c r="P13" i="2"/>
  <c r="O13" i="2"/>
  <c r="N13" i="2"/>
  <c r="M13" i="2"/>
  <c r="L13" i="2"/>
  <c r="K13" i="2"/>
  <c r="J13" i="2"/>
  <c r="I13" i="2"/>
  <c r="H13" i="2"/>
  <c r="G13" i="2"/>
  <c r="F13" i="2"/>
  <c r="E13" i="2"/>
  <c r="D13" i="2"/>
  <c r="C13" i="2"/>
  <c r="AI12" i="2"/>
  <c r="AH12" i="2"/>
  <c r="AG12" i="2"/>
  <c r="AF12" i="2"/>
  <c r="AE12" i="2"/>
  <c r="AD12" i="2"/>
  <c r="AC12" i="2"/>
  <c r="AB12" i="2"/>
  <c r="AA12" i="2"/>
  <c r="Z12" i="2"/>
  <c r="Y12" i="2"/>
  <c r="X12" i="2"/>
  <c r="W12" i="2"/>
  <c r="V12" i="2"/>
  <c r="U12" i="2"/>
  <c r="T12" i="2"/>
  <c r="S12" i="2"/>
  <c r="R12" i="2"/>
  <c r="Q12" i="2"/>
  <c r="P12" i="2"/>
  <c r="O12" i="2"/>
  <c r="N12" i="2"/>
  <c r="M12" i="2"/>
  <c r="L12" i="2"/>
  <c r="K12" i="2"/>
  <c r="J12" i="2"/>
  <c r="I12" i="2"/>
  <c r="H12" i="2"/>
  <c r="G12" i="2"/>
  <c r="F12" i="2"/>
  <c r="E12" i="2"/>
  <c r="D12" i="2"/>
  <c r="C12" i="2"/>
  <c r="B12" i="2"/>
  <c r="AI11" i="2"/>
  <c r="AH11" i="2"/>
  <c r="AG11" i="2"/>
  <c r="AF11" i="2"/>
  <c r="AE11" i="2"/>
  <c r="AD11" i="2"/>
  <c r="AC11" i="2"/>
  <c r="AB11" i="2"/>
  <c r="AA11" i="2"/>
  <c r="Z11" i="2"/>
  <c r="Y11" i="2"/>
  <c r="X11" i="2"/>
  <c r="W11" i="2"/>
  <c r="V11" i="2"/>
  <c r="U11" i="2"/>
  <c r="T11" i="2"/>
  <c r="S11" i="2"/>
  <c r="R11" i="2"/>
  <c r="Q11" i="2"/>
  <c r="P11" i="2"/>
  <c r="O11" i="2"/>
  <c r="N11" i="2"/>
  <c r="M11" i="2"/>
  <c r="L11" i="2"/>
  <c r="K11" i="2"/>
  <c r="J11" i="2"/>
  <c r="I11" i="2"/>
  <c r="H11" i="2"/>
  <c r="G11" i="2"/>
  <c r="F11" i="2"/>
  <c r="E11" i="2"/>
  <c r="D11" i="2"/>
  <c r="C11" i="2"/>
  <c r="B11" i="2"/>
  <c r="AI10" i="2"/>
  <c r="AH10" i="2"/>
  <c r="AG10" i="2"/>
  <c r="AF10" i="2"/>
  <c r="AE10" i="2"/>
  <c r="AD10" i="2"/>
  <c r="AC10" i="2"/>
  <c r="AB10" i="2"/>
  <c r="AA10" i="2"/>
  <c r="Z10" i="2"/>
  <c r="Y10" i="2"/>
  <c r="X10" i="2"/>
  <c r="W10" i="2"/>
  <c r="V10" i="2"/>
  <c r="U10" i="2"/>
  <c r="T10" i="2"/>
  <c r="S10" i="2"/>
  <c r="R10" i="2"/>
  <c r="Q10" i="2"/>
  <c r="P10" i="2"/>
  <c r="O10" i="2"/>
  <c r="N10" i="2"/>
  <c r="M10" i="2"/>
  <c r="L10" i="2"/>
  <c r="K10" i="2"/>
  <c r="J10" i="2"/>
  <c r="I10" i="2"/>
  <c r="H10" i="2"/>
  <c r="G10" i="2"/>
  <c r="F10" i="2"/>
  <c r="E10" i="2"/>
  <c r="B10" i="2"/>
  <c r="AI9" i="2"/>
  <c r="AH9" i="2"/>
  <c r="AG9" i="2"/>
  <c r="AF9" i="2"/>
  <c r="AE9" i="2"/>
  <c r="AD9" i="2"/>
  <c r="AC9" i="2"/>
  <c r="AB9" i="2"/>
  <c r="AA9" i="2"/>
  <c r="Z9" i="2"/>
  <c r="Y9" i="2"/>
  <c r="X9" i="2"/>
  <c r="W9" i="2"/>
  <c r="V9" i="2"/>
  <c r="U9" i="2"/>
  <c r="T9" i="2"/>
  <c r="S9" i="2"/>
  <c r="R9" i="2"/>
  <c r="Q9" i="2"/>
  <c r="P9" i="2"/>
  <c r="O9" i="2"/>
  <c r="N9" i="2"/>
  <c r="M9" i="2"/>
  <c r="L9" i="2"/>
  <c r="K9" i="2"/>
  <c r="J9" i="2"/>
  <c r="I9" i="2"/>
  <c r="H9" i="2"/>
  <c r="G9" i="2"/>
  <c r="F9" i="2"/>
  <c r="E9" i="2"/>
  <c r="D9" i="2"/>
  <c r="C9" i="2"/>
  <c r="B9" i="2"/>
  <c r="AI8" i="2"/>
  <c r="AH8" i="2"/>
  <c r="AG8" i="2"/>
  <c r="AF8" i="2"/>
  <c r="AE8" i="2"/>
  <c r="AD8" i="2"/>
  <c r="AC8" i="2"/>
  <c r="AB8" i="2"/>
  <c r="AA8" i="2"/>
  <c r="Z8" i="2"/>
  <c r="Y8" i="2"/>
  <c r="X8" i="2"/>
  <c r="W8" i="2"/>
  <c r="V8" i="2"/>
  <c r="U8" i="2"/>
  <c r="T8" i="2"/>
  <c r="S8" i="2"/>
  <c r="R8" i="2"/>
  <c r="Q8" i="2"/>
  <c r="P8" i="2"/>
  <c r="O8" i="2"/>
  <c r="N8" i="2"/>
  <c r="M8" i="2"/>
  <c r="L8" i="2"/>
  <c r="K8" i="2"/>
  <c r="J8" i="2"/>
  <c r="I8" i="2"/>
  <c r="H8" i="2"/>
  <c r="G8" i="2"/>
  <c r="F8" i="2"/>
  <c r="E8" i="2"/>
  <c r="B8" i="2"/>
  <c r="AI7" i="2"/>
  <c r="AH7" i="2"/>
  <c r="AG7" i="2"/>
  <c r="AF7" i="2"/>
  <c r="AE7" i="2"/>
  <c r="AD7" i="2"/>
  <c r="AC7" i="2"/>
  <c r="AB7" i="2"/>
  <c r="AA7" i="2"/>
  <c r="Z7" i="2"/>
  <c r="Y7" i="2"/>
  <c r="X7" i="2"/>
  <c r="W7" i="2"/>
  <c r="V7" i="2"/>
  <c r="U7" i="2"/>
  <c r="T7" i="2"/>
  <c r="S7" i="2"/>
  <c r="R7" i="2"/>
  <c r="Q7" i="2"/>
  <c r="P7" i="2"/>
  <c r="O7" i="2"/>
  <c r="N7" i="2"/>
  <c r="M7" i="2"/>
  <c r="L7" i="2"/>
  <c r="K7" i="2"/>
  <c r="J7" i="2"/>
  <c r="I7" i="2"/>
  <c r="H7" i="2"/>
  <c r="G7" i="2"/>
  <c r="F7" i="2"/>
  <c r="E7" i="2"/>
  <c r="D7" i="2"/>
  <c r="C7" i="2"/>
  <c r="B7" i="2"/>
  <c r="AI6" i="2"/>
  <c r="AH6" i="2"/>
  <c r="AG6" i="2"/>
  <c r="AF6" i="2"/>
  <c r="AE6" i="2"/>
  <c r="AD6" i="2"/>
  <c r="AC6" i="2"/>
  <c r="AB6" i="2"/>
  <c r="AA6" i="2"/>
  <c r="Z6" i="2"/>
  <c r="Y6" i="2"/>
  <c r="X6" i="2"/>
  <c r="W6" i="2"/>
  <c r="V6" i="2"/>
  <c r="U6" i="2"/>
  <c r="T6" i="2"/>
  <c r="S6" i="2"/>
  <c r="R6" i="2"/>
  <c r="Q6" i="2"/>
  <c r="P6" i="2"/>
  <c r="O6" i="2"/>
  <c r="N6" i="2"/>
  <c r="M6" i="2"/>
  <c r="L6" i="2"/>
  <c r="K6" i="2"/>
  <c r="J6" i="2"/>
  <c r="I6" i="2"/>
  <c r="H6" i="2"/>
  <c r="G6" i="2"/>
  <c r="F6" i="2"/>
  <c r="E6" i="2"/>
  <c r="B6" i="2"/>
  <c r="AH5" i="2"/>
  <c r="AG5" i="2"/>
  <c r="AF5" i="2"/>
  <c r="AE5" i="2"/>
  <c r="AD5" i="2"/>
  <c r="AC5" i="2"/>
  <c r="AB5" i="2"/>
  <c r="AA5" i="2"/>
  <c r="Z5" i="2"/>
  <c r="Y5" i="2"/>
  <c r="X5" i="2"/>
  <c r="W5" i="2"/>
  <c r="V5" i="2"/>
  <c r="U5" i="2"/>
  <c r="T5" i="2"/>
  <c r="S5" i="2"/>
  <c r="R5" i="2"/>
  <c r="Q5" i="2"/>
  <c r="P5" i="2"/>
  <c r="O5" i="2"/>
  <c r="N5" i="2"/>
  <c r="M5" i="2"/>
  <c r="L5" i="2"/>
  <c r="K5" i="2"/>
  <c r="J5" i="2"/>
  <c r="I5" i="2"/>
  <c r="H5" i="2"/>
  <c r="G5" i="2"/>
  <c r="F5" i="2"/>
  <c r="E5" i="2"/>
  <c r="D5" i="2"/>
  <c r="C5" i="2"/>
  <c r="B5" i="2"/>
  <c r="AH4" i="2"/>
  <c r="AG4" i="2"/>
  <c r="AF4" i="2"/>
  <c r="AE4" i="2"/>
  <c r="AD4" i="2"/>
  <c r="AC4" i="2"/>
  <c r="AB4" i="2"/>
  <c r="AA4" i="2"/>
  <c r="Z4" i="2"/>
  <c r="Y4" i="2"/>
  <c r="X4" i="2"/>
  <c r="W4" i="2"/>
  <c r="V4" i="2"/>
  <c r="U4" i="2"/>
  <c r="T4" i="2"/>
  <c r="S4" i="2"/>
  <c r="R4" i="2"/>
  <c r="Q4" i="2"/>
  <c r="P4" i="2"/>
  <c r="O4" i="2"/>
  <c r="N4" i="2"/>
  <c r="M4" i="2"/>
  <c r="L4" i="2"/>
  <c r="K4" i="2"/>
  <c r="J4" i="2"/>
  <c r="I4" i="2"/>
  <c r="H4" i="2"/>
  <c r="G4" i="2"/>
  <c r="F4" i="2"/>
  <c r="E4" i="2"/>
  <c r="D4" i="2"/>
  <c r="C4" i="2"/>
  <c r="B4" i="2"/>
  <c r="AI2" i="2"/>
  <c r="AH2" i="2"/>
  <c r="AG2" i="2"/>
  <c r="AF2" i="2"/>
  <c r="AE2" i="2"/>
  <c r="AD2" i="2"/>
  <c r="AC2" i="2"/>
  <c r="AB2" i="2"/>
  <c r="AA2" i="2"/>
  <c r="Z2" i="2"/>
  <c r="Y2" i="2"/>
  <c r="X2" i="2"/>
  <c r="W2" i="2"/>
  <c r="V2" i="2"/>
  <c r="U2" i="2"/>
  <c r="T2" i="2"/>
  <c r="S2" i="2"/>
  <c r="R2" i="2"/>
  <c r="Q2" i="2"/>
  <c r="P2" i="2"/>
  <c r="O2" i="2"/>
  <c r="N2" i="2"/>
  <c r="M2" i="2"/>
  <c r="L2" i="2"/>
  <c r="K2" i="2"/>
  <c r="J2" i="2"/>
  <c r="I2" i="2"/>
  <c r="H2" i="2"/>
  <c r="G2" i="2"/>
  <c r="F2" i="2"/>
  <c r="E2" i="2"/>
  <c r="D2" i="2"/>
  <c r="C2" i="2"/>
  <c r="B2" i="2"/>
  <c r="AH1" i="2"/>
  <c r="AG1" i="2"/>
  <c r="AF1" i="2"/>
  <c r="AE1" i="2"/>
  <c r="AD1" i="2"/>
  <c r="AC1" i="2"/>
  <c r="AB1" i="2"/>
  <c r="AA1" i="2"/>
  <c r="Z1" i="2"/>
  <c r="Y1" i="2"/>
  <c r="X1" i="2"/>
  <c r="W1" i="2"/>
  <c r="V1" i="2"/>
  <c r="U1" i="2"/>
  <c r="T1" i="2"/>
  <c r="S1" i="2"/>
  <c r="R1" i="2"/>
  <c r="Q1" i="2"/>
  <c r="P1" i="2"/>
  <c r="O1" i="2"/>
  <c r="N1" i="2"/>
  <c r="M1" i="2"/>
  <c r="L1" i="2"/>
  <c r="K1" i="2"/>
  <c r="J1" i="2"/>
  <c r="I1" i="2"/>
  <c r="H1" i="2"/>
  <c r="G1" i="2"/>
  <c r="F1" i="2"/>
  <c r="E1" i="2"/>
  <c r="D1" i="2"/>
  <c r="C1" i="2"/>
  <c r="B1" i="2"/>
  <c r="AJ104" i="1"/>
  <c r="AI73" i="2" s="1"/>
  <c r="C104" i="1"/>
  <c r="B73" i="2" s="1"/>
  <c r="AJ103" i="1"/>
  <c r="AI72" i="2" s="1"/>
  <c r="C103" i="1"/>
  <c r="B72" i="2" s="1"/>
  <c r="AJ102" i="1"/>
  <c r="AI71" i="2" s="1"/>
  <c r="C102" i="1"/>
  <c r="B71" i="2" s="1"/>
  <c r="C95" i="1"/>
  <c r="B66" i="2" s="1"/>
  <c r="C93" i="1"/>
  <c r="B64" i="2" s="1"/>
  <c r="C92" i="1"/>
  <c r="B63" i="2" s="1"/>
  <c r="AD91" i="1"/>
  <c r="AC62" i="2" s="1"/>
  <c r="AA91" i="1"/>
  <c r="Z62" i="2" s="1"/>
  <c r="S91" i="1"/>
  <c r="R62" i="2" s="1"/>
  <c r="N91" i="1"/>
  <c r="M62" i="2" s="1"/>
  <c r="K91" i="1"/>
  <c r="J62" i="2" s="1"/>
  <c r="C91" i="1"/>
  <c r="Y91" i="1" s="1"/>
  <c r="X62" i="2" s="1"/>
  <c r="E89" i="1"/>
  <c r="D60" i="2" s="1"/>
  <c r="D89" i="1"/>
  <c r="C60" i="2" s="1"/>
  <c r="AD82" i="1"/>
  <c r="AC55" i="2" s="1"/>
  <c r="AA82" i="1"/>
  <c r="Z55" i="2" s="1"/>
  <c r="S82" i="1"/>
  <c r="R55" i="2" s="1"/>
  <c r="N82" i="1"/>
  <c r="M55" i="2" s="1"/>
  <c r="K82" i="1"/>
  <c r="J55" i="2" s="1"/>
  <c r="J82" i="1"/>
  <c r="I55" i="2" s="1"/>
  <c r="E82" i="1"/>
  <c r="D55" i="2" s="1"/>
  <c r="D82" i="1"/>
  <c r="C55" i="2" s="1"/>
  <c r="E74" i="1"/>
  <c r="D49" i="2" s="1"/>
  <c r="D74" i="1"/>
  <c r="C49" i="2" s="1"/>
  <c r="AI69" i="1"/>
  <c r="AH69" i="1"/>
  <c r="AG46" i="2" s="1"/>
  <c r="AG69" i="1"/>
  <c r="AF46" i="2" s="1"/>
  <c r="AF69" i="1"/>
  <c r="AE46" i="2" s="1"/>
  <c r="AE69" i="1"/>
  <c r="AD46" i="2" s="1"/>
  <c r="AD69" i="1"/>
  <c r="AC46" i="2" s="1"/>
  <c r="AC69" i="1"/>
  <c r="AB46" i="2" s="1"/>
  <c r="AB69" i="1"/>
  <c r="AA46" i="2" s="1"/>
  <c r="AA69" i="1"/>
  <c r="Z46" i="2" s="1"/>
  <c r="Z69" i="1"/>
  <c r="Y46" i="2" s="1"/>
  <c r="Y69" i="1"/>
  <c r="X46" i="2" s="1"/>
  <c r="X69" i="1"/>
  <c r="W46" i="2" s="1"/>
  <c r="W69" i="1"/>
  <c r="V46" i="2" s="1"/>
  <c r="V69" i="1"/>
  <c r="U46" i="2" s="1"/>
  <c r="U69" i="1"/>
  <c r="T46" i="2" s="1"/>
  <c r="T69" i="1"/>
  <c r="S46" i="2" s="1"/>
  <c r="S69" i="1"/>
  <c r="R69" i="1"/>
  <c r="Q46" i="2" s="1"/>
  <c r="Q69" i="1"/>
  <c r="P46" i="2" s="1"/>
  <c r="P69" i="1"/>
  <c r="O46" i="2" s="1"/>
  <c r="O69" i="1"/>
  <c r="N46" i="2" s="1"/>
  <c r="N69" i="1"/>
  <c r="M46" i="2" s="1"/>
  <c r="M69" i="1"/>
  <c r="L46" i="2" s="1"/>
  <c r="L69" i="1"/>
  <c r="K46" i="2" s="1"/>
  <c r="K69" i="1"/>
  <c r="J46" i="2" s="1"/>
  <c r="J69" i="1"/>
  <c r="I46" i="2" s="1"/>
  <c r="I69" i="1"/>
  <c r="H46" i="2" s="1"/>
  <c r="H69" i="1"/>
  <c r="G46" i="2" s="1"/>
  <c r="G69" i="1"/>
  <c r="F46" i="2" s="1"/>
  <c r="F69" i="1"/>
  <c r="E46" i="2" s="1"/>
  <c r="E68" i="1"/>
  <c r="D45" i="2" s="1"/>
  <c r="D68" i="1"/>
  <c r="C45" i="2" s="1"/>
  <c r="E65" i="1"/>
  <c r="D42" i="2" s="1"/>
  <c r="D65" i="1"/>
  <c r="C42" i="2" s="1"/>
  <c r="E58" i="1"/>
  <c r="D58" i="1"/>
  <c r="C37" i="2" s="1"/>
  <c r="AH53" i="1"/>
  <c r="AG34" i="2" s="1"/>
  <c r="AG53" i="1"/>
  <c r="AF34" i="2" s="1"/>
  <c r="AF53" i="1"/>
  <c r="AE34" i="2" s="1"/>
  <c r="AE53" i="1"/>
  <c r="AD34" i="2" s="1"/>
  <c r="AD53" i="1"/>
  <c r="AC34" i="2" s="1"/>
  <c r="AC53" i="1"/>
  <c r="AB34" i="2" s="1"/>
  <c r="AB53" i="1"/>
  <c r="AA34" i="2" s="1"/>
  <c r="AA53" i="1"/>
  <c r="Z53" i="1"/>
  <c r="Y34" i="2" s="1"/>
  <c r="Y53" i="1"/>
  <c r="X34" i="2" s="1"/>
  <c r="X53" i="1"/>
  <c r="W34" i="2" s="1"/>
  <c r="W53" i="1"/>
  <c r="V34" i="2" s="1"/>
  <c r="V53" i="1"/>
  <c r="U34" i="2" s="1"/>
  <c r="U53" i="1"/>
  <c r="T34" i="2" s="1"/>
  <c r="T53" i="1"/>
  <c r="S34" i="2" s="1"/>
  <c r="S53" i="1"/>
  <c r="R34" i="2" s="1"/>
  <c r="R53" i="1"/>
  <c r="Q34" i="2" s="1"/>
  <c r="Q53" i="1"/>
  <c r="P34" i="2" s="1"/>
  <c r="P53" i="1"/>
  <c r="O34" i="2" s="1"/>
  <c r="O53" i="1"/>
  <c r="N34" i="2" s="1"/>
  <c r="N53" i="1"/>
  <c r="M34" i="2" s="1"/>
  <c r="M53" i="1"/>
  <c r="L34" i="2" s="1"/>
  <c r="L53" i="1"/>
  <c r="K34" i="2" s="1"/>
  <c r="K53" i="1"/>
  <c r="J53" i="1"/>
  <c r="I34" i="2" s="1"/>
  <c r="I53" i="1"/>
  <c r="H34" i="2" s="1"/>
  <c r="H53" i="1"/>
  <c r="G34" i="2" s="1"/>
  <c r="G53" i="1"/>
  <c r="F34" i="2" s="1"/>
  <c r="F53" i="1"/>
  <c r="E34" i="2" s="1"/>
  <c r="AH51" i="1"/>
  <c r="AG32" i="2" s="1"/>
  <c r="AG51" i="1"/>
  <c r="AF32" i="2" s="1"/>
  <c r="AF51" i="1"/>
  <c r="AE32" i="2" s="1"/>
  <c r="AE51" i="1"/>
  <c r="AD51" i="1"/>
  <c r="AC32" i="2" s="1"/>
  <c r="AC51" i="1"/>
  <c r="AB32" i="2" s="1"/>
  <c r="AB51" i="1"/>
  <c r="AA32" i="2" s="1"/>
  <c r="AA51" i="1"/>
  <c r="Z32" i="2" s="1"/>
  <c r="Z51" i="1"/>
  <c r="Y32" i="2" s="1"/>
  <c r="Y51" i="1"/>
  <c r="X32" i="2" s="1"/>
  <c r="X51" i="1"/>
  <c r="W32" i="2" s="1"/>
  <c r="W51" i="1"/>
  <c r="V32" i="2" s="1"/>
  <c r="V51" i="1"/>
  <c r="U32" i="2" s="1"/>
  <c r="U51" i="1"/>
  <c r="T32" i="2" s="1"/>
  <c r="T51" i="1"/>
  <c r="S32" i="2" s="1"/>
  <c r="S51" i="1"/>
  <c r="R32" i="2" s="1"/>
  <c r="R51" i="1"/>
  <c r="Q32" i="2" s="1"/>
  <c r="Q51" i="1"/>
  <c r="P32" i="2" s="1"/>
  <c r="P51" i="1"/>
  <c r="O32" i="2" s="1"/>
  <c r="O51" i="1"/>
  <c r="N51" i="1"/>
  <c r="M32" i="2" s="1"/>
  <c r="M51" i="1"/>
  <c r="L32" i="2" s="1"/>
  <c r="L51" i="1"/>
  <c r="K32" i="2" s="1"/>
  <c r="K51" i="1"/>
  <c r="J32" i="2" s="1"/>
  <c r="J51" i="1"/>
  <c r="I32" i="2" s="1"/>
  <c r="I51" i="1"/>
  <c r="H32" i="2" s="1"/>
  <c r="H51" i="1"/>
  <c r="G32" i="2" s="1"/>
  <c r="G51" i="1"/>
  <c r="F32" i="2" s="1"/>
  <c r="F51" i="1"/>
  <c r="E32" i="2" s="1"/>
  <c r="E47" i="1"/>
  <c r="D28" i="2" s="1"/>
  <c r="D47" i="1"/>
  <c r="C28" i="2" s="1"/>
  <c r="E38" i="1"/>
  <c r="D38" i="1"/>
  <c r="C21" i="2" s="1"/>
  <c r="E31" i="1"/>
  <c r="D16" i="2" s="1"/>
  <c r="D31" i="1"/>
  <c r="C16" i="2" s="1"/>
  <c r="B13" i="2"/>
  <c r="E23" i="1"/>
  <c r="D79" i="2" s="1"/>
  <c r="D23" i="1"/>
  <c r="C79" i="2" s="1"/>
  <c r="E21" i="1"/>
  <c r="D78" i="2" s="1"/>
  <c r="D21" i="1"/>
  <c r="C78" i="2" s="1"/>
  <c r="E19" i="1"/>
  <c r="D19" i="1"/>
  <c r="C77" i="2" s="1"/>
  <c r="E13" i="1"/>
  <c r="D10" i="2" s="1"/>
  <c r="D13" i="1"/>
  <c r="C10" i="2" s="1"/>
  <c r="E11" i="1"/>
  <c r="D8" i="2" s="1"/>
  <c r="D11" i="1"/>
  <c r="C8" i="2" s="1"/>
  <c r="E9" i="1"/>
  <c r="D6" i="2" s="1"/>
  <c r="D9" i="1"/>
  <c r="C6" i="2" s="1"/>
  <c r="AJ8" i="1"/>
  <c r="AI5" i="2" s="1"/>
  <c r="AJ7" i="1"/>
  <c r="AI4" i="2" s="1"/>
  <c r="AM3" i="1"/>
  <c r="AO3" i="1" s="1"/>
  <c r="B5" i="22" l="1"/>
  <c r="B6" i="22" s="1"/>
  <c r="B7" i="22" s="1"/>
  <c r="AS3" i="1"/>
  <c r="AQ3" i="1"/>
  <c r="Z82" i="1"/>
  <c r="Y55" i="2" s="1"/>
  <c r="J91" i="1"/>
  <c r="I62" i="2" s="1"/>
  <c r="Z91" i="1"/>
  <c r="Y62" i="2" s="1"/>
  <c r="H5" i="10"/>
  <c r="E13" i="11" s="1"/>
  <c r="X5" i="10"/>
  <c r="E29" i="11" s="1"/>
  <c r="H9" i="10"/>
  <c r="I13" i="14" s="1"/>
  <c r="X9" i="10"/>
  <c r="I29" i="14" s="1"/>
  <c r="B9" i="14"/>
  <c r="B19" i="14"/>
  <c r="B28" i="14"/>
  <c r="C20" i="16"/>
  <c r="K4" i="19"/>
  <c r="I5" i="10"/>
  <c r="E14" i="11" s="1"/>
  <c r="Y5" i="10"/>
  <c r="E30" i="11" s="1"/>
  <c r="I9" i="10"/>
  <c r="I14" i="14" s="1"/>
  <c r="Y9" i="10"/>
  <c r="I30" i="14" s="1"/>
  <c r="B9" i="11"/>
  <c r="B12" i="11"/>
  <c r="B20" i="11"/>
  <c r="B23" i="11"/>
  <c r="B27" i="11"/>
  <c r="L3" i="14"/>
  <c r="B36" i="14"/>
  <c r="S3" i="16"/>
  <c r="B4" i="17"/>
  <c r="N4" i="19"/>
  <c r="L82" i="1"/>
  <c r="K55" i="2" s="1"/>
  <c r="AB82" i="1"/>
  <c r="AA55" i="2" s="1"/>
  <c r="L91" i="1"/>
  <c r="K62" i="2" s="1"/>
  <c r="AB91" i="1"/>
  <c r="AA62" i="2" s="1"/>
  <c r="Z5" i="10"/>
  <c r="E31" i="11" s="1"/>
  <c r="J9" i="10"/>
  <c r="I15" i="14" s="1"/>
  <c r="Z9" i="10"/>
  <c r="I31" i="14" s="1"/>
  <c r="D4" i="13"/>
  <c r="B20" i="14"/>
  <c r="F3" i="19"/>
  <c r="O4" i="19"/>
  <c r="M82" i="1"/>
  <c r="L55" i="2" s="1"/>
  <c r="AC82" i="1"/>
  <c r="AB55" i="2" s="1"/>
  <c r="M91" i="1"/>
  <c r="L62" i="2" s="1"/>
  <c r="AC91" i="1"/>
  <c r="AB62" i="2" s="1"/>
  <c r="K9" i="10"/>
  <c r="I16" i="14" s="1"/>
  <c r="AA9" i="10"/>
  <c r="I32" i="14" s="1"/>
  <c r="B35" i="11"/>
  <c r="B39" i="11"/>
  <c r="B37" i="14"/>
  <c r="G3" i="19"/>
  <c r="L5" i="10"/>
  <c r="E17" i="11" s="1"/>
  <c r="AB5" i="10"/>
  <c r="E33" i="11" s="1"/>
  <c r="L9" i="10"/>
  <c r="I17" i="14" s="1"/>
  <c r="AB9" i="10"/>
  <c r="I33" i="14" s="1"/>
  <c r="O82" i="1"/>
  <c r="N55" i="2" s="1"/>
  <c r="AE82" i="1"/>
  <c r="AD55" i="2" s="1"/>
  <c r="O91" i="1"/>
  <c r="N62" i="2" s="1"/>
  <c r="AE91" i="1"/>
  <c r="AD62" i="2" s="1"/>
  <c r="M5" i="10"/>
  <c r="E18" i="11" s="1"/>
  <c r="M9" i="10"/>
  <c r="I18" i="14" s="1"/>
  <c r="AC9" i="10"/>
  <c r="I34" i="14" s="1"/>
  <c r="B10" i="11"/>
  <c r="B24" i="11"/>
  <c r="B28" i="11"/>
  <c r="B10" i="14"/>
  <c r="B25" i="14"/>
  <c r="B38" i="14"/>
  <c r="B6" i="17"/>
  <c r="C10" i="19"/>
  <c r="P82" i="1"/>
  <c r="O55" i="2" s="1"/>
  <c r="P91" i="1"/>
  <c r="O62" i="2" s="1"/>
  <c r="AD9" i="10"/>
  <c r="I35" i="14" s="1"/>
  <c r="K3" i="19"/>
  <c r="AF82" i="1"/>
  <c r="AE55" i="2" s="1"/>
  <c r="AF91" i="1"/>
  <c r="AE62" i="2" s="1"/>
  <c r="Q82" i="1"/>
  <c r="P55" i="2" s="1"/>
  <c r="AG82" i="1"/>
  <c r="AF55" i="2" s="1"/>
  <c r="Q91" i="1"/>
  <c r="P62" i="2" s="1"/>
  <c r="AG91" i="1"/>
  <c r="AF62" i="2" s="1"/>
  <c r="AE5" i="10"/>
  <c r="E36" i="11" s="1"/>
  <c r="B39" i="14"/>
  <c r="R4" i="16"/>
  <c r="B7" i="17"/>
  <c r="R82" i="1"/>
  <c r="Q55" i="2" s="1"/>
  <c r="AH82" i="1"/>
  <c r="AG55" i="2" s="1"/>
  <c r="R91" i="1"/>
  <c r="Q62" i="2" s="1"/>
  <c r="AH91" i="1"/>
  <c r="AG62" i="2" s="1"/>
  <c r="AF5" i="10"/>
  <c r="E37" i="11" s="1"/>
  <c r="P9" i="10"/>
  <c r="I21" i="14" s="1"/>
  <c r="N3" i="19"/>
  <c r="C40" i="19"/>
  <c r="Q9" i="10"/>
  <c r="I22" i="14" s="1"/>
  <c r="B25" i="11"/>
  <c r="B40" i="14"/>
  <c r="B8" i="17"/>
  <c r="O3" i="19"/>
  <c r="T82" i="1"/>
  <c r="S55" i="2" s="1"/>
  <c r="T91" i="1"/>
  <c r="S62" i="2" s="1"/>
  <c r="R9" i="10"/>
  <c r="I23" i="14" s="1"/>
  <c r="U91" i="1"/>
  <c r="T62" i="2" s="1"/>
  <c r="S9" i="10"/>
  <c r="I24" i="14" s="1"/>
  <c r="B11" i="14"/>
  <c r="N40" i="19"/>
  <c r="U82" i="1"/>
  <c r="T55" i="2" s="1"/>
  <c r="F82" i="1"/>
  <c r="E55" i="2" s="1"/>
  <c r="V82" i="1"/>
  <c r="U55" i="2" s="1"/>
  <c r="F91" i="1"/>
  <c r="E62" i="2" s="1"/>
  <c r="V91" i="1"/>
  <c r="U62" i="2" s="1"/>
  <c r="B26" i="14"/>
  <c r="G82" i="1"/>
  <c r="F55" i="2" s="1"/>
  <c r="W82" i="1"/>
  <c r="V55" i="2" s="1"/>
  <c r="G91" i="1"/>
  <c r="F62" i="2" s="1"/>
  <c r="W91" i="1"/>
  <c r="V62" i="2" s="1"/>
  <c r="U5" i="10"/>
  <c r="E26" i="11" s="1"/>
  <c r="B11" i="11"/>
  <c r="B12" i="14"/>
  <c r="F4" i="19"/>
  <c r="H82" i="1"/>
  <c r="G55" i="2" s="1"/>
  <c r="V9" i="10"/>
  <c r="I27" i="14" s="1"/>
  <c r="X82" i="1"/>
  <c r="W55" i="2" s="1"/>
  <c r="H91" i="1"/>
  <c r="G62" i="2" s="1"/>
  <c r="X91" i="1"/>
  <c r="W62" i="2" s="1"/>
  <c r="I82" i="1"/>
  <c r="H55" i="2" s="1"/>
  <c r="Y82" i="1"/>
  <c r="X55" i="2" s="1"/>
  <c r="I91" i="1"/>
  <c r="H62" i="2" s="1"/>
  <c r="B9" i="22" l="1"/>
  <c r="B8" i="22"/>
  <c r="B10" i="22" s="1"/>
  <c r="B12" i="22" l="1"/>
  <c r="B13" i="2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P3" authorId="0" shapeId="0" xr:uid="{00000000-0006-0000-0200-000001000000}">
      <text>
        <r>
          <rPr>
            <sz val="12"/>
            <color theme="1"/>
            <rFont val="Calibri"/>
            <family val="2"/>
            <scheme val="minor"/>
          </rPr>
          <t>======
ID#AAAAX_MmmNk
tc={3F1903C2-B329-B140-85F5-3AFDF32F65BB}    (2022-04-12 04:33:03)
[Threaded comment]
Your version of Excel allows you to read this threaded comment; however, any edits to it will get removed if the file is opened in a newer version of Excel. Learn more: https://go.microsoft.com/fwlink/?linkid=870924
Comment:
    be careful: module prices vs. system prices!</t>
        </r>
      </text>
    </comment>
  </commentList>
  <extLst>
    <ext xmlns:r="http://schemas.openxmlformats.org/officeDocument/2006/relationships" uri="GoogleSheetsCustomDataVersion1">
      <go:sheetsCustomData xmlns:go="http://customooxmlschemas.google.com/" r:id="rId1" roundtripDataSignature="AMtx7mieiU2bwdKBK2ugARfkvgCe7qAB2Q=="/>
    </ext>
  </extLst>
</comments>
</file>

<file path=xl/sharedStrings.xml><?xml version="1.0" encoding="utf-8"?>
<sst xmlns="http://schemas.openxmlformats.org/spreadsheetml/2006/main" count="1264" uniqueCount="572">
  <si>
    <t>Specification</t>
  </si>
  <si>
    <t>Variable Name</t>
  </si>
  <si>
    <t>value_2020</t>
  </si>
  <si>
    <t>sensitivity_min</t>
  </si>
  <si>
    <t>sensitivity_max</t>
  </si>
  <si>
    <t>value_2021</t>
  </si>
  <si>
    <t>value_2022</t>
  </si>
  <si>
    <t>value_2023</t>
  </si>
  <si>
    <t>value_2024</t>
  </si>
  <si>
    <t>value_2025</t>
  </si>
  <si>
    <t>value_2026</t>
  </si>
  <si>
    <t>value_2027</t>
  </si>
  <si>
    <t>value_2028</t>
  </si>
  <si>
    <t>value_2029</t>
  </si>
  <si>
    <t>value_2030</t>
  </si>
  <si>
    <t>value_2031</t>
  </si>
  <si>
    <t>value_2032</t>
  </si>
  <si>
    <t>value_2033</t>
  </si>
  <si>
    <t>value_2034</t>
  </si>
  <si>
    <t>value_2035</t>
  </si>
  <si>
    <t>value_2036</t>
  </si>
  <si>
    <t>value_2037</t>
  </si>
  <si>
    <t>value_2038</t>
  </si>
  <si>
    <t>value_2039</t>
  </si>
  <si>
    <t>value_2040</t>
  </si>
  <si>
    <t>value_2041</t>
  </si>
  <si>
    <t>value_2042</t>
  </si>
  <si>
    <t>value_2043</t>
  </si>
  <si>
    <t>value_2044</t>
  </si>
  <si>
    <t>value_2045</t>
  </si>
  <si>
    <t>value_2046</t>
  </si>
  <si>
    <t>value_2047</t>
  </si>
  <si>
    <t>value_2048</t>
  </si>
  <si>
    <t>value_2049</t>
  </si>
  <si>
    <t>value_2050</t>
  </si>
  <si>
    <t>Units</t>
  </si>
  <si>
    <t>Sources</t>
  </si>
  <si>
    <t>Comments</t>
  </si>
  <si>
    <t>kerosene output of plant</t>
  </si>
  <si>
    <t>required_fuel</t>
  </si>
  <si>
    <t>GWh</t>
  </si>
  <si>
    <t>kg/year</t>
  </si>
  <si>
    <t>gal/year</t>
  </si>
  <si>
    <t>barrels/year</t>
  </si>
  <si>
    <t>liters/year</t>
  </si>
  <si>
    <t>On-shore wind plant</t>
  </si>
  <si>
    <t xml:space="preserve">turbine spacing </t>
  </si>
  <si>
    <t>meters of spacing per meter of rotor diameter</t>
  </si>
  <si>
    <t>maximum units</t>
  </si>
  <si>
    <t>wind_max_units</t>
  </si>
  <si>
    <t>minimum units</t>
  </si>
  <si>
    <t>wind_min_units</t>
  </si>
  <si>
    <t xml:space="preserve">CAPEX       </t>
  </si>
  <si>
    <t>wind_lo_CAPEX</t>
  </si>
  <si>
    <t>[EUR/kW rated]</t>
  </si>
  <si>
    <t>2020 and 2050 value from Tsiropoulos2018, own interpolation in between</t>
  </si>
  <si>
    <t xml:space="preserve">OPEX        </t>
  </si>
  <si>
    <t>wind_lo_OPEX</t>
  </si>
  <si>
    <t>Fraction of CAPEX p.a.</t>
  </si>
  <si>
    <t>Tsiropoulos2018, Agora2019</t>
  </si>
  <si>
    <t>wind_mid_CAPEX</t>
  </si>
  <si>
    <t>wind_mid_OPEX</t>
  </si>
  <si>
    <t>wind_hi_CAPEX</t>
  </si>
  <si>
    <t>wind_hi_OPEX</t>
  </si>
  <si>
    <t xml:space="preserve">lifetime    </t>
  </si>
  <si>
    <t>wind_lifetime</t>
  </si>
  <si>
    <t>years</t>
  </si>
  <si>
    <t>Tsiropoulos2018</t>
  </si>
  <si>
    <t>Off-shore wind plant</t>
  </si>
  <si>
    <t>wind_monopole_CAPEX</t>
  </si>
  <si>
    <t>wind_monopole_OPEX</t>
  </si>
  <si>
    <t>wind_jacket_CAPEX</t>
  </si>
  <si>
    <t>wind_jacket_OPEX</t>
  </si>
  <si>
    <t>wind_floating_CAPEX</t>
  </si>
  <si>
    <t>wind_floating_OPEX</t>
  </si>
  <si>
    <t/>
  </si>
  <si>
    <t>Solar PV plant</t>
  </si>
  <si>
    <t>PV_max_capacity</t>
  </si>
  <si>
    <t>kW</t>
  </si>
  <si>
    <t>PV_min_capacity</t>
  </si>
  <si>
    <t xml:space="preserve">PV peak per area  </t>
  </si>
  <si>
    <t>PV_peak_per_area</t>
  </si>
  <si>
    <t>kWp/m^2</t>
  </si>
  <si>
    <t xml:space="preserve">CAPEX           </t>
  </si>
  <si>
    <t>PV_CAPEX</t>
  </si>
  <si>
    <t>[EUR/kWp]</t>
  </si>
  <si>
    <t>Vartiainen2020, Tsiropoulos2018, Agora2019</t>
  </si>
  <si>
    <t xml:space="preserve">OPEX            </t>
  </si>
  <si>
    <t>PV_OPEX</t>
  </si>
  <si>
    <t xml:space="preserve">lifetime        </t>
  </si>
  <si>
    <t>PV_lifetime</t>
  </si>
  <si>
    <t>Battery</t>
  </si>
  <si>
    <t>battery_max_capacity</t>
  </si>
  <si>
    <t>kWh</t>
  </si>
  <si>
    <t>battery_min_capacity</t>
  </si>
  <si>
    <t xml:space="preserve">CAPEX     </t>
  </si>
  <si>
    <t>battery_CAPEX</t>
  </si>
  <si>
    <t>[EUR/kWh]</t>
  </si>
  <si>
    <t>Vartiainen2020, IEA2019, Batstorm2018, Runge2020, Cole2019</t>
  </si>
  <si>
    <t xml:space="preserve">OPEX      </t>
  </si>
  <si>
    <t>battery_OPEX</t>
  </si>
  <si>
    <t>Vartiainen2020, Runge2020</t>
  </si>
  <si>
    <t>lifetime</t>
  </si>
  <si>
    <t>battery_lifetime</t>
  </si>
  <si>
    <t>Vartiainen2020, Runge2020, Cole2019, Beuse2020</t>
  </si>
  <si>
    <t xml:space="preserve">cycle efficiency </t>
  </si>
  <si>
    <t>battery_cycle_efficiency</t>
  </si>
  <si>
    <t>Schimpe2018, Peralta2019, Mongird2019, Beuse2020</t>
  </si>
  <si>
    <t xml:space="preserve">c rate           </t>
  </si>
  <si>
    <t>battery_c_rate</t>
  </si>
  <si>
    <t>1/hours</t>
  </si>
  <si>
    <t>Saxena2019</t>
  </si>
  <si>
    <t>Electrolyzer (Low-Temp.)</t>
  </si>
  <si>
    <t>electrolyzer_max_capacity</t>
  </si>
  <si>
    <t>electrolyzer_min_capacity</t>
  </si>
  <si>
    <t>electrolyzer_CAPEX</t>
  </si>
  <si>
    <t>[EUR/kWel]</t>
  </si>
  <si>
    <t>Agora2019, IEA2019, Matute2019, Bohm2020, Gorre2019, Michalski2017, Brynolf2018, Buttler2018</t>
  </si>
  <si>
    <t>electrolyzer_OPEX</t>
  </si>
  <si>
    <t>electrolyzer_lifetime</t>
  </si>
  <si>
    <t>IEA2019, Michalski2017</t>
  </si>
  <si>
    <t>baseload</t>
  </si>
  <si>
    <t>electrolyzer_baseload</t>
  </si>
  <si>
    <t>Fraction of rated electricity input power</t>
  </si>
  <si>
    <t>efficiency</t>
  </si>
  <si>
    <t>electrolyzer_efficiency</t>
  </si>
  <si>
    <t>[kWh_H2/kWh_el] (LHV basis)</t>
  </si>
  <si>
    <t>Agora2019, Matute2019, Gorre2019, Brynolf2018, IEA2019, Buttler2018, Michalski2017</t>
  </si>
  <si>
    <t>stack_lifetime</t>
  </si>
  <si>
    <t>electrolyzer_stack_lifetime</t>
  </si>
  <si>
    <t>Gorre2019, ﻿Bohm2020, Buttler2018</t>
  </si>
  <si>
    <t>stack_replacement_CAPEX</t>
  </si>
  <si>
    <t>electrolyzer_stack_CAPEX</t>
  </si>
  <si>
    <t>fraction of electrolyzer CAPEX</t>
  </si>
  <si>
    <t>IRENA2018, Matute2019, own extrapolation</t>
  </si>
  <si>
    <t>Hydrogen storage</t>
  </si>
  <si>
    <t>H2stor_max_capacity</t>
  </si>
  <si>
    <t>H2stor_min_capacity</t>
  </si>
  <si>
    <t>CAPEX</t>
  </si>
  <si>
    <t>H2stor_CAPEX</t>
  </si>
  <si>
    <t>[EUR/kWh_H2]</t>
  </si>
  <si>
    <t>Runge2020, DNVGL2019, Gorre2020, vanLeeuwen2018</t>
  </si>
  <si>
    <t>OPEX</t>
  </si>
  <si>
    <t>H2stor_OPEX</t>
  </si>
  <si>
    <t>Runge2020, Gorre2020, vanLeeuwen2018</t>
  </si>
  <si>
    <t>H2stor_lifetime</t>
  </si>
  <si>
    <t>CO2 Production</t>
  </si>
  <si>
    <t>CO2_max_capacity</t>
  </si>
  <si>
    <t>kgCO2/hr</t>
  </si>
  <si>
    <t>CO2_min_capacity</t>
  </si>
  <si>
    <t>CO2_CAPEX</t>
  </si>
  <si>
    <t>[EUR/ton*yr]</t>
  </si>
  <si>
    <t>Fasihi2019</t>
  </si>
  <si>
    <t>CO2_OPEX</t>
  </si>
  <si>
    <t>electrical efficiency</t>
  </si>
  <si>
    <t>CO2_el_efficiency</t>
  </si>
  <si>
    <t>kWhel/kgCO2</t>
  </si>
  <si>
    <t>Beuttler2019</t>
  </si>
  <si>
    <t>thermal efficiency</t>
  </si>
  <si>
    <t>CO2_th_efficiency</t>
  </si>
  <si>
    <t>kWh/kgCO2</t>
  </si>
  <si>
    <t>CO2_lifetime</t>
  </si>
  <si>
    <t>Electrical Boiler</t>
  </si>
  <si>
    <t>maximum capacity</t>
  </si>
  <si>
    <t>heat_max_capacity</t>
  </si>
  <si>
    <t>minimum capacity</t>
  </si>
  <si>
    <t>heat_min_capacity</t>
  </si>
  <si>
    <t>heat_CAPEX</t>
  </si>
  <si>
    <t>[EUR/kW_el]</t>
  </si>
  <si>
    <t>Sperber2014</t>
  </si>
  <si>
    <t>heat_OPEX</t>
  </si>
  <si>
    <t>heat_el_efficiency</t>
  </si>
  <si>
    <t>kWth/kWel</t>
  </si>
  <si>
    <t>own assumption</t>
  </si>
  <si>
    <t>heat_lifetime</t>
  </si>
  <si>
    <t>CO2 Storage</t>
  </si>
  <si>
    <t>CO2stor_max_capacity</t>
  </si>
  <si>
    <t>kgCO2</t>
  </si>
  <si>
    <t>CO2stor_min_capacity</t>
  </si>
  <si>
    <t>CO2stor_CAPEX</t>
  </si>
  <si>
    <t>EUR/t</t>
  </si>
  <si>
    <t>ElementEnergy2018</t>
  </si>
  <si>
    <t>CO2stor_OPEX</t>
  </si>
  <si>
    <t>ElementEnergy2018, Runge2020, Gorre2019</t>
  </si>
  <si>
    <t>CO2stor_lifetime</t>
  </si>
  <si>
    <t>Hydrogen-to-liquid</t>
  </si>
  <si>
    <t>H2tL_max_capacity</t>
  </si>
  <si>
    <t>kW jet fuel output</t>
  </si>
  <si>
    <t>H2tL_min_capacity</t>
  </si>
  <si>
    <t>H2tL_CAPEX</t>
  </si>
  <si>
    <t>[EUR/kW fuel output]</t>
  </si>
  <si>
    <t>Agora2019, IEA2019</t>
  </si>
  <si>
    <t>H2tL_OPEX</t>
  </si>
  <si>
    <t>H2tL chemical energy conversion efficiency</t>
  </si>
  <si>
    <t>H2tL_chem_efficiency</t>
  </si>
  <si>
    <t>[kWh_fuel/kWh_H2] (LHV basis)</t>
  </si>
  <si>
    <t>Konig2015</t>
  </si>
  <si>
    <t>H2tL electrical demand</t>
  </si>
  <si>
    <t>H2tL_el_demand</t>
  </si>
  <si>
    <t>[kWh_el/kWh_fuel]</t>
  </si>
  <si>
    <t>Konig2015,JECWTW2020</t>
  </si>
  <si>
    <t>CO2 compressor, recycle compressor, supply air blower, wax pumps, cooling water pumps, refrigeration</t>
  </si>
  <si>
    <t>H2tL heat output</t>
  </si>
  <si>
    <t>H2tL_heat_output</t>
  </si>
  <si>
    <t>[kWh_heat / kWh_fuel]</t>
  </si>
  <si>
    <t xml:space="preserve">H2tL baseload   </t>
  </si>
  <si>
    <t>H2tL_baseload</t>
  </si>
  <si>
    <t>Fraction of rated jet fuel output</t>
  </si>
  <si>
    <t>Ratio of CO2 to H2 as input required</t>
  </si>
  <si>
    <t>H2tL_required_CO2</t>
  </si>
  <si>
    <t>kg_CO2/kWh_H2</t>
  </si>
  <si>
    <t>previously</t>
  </si>
  <si>
    <t>Fasihi, 2016</t>
  </si>
  <si>
    <t>H2tL_lifetime</t>
  </si>
  <si>
    <t>IEA2019</t>
  </si>
  <si>
    <t>Fuel characteristics</t>
  </si>
  <si>
    <t xml:space="preserve">kerosene LHV      </t>
  </si>
  <si>
    <t>kerosene_LHV</t>
  </si>
  <si>
    <t>J/kg</t>
  </si>
  <si>
    <t>UN_LHV2014</t>
  </si>
  <si>
    <t xml:space="preserve">gasoline LHV       </t>
  </si>
  <si>
    <t>gasoline_LHV</t>
  </si>
  <si>
    <t xml:space="preserve">diesel LHV        </t>
  </si>
  <si>
    <t>diesel_LHV</t>
  </si>
  <si>
    <t>kerosene energy fraction</t>
  </si>
  <si>
    <t>kerosene_energy_fraction</t>
  </si>
  <si>
    <t>gasoline energy fraction</t>
  </si>
  <si>
    <t>gasoline_energy_fraction</t>
  </si>
  <si>
    <t>diesel energy fraction</t>
  </si>
  <si>
    <t>diesel_energy_fraction</t>
  </si>
  <si>
    <t>Economics</t>
  </si>
  <si>
    <t>discount rate</t>
  </si>
  <si>
    <t>discount_rate</t>
  </si>
  <si>
    <t>Lehtveer2019, Brynolf2018</t>
  </si>
  <si>
    <t>(0.07 from Gorre 2020, 0.08 from IEA, 2019)</t>
  </si>
  <si>
    <t>entire plant lifetime</t>
  </si>
  <si>
    <t>specification</t>
  </si>
  <si>
    <t>units</t>
  </si>
  <si>
    <t>CSP plant</t>
  </si>
  <si>
    <t>Electrolyzer</t>
  </si>
  <si>
    <t>H2 compressor</t>
  </si>
  <si>
    <t>Direct Air Capture</t>
  </si>
  <si>
    <t>CO2 storage</t>
  </si>
  <si>
    <t>CO2 compressor</t>
  </si>
  <si>
    <t xml:space="preserve">variable -&gt; </t>
  </si>
  <si>
    <t>DECEX</t>
  </si>
  <si>
    <t>unit generation capacity</t>
  </si>
  <si>
    <t>unit electricity storage capacity</t>
  </si>
  <si>
    <t>unit electricity input capacity</t>
  </si>
  <si>
    <t>electrolyzer lifetime</t>
  </si>
  <si>
    <t xml:space="preserve">electrolyzer baseload   </t>
  </si>
  <si>
    <t>electrolyzer efficiency</t>
  </si>
  <si>
    <t xml:space="preserve">electrolyzer efficiency </t>
  </si>
  <si>
    <t>unit hydrogen storage capacity</t>
  </si>
  <si>
    <t>storage type</t>
  </si>
  <si>
    <t>include efficiency (leakage)?</t>
  </si>
  <si>
    <t>energy consumption</t>
  </si>
  <si>
    <t>unit jet fuel output capacity</t>
  </si>
  <si>
    <t>CAPEX bpd</t>
  </si>
  <si>
    <t xml:space="preserve">H2tL efficiency </t>
  </si>
  <si>
    <t>electricity demand</t>
  </si>
  <si>
    <t>minimum part load</t>
  </si>
  <si>
    <t>pressure</t>
  </si>
  <si>
    <t xml:space="preserve">kerosene vol fraction </t>
  </si>
  <si>
    <t xml:space="preserve">naphtha vol fraction </t>
  </si>
  <si>
    <t xml:space="preserve">diesel vol fraction </t>
  </si>
  <si>
    <t xml:space="preserve">electricity demand </t>
  </si>
  <si>
    <t>heat demand</t>
  </si>
  <si>
    <t>unit -&gt;</t>
  </si>
  <si>
    <t>excluded because…</t>
  </si>
  <si>
    <t>operation hours</t>
  </si>
  <si>
    <t>kWh_H2/kWh_el (unclear whether HHV or LHV)</t>
  </si>
  <si>
    <t>[(kWh H2 (LHV)) / (kWh el) ]</t>
  </si>
  <si>
    <t>-</t>
  </si>
  <si>
    <t>[EUR/kg_H2]</t>
  </si>
  <si>
    <t>[EUR/kW_el.]</t>
  </si>
  <si>
    <t>[EUR/kW_H2]</t>
  </si>
  <si>
    <t>%</t>
  </si>
  <si>
    <t>kWh_el./kg_H2</t>
  </si>
  <si>
    <t>[EUR/bpd (barrels per day)]</t>
  </si>
  <si>
    <t>[energy efficiency - kWh hydrogen to kWh fuel mix]</t>
  </si>
  <si>
    <t>0.39 kWh_el./kg_H2</t>
  </si>
  <si>
    <t>bar</t>
  </si>
  <si>
    <t>[EUR/(tCO2*h)]</t>
  </si>
  <si>
    <t>MWh_el./t_CO2</t>
  </si>
  <si>
    <t>MWh_th./t_CO2</t>
  </si>
  <si>
    <t>[EUR/tCO2]</t>
  </si>
  <si>
    <t>xxx</t>
  </si>
  <si>
    <t>kWh_el./kg gas</t>
  </si>
  <si>
    <t>reference</t>
  </si>
  <si>
    <t>year of data</t>
  </si>
  <si>
    <t>comment</t>
  </si>
  <si>
    <t>Bryer, 2012</t>
  </si>
  <si>
    <t>?</t>
  </si>
  <si>
    <t>old</t>
  </si>
  <si>
    <t xml:space="preserve"> </t>
  </si>
  <si>
    <t>no information given, assumed to be a depleted gas field (otw we do not see how you could get such low costs)</t>
  </si>
  <si>
    <t>Maienza, 2020</t>
  </si>
  <si>
    <t>weird numbers for OPEX for wind..</t>
  </si>
  <si>
    <t>25-30</t>
  </si>
  <si>
    <t>Blanco, 2009</t>
  </si>
  <si>
    <t>Krohn, 2009</t>
  </si>
  <si>
    <t>Baldinelli, 2020</t>
  </si>
  <si>
    <t>based on other data sources (from 2014)</t>
  </si>
  <si>
    <t>old and se ondary literature</t>
  </si>
  <si>
    <t>https://www.tesla.com/en_AU/blog/introducing-megapack-utility-scale-energy-storage</t>
  </si>
  <si>
    <t>1.5 MW power / 3 MWh energy</t>
  </si>
  <si>
    <t>Matute, 2019</t>
  </si>
  <si>
    <t>PEMEL, 2017</t>
  </si>
  <si>
    <t>PEMEL, 2025</t>
  </si>
  <si>
    <t>Crivellari, 2020</t>
  </si>
  <si>
    <t>100 MW plant, no information on electrolysis type</t>
  </si>
  <si>
    <t>too little information given</t>
  </si>
  <si>
    <t>10 MW plant, no information on electrolysis type</t>
  </si>
  <si>
    <t>too little plant</t>
  </si>
  <si>
    <t>van Zuijlen, 2019</t>
  </si>
  <si>
    <t>TCR instead of CAPEX; based on Siemens projections</t>
  </si>
  <si>
    <t>TCR instead of CAPEX</t>
  </si>
  <si>
    <t>Böhm, 2020</t>
  </si>
  <si>
    <t>PEMEL, for plant of 5 MW_el</t>
  </si>
  <si>
    <t>Zappa, 2019</t>
  </si>
  <si>
    <t>based on other data sources (JRC, 2014)</t>
  </si>
  <si>
    <t>secondary literature</t>
  </si>
  <si>
    <t>﻿1320</t>
  </si>
  <si>
    <t>﻿U.S. Energy Information Administration, 2020</t>
  </si>
  <si>
    <t>US data</t>
  </si>
  <si>
    <t>US data, not suitable for EU</t>
  </si>
  <si>
    <t>US data: large plant</t>
  </si>
  <si>
    <t>US data: small plant</t>
  </si>
  <si>
    <t>Gupta, 2020</t>
  </si>
  <si>
    <t>data from other sources, for Switzerland</t>
  </si>
  <si>
    <t>prices for CH</t>
  </si>
  <si>
    <t>Lai, 2017</t>
  </si>
  <si>
    <t>data from other sources</t>
  </si>
  <si>
    <t>5-15</t>
  </si>
  <si>
    <t>0.85-0.95</t>
  </si>
  <si>
    <t>Tian, 2020</t>
  </si>
  <si>
    <t>only conference paper</t>
  </si>
  <si>
    <t>﻿Luerssen, 2020</t>
  </si>
  <si>
    <t>PSI, 2019</t>
  </si>
  <si>
    <t>data for Switzerland</t>
  </si>
  <si>
    <t>Buttler, 2018</t>
  </si>
  <si>
    <t>based on existing plants, data for PEMEL, lower-end estimate for costs, higher-end estimate for efficiency</t>
  </si>
  <si>
    <t>﻿Kost, 2018</t>
  </si>
  <si>
    <t>no future projections</t>
  </si>
  <si>
    <t>﻿1500</t>
  </si>
  <si>
    <t>﻿3100</t>
  </si>
  <si>
    <t>﻿600</t>
  </si>
  <si>
    <t>IEA, 2019</t>
  </si>
  <si>
    <t>today</t>
  </si>
  <si>
    <t>'today' assumed to be 2020, 'long-term' assumed to be 2050, unclear whether FT is with or without RWGS, FT efficeincy values LHV-based, no information on electrolysis type</t>
  </si>
  <si>
    <t>long-term</t>
  </si>
  <si>
    <t>Gorre, 2020</t>
  </si>
  <si>
    <t>presssure vessel, 200 bar; 44€/m3</t>
  </si>
  <si>
    <t>pressure vessel</t>
  </si>
  <si>
    <t>presssure vessel, 50 bar; 33€/m3</t>
  </si>
  <si>
    <t>IRENA, 2018</t>
  </si>
  <si>
    <t>DNV GL,2019</t>
  </si>
  <si>
    <t>compressed pressure vessel, 700 bar, typical capacity 10 GJ, 365 cycles per year (﻿excluding compression energy)</t>
  </si>
  <si>
    <t>c﻿ompressed depleted gas field, 250 bar, typical capacity 10 PJ, 2 cycles per year (﻿excluding compression energy)</t>
  </si>
  <si>
    <t>excluded since we also have jet fuel production sites where not depleted gas field is</t>
  </si>
  <si>
    <t>depleted gas field</t>
  </si>
  <si>
    <t>liquefied cryogenic vessel, 1 bar, 20K, typical capacity 3 TJ, 52 cycles per year (﻿excluding compression energy)</t>
  </si>
  <si>
    <t>excluded since it is rather a mid-term storage, not short-term</t>
  </si>
  <si>
    <t>liquefied vessel</t>
  </si>
  <si>
    <t>Li-ion</t>
  </si>
  <si>
    <t>unit unclear (cost per kW or kWh)</t>
  </si>
  <si>
    <t>﻿Christensen, 2020</t>
  </si>
  <si>
    <t>ICCT study, H2 compression to 30-150 bar</t>
  </si>
  <si>
    <t>Element Energy, 2018</t>
  </si>
  <si>
    <t>review of many different studies, assumed lifetime for all project components, snensitivity analyses of 10-40 years</t>
  </si>
  <si>
    <t>﻿IEA, 2019b</t>
  </si>
  <si>
    <t>2017, four-hour battery system</t>
  </si>
  <si>
    <t>2025, four-hour battery system</t>
  </si>
  <si>
    <t>2030, four-hour battery system</t>
  </si>
  <si>
    <t>2035, four-hour battery system</t>
  </si>
  <si>
    <t>2040, four-hour battery system</t>
  </si>
  <si>
    <t>Runge, 2020</t>
  </si>
  <si>
    <t>PEMEL @ 80 bar, all values are forecasts for 2035</t>
  </si>
  <si>
    <t>25-80 bar buffer tank</t>
  </si>
  <si>
    <t>﻿2522880</t>
  </si>
  <si>
    <t>﻿224615</t>
  </si>
  <si>
    <t>Hank, 2018</t>
  </si>
  <si>
    <t>BATSTROM, 2018</t>
  </si>
  <si>
    <t>Mongird, 2018</t>
  </si>
  <si>
    <t>values for US</t>
  </si>
  <si>
    <t>﻿van Leeuwen, 2018</t>
  </si>
  <si>
    <t>low-cost</t>
  </si>
  <si>
    <t>high-pressure steel tanks</t>
  </si>
  <si>
    <t>base-cost</t>
  </si>
  <si>
    <t>high-cost</t>
  </si>
  <si>
    <t>Carr, 2014</t>
  </si>
  <si>
    <t>200 bar cylinders</t>
  </si>
  <si>
    <t>Schuster, 2017</t>
  </si>
  <si>
    <t>Michalski, 2017</t>
  </si>
  <si>
    <t>Ajanovic, 2019</t>
  </si>
  <si>
    <t>provide CAPEX curves (2015-2050) for H2 storage (in EUR/kWh_el.)</t>
  </si>
  <si>
    <t>see comment in column C</t>
  </si>
  <si>
    <t>Element Energy, 2018b</t>
  </si>
  <si>
    <t>now</t>
  </si>
  <si>
    <t>EUR/kWh_H2 (HHV), high pressure vessels, 5-8 Mpa</t>
  </si>
  <si>
    <t>High pressure’ steel or composite cylinders / torpedo tube banks, 43-50 Mpa</t>
  </si>
  <si>
    <t>future</t>
  </si>
  <si>
    <t>Brynolf, 2018</t>
  </si>
  <si>
    <t>lower-end-estimates for costs, medium-estimates for efficiencies, FT costs for 5MW plant</t>
  </si>
  <si>
    <t>include de Vita + Realmonte + Store&amp;Go papers!</t>
  </si>
  <si>
    <t>Crivellari, 2020 has also data on H2 compression, CO2 capture and compression and others</t>
  </si>
  <si>
    <t>two learning rate-based approaches for Europe (see extra sheets)</t>
  </si>
  <si>
    <t>+ JRC, 2018</t>
  </si>
  <si>
    <t>+ Vartiainen, 2020</t>
  </si>
  <si>
    <t>more extensive datasets (see extra sheets)</t>
  </si>
  <si>
    <t>+ EUC, 2018</t>
  </si>
  <si>
    <t>+ Agora, 2020</t>
  </si>
  <si>
    <t>+ Gorre, 2019</t>
  </si>
  <si>
    <t>+ Cole, 2019</t>
  </si>
  <si>
    <t>+ Fasihi, 2019</t>
  </si>
  <si>
    <t>Caveats:</t>
  </si>
  <si>
    <t>always choose system costs, not module costs</t>
  </si>
  <si>
    <t>double-check LHV / HHV-based values</t>
  </si>
  <si>
    <t>double-check units (EUR per kW/kg/m^3/kWh_el/kWh_chem)</t>
  </si>
  <si>
    <t>Low-temperature DAC (conservative scenario)</t>
  </si>
  <si>
    <t>EUR/(t_CO2*a)</t>
  </si>
  <si>
    <t>% of CAPEX p.a.</t>
  </si>
  <si>
    <t>kWh_el./t_CO2</t>
  </si>
  <si>
    <t>low-temp. Heat demand</t>
  </si>
  <si>
    <t>kWh_th./t_CO2</t>
  </si>
  <si>
    <t>reference:</t>
  </si>
  <si>
    <t>Fasihi, 2019</t>
  </si>
  <si>
    <t>Note: They also provide a "base case" with lower costs - we could include those as well.</t>
  </si>
  <si>
    <t>battery system costs for 4-hour Li-Ion systems</t>
  </si>
  <si>
    <t>high cost</t>
  </si>
  <si>
    <t>$/kWh</t>
  </si>
  <si>
    <t>mid cost</t>
  </si>
  <si>
    <t>low cost</t>
  </si>
  <si>
    <t>€/kWh</t>
  </si>
  <si>
    <t>low</t>
  </si>
  <si>
    <t>high</t>
  </si>
  <si>
    <t>selected</t>
  </si>
  <si>
    <t>round-trip efficiency</t>
  </si>
  <si>
    <t>Cole, 2019</t>
  </si>
  <si>
    <t>electrolyser (2017 (2030 and 2050) for 1 (10) MW electrical input of electrolyser)</t>
  </si>
  <si>
    <t>€/kW</t>
  </si>
  <si>
    <t>electrolyser</t>
  </si>
  <si>
    <t>% of CAPEX</t>
  </si>
  <si>
    <t>stack lifetime</t>
  </si>
  <si>
    <t>H2 storage</t>
  </si>
  <si>
    <t>€/m^3_H2</t>
  </si>
  <si>
    <t>€/kg_H2</t>
  </si>
  <si>
    <t>assuming a pressure of 80 bars:</t>
  </si>
  <si>
    <t>€/m^3_CO2</t>
  </si>
  <si>
    <t>€/t_CO2</t>
  </si>
  <si>
    <t>€/kg_CO2</t>
  </si>
  <si>
    <t>Gorre, 2019</t>
  </si>
  <si>
    <t>Important note: "The lifetime of the electrolysis stacks is only 10 years and has
to be replaced during lifetime."</t>
  </si>
  <si>
    <t>ALL DATA FOR REF. SCEN.</t>
  </si>
  <si>
    <t>PV</t>
  </si>
  <si>
    <t>on-shore wind</t>
  </si>
  <si>
    <t>off-shore wind</t>
  </si>
  <si>
    <t>electrolysis (LT, no differentiation between AEL and PEMEL, cost estimates based on large plants)</t>
  </si>
  <si>
    <t>€/kW_el.</t>
  </si>
  <si>
    <t>efficiency (LHV)</t>
  </si>
  <si>
    <t>liquid fuel conversion: methanol synthesis OR FT (same costs, FT incl. RWGS)</t>
  </si>
  <si>
    <t>€/kW_PtL</t>
  </si>
  <si>
    <t>MWh_PtL/MWh_H2 (most likely LHV based)</t>
  </si>
  <si>
    <t>Agora, 2019 (reference scenario)</t>
  </si>
  <si>
    <t>Note</t>
  </si>
  <si>
    <t>FT synthesis (incl. RWGS)</t>
  </si>
  <si>
    <t>values from Agora, 2019</t>
  </si>
  <si>
    <t>CAPEX (lower end estimate)</t>
  </si>
  <si>
    <t>OPEX (lower end estimate)</t>
  </si>
  <si>
    <t>MWh_PtL/MWh_H2</t>
  </si>
  <si>
    <t>Electrolysis values would be available as well!</t>
  </si>
  <si>
    <t>Bossmann, 2018</t>
  </si>
  <si>
    <t>﻿2020</t>
  </si>
  <si>
    <t>on-shore, low specific capacity, high hub height</t>
  </si>
  <si>
    <t>on-shore, medium specific capacity, medium hub height</t>
  </si>
  <si>
    <t>on-shore, high specific capacity, low hub height</t>
  </si>
  <si>
    <t>off-shore, monopole, medium distance to shore</t>
  </si>
  <si>
    <t>off-shore, jacket, medium distance to shore</t>
  </si>
  <si>
    <t>off-shore, floating, long distance to shore</t>
  </si>
  <si>
    <t>utility-scale PV with one-axis tracking</t>
  </si>
  <si>
    <t>utility-scale PV without tracking</t>
  </si>
  <si>
    <t>commercial-scale PV flat surface</t>
  </si>
  <si>
    <t>CSP, parabolic trough with storage</t>
  </si>
  <si>
    <t>CSP, solar tower with storage</t>
  </si>
  <si>
    <t>CSP</t>
  </si>
  <si>
    <t>Tsiropoulos, 2018 (ProRES scenario)</t>
  </si>
  <si>
    <t>Data for scenario "ProRES"</t>
  </si>
  <si>
    <t>﻿The "ProRES" scenario results are the most ambitious in terms of capacity additions of RES-E technologies. In this scenario the world moves towards decarbonisation by significantly reducing fossil fuel use, however, in parallel with rapid phase out of nuclear power. CCS does not become commercial and is not an available mitigation option. Deep emission reduction is achieved with high deployment of RES, electrification of transport and heat, and high efficiency gains. It is based on the 2015 "Energy Revolution" scenario of Greenpeace [11]. Primary energy consumption is about 430 EJ, renewables supply 93 % of electricity demand and global CO2 emissions are about 4.5 GtCO2 in 2050.</t>
  </si>
  <si>
    <t>﻿2019</t>
  </si>
  <si>
    <t>utility-scale PV system</t>
  </si>
  <si>
    <t>€/Wp</t>
  </si>
  <si>
    <t>€/kWp</t>
  </si>
  <si>
    <t>€/kWp/a</t>
  </si>
  <si>
    <t>Battery system</t>
  </si>
  <si>
    <t>€/Wh</t>
  </si>
  <si>
    <t>€/kWh/a</t>
  </si>
  <si>
    <t>Vartiainen, 2020</t>
  </si>
  <si>
    <t>CAPEX in EUR/kWp</t>
  </si>
  <si>
    <t>OPEX in % of CAPEX p.a.</t>
  </si>
  <si>
    <t>lifetime in years</t>
  </si>
  <si>
    <t>references</t>
  </si>
  <si>
    <t>notes</t>
  </si>
  <si>
    <t>Conclusion:</t>
  </si>
  <si>
    <t>Considerations:</t>
  </si>
  <si>
    <t>Reference to proceed with:</t>
  </si>
  <si>
    <t>For wind power, we chose EU-JRC (Tsiropoulos, 2018) values. They also represent the medium scenario here. We proceed with EU-JRC (Tsiropoulos, 2018) values and take the other two as high/low values for sensitivity analysis.</t>
  </si>
  <si>
    <t>The two scenarios are very close to each other. EU-JRC (Tsiropoulos, 2018) values, however, are given for three different on-shore wind power plant types.</t>
  </si>
  <si>
    <t>CAPEX in EUR/kWh</t>
  </si>
  <si>
    <t>cycle efficiency</t>
  </si>
  <si>
    <t>mid</t>
  </si>
  <si>
    <t>Cole, 2019 provides low, nedium and high values that also reflect the other references.</t>
  </si>
  <si>
    <t>Only one source with a time dimension. We take this.</t>
  </si>
  <si>
    <t>CAPEX in EUR/kW_el</t>
  </si>
  <si>
    <t>efficiency in kWh_H2/kWh_el (LHV)</t>
  </si>
  <si>
    <t>Buttler, 2018 and Böhm, 2020 include a review of existing plants. We assume that they are closer to reality in the short-term. In the mid-term, Böhm, 2020 and IEA/Agora studies report similar values. For the long-term, Böhm, 2020 even outpaces the IEA/Agora studies.</t>
  </si>
  <si>
    <t>CAPEX:</t>
  </si>
  <si>
    <t>Rest:</t>
  </si>
  <si>
    <t>﻿Matute2019</t>
  </si>
  <si>
    <t>﻿IRENA2018</t>
  </si>
  <si>
    <t>tbd</t>
  </si>
  <si>
    <t>CAPEX in EUR/kW_liquid_HC</t>
  </si>
  <si>
    <t>efficiency in kWh_liquid_HC/kWh_H2 (LHV)</t>
  </si>
  <si>
    <t>We take Agora, 2019 values since we are rather sure that they have the whole fuel conversion incl. RWGS.</t>
  </si>
  <si>
    <t>Costs + efficiency:</t>
  </si>
  <si>
    <t>Lifetime:</t>
  </si>
  <si>
    <t>Conversions</t>
  </si>
  <si>
    <t>convert_from</t>
  </si>
  <si>
    <t>convert_to</t>
  </si>
  <si>
    <t>conversion</t>
  </si>
  <si>
    <t>name</t>
  </si>
  <si>
    <t>barrel</t>
  </si>
  <si>
    <t>gallon</t>
  </si>
  <si>
    <t>barrels/gal</t>
  </si>
  <si>
    <t>dollar</t>
  </si>
  <si>
    <t>euro</t>
  </si>
  <si>
    <t>EUR/USD</t>
  </si>
  <si>
    <t>kg hydrogen</t>
  </si>
  <si>
    <t>kWh hydrogen (HHV)</t>
  </si>
  <si>
    <t>kg/kWh_LHV</t>
  </si>
  <si>
    <t>https://www.engineeringtoolbox.com/fuels-higher-calorific-values-d_169.html</t>
  </si>
  <si>
    <t>m^3 hydrogen</t>
  </si>
  <si>
    <t>kg/m^3</t>
  </si>
  <si>
    <t>british pound</t>
  </si>
  <si>
    <t>EUR/GBP</t>
  </si>
  <si>
    <t>kg CO2</t>
  </si>
  <si>
    <t>m^3 CO2</t>
  </si>
  <si>
    <t>Sunfire communication</t>
  </si>
  <si>
    <t>Source</t>
  </si>
  <si>
    <t>Value</t>
  </si>
  <si>
    <t>Target</t>
  </si>
  <si>
    <t>Kerosene</t>
  </si>
  <si>
    <t>Diesel</t>
  </si>
  <si>
    <t>Gasoline</t>
  </si>
  <si>
    <t>Hydrogen</t>
  </si>
  <si>
    <t>Loss</t>
  </si>
  <si>
    <t>Electricity</t>
  </si>
  <si>
    <t>Wind + PV</t>
  </si>
  <si>
    <t>Fuel Production</t>
  </si>
  <si>
    <t>Electrolysis</t>
  </si>
  <si>
    <t>DAC</t>
  </si>
  <si>
    <t>Comment</t>
  </si>
  <si>
    <t>Carrier</t>
  </si>
  <si>
    <t>Hydrocarbon</t>
  </si>
  <si>
    <t>Heat</t>
  </si>
  <si>
    <t>Boiler</t>
  </si>
  <si>
    <t>wind_turbine_spacing_onshore</t>
  </si>
  <si>
    <t>wind_turbine_spacing_offshore</t>
  </si>
  <si>
    <t>Stevens2017, Howland2019, Maienza2020, Meyers2011</t>
  </si>
  <si>
    <t>Ong2013</t>
  </si>
  <si>
    <t>8.3 acres/MW, 247.105 acres/sqkm</t>
  </si>
  <si>
    <t>kWp/sqkm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</si>
</sst>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0.0%"/>
  </numFmts>
  <fonts count="18" x14ac:knownFonts="1">
    <font>
      <sz val="12"/>
      <color theme="1"/>
      <name val="Calibri"/>
      <scheme val="minor"/>
    </font>
    <font>
      <sz val="12"/>
      <color theme="1"/>
      <name val="Calibri"/>
      <family val="2"/>
      <scheme val="minor"/>
    </font>
    <font>
      <sz val="12"/>
      <color theme="1"/>
      <name val="Calibri"/>
      <family val="2"/>
      <scheme val="minor"/>
    </font>
    <font>
      <sz val="12"/>
      <color theme="1"/>
      <name val="Calibri"/>
      <family val="2"/>
    </font>
    <font>
      <b/>
      <sz val="12"/>
      <color theme="1"/>
      <name val="Calibri"/>
      <family val="2"/>
    </font>
    <font>
      <sz val="12"/>
      <color theme="1"/>
      <name val="Calibri"/>
      <family val="2"/>
      <scheme val="minor"/>
    </font>
    <font>
      <sz val="12"/>
      <color rgb="FF000000"/>
      <name val="Calibri"/>
      <family val="2"/>
    </font>
    <font>
      <sz val="11"/>
      <color rgb="FF000000"/>
      <name val="Calibri"/>
      <family val="2"/>
    </font>
    <font>
      <sz val="12"/>
      <color theme="0"/>
      <name val="Calibri"/>
      <family val="2"/>
    </font>
    <font>
      <sz val="12"/>
      <name val="Calibri"/>
      <family val="2"/>
    </font>
    <font>
      <sz val="12"/>
      <color rgb="FFBFBFBF"/>
      <name val="Calibri"/>
      <family val="2"/>
    </font>
    <font>
      <u/>
      <sz val="12"/>
      <color theme="1"/>
      <name val="Calibri"/>
      <family val="2"/>
    </font>
    <font>
      <sz val="12"/>
      <color rgb="FF7F7F7F"/>
      <name val="Calibri"/>
      <family val="2"/>
    </font>
    <font>
      <b/>
      <sz val="12"/>
      <color theme="0"/>
      <name val="Calibri"/>
      <family val="2"/>
    </font>
    <font>
      <b/>
      <sz val="16"/>
      <color theme="1"/>
      <name val="Calibri"/>
      <family val="2"/>
    </font>
    <font>
      <sz val="12"/>
      <color rgb="FFB4C6E7"/>
      <name val="Calibri"/>
      <family val="2"/>
    </font>
    <font>
      <u/>
      <sz val="12"/>
      <color rgb="FF0000FF"/>
      <name val="Calibri"/>
      <family val="2"/>
    </font>
    <font>
      <b/>
      <sz val="12"/>
      <color theme="1"/>
      <name val="Calibri"/>
      <family val="2"/>
      <scheme val="minor"/>
    </font>
  </fonts>
  <fills count="8">
    <fill>
      <patternFill patternType="none"/>
    </fill>
    <fill>
      <patternFill patternType="gray125"/>
    </fill>
    <fill>
      <patternFill patternType="solid">
        <fgColor theme="6"/>
        <bgColor theme="6"/>
      </patternFill>
    </fill>
    <fill>
      <patternFill patternType="solid">
        <fgColor rgb="FFA5A5A5"/>
        <bgColor rgb="FFA5A5A5"/>
      </patternFill>
    </fill>
    <fill>
      <patternFill patternType="solid">
        <fgColor rgb="FFDBFF91"/>
        <bgColor rgb="FFDBFF91"/>
      </patternFill>
    </fill>
    <fill>
      <patternFill patternType="solid">
        <fgColor rgb="FFFF0000"/>
        <bgColor rgb="FFFF0000"/>
      </patternFill>
    </fill>
    <fill>
      <patternFill patternType="solid">
        <fgColor rgb="FFFFFF00"/>
        <bgColor rgb="FFFFFF00"/>
      </patternFill>
    </fill>
    <fill>
      <patternFill patternType="solid">
        <fgColor theme="9"/>
        <bgColor theme="9"/>
      </patternFill>
    </fill>
  </fills>
  <borders count="30">
    <border>
      <left/>
      <right/>
      <top/>
      <bottom/>
      <diagonal/>
    </border>
    <border>
      <left/>
      <right/>
      <top/>
      <bottom style="thin">
        <color rgb="FF000000"/>
      </bottom>
      <diagonal/>
    </border>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style="medium">
        <color rgb="FF000000"/>
      </right>
      <top/>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style="thin">
        <color rgb="FF000000"/>
      </left>
      <right/>
      <top style="medium">
        <color rgb="FF000000"/>
      </top>
      <bottom/>
      <diagonal/>
    </border>
    <border>
      <left/>
      <right/>
      <top style="medium">
        <color rgb="FF000000"/>
      </top>
      <bottom/>
      <diagonal/>
    </border>
    <border>
      <left style="medium">
        <color rgb="FF000000"/>
      </left>
      <right/>
      <top/>
      <bottom/>
      <diagonal/>
    </border>
    <border>
      <left/>
      <right/>
      <top style="thin">
        <color rgb="FF000000"/>
      </top>
      <bottom/>
      <diagonal/>
    </border>
    <border>
      <left style="thin">
        <color rgb="FF000000"/>
      </left>
      <right/>
      <top style="medium">
        <color rgb="FF000000"/>
      </top>
      <bottom style="medium">
        <color rgb="FF000000"/>
      </bottom>
      <diagonal/>
    </border>
    <border>
      <left style="thin">
        <color rgb="FF000000"/>
      </left>
      <right/>
      <top style="medium">
        <color rgb="FF000000"/>
      </top>
      <bottom/>
      <diagonal/>
    </border>
    <border>
      <left style="thin">
        <color rgb="FF000000"/>
      </left>
      <right/>
      <top/>
      <bottom style="thin">
        <color rgb="FF000000"/>
      </bottom>
      <diagonal/>
    </border>
    <border>
      <left style="thin">
        <color rgb="FF000000"/>
      </left>
      <right/>
      <top/>
      <bottom/>
      <diagonal/>
    </border>
    <border>
      <left style="medium">
        <color rgb="FF000000"/>
      </left>
      <right style="medium">
        <color rgb="FF000000"/>
      </right>
      <top/>
      <bottom style="medium">
        <color rgb="FF000000"/>
      </bottom>
      <diagonal/>
    </border>
    <border>
      <left/>
      <right style="thin">
        <color rgb="FF000000"/>
      </right>
      <top style="medium">
        <color rgb="FF000000"/>
      </top>
      <bottom/>
      <diagonal/>
    </border>
    <border>
      <left/>
      <right style="thin">
        <color rgb="FF000000"/>
      </right>
      <top/>
      <bottom style="thin">
        <color rgb="FF000000"/>
      </bottom>
      <diagonal/>
    </border>
    <border>
      <left/>
      <right style="thin">
        <color rgb="FF000000"/>
      </right>
      <top/>
      <bottom/>
      <diagonal/>
    </border>
    <border>
      <left/>
      <right style="thin">
        <color rgb="FF000000"/>
      </right>
      <top style="medium">
        <color rgb="FF000000"/>
      </top>
      <bottom style="medium">
        <color rgb="FF000000"/>
      </bottom>
      <diagonal/>
    </border>
    <border>
      <left/>
      <right style="thin">
        <color rgb="FF000000"/>
      </right>
      <top style="thin">
        <color rgb="FF000000"/>
      </top>
      <bottom/>
      <diagonal/>
    </border>
  </borders>
  <cellStyleXfs count="1">
    <xf numFmtId="0" fontId="0" fillId="0" borderId="0"/>
  </cellStyleXfs>
  <cellXfs count="147">
    <xf numFmtId="0" fontId="0" fillId="0" borderId="0" xfId="0" applyFont="1" applyAlignment="1"/>
    <xf numFmtId="0" fontId="3" fillId="0" borderId="0" xfId="0" applyFont="1"/>
    <xf numFmtId="0" fontId="4" fillId="0" borderId="1" xfId="0" applyFont="1" applyBorder="1"/>
    <xf numFmtId="0" fontId="5" fillId="0" borderId="0" xfId="0" applyFont="1"/>
    <xf numFmtId="0" fontId="3" fillId="2" borderId="2" xfId="0" applyFont="1" applyFill="1" applyBorder="1"/>
    <xf numFmtId="0" fontId="4" fillId="0" borderId="0" xfId="0" applyFont="1"/>
    <xf numFmtId="11" fontId="3" fillId="0" borderId="0" xfId="0" applyNumberFormat="1" applyFont="1"/>
    <xf numFmtId="0" fontId="3" fillId="0" borderId="1" xfId="0" applyFont="1" applyBorder="1"/>
    <xf numFmtId="0" fontId="6" fillId="0" borderId="0" xfId="0" applyFont="1"/>
    <xf numFmtId="11" fontId="3" fillId="3" borderId="2" xfId="0" applyNumberFormat="1" applyFont="1" applyFill="1" applyBorder="1"/>
    <xf numFmtId="0" fontId="3" fillId="3" borderId="2" xfId="0" applyFont="1" applyFill="1" applyBorder="1"/>
    <xf numFmtId="0" fontId="3" fillId="0" borderId="0" xfId="0" applyFont="1" applyAlignment="1">
      <alignment wrapText="1"/>
    </xf>
    <xf numFmtId="0" fontId="3" fillId="0" borderId="0" xfId="0" applyFont="1" applyAlignment="1">
      <alignment horizontal="right" wrapText="1"/>
    </xf>
    <xf numFmtId="0" fontId="5" fillId="0" borderId="0" xfId="0" applyFont="1" applyAlignment="1"/>
    <xf numFmtId="1" fontId="3" fillId="0" borderId="0" xfId="0" applyNumberFormat="1" applyFont="1"/>
    <xf numFmtId="1" fontId="6" fillId="0" borderId="0" xfId="0" applyNumberFormat="1" applyFont="1"/>
    <xf numFmtId="164" fontId="3" fillId="0" borderId="0" xfId="0" applyNumberFormat="1" applyFont="1"/>
    <xf numFmtId="0" fontId="7" fillId="0" borderId="0" xfId="0" applyFont="1"/>
    <xf numFmtId="0" fontId="3" fillId="0" borderId="0" xfId="0" applyFont="1" applyAlignment="1"/>
    <xf numFmtId="2" fontId="3" fillId="0" borderId="0" xfId="0" applyNumberFormat="1" applyFont="1"/>
    <xf numFmtId="0" fontId="3" fillId="4" borderId="2" xfId="0" applyFont="1" applyFill="1" applyBorder="1"/>
    <xf numFmtId="0" fontId="6" fillId="0" borderId="1" xfId="0" applyFont="1" applyBorder="1"/>
    <xf numFmtId="0" fontId="6" fillId="0" borderId="0" xfId="0" applyFont="1" applyAlignment="1"/>
    <xf numFmtId="164" fontId="5" fillId="0" borderId="0" xfId="0" applyNumberFormat="1" applyFont="1"/>
    <xf numFmtId="0" fontId="8" fillId="0" borderId="0" xfId="0" applyFont="1"/>
    <xf numFmtId="0" fontId="8" fillId="5" borderId="2" xfId="0" applyFont="1" applyFill="1" applyBorder="1"/>
    <xf numFmtId="0" fontId="3" fillId="0" borderId="0" xfId="0" quotePrefix="1" applyFont="1"/>
    <xf numFmtId="11" fontId="5" fillId="0" borderId="0" xfId="0" applyNumberFormat="1" applyFont="1"/>
    <xf numFmtId="1" fontId="5" fillId="0" borderId="0" xfId="0" applyNumberFormat="1" applyFont="1"/>
    <xf numFmtId="2" fontId="5" fillId="0" borderId="0" xfId="0" applyNumberFormat="1" applyFont="1"/>
    <xf numFmtId="0" fontId="4" fillId="0" borderId="3" xfId="0" applyFont="1" applyBorder="1" applyAlignment="1">
      <alignment horizontal="center"/>
    </xf>
    <xf numFmtId="0" fontId="4" fillId="0" borderId="4" xfId="0" applyFont="1" applyBorder="1" applyAlignment="1">
      <alignment horizontal="center"/>
    </xf>
    <xf numFmtId="0" fontId="3" fillId="0" borderId="6" xfId="0" applyFont="1" applyBorder="1"/>
    <xf numFmtId="0" fontId="3" fillId="0" borderId="7" xfId="0" applyFont="1" applyBorder="1"/>
    <xf numFmtId="0" fontId="3" fillId="0" borderId="8" xfId="0" applyFont="1" applyBorder="1"/>
    <xf numFmtId="0" fontId="3" fillId="0" borderId="9" xfId="0" applyFont="1" applyBorder="1"/>
    <xf numFmtId="0" fontId="3" fillId="0" borderId="10" xfId="0" applyFont="1" applyBorder="1"/>
    <xf numFmtId="0" fontId="3" fillId="0" borderId="11" xfId="0" applyFont="1" applyBorder="1" applyAlignment="1">
      <alignment wrapText="1"/>
    </xf>
    <xf numFmtId="0" fontId="3" fillId="0" borderId="12" xfId="0" applyFont="1" applyBorder="1" applyAlignment="1">
      <alignment wrapText="1"/>
    </xf>
    <xf numFmtId="0" fontId="3" fillId="0" borderId="13" xfId="0" applyFont="1" applyBorder="1" applyAlignment="1">
      <alignment wrapText="1"/>
    </xf>
    <xf numFmtId="0" fontId="3" fillId="0" borderId="14" xfId="0" applyFont="1" applyBorder="1" applyAlignment="1">
      <alignment wrapText="1"/>
    </xf>
    <xf numFmtId="0" fontId="3" fillId="2" borderId="15" xfId="0" applyFont="1" applyFill="1" applyBorder="1"/>
    <xf numFmtId="0" fontId="3" fillId="5" borderId="16" xfId="0" applyFont="1" applyFill="1" applyBorder="1"/>
    <xf numFmtId="9" fontId="3" fillId="5" borderId="17" xfId="0" applyNumberFormat="1" applyFont="1" applyFill="1" applyBorder="1"/>
    <xf numFmtId="9" fontId="3" fillId="0" borderId="9" xfId="0" applyNumberFormat="1" applyFont="1" applyBorder="1"/>
    <xf numFmtId="0" fontId="3" fillId="5" borderId="2" xfId="0" applyFont="1" applyFill="1" applyBorder="1"/>
    <xf numFmtId="0" fontId="3" fillId="0" borderId="18" xfId="0" applyFont="1" applyBorder="1"/>
    <xf numFmtId="0" fontId="3" fillId="5" borderId="17" xfId="0" applyFont="1" applyFill="1" applyBorder="1"/>
    <xf numFmtId="0" fontId="10" fillId="0" borderId="0" xfId="0" applyFont="1"/>
    <xf numFmtId="0" fontId="10" fillId="0" borderId="18" xfId="0" applyFont="1" applyBorder="1"/>
    <xf numFmtId="0" fontId="10" fillId="0" borderId="10" xfId="0" applyFont="1" applyBorder="1"/>
    <xf numFmtId="9" fontId="10" fillId="0" borderId="0" xfId="0" applyNumberFormat="1" applyFont="1"/>
    <xf numFmtId="9" fontId="10" fillId="0" borderId="10" xfId="0" applyNumberFormat="1" applyFont="1" applyBorder="1"/>
    <xf numFmtId="0" fontId="10" fillId="0" borderId="18" xfId="0" applyFont="1" applyBorder="1" applyAlignment="1">
      <alignment wrapText="1"/>
    </xf>
    <xf numFmtId="0" fontId="10" fillId="0" borderId="0" xfId="0" applyFont="1" applyAlignment="1">
      <alignment wrapText="1"/>
    </xf>
    <xf numFmtId="0" fontId="10" fillId="0" borderId="0" xfId="0" applyFont="1" applyAlignment="1">
      <alignment horizontal="right" wrapText="1"/>
    </xf>
    <xf numFmtId="0" fontId="10" fillId="0" borderId="10" xfId="0" applyFont="1" applyBorder="1" applyAlignment="1">
      <alignment wrapText="1"/>
    </xf>
    <xf numFmtId="0" fontId="11" fillId="0" borderId="0" xfId="0" applyFont="1"/>
    <xf numFmtId="9" fontId="3" fillId="0" borderId="0" xfId="0" applyNumberFormat="1" applyFont="1"/>
    <xf numFmtId="9" fontId="3" fillId="0" borderId="10" xfId="0" applyNumberFormat="1" applyFont="1" applyBorder="1"/>
    <xf numFmtId="1" fontId="10" fillId="0" borderId="0" xfId="0" applyNumberFormat="1" applyFont="1"/>
    <xf numFmtId="0" fontId="3" fillId="0" borderId="0" xfId="0" applyFont="1" applyAlignment="1">
      <alignment horizontal="right"/>
    </xf>
    <xf numFmtId="164" fontId="10" fillId="0" borderId="0" xfId="0" applyNumberFormat="1" applyFont="1"/>
    <xf numFmtId="49" fontId="10" fillId="0" borderId="0" xfId="0" applyNumberFormat="1" applyFont="1"/>
    <xf numFmtId="165" fontId="3" fillId="0" borderId="0" xfId="0" applyNumberFormat="1" applyFont="1"/>
    <xf numFmtId="1" fontId="3" fillId="0" borderId="18" xfId="0" applyNumberFormat="1" applyFont="1" applyBorder="1"/>
    <xf numFmtId="2" fontId="3" fillId="0" borderId="0" xfId="0" applyNumberFormat="1" applyFont="1" applyAlignment="1">
      <alignment horizontal="right"/>
    </xf>
    <xf numFmtId="2" fontId="3" fillId="0" borderId="18" xfId="0" applyNumberFormat="1" applyFont="1" applyBorder="1" applyAlignment="1">
      <alignment horizontal="right"/>
    </xf>
    <xf numFmtId="0" fontId="12" fillId="0" borderId="0" xfId="0" applyFont="1"/>
    <xf numFmtId="0" fontId="12" fillId="0" borderId="18" xfId="0" applyFont="1" applyBorder="1"/>
    <xf numFmtId="0" fontId="12" fillId="0" borderId="10" xfId="0" applyFont="1" applyBorder="1"/>
    <xf numFmtId="1" fontId="12" fillId="0" borderId="0" xfId="0" applyNumberFormat="1" applyFont="1"/>
    <xf numFmtId="9" fontId="12" fillId="0" borderId="0" xfId="0" applyNumberFormat="1" applyFont="1"/>
    <xf numFmtId="9" fontId="12" fillId="0" borderId="10" xfId="0" applyNumberFormat="1" applyFont="1" applyBorder="1"/>
    <xf numFmtId="0" fontId="13" fillId="5" borderId="2" xfId="0" applyFont="1" applyFill="1" applyBorder="1"/>
    <xf numFmtId="0" fontId="3" fillId="6" borderId="2" xfId="0" applyFont="1" applyFill="1" applyBorder="1"/>
    <xf numFmtId="0" fontId="3" fillId="0" borderId="12" xfId="0" applyFont="1" applyBorder="1"/>
    <xf numFmtId="0" fontId="3" fillId="0" borderId="13" xfId="0" applyFont="1" applyBorder="1"/>
    <xf numFmtId="0" fontId="3" fillId="0" borderId="14" xfId="0" applyFont="1" applyBorder="1"/>
    <xf numFmtId="9" fontId="3" fillId="0" borderId="13" xfId="0" applyNumberFormat="1" applyFont="1" applyBorder="1"/>
    <xf numFmtId="9" fontId="3" fillId="0" borderId="14" xfId="0" applyNumberFormat="1" applyFont="1" applyBorder="1"/>
    <xf numFmtId="0" fontId="4" fillId="7" borderId="2" xfId="0" applyFont="1" applyFill="1" applyBorder="1"/>
    <xf numFmtId="0" fontId="3" fillId="7" borderId="2" xfId="0" applyFont="1" applyFill="1" applyBorder="1"/>
    <xf numFmtId="0" fontId="3" fillId="7" borderId="2" xfId="0" quotePrefix="1" applyFont="1" applyFill="1" applyBorder="1"/>
    <xf numFmtId="0" fontId="4" fillId="0" borderId="13" xfId="0" applyFont="1" applyBorder="1"/>
    <xf numFmtId="1" fontId="4" fillId="0" borderId="0" xfId="0" applyNumberFormat="1" applyFont="1"/>
    <xf numFmtId="2" fontId="4" fillId="0" borderId="0" xfId="0" applyNumberFormat="1" applyFont="1"/>
    <xf numFmtId="0" fontId="3" fillId="0" borderId="19" xfId="0" applyFont="1" applyBorder="1"/>
    <xf numFmtId="0" fontId="4" fillId="0" borderId="0" xfId="0" applyFont="1" applyAlignment="1">
      <alignment horizontal="right"/>
    </xf>
    <xf numFmtId="164" fontId="3" fillId="0" borderId="1" xfId="0" applyNumberFormat="1" applyFont="1" applyBorder="1"/>
    <xf numFmtId="165" fontId="10" fillId="0" borderId="0" xfId="0" applyNumberFormat="1" applyFont="1"/>
    <xf numFmtId="0" fontId="4" fillId="0" borderId="20" xfId="0" applyFont="1" applyBorder="1" applyAlignment="1">
      <alignment horizontal="center"/>
    </xf>
    <xf numFmtId="0" fontId="4" fillId="0" borderId="21" xfId="0" applyFont="1" applyBorder="1"/>
    <xf numFmtId="0" fontId="4" fillId="0" borderId="8" xfId="0" applyFont="1" applyBorder="1"/>
    <xf numFmtId="0" fontId="3" fillId="0" borderId="22" xfId="0" applyFont="1" applyBorder="1"/>
    <xf numFmtId="0" fontId="3" fillId="0" borderId="23" xfId="0" applyFont="1" applyBorder="1"/>
    <xf numFmtId="166" fontId="3" fillId="0" borderId="23" xfId="0" applyNumberFormat="1" applyFont="1" applyBorder="1"/>
    <xf numFmtId="166" fontId="3" fillId="0" borderId="0" xfId="0" applyNumberFormat="1" applyFont="1"/>
    <xf numFmtId="1" fontId="3" fillId="0" borderId="23" xfId="0" applyNumberFormat="1" applyFont="1" applyBorder="1"/>
    <xf numFmtId="0" fontId="3" fillId="0" borderId="23" xfId="0" applyFont="1" applyBorder="1" applyAlignment="1"/>
    <xf numFmtId="164" fontId="3" fillId="0" borderId="23" xfId="0" applyNumberFormat="1" applyFont="1" applyBorder="1"/>
    <xf numFmtId="0" fontId="4" fillId="0" borderId="7" xfId="0" applyFont="1" applyBorder="1"/>
    <xf numFmtId="0" fontId="4" fillId="0" borderId="6" xfId="0" applyFont="1" applyBorder="1"/>
    <xf numFmtId="0" fontId="3" fillId="0" borderId="24" xfId="0" applyFont="1" applyBorder="1" applyAlignment="1">
      <alignment vertical="top" wrapText="1"/>
    </xf>
    <xf numFmtId="0" fontId="4" fillId="0" borderId="0" xfId="0" applyFont="1" applyAlignment="1">
      <alignment horizontal="center"/>
    </xf>
    <xf numFmtId="0" fontId="4" fillId="0" borderId="25" xfId="0" applyFont="1" applyBorder="1"/>
    <xf numFmtId="0" fontId="3" fillId="0" borderId="26" xfId="0" applyFont="1" applyBorder="1"/>
    <xf numFmtId="0" fontId="3" fillId="0" borderId="27" xfId="0" applyFont="1" applyBorder="1"/>
    <xf numFmtId="2" fontId="10" fillId="0" borderId="0" xfId="0" applyNumberFormat="1" applyFont="1"/>
    <xf numFmtId="0" fontId="10" fillId="0" borderId="23" xfId="0" applyFont="1" applyBorder="1"/>
    <xf numFmtId="0" fontId="10" fillId="0" borderId="27" xfId="0" applyFont="1" applyBorder="1"/>
    <xf numFmtId="0" fontId="3" fillId="0" borderId="0" xfId="0" applyFont="1" applyAlignment="1">
      <alignment vertical="top" wrapText="1"/>
    </xf>
    <xf numFmtId="0" fontId="3" fillId="0" borderId="3" xfId="0" applyFont="1" applyBorder="1" applyAlignment="1">
      <alignment vertical="top" wrapText="1"/>
    </xf>
    <xf numFmtId="0" fontId="3" fillId="0" borderId="4" xfId="0" applyFont="1" applyBorder="1" applyAlignment="1">
      <alignment vertical="top" wrapText="1"/>
    </xf>
    <xf numFmtId="0" fontId="3" fillId="0" borderId="5" xfId="0" applyFont="1" applyBorder="1" applyAlignment="1">
      <alignment vertical="top" wrapText="1"/>
    </xf>
    <xf numFmtId="9" fontId="3" fillId="0" borderId="23" xfId="0" applyNumberFormat="1" applyFont="1" applyBorder="1"/>
    <xf numFmtId="166" fontId="10" fillId="0" borderId="0" xfId="0" applyNumberFormat="1" applyFont="1"/>
    <xf numFmtId="0" fontId="4" fillId="0" borderId="12" xfId="0" applyFont="1" applyBorder="1"/>
    <xf numFmtId="164" fontId="15" fillId="0" borderId="0" xfId="0" applyNumberFormat="1" applyFont="1"/>
    <xf numFmtId="0" fontId="4" fillId="0" borderId="23" xfId="0" applyFont="1" applyBorder="1"/>
    <xf numFmtId="0" fontId="3" fillId="0" borderId="1" xfId="0" applyFont="1" applyBorder="1" applyAlignment="1">
      <alignment wrapText="1"/>
    </xf>
    <xf numFmtId="0" fontId="3" fillId="0" borderId="22" xfId="0" applyFont="1" applyBorder="1" applyAlignment="1">
      <alignment wrapText="1"/>
    </xf>
    <xf numFmtId="0" fontId="3" fillId="0" borderId="29" xfId="0" applyFont="1" applyBorder="1"/>
    <xf numFmtId="0" fontId="4" fillId="0" borderId="12" xfId="0" applyFont="1" applyBorder="1" applyAlignment="1">
      <alignment vertical="top" wrapText="1"/>
    </xf>
    <xf numFmtId="0" fontId="16" fillId="0" borderId="0" xfId="0" applyFont="1"/>
    <xf numFmtId="0" fontId="0" fillId="0" borderId="0" xfId="0" applyFont="1" applyAlignment="1"/>
    <xf numFmtId="0" fontId="2" fillId="0" borderId="0" xfId="0" applyFont="1" applyAlignment="1"/>
    <xf numFmtId="0" fontId="17" fillId="0" borderId="0" xfId="0" applyFont="1" applyAlignment="1"/>
    <xf numFmtId="165" fontId="0" fillId="0" borderId="0" xfId="0" applyNumberFormat="1" applyFont="1" applyAlignment="1"/>
    <xf numFmtId="0" fontId="0" fillId="0" borderId="0" xfId="0" applyFont="1" applyAlignment="1"/>
    <xf numFmtId="0" fontId="4" fillId="0" borderId="3" xfId="0" applyFont="1" applyBorder="1" applyAlignment="1">
      <alignment horizontal="center"/>
    </xf>
    <xf numFmtId="0" fontId="9" fillId="0" borderId="4" xfId="0" applyFont="1" applyBorder="1"/>
    <xf numFmtId="0" fontId="9" fillId="0" borderId="5" xfId="0" applyFont="1" applyBorder="1"/>
    <xf numFmtId="0" fontId="4" fillId="0" borderId="4" xfId="0" applyFont="1" applyBorder="1" applyAlignment="1">
      <alignment horizontal="center"/>
    </xf>
    <xf numFmtId="0" fontId="10" fillId="0" borderId="0" xfId="0" applyFont="1" applyAlignment="1">
      <alignment horizontal="center"/>
    </xf>
    <xf numFmtId="0" fontId="0" fillId="0" borderId="0" xfId="0" applyFont="1" applyAlignment="1"/>
    <xf numFmtId="0" fontId="3" fillId="0" borderId="0" xfId="0" applyFont="1" applyAlignment="1">
      <alignment horizontal="center" wrapText="1"/>
    </xf>
    <xf numFmtId="0" fontId="3" fillId="0" borderId="12" xfId="0" applyFont="1" applyBorder="1" applyAlignment="1">
      <alignment horizontal="left" vertical="top" wrapText="1"/>
    </xf>
    <xf numFmtId="0" fontId="9" fillId="0" borderId="13" xfId="0" applyFont="1" applyBorder="1"/>
    <xf numFmtId="0" fontId="9" fillId="0" borderId="14" xfId="0" applyFont="1" applyBorder="1"/>
    <xf numFmtId="0" fontId="4" fillId="0" borderId="20" xfId="0" applyFont="1" applyBorder="1" applyAlignment="1">
      <alignment horizontal="center"/>
    </xf>
    <xf numFmtId="0" fontId="14" fillId="0" borderId="3" xfId="0" applyFont="1" applyBorder="1" applyAlignment="1">
      <alignment horizontal="center"/>
    </xf>
    <xf numFmtId="0" fontId="9" fillId="0" borderId="28" xfId="0" applyFont="1" applyBorder="1"/>
    <xf numFmtId="0" fontId="14" fillId="0" borderId="18" xfId="0" applyFont="1" applyBorder="1" applyAlignment="1">
      <alignment horizontal="center"/>
    </xf>
    <xf numFmtId="0" fontId="1" fillId="0" borderId="0" xfId="0" applyFont="1"/>
    <xf numFmtId="0" fontId="1" fillId="0" borderId="0" xfId="0" applyFont="1" applyAlignment="1"/>
    <xf numFmtId="165" fontId="3" fillId="0" borderId="2" xfId="0" applyNumberFormat="1"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customschemas.google.com/relationships/workbookmetadata" Target="metadata"/><Relationship Id="rId5" Type="http://schemas.openxmlformats.org/officeDocument/2006/relationships/worksheet" Target="worksheets/sheet5.xml"/><Relationship Id="rId15" Type="http://schemas.openxmlformats.org/officeDocument/2006/relationships/worksheet" Target="worksheets/sheet15.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7"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Utility-Scale PV CAPEX in EUR/kWp:
High / medium / low scenario </a:t>
            </a:r>
          </a:p>
        </c:rich>
      </c:tx>
      <c:overlay val="0"/>
    </c:title>
    <c:autoTitleDeleted val="0"/>
    <c:plotArea>
      <c:layout/>
      <c:lineChart>
        <c:grouping val="standard"/>
        <c:varyColors val="1"/>
        <c:ser>
          <c:idx val="0"/>
          <c:order val="0"/>
          <c:tx>
            <c:v>Vartiainen, 2020</c:v>
          </c:tx>
          <c:spPr>
            <a:ln w="28575" cmpd="sng">
              <a:solidFill>
                <a:schemeClr val="accent1"/>
              </a:solidFill>
            </a:ln>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PV!$B$5:$B$40</c:f>
              <c:numCache>
                <c:formatCode>General</c:formatCode>
                <c:ptCount val="36"/>
                <c:pt idx="4">
                  <c:v>462</c:v>
                </c:pt>
                <c:pt idx="5">
                  <c:v>431</c:v>
                </c:pt>
                <c:pt idx="6">
                  <c:v>406</c:v>
                </c:pt>
                <c:pt idx="7">
                  <c:v>384</c:v>
                </c:pt>
                <c:pt idx="8">
                  <c:v>365</c:v>
                </c:pt>
                <c:pt idx="9">
                  <c:v>348</c:v>
                </c:pt>
                <c:pt idx="10">
                  <c:v>333</c:v>
                </c:pt>
                <c:pt idx="11">
                  <c:v>319</c:v>
                </c:pt>
                <c:pt idx="12">
                  <c:v>307</c:v>
                </c:pt>
                <c:pt idx="13">
                  <c:v>296</c:v>
                </c:pt>
                <c:pt idx="14">
                  <c:v>285</c:v>
                </c:pt>
                <c:pt idx="15">
                  <c:v>275</c:v>
                </c:pt>
                <c:pt idx="16">
                  <c:v>266</c:v>
                </c:pt>
                <c:pt idx="17">
                  <c:v>257</c:v>
                </c:pt>
                <c:pt idx="18">
                  <c:v>249</c:v>
                </c:pt>
                <c:pt idx="19">
                  <c:v>242</c:v>
                </c:pt>
                <c:pt idx="20">
                  <c:v>235</c:v>
                </c:pt>
                <c:pt idx="21">
                  <c:v>228</c:v>
                </c:pt>
                <c:pt idx="22">
                  <c:v>221</c:v>
                </c:pt>
                <c:pt idx="23">
                  <c:v>215</c:v>
                </c:pt>
                <c:pt idx="24">
                  <c:v>209</c:v>
                </c:pt>
                <c:pt idx="25">
                  <c:v>204</c:v>
                </c:pt>
                <c:pt idx="26">
                  <c:v>199</c:v>
                </c:pt>
                <c:pt idx="27">
                  <c:v>194</c:v>
                </c:pt>
                <c:pt idx="28">
                  <c:v>189</c:v>
                </c:pt>
                <c:pt idx="29">
                  <c:v>185</c:v>
                </c:pt>
                <c:pt idx="30">
                  <c:v>181</c:v>
                </c:pt>
                <c:pt idx="31">
                  <c:v>177</c:v>
                </c:pt>
                <c:pt idx="32">
                  <c:v>174</c:v>
                </c:pt>
                <c:pt idx="33">
                  <c:v>170</c:v>
                </c:pt>
                <c:pt idx="34">
                  <c:v>167</c:v>
                </c:pt>
                <c:pt idx="35">
                  <c:v>164</c:v>
                </c:pt>
              </c:numCache>
            </c:numRef>
          </c:val>
          <c:smooth val="0"/>
          <c:extLst>
            <c:ext xmlns:c16="http://schemas.microsoft.com/office/drawing/2014/chart" uri="{C3380CC4-5D6E-409C-BE32-E72D297353CC}">
              <c16:uniqueId val="{00000000-D218-8943-A2A7-AD410ADB41B8}"/>
            </c:ext>
          </c:extLst>
        </c:ser>
        <c:ser>
          <c:idx val="1"/>
          <c:order val="1"/>
          <c:tx>
            <c:v>Tsiropoulos, 2018 (ProRES scenario)</c:v>
          </c:tx>
          <c:spPr>
            <a:ln w="28575" cmpd="sng">
              <a:solidFill>
                <a:schemeClr val="accent3"/>
              </a:solidFill>
            </a:ln>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PV!$C$5:$C$40</c:f>
              <c:numCache>
                <c:formatCode>General</c:formatCode>
                <c:ptCount val="36"/>
                <c:pt idx="0">
                  <c:v>1020</c:v>
                </c:pt>
                <c:pt idx="5">
                  <c:v>690</c:v>
                </c:pt>
                <c:pt idx="15">
                  <c:v>450</c:v>
                </c:pt>
                <c:pt idx="25">
                  <c:v>370</c:v>
                </c:pt>
                <c:pt idx="35">
                  <c:v>320</c:v>
                </c:pt>
              </c:numCache>
            </c:numRef>
          </c:val>
          <c:smooth val="0"/>
          <c:extLst>
            <c:ext xmlns:c16="http://schemas.microsoft.com/office/drawing/2014/chart" uri="{C3380CC4-5D6E-409C-BE32-E72D297353CC}">
              <c16:uniqueId val="{00000001-D218-8943-A2A7-AD410ADB41B8}"/>
            </c:ext>
          </c:extLst>
        </c:ser>
        <c:ser>
          <c:idx val="2"/>
          <c:order val="2"/>
          <c:tx>
            <c:v>Agora, 2019 (reference scenario)</c:v>
          </c:tx>
          <c:spPr>
            <a:ln w="28575" cmpd="sng">
              <a:solidFill>
                <a:schemeClr val="accent4"/>
              </a:solidFill>
            </a:ln>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PV!$D$5:$D$40</c:f>
              <c:numCache>
                <c:formatCode>General</c:formatCode>
                <c:ptCount val="36"/>
                <c:pt idx="5">
                  <c:v>908</c:v>
                </c:pt>
                <c:pt idx="15">
                  <c:v>718</c:v>
                </c:pt>
                <c:pt idx="35">
                  <c:v>486</c:v>
                </c:pt>
              </c:numCache>
            </c:numRef>
          </c:val>
          <c:smooth val="0"/>
          <c:extLst>
            <c:ext xmlns:c16="http://schemas.microsoft.com/office/drawing/2014/chart" uri="{C3380CC4-5D6E-409C-BE32-E72D297353CC}">
              <c16:uniqueId val="{00000002-D218-8943-A2A7-AD410ADB41B8}"/>
            </c:ext>
          </c:extLst>
        </c:ser>
        <c:dLbls>
          <c:showLegendKey val="0"/>
          <c:showVal val="0"/>
          <c:showCatName val="0"/>
          <c:showSerName val="0"/>
          <c:showPercent val="0"/>
          <c:showBubbleSize val="0"/>
        </c:dLbls>
        <c:smooth val="0"/>
        <c:axId val="1855429414"/>
        <c:axId val="1778122944"/>
      </c:lineChart>
      <c:catAx>
        <c:axId val="1855429414"/>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1778122944"/>
        <c:crosses val="autoZero"/>
        <c:auto val="1"/>
        <c:lblAlgn val="ctr"/>
        <c:lblOffset val="100"/>
        <c:noMultiLvlLbl val="1"/>
      </c:catAx>
      <c:valAx>
        <c:axId val="1778122944"/>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1400" b="0" i="0">
                <a:solidFill>
                  <a:srgbClr val="000000"/>
                </a:solidFill>
                <a:latin typeface="+mn-lt"/>
              </a:defRPr>
            </a:pPr>
            <a:endParaRPr lang="en-US"/>
          </a:p>
        </c:txPr>
        <c:crossAx val="1855429414"/>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Utility-Scale PV OPEX in % of CAPEX p.a.:
High / medium / low scenario </a:t>
            </a:r>
          </a:p>
        </c:rich>
      </c:tx>
      <c:overlay val="0"/>
    </c:title>
    <c:autoTitleDeleted val="0"/>
    <c:plotArea>
      <c:layout/>
      <c:lineChart>
        <c:grouping val="standard"/>
        <c:varyColors val="1"/>
        <c:ser>
          <c:idx val="0"/>
          <c:order val="0"/>
          <c:tx>
            <c:v>Vartiainen, 2020</c:v>
          </c:tx>
          <c:spPr>
            <a:ln w="28575" cmpd="sng">
              <a:solidFill>
                <a:schemeClr val="accent1"/>
              </a:solidFill>
            </a:ln>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PV!$E$5:$E$40</c:f>
              <c:numCache>
                <c:formatCode>0.0%</c:formatCode>
                <c:ptCount val="36"/>
                <c:pt idx="4">
                  <c:v>1.9913419913419911E-2</c:v>
                </c:pt>
                <c:pt idx="5">
                  <c:v>2.0417633410672854E-2</c:v>
                </c:pt>
                <c:pt idx="6">
                  <c:v>2.0689655172413793E-2</c:v>
                </c:pt>
                <c:pt idx="7">
                  <c:v>2.1093749999999998E-2</c:v>
                </c:pt>
                <c:pt idx="8">
                  <c:v>2.1369863013698628E-2</c:v>
                </c:pt>
                <c:pt idx="9">
                  <c:v>2.1839080459770115E-2</c:v>
                </c:pt>
                <c:pt idx="10">
                  <c:v>2.2222222222222223E-2</c:v>
                </c:pt>
                <c:pt idx="11">
                  <c:v>2.2257053291536048E-2</c:v>
                </c:pt>
                <c:pt idx="12">
                  <c:v>2.2475570032573292E-2</c:v>
                </c:pt>
                <c:pt idx="13">
                  <c:v>2.2635135135135136E-2</c:v>
                </c:pt>
                <c:pt idx="14">
                  <c:v>2.3157894736842103E-2</c:v>
                </c:pt>
                <c:pt idx="15">
                  <c:v>2.3272727272727275E-2</c:v>
                </c:pt>
                <c:pt idx="16">
                  <c:v>2.3308270676691729E-2</c:v>
                </c:pt>
                <c:pt idx="17">
                  <c:v>2.3735408560311283E-2</c:v>
                </c:pt>
                <c:pt idx="18">
                  <c:v>2.3694779116465864E-2</c:v>
                </c:pt>
                <c:pt idx="19">
                  <c:v>2.3966942148760328E-2</c:v>
                </c:pt>
                <c:pt idx="20">
                  <c:v>2.3829787234042551E-2</c:v>
                </c:pt>
                <c:pt idx="21">
                  <c:v>2.4122807017543858E-2</c:v>
                </c:pt>
                <c:pt idx="22">
                  <c:v>2.4434389140271493E-2</c:v>
                </c:pt>
                <c:pt idx="23">
                  <c:v>2.4651162790697675E-2</c:v>
                </c:pt>
                <c:pt idx="24">
                  <c:v>2.4401913875598084E-2</c:v>
                </c:pt>
                <c:pt idx="25">
                  <c:v>2.4509803921568627E-2</c:v>
                </c:pt>
                <c:pt idx="26">
                  <c:v>2.4623115577889449E-2</c:v>
                </c:pt>
                <c:pt idx="27">
                  <c:v>2.4742268041237112E-2</c:v>
                </c:pt>
                <c:pt idx="28">
                  <c:v>2.4867724867724868E-2</c:v>
                </c:pt>
                <c:pt idx="29">
                  <c:v>2.4864864864864864E-2</c:v>
                </c:pt>
                <c:pt idx="30">
                  <c:v>2.5414364640883976E-2</c:v>
                </c:pt>
                <c:pt idx="31">
                  <c:v>2.5423728813559324E-2</c:v>
                </c:pt>
                <c:pt idx="32">
                  <c:v>2.5287356321839084E-2</c:v>
                </c:pt>
                <c:pt idx="33">
                  <c:v>2.5294117647058821E-2</c:v>
                </c:pt>
                <c:pt idx="34">
                  <c:v>2.5149700598802397E-2</c:v>
                </c:pt>
                <c:pt idx="35">
                  <c:v>2.5609756097560978E-2</c:v>
                </c:pt>
              </c:numCache>
            </c:numRef>
          </c:val>
          <c:smooth val="0"/>
          <c:extLst>
            <c:ext xmlns:c16="http://schemas.microsoft.com/office/drawing/2014/chart" uri="{C3380CC4-5D6E-409C-BE32-E72D297353CC}">
              <c16:uniqueId val="{00000000-96E4-E642-BC7E-B53EEFB0315D}"/>
            </c:ext>
          </c:extLst>
        </c:ser>
        <c:ser>
          <c:idx val="1"/>
          <c:order val="1"/>
          <c:tx>
            <c:v>Tsiropoulos, 2018 (ProRES scenario)</c:v>
          </c:tx>
          <c:spPr>
            <a:ln w="28575" cmpd="sng">
              <a:solidFill>
                <a:schemeClr val="accent3"/>
              </a:solidFill>
            </a:ln>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PV!$F$5:$F$40</c:f>
              <c:numCache>
                <c:formatCode>0.0%</c:formatCode>
                <c:ptCount val="36"/>
                <c:pt idx="0">
                  <c:v>1.7000000000000001E-2</c:v>
                </c:pt>
                <c:pt idx="5">
                  <c:v>1.7000000000000001E-2</c:v>
                </c:pt>
                <c:pt idx="16">
                  <c:v>1.7000000000000001E-2</c:v>
                </c:pt>
                <c:pt idx="25">
                  <c:v>1.7000000000000001E-2</c:v>
                </c:pt>
                <c:pt idx="35">
                  <c:v>1.7000000000000001E-2</c:v>
                </c:pt>
              </c:numCache>
            </c:numRef>
          </c:val>
          <c:smooth val="0"/>
          <c:extLst>
            <c:ext xmlns:c16="http://schemas.microsoft.com/office/drawing/2014/chart" uri="{C3380CC4-5D6E-409C-BE32-E72D297353CC}">
              <c16:uniqueId val="{00000001-96E4-E642-BC7E-B53EEFB0315D}"/>
            </c:ext>
          </c:extLst>
        </c:ser>
        <c:ser>
          <c:idx val="2"/>
          <c:order val="2"/>
          <c:tx>
            <c:v>Agora, 2019 (reference scenario)</c:v>
          </c:tx>
          <c:spPr>
            <a:ln w="28575" cmpd="sng">
              <a:solidFill>
                <a:schemeClr val="accent4"/>
              </a:solidFill>
            </a:ln>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PV!$G$5:$G$40</c:f>
              <c:numCache>
                <c:formatCode>General</c:formatCode>
                <c:ptCount val="36"/>
                <c:pt idx="5" formatCode="0.0%">
                  <c:v>1.4999999999999999E-2</c:v>
                </c:pt>
                <c:pt idx="16" formatCode="0.0%">
                  <c:v>1.4999999999999999E-2</c:v>
                </c:pt>
                <c:pt idx="35" formatCode="0.0%">
                  <c:v>1.4999999999999999E-2</c:v>
                </c:pt>
              </c:numCache>
            </c:numRef>
          </c:val>
          <c:smooth val="0"/>
          <c:extLst>
            <c:ext xmlns:c16="http://schemas.microsoft.com/office/drawing/2014/chart" uri="{C3380CC4-5D6E-409C-BE32-E72D297353CC}">
              <c16:uniqueId val="{00000002-96E4-E642-BC7E-B53EEFB0315D}"/>
            </c:ext>
          </c:extLst>
        </c:ser>
        <c:dLbls>
          <c:showLegendKey val="0"/>
          <c:showVal val="0"/>
          <c:showCatName val="0"/>
          <c:showSerName val="0"/>
          <c:showPercent val="0"/>
          <c:showBubbleSize val="0"/>
        </c:dLbls>
        <c:smooth val="0"/>
        <c:axId val="418968885"/>
        <c:axId val="1866299483"/>
      </c:lineChart>
      <c:catAx>
        <c:axId val="418968885"/>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1866299483"/>
        <c:crosses val="autoZero"/>
        <c:auto val="1"/>
        <c:lblAlgn val="ctr"/>
        <c:lblOffset val="100"/>
        <c:noMultiLvlLbl val="1"/>
      </c:catAx>
      <c:valAx>
        <c:axId val="1866299483"/>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0%" sourceLinked="1"/>
        <c:majorTickMark val="none"/>
        <c:minorTickMark val="none"/>
        <c:tickLblPos val="nextTo"/>
        <c:spPr>
          <a:ln/>
        </c:spPr>
        <c:txPr>
          <a:bodyPr/>
          <a:lstStyle/>
          <a:p>
            <a:pPr lvl="0">
              <a:defRPr sz="1400" b="0" i="0">
                <a:solidFill>
                  <a:srgbClr val="000000"/>
                </a:solidFill>
                <a:latin typeface="+mn-lt"/>
              </a:defRPr>
            </a:pPr>
            <a:endParaRPr lang="en-US"/>
          </a:p>
        </c:txPr>
        <c:crossAx val="418968885"/>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Utility-Scale PV lifetime in years:
High / low scenario </a:t>
            </a:r>
          </a:p>
        </c:rich>
      </c:tx>
      <c:overlay val="0"/>
    </c:title>
    <c:autoTitleDeleted val="0"/>
    <c:plotArea>
      <c:layout/>
      <c:barChart>
        <c:barDir val="col"/>
        <c:grouping val="clustered"/>
        <c:varyColors val="1"/>
        <c:ser>
          <c:idx val="0"/>
          <c:order val="0"/>
          <c:tx>
            <c:v>Vartiainen, 2020</c:v>
          </c:tx>
          <c:spPr>
            <a:solidFill>
              <a:srgbClr val="4472C4"/>
            </a:solidFill>
            <a:ln cmpd="sng">
              <a:solidFill>
                <a:srgbClr val="000000"/>
              </a:solidFill>
            </a:ln>
          </c:spPr>
          <c:invertIfNegative val="1"/>
          <c:cat>
            <c:numRef>
              <c:f>PV!$A$5</c:f>
              <c:numCache>
                <c:formatCode>General</c:formatCode>
                <c:ptCount val="1"/>
                <c:pt idx="0">
                  <c:v>2015</c:v>
                </c:pt>
              </c:numCache>
            </c:numRef>
          </c:cat>
          <c:val>
            <c:numRef>
              <c:f>PV!$H$5</c:f>
              <c:numCache>
                <c:formatCode>0</c:formatCode>
                <c:ptCount val="1"/>
                <c:pt idx="0">
                  <c:v>30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8B11-9E4C-9A5C-740EE6E0FD9C}"/>
            </c:ext>
          </c:extLst>
        </c:ser>
        <c:ser>
          <c:idx val="1"/>
          <c:order val="1"/>
          <c:tx>
            <c:v>Tsiropoulos, 2018 (ProRES scenario)</c:v>
          </c:tx>
          <c:spPr>
            <a:solidFill>
              <a:srgbClr val="A5A5A5"/>
            </a:solidFill>
            <a:ln cmpd="sng">
              <a:solidFill>
                <a:srgbClr val="000000"/>
              </a:solidFill>
            </a:ln>
          </c:spPr>
          <c:invertIfNegative val="1"/>
          <c:cat>
            <c:numRef>
              <c:f>PV!$A$5</c:f>
              <c:numCache>
                <c:formatCode>General</c:formatCode>
                <c:ptCount val="1"/>
                <c:pt idx="0">
                  <c:v>2015</c:v>
                </c:pt>
              </c:numCache>
            </c:numRef>
          </c:cat>
          <c:val>
            <c:numRef>
              <c:f>PV!$I$5</c:f>
              <c:numCache>
                <c:formatCode>0</c:formatCode>
                <c:ptCount val="1"/>
                <c:pt idx="0">
                  <c:v>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8B11-9E4C-9A5C-740EE6E0FD9C}"/>
            </c:ext>
          </c:extLst>
        </c:ser>
        <c:ser>
          <c:idx val="2"/>
          <c:order val="2"/>
          <c:tx>
            <c:v>Agora, 2019 (reference scenario)</c:v>
          </c:tx>
          <c:spPr>
            <a:solidFill>
              <a:srgbClr val="FFC000"/>
            </a:solidFill>
            <a:ln cmpd="sng">
              <a:solidFill>
                <a:srgbClr val="000000"/>
              </a:solidFill>
            </a:ln>
          </c:spPr>
          <c:invertIfNegative val="1"/>
          <c:cat>
            <c:numRef>
              <c:f>PV!$A$5</c:f>
              <c:numCache>
                <c:formatCode>General</c:formatCode>
                <c:ptCount val="1"/>
                <c:pt idx="0">
                  <c:v>2015</c:v>
                </c:pt>
              </c:numCache>
            </c:numRef>
          </c:cat>
          <c:val>
            <c:numRef>
              <c:f>PV!$J$5</c:f>
              <c:numCache>
                <c:formatCode>0</c:formatCode>
                <c:ptCount val="1"/>
                <c:pt idx="0">
                  <c:v>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8B11-9E4C-9A5C-740EE6E0FD9C}"/>
            </c:ext>
          </c:extLst>
        </c:ser>
        <c:dLbls>
          <c:showLegendKey val="0"/>
          <c:showVal val="0"/>
          <c:showCatName val="0"/>
          <c:showSerName val="0"/>
          <c:showPercent val="0"/>
          <c:showBubbleSize val="0"/>
        </c:dLbls>
        <c:gapWidth val="150"/>
        <c:axId val="958870487"/>
        <c:axId val="1286145814"/>
      </c:barChart>
      <c:catAx>
        <c:axId val="958870487"/>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1286145814"/>
        <c:crosses val="autoZero"/>
        <c:auto val="1"/>
        <c:lblAlgn val="ctr"/>
        <c:lblOffset val="100"/>
        <c:noMultiLvlLbl val="1"/>
      </c:catAx>
      <c:valAx>
        <c:axId val="1286145814"/>
        <c:scaling>
          <c:orientation val="minMax"/>
          <c:min val="0"/>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 sourceLinked="1"/>
        <c:majorTickMark val="none"/>
        <c:minorTickMark val="none"/>
        <c:tickLblPos val="nextTo"/>
        <c:spPr>
          <a:ln/>
        </c:spPr>
        <c:txPr>
          <a:bodyPr/>
          <a:lstStyle/>
          <a:p>
            <a:pPr lvl="0">
              <a:defRPr sz="1400" b="0" i="0">
                <a:solidFill>
                  <a:srgbClr val="000000"/>
                </a:solidFill>
                <a:latin typeface="+mn-lt"/>
              </a:defRPr>
            </a:pPr>
            <a:endParaRPr lang="en-US"/>
          </a:p>
        </c:txPr>
        <c:crossAx val="958870487"/>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off-shore wind OPEX in % of CAPEX p.a.</a:t>
            </a:r>
          </a:p>
        </c:rich>
      </c:tx>
      <c:overlay val="0"/>
    </c:title>
    <c:autoTitleDeleted val="0"/>
    <c:plotArea>
      <c:layout/>
      <c:lineChart>
        <c:grouping val="standard"/>
        <c:varyColors val="1"/>
        <c:ser>
          <c:idx val="0"/>
          <c:order val="0"/>
          <c:tx>
            <c:v>Tsiropoulos, 2018 (ProRES scenario)</c:v>
          </c:tx>
          <c:spPr>
            <a:ln w="28575" cmpd="sng">
              <a:solidFill>
                <a:schemeClr val="accent1"/>
              </a:solidFill>
            </a:ln>
          </c:spPr>
          <c:marker>
            <c:symbol val="none"/>
          </c:marker>
          <c:cat>
            <c:numRef>
              <c:f>'off-shore_wind'!$A$5:$A$40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'off-shore_wind'!$D$5:$D$40</c:f>
              <c:numCache>
                <c:formatCode>0.0%</c:formatCode>
                <c:ptCount val="36"/>
                <c:pt idx="0">
                  <c:v>0.02</c:v>
                </c:pt>
                <c:pt idx="5">
                  <c:v>0.02</c:v>
                </c:pt>
                <c:pt idx="15">
                  <c:v>0.02</c:v>
                </c:pt>
                <c:pt idx="25">
                  <c:v>0.02</c:v>
                </c:pt>
                <c:pt idx="35">
                  <c:v>0.02</c:v>
                </c:pt>
              </c:numCache>
            </c:numRef>
          </c:val>
          <c:smooth val="0"/>
          <c:extLst>
            <c:ext xmlns:c16="http://schemas.microsoft.com/office/drawing/2014/chart" uri="{C3380CC4-5D6E-409C-BE32-E72D297353CC}">
              <c16:uniqueId val="{00000000-E78D-5246-A2F0-D22987E28413}"/>
            </c:ext>
          </c:extLst>
        </c:ser>
        <c:ser>
          <c:idx val="1"/>
          <c:order val="1"/>
          <c:tx>
            <c:v>Agora, 2019 (reference scenario)</c:v>
          </c:tx>
          <c:spPr>
            <a:ln w="28575" cmpd="sng">
              <a:solidFill>
                <a:schemeClr val="accent2"/>
              </a:solidFill>
            </a:ln>
          </c:spPr>
          <c:marker>
            <c:symbol val="none"/>
          </c:marker>
          <c:cat>
            <c:numRef>
              <c:f>'off-shore_wind'!$A$5:$A$40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'off-shore_wind'!$E$5:$E$40</c:f>
              <c:numCache>
                <c:formatCode>0.0%</c:formatCode>
                <c:ptCount val="36"/>
                <c:pt idx="5">
                  <c:v>3.2000000000000001E-2</c:v>
                </c:pt>
                <c:pt idx="15">
                  <c:v>3.2000000000000001E-2</c:v>
                </c:pt>
                <c:pt idx="35">
                  <c:v>3.2000000000000001E-2</c:v>
                </c:pt>
              </c:numCache>
            </c:numRef>
          </c:val>
          <c:smooth val="0"/>
          <c:extLst>
            <c:ext xmlns:c16="http://schemas.microsoft.com/office/drawing/2014/chart" uri="{C3380CC4-5D6E-409C-BE32-E72D297353CC}">
              <c16:uniqueId val="{00000001-E78D-5246-A2F0-D22987E28413}"/>
            </c:ext>
          </c:extLst>
        </c:ser>
        <c:dLbls>
          <c:showLegendKey val="0"/>
          <c:showVal val="0"/>
          <c:showCatName val="0"/>
          <c:showSerName val="0"/>
          <c:showPercent val="0"/>
          <c:showBubbleSize val="0"/>
        </c:dLbls>
        <c:smooth val="0"/>
        <c:axId val="449210444"/>
        <c:axId val="2054653468"/>
      </c:lineChart>
      <c:catAx>
        <c:axId val="449210444"/>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2054653468"/>
        <c:crosses val="autoZero"/>
        <c:auto val="1"/>
        <c:lblAlgn val="ctr"/>
        <c:lblOffset val="100"/>
        <c:noMultiLvlLbl val="1"/>
      </c:catAx>
      <c:valAx>
        <c:axId val="2054653468"/>
        <c:scaling>
          <c:orientation val="minMax"/>
          <c:min val="0"/>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0%" sourceLinked="1"/>
        <c:majorTickMark val="none"/>
        <c:minorTickMark val="none"/>
        <c:tickLblPos val="nextTo"/>
        <c:spPr>
          <a:ln/>
        </c:spPr>
        <c:txPr>
          <a:bodyPr/>
          <a:lstStyle/>
          <a:p>
            <a:pPr lvl="0">
              <a:defRPr sz="1400" b="0" i="0">
                <a:solidFill>
                  <a:srgbClr val="000000"/>
                </a:solidFill>
                <a:latin typeface="+mn-lt"/>
              </a:defRPr>
            </a:pPr>
            <a:endParaRPr lang="en-US"/>
          </a:p>
        </c:txPr>
        <c:crossAx val="449210444"/>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off-shore wind lifetime in years</a:t>
            </a:r>
          </a:p>
        </c:rich>
      </c:tx>
      <c:overlay val="0"/>
    </c:title>
    <c:autoTitleDeleted val="0"/>
    <c:plotArea>
      <c:layout/>
      <c:barChart>
        <c:barDir val="col"/>
        <c:grouping val="clustered"/>
        <c:varyColors val="1"/>
        <c:ser>
          <c:idx val="0"/>
          <c:order val="0"/>
          <c:tx>
            <c:v>Tsiropoulos, 2018 (ProRES scenario)</c:v>
          </c:tx>
          <c:spPr>
            <a:solidFill>
              <a:srgbClr val="4472C4"/>
            </a:solidFill>
            <a:ln cmpd="sng">
              <a:solidFill>
                <a:srgbClr val="000000"/>
              </a:solidFill>
            </a:ln>
          </c:spPr>
          <c:invertIfNegative val="1"/>
          <c:val>
            <c:numRef>
              <c:f>'off-shore_wind'!$F$5</c:f>
              <c:numCache>
                <c:formatCode>0</c:formatCode>
                <c:ptCount val="1"/>
                <c:pt idx="0">
                  <c:v>30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65A3-DE4E-8402-5FCE4A58FCBD}"/>
            </c:ext>
          </c:extLst>
        </c:ser>
        <c:ser>
          <c:idx val="1"/>
          <c:order val="1"/>
          <c:tx>
            <c:v>Agora, 2019 (reference scenario)</c:v>
          </c:tx>
          <c:spPr>
            <a:solidFill>
              <a:srgbClr val="ED7D31"/>
            </a:solidFill>
            <a:ln cmpd="sng">
              <a:solidFill>
                <a:srgbClr val="000000"/>
              </a:solidFill>
            </a:ln>
          </c:spPr>
          <c:invertIfNegative val="1"/>
          <c:val>
            <c:numRef>
              <c:f>'off-shore_wind'!$G$5</c:f>
              <c:numCache>
                <c:formatCode>0</c:formatCode>
                <c:ptCount val="1"/>
                <c:pt idx="0">
                  <c:v>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65A3-DE4E-8402-5FCE4A58FCBD}"/>
            </c:ext>
          </c:extLst>
        </c:ser>
        <c:dLbls>
          <c:showLegendKey val="0"/>
          <c:showVal val="0"/>
          <c:showCatName val="0"/>
          <c:showSerName val="0"/>
          <c:showPercent val="0"/>
          <c:showBubbleSize val="0"/>
        </c:dLbls>
        <c:gapWidth val="150"/>
        <c:axId val="252952700"/>
        <c:axId val="434942848"/>
      </c:barChart>
      <c:catAx>
        <c:axId val="252952700"/>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434942848"/>
        <c:crosses val="autoZero"/>
        <c:auto val="1"/>
        <c:lblAlgn val="ctr"/>
        <c:lblOffset val="100"/>
        <c:noMultiLvlLbl val="1"/>
      </c:catAx>
      <c:valAx>
        <c:axId val="434942848"/>
        <c:scaling>
          <c:orientation val="minMax"/>
          <c:min val="0"/>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 sourceLinked="1"/>
        <c:majorTickMark val="none"/>
        <c:minorTickMark val="none"/>
        <c:tickLblPos val="nextTo"/>
        <c:spPr>
          <a:ln/>
        </c:spPr>
        <c:txPr>
          <a:bodyPr/>
          <a:lstStyle/>
          <a:p>
            <a:pPr lvl="0">
              <a:defRPr sz="1400" b="0" i="0">
                <a:solidFill>
                  <a:srgbClr val="000000"/>
                </a:solidFill>
                <a:latin typeface="+mn-lt"/>
              </a:defRPr>
            </a:pPr>
            <a:endParaRPr lang="en-US"/>
          </a:p>
        </c:txPr>
        <c:crossAx val="252952700"/>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on-shore wind CAPEX in EUR/kWp</a:t>
            </a:r>
          </a:p>
        </c:rich>
      </c:tx>
      <c:overlay val="0"/>
    </c:title>
    <c:autoTitleDeleted val="0"/>
    <c:plotArea>
      <c:layout/>
      <c:lineChart>
        <c:grouping val="standard"/>
        <c:varyColors val="1"/>
        <c:ser>
          <c:idx val="0"/>
          <c:order val="0"/>
          <c:tx>
            <c:v>Tsiropoulos, 2018 (ProRES scenario)</c:v>
          </c:tx>
          <c:spPr>
            <a:ln w="28575" cmpd="sng">
              <a:solidFill>
                <a:schemeClr val="accent1"/>
              </a:solidFill>
            </a:ln>
          </c:spPr>
          <c:marker>
            <c:symbol val="none"/>
          </c:marker>
          <c:cat>
            <c:numRef>
              <c:f>'off-shore_wind'!$A$5:$A$40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'off-shore_wind'!$B$5:$B$40</c:f>
              <c:numCache>
                <c:formatCode>General</c:formatCode>
                <c:ptCount val="36"/>
                <c:pt idx="0">
                  <c:v>3600</c:v>
                </c:pt>
                <c:pt idx="5">
                  <c:v>2970</c:v>
                </c:pt>
                <c:pt idx="15">
                  <c:v>2370</c:v>
                </c:pt>
                <c:pt idx="25">
                  <c:v>2220</c:v>
                </c:pt>
                <c:pt idx="35">
                  <c:v>2160</c:v>
                </c:pt>
              </c:numCache>
            </c:numRef>
          </c:val>
          <c:smooth val="0"/>
          <c:extLst>
            <c:ext xmlns:c16="http://schemas.microsoft.com/office/drawing/2014/chart" uri="{C3380CC4-5D6E-409C-BE32-E72D297353CC}">
              <c16:uniqueId val="{00000000-3752-FA4E-B75E-7E95A0F10C26}"/>
            </c:ext>
          </c:extLst>
        </c:ser>
        <c:ser>
          <c:idx val="1"/>
          <c:order val="1"/>
          <c:tx>
            <c:v>Agora, 2019 (reference scenario)</c:v>
          </c:tx>
          <c:spPr>
            <a:ln w="28575" cmpd="sng">
              <a:solidFill>
                <a:schemeClr val="accent2"/>
              </a:solidFill>
            </a:ln>
          </c:spPr>
          <c:marker>
            <c:symbol val="none"/>
          </c:marker>
          <c:cat>
            <c:numRef>
              <c:f>'off-shore_wind'!$A$5:$A$40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'off-shore_wind'!$C$5:$C$40</c:f>
              <c:numCache>
                <c:formatCode>General</c:formatCode>
                <c:ptCount val="36"/>
                <c:pt idx="5">
                  <c:v>2800</c:v>
                </c:pt>
                <c:pt idx="15">
                  <c:v>2200</c:v>
                </c:pt>
                <c:pt idx="35">
                  <c:v>1600</c:v>
                </c:pt>
              </c:numCache>
            </c:numRef>
          </c:val>
          <c:smooth val="0"/>
          <c:extLst>
            <c:ext xmlns:c16="http://schemas.microsoft.com/office/drawing/2014/chart" uri="{C3380CC4-5D6E-409C-BE32-E72D297353CC}">
              <c16:uniqueId val="{00000001-3752-FA4E-B75E-7E95A0F10C26}"/>
            </c:ext>
          </c:extLst>
        </c:ser>
        <c:dLbls>
          <c:showLegendKey val="0"/>
          <c:showVal val="0"/>
          <c:showCatName val="0"/>
          <c:showSerName val="0"/>
          <c:showPercent val="0"/>
          <c:showBubbleSize val="0"/>
        </c:dLbls>
        <c:smooth val="0"/>
        <c:axId val="1398219329"/>
        <c:axId val="337822565"/>
      </c:lineChart>
      <c:catAx>
        <c:axId val="1398219329"/>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337822565"/>
        <c:crosses val="autoZero"/>
        <c:auto val="1"/>
        <c:lblAlgn val="ctr"/>
        <c:lblOffset val="100"/>
        <c:noMultiLvlLbl val="1"/>
      </c:catAx>
      <c:valAx>
        <c:axId val="337822565"/>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1400" b="0" i="0">
                <a:solidFill>
                  <a:srgbClr val="000000"/>
                </a:solidFill>
                <a:latin typeface="+mn-lt"/>
              </a:defRPr>
            </a:pPr>
            <a:endParaRPr lang="en-US"/>
          </a:p>
        </c:txPr>
        <c:crossAx val="1398219329"/>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Utility-Scale PV OPEX in % of CAPEX p.a.:
High / medium / low scenario </a:t>
            </a:r>
          </a:p>
        </c:rich>
      </c:tx>
      <c:overlay val="0"/>
    </c:title>
    <c:autoTitleDeleted val="0"/>
    <c:plotArea>
      <c:layout/>
      <c:lineChart>
        <c:grouping val="standard"/>
        <c:varyColors val="1"/>
        <c:ser>
          <c:idx val="0"/>
          <c:order val="0"/>
          <c:tx>
            <c:v>Vartiainen, 2020</c:v>
          </c:tx>
          <c:spPr>
            <a:ln w="28575" cmpd="sng">
              <a:solidFill>
                <a:schemeClr val="accent1"/>
              </a:solidFill>
            </a:ln>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PV!$E$5:$E$40</c:f>
              <c:numCache>
                <c:formatCode>0.0%</c:formatCode>
                <c:ptCount val="36"/>
                <c:pt idx="4">
                  <c:v>1.9913419913419911E-2</c:v>
                </c:pt>
                <c:pt idx="5">
                  <c:v>2.0417633410672854E-2</c:v>
                </c:pt>
                <c:pt idx="6">
                  <c:v>2.0689655172413793E-2</c:v>
                </c:pt>
                <c:pt idx="7">
                  <c:v>2.1093749999999998E-2</c:v>
                </c:pt>
                <c:pt idx="8">
                  <c:v>2.1369863013698628E-2</c:v>
                </c:pt>
                <c:pt idx="9">
                  <c:v>2.1839080459770115E-2</c:v>
                </c:pt>
                <c:pt idx="10">
                  <c:v>2.2222222222222223E-2</c:v>
                </c:pt>
                <c:pt idx="11">
                  <c:v>2.2257053291536048E-2</c:v>
                </c:pt>
                <c:pt idx="12">
                  <c:v>2.2475570032573292E-2</c:v>
                </c:pt>
                <c:pt idx="13">
                  <c:v>2.2635135135135136E-2</c:v>
                </c:pt>
                <c:pt idx="14">
                  <c:v>2.3157894736842103E-2</c:v>
                </c:pt>
                <c:pt idx="15">
                  <c:v>2.3272727272727275E-2</c:v>
                </c:pt>
                <c:pt idx="16">
                  <c:v>2.3308270676691729E-2</c:v>
                </c:pt>
                <c:pt idx="17">
                  <c:v>2.3735408560311283E-2</c:v>
                </c:pt>
                <c:pt idx="18">
                  <c:v>2.3694779116465864E-2</c:v>
                </c:pt>
                <c:pt idx="19">
                  <c:v>2.3966942148760328E-2</c:v>
                </c:pt>
                <c:pt idx="20">
                  <c:v>2.3829787234042551E-2</c:v>
                </c:pt>
                <c:pt idx="21">
                  <c:v>2.4122807017543858E-2</c:v>
                </c:pt>
                <c:pt idx="22">
                  <c:v>2.4434389140271493E-2</c:v>
                </c:pt>
                <c:pt idx="23">
                  <c:v>2.4651162790697675E-2</c:v>
                </c:pt>
                <c:pt idx="24">
                  <c:v>2.4401913875598084E-2</c:v>
                </c:pt>
                <c:pt idx="25">
                  <c:v>2.4509803921568627E-2</c:v>
                </c:pt>
                <c:pt idx="26">
                  <c:v>2.4623115577889449E-2</c:v>
                </c:pt>
                <c:pt idx="27">
                  <c:v>2.4742268041237112E-2</c:v>
                </c:pt>
                <c:pt idx="28">
                  <c:v>2.4867724867724868E-2</c:v>
                </c:pt>
                <c:pt idx="29">
                  <c:v>2.4864864864864864E-2</c:v>
                </c:pt>
                <c:pt idx="30">
                  <c:v>2.5414364640883976E-2</c:v>
                </c:pt>
                <c:pt idx="31">
                  <c:v>2.5423728813559324E-2</c:v>
                </c:pt>
                <c:pt idx="32">
                  <c:v>2.5287356321839084E-2</c:v>
                </c:pt>
                <c:pt idx="33">
                  <c:v>2.5294117647058821E-2</c:v>
                </c:pt>
                <c:pt idx="34">
                  <c:v>2.5149700598802397E-2</c:v>
                </c:pt>
                <c:pt idx="35">
                  <c:v>2.5609756097560978E-2</c:v>
                </c:pt>
              </c:numCache>
            </c:numRef>
          </c:val>
          <c:smooth val="0"/>
          <c:extLst>
            <c:ext xmlns:c16="http://schemas.microsoft.com/office/drawing/2014/chart" uri="{C3380CC4-5D6E-409C-BE32-E72D297353CC}">
              <c16:uniqueId val="{00000000-F1A7-2B4F-886D-F63508D00B0D}"/>
            </c:ext>
          </c:extLst>
        </c:ser>
        <c:ser>
          <c:idx val="1"/>
          <c:order val="1"/>
          <c:tx>
            <c:v>Tsiropoulos, 2018 (ProRES scenario)</c:v>
          </c:tx>
          <c:spPr>
            <a:ln w="28575" cmpd="sng">
              <a:solidFill>
                <a:schemeClr val="accent3"/>
              </a:solidFill>
            </a:ln>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PV!$F$5:$F$40</c:f>
              <c:numCache>
                <c:formatCode>0.0%</c:formatCode>
                <c:ptCount val="36"/>
                <c:pt idx="0">
                  <c:v>1.7000000000000001E-2</c:v>
                </c:pt>
                <c:pt idx="5">
                  <c:v>1.7000000000000001E-2</c:v>
                </c:pt>
                <c:pt idx="16">
                  <c:v>1.7000000000000001E-2</c:v>
                </c:pt>
                <c:pt idx="25">
                  <c:v>1.7000000000000001E-2</c:v>
                </c:pt>
                <c:pt idx="35">
                  <c:v>1.7000000000000001E-2</c:v>
                </c:pt>
              </c:numCache>
            </c:numRef>
          </c:val>
          <c:smooth val="0"/>
          <c:extLst>
            <c:ext xmlns:c16="http://schemas.microsoft.com/office/drawing/2014/chart" uri="{C3380CC4-5D6E-409C-BE32-E72D297353CC}">
              <c16:uniqueId val="{00000001-F1A7-2B4F-886D-F63508D00B0D}"/>
            </c:ext>
          </c:extLst>
        </c:ser>
        <c:ser>
          <c:idx val="2"/>
          <c:order val="2"/>
          <c:tx>
            <c:v>Agora, 2019 (reference scenario)</c:v>
          </c:tx>
          <c:spPr>
            <a:ln w="28575" cmpd="sng">
              <a:solidFill>
                <a:schemeClr val="accent4"/>
              </a:solidFill>
            </a:ln>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PV!$G$5:$G$40</c:f>
              <c:numCache>
                <c:formatCode>General</c:formatCode>
                <c:ptCount val="36"/>
                <c:pt idx="5" formatCode="0.0%">
                  <c:v>1.4999999999999999E-2</c:v>
                </c:pt>
                <c:pt idx="16" formatCode="0.0%">
                  <c:v>1.4999999999999999E-2</c:v>
                </c:pt>
                <c:pt idx="35" formatCode="0.0%">
                  <c:v>1.4999999999999999E-2</c:v>
                </c:pt>
              </c:numCache>
            </c:numRef>
          </c:val>
          <c:smooth val="0"/>
          <c:extLst>
            <c:ext xmlns:c16="http://schemas.microsoft.com/office/drawing/2014/chart" uri="{C3380CC4-5D6E-409C-BE32-E72D297353CC}">
              <c16:uniqueId val="{00000002-F1A7-2B4F-886D-F63508D00B0D}"/>
            </c:ext>
          </c:extLst>
        </c:ser>
        <c:dLbls>
          <c:showLegendKey val="0"/>
          <c:showVal val="0"/>
          <c:showCatName val="0"/>
          <c:showSerName val="0"/>
          <c:showPercent val="0"/>
          <c:showBubbleSize val="0"/>
        </c:dLbls>
        <c:smooth val="0"/>
        <c:axId val="201344113"/>
        <c:axId val="1714826951"/>
      </c:lineChart>
      <c:catAx>
        <c:axId val="201344113"/>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1714826951"/>
        <c:crosses val="autoZero"/>
        <c:auto val="1"/>
        <c:lblAlgn val="ctr"/>
        <c:lblOffset val="100"/>
        <c:noMultiLvlLbl val="1"/>
      </c:catAx>
      <c:valAx>
        <c:axId val="1714826951"/>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0%" sourceLinked="1"/>
        <c:majorTickMark val="none"/>
        <c:minorTickMark val="none"/>
        <c:tickLblPos val="nextTo"/>
        <c:spPr>
          <a:ln/>
        </c:spPr>
        <c:txPr>
          <a:bodyPr/>
          <a:lstStyle/>
          <a:p>
            <a:pPr lvl="0">
              <a:defRPr sz="1400" b="0" i="0">
                <a:solidFill>
                  <a:srgbClr val="000000"/>
                </a:solidFill>
                <a:latin typeface="+mn-lt"/>
              </a:defRPr>
            </a:pPr>
            <a:endParaRPr lang="en-US"/>
          </a:p>
        </c:txPr>
        <c:crossAx val="201344113"/>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Utility-Scale PV lifetime in years:
High / low scenario </a:t>
            </a:r>
          </a:p>
        </c:rich>
      </c:tx>
      <c:overlay val="0"/>
    </c:title>
    <c:autoTitleDeleted val="0"/>
    <c:plotArea>
      <c:layout/>
      <c:barChart>
        <c:barDir val="col"/>
        <c:grouping val="clustered"/>
        <c:varyColors val="1"/>
        <c:ser>
          <c:idx val="0"/>
          <c:order val="0"/>
          <c:tx>
            <c:v>Vartiainen, 2020</c:v>
          </c:tx>
          <c:spPr>
            <a:solidFill>
              <a:srgbClr val="4472C4"/>
            </a:solidFill>
            <a:ln cmpd="sng">
              <a:solidFill>
                <a:srgbClr val="000000"/>
              </a:solidFill>
            </a:ln>
          </c:spPr>
          <c:invertIfNegative val="1"/>
          <c:cat>
            <c:numRef>
              <c:f>PV!$A$5</c:f>
              <c:numCache>
                <c:formatCode>General</c:formatCode>
                <c:ptCount val="1"/>
                <c:pt idx="0">
                  <c:v>2015</c:v>
                </c:pt>
              </c:numCache>
            </c:numRef>
          </c:cat>
          <c:val>
            <c:numRef>
              <c:f>PV!$H$5</c:f>
              <c:numCache>
                <c:formatCode>0</c:formatCode>
                <c:ptCount val="1"/>
                <c:pt idx="0">
                  <c:v>30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3D7E-1540-8FFE-D245252F5B0A}"/>
            </c:ext>
          </c:extLst>
        </c:ser>
        <c:ser>
          <c:idx val="1"/>
          <c:order val="1"/>
          <c:tx>
            <c:v>Tsiropoulos, 2018 (ProRES scenario)</c:v>
          </c:tx>
          <c:spPr>
            <a:solidFill>
              <a:srgbClr val="A5A5A5"/>
            </a:solidFill>
            <a:ln cmpd="sng">
              <a:solidFill>
                <a:srgbClr val="000000"/>
              </a:solidFill>
            </a:ln>
          </c:spPr>
          <c:invertIfNegative val="1"/>
          <c:cat>
            <c:numRef>
              <c:f>PV!$A$5</c:f>
              <c:numCache>
                <c:formatCode>General</c:formatCode>
                <c:ptCount val="1"/>
                <c:pt idx="0">
                  <c:v>2015</c:v>
                </c:pt>
              </c:numCache>
            </c:numRef>
          </c:cat>
          <c:val>
            <c:numRef>
              <c:f>PV!$I$5</c:f>
              <c:numCache>
                <c:formatCode>0</c:formatCode>
                <c:ptCount val="1"/>
                <c:pt idx="0">
                  <c:v>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3D7E-1540-8FFE-D245252F5B0A}"/>
            </c:ext>
          </c:extLst>
        </c:ser>
        <c:ser>
          <c:idx val="2"/>
          <c:order val="2"/>
          <c:tx>
            <c:v>Agora, 2019 (reference scenario)</c:v>
          </c:tx>
          <c:spPr>
            <a:solidFill>
              <a:srgbClr val="FFC000"/>
            </a:solidFill>
            <a:ln cmpd="sng">
              <a:solidFill>
                <a:srgbClr val="000000"/>
              </a:solidFill>
            </a:ln>
          </c:spPr>
          <c:invertIfNegative val="1"/>
          <c:cat>
            <c:numRef>
              <c:f>PV!$A$5</c:f>
              <c:numCache>
                <c:formatCode>General</c:formatCode>
                <c:ptCount val="1"/>
                <c:pt idx="0">
                  <c:v>2015</c:v>
                </c:pt>
              </c:numCache>
            </c:numRef>
          </c:cat>
          <c:val>
            <c:numRef>
              <c:f>PV!$J$5</c:f>
              <c:numCache>
                <c:formatCode>0</c:formatCode>
                <c:ptCount val="1"/>
                <c:pt idx="0">
                  <c:v>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3D7E-1540-8FFE-D245252F5B0A}"/>
            </c:ext>
          </c:extLst>
        </c:ser>
        <c:dLbls>
          <c:showLegendKey val="0"/>
          <c:showVal val="0"/>
          <c:showCatName val="0"/>
          <c:showSerName val="0"/>
          <c:showPercent val="0"/>
          <c:showBubbleSize val="0"/>
        </c:dLbls>
        <c:gapWidth val="150"/>
        <c:axId val="686426860"/>
        <c:axId val="179627415"/>
      </c:barChart>
      <c:catAx>
        <c:axId val="686426860"/>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179627415"/>
        <c:crosses val="autoZero"/>
        <c:auto val="1"/>
        <c:lblAlgn val="ctr"/>
        <c:lblOffset val="100"/>
        <c:noMultiLvlLbl val="1"/>
      </c:catAx>
      <c:valAx>
        <c:axId val="179627415"/>
        <c:scaling>
          <c:orientation val="minMax"/>
          <c:min val="0"/>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 sourceLinked="1"/>
        <c:majorTickMark val="none"/>
        <c:minorTickMark val="none"/>
        <c:tickLblPos val="nextTo"/>
        <c:spPr>
          <a:ln/>
        </c:spPr>
        <c:txPr>
          <a:bodyPr/>
          <a:lstStyle/>
          <a:p>
            <a:pPr lvl="0">
              <a:defRPr sz="1400" b="0" i="0">
                <a:solidFill>
                  <a:srgbClr val="000000"/>
                </a:solidFill>
                <a:latin typeface="+mn-lt"/>
              </a:defRPr>
            </a:pPr>
            <a:endParaRPr lang="en-US"/>
          </a:p>
        </c:txPr>
        <c:crossAx val="686426860"/>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on-shore wind OPEX in % of CAPEX p.a.:
High / medium / low scenario </a:t>
            </a:r>
          </a:p>
        </c:rich>
      </c:tx>
      <c:overlay val="0"/>
    </c:title>
    <c:autoTitleDeleted val="0"/>
    <c:plotArea>
      <c:layout/>
      <c:lineChart>
        <c:grouping val="standard"/>
        <c:varyColors val="1"/>
        <c:ser>
          <c:idx val="0"/>
          <c:order val="0"/>
          <c:tx>
            <c:v>Tsiropoulos, 2018 (ProRES scenario)</c:v>
          </c:tx>
          <c:spPr>
            <a:ln w="28575" cmpd="sng">
              <a:solidFill>
                <a:schemeClr val="accent1"/>
              </a:solidFill>
            </a:ln>
          </c:spPr>
          <c:marker>
            <c:symbol val="none"/>
          </c:marker>
          <c:cat>
            <c:numRef>
              <c:f>'off-shore_wind'!$A$5:$A$40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'off-shore_wind'!$D$5:$D$40</c:f>
              <c:numCache>
                <c:formatCode>0.0%</c:formatCode>
                <c:ptCount val="36"/>
                <c:pt idx="0">
                  <c:v>0.02</c:v>
                </c:pt>
                <c:pt idx="5">
                  <c:v>0.02</c:v>
                </c:pt>
                <c:pt idx="15">
                  <c:v>0.02</c:v>
                </c:pt>
                <c:pt idx="25">
                  <c:v>0.02</c:v>
                </c:pt>
                <c:pt idx="35">
                  <c:v>0.02</c:v>
                </c:pt>
              </c:numCache>
            </c:numRef>
          </c:val>
          <c:smooth val="0"/>
          <c:extLst>
            <c:ext xmlns:c16="http://schemas.microsoft.com/office/drawing/2014/chart" uri="{C3380CC4-5D6E-409C-BE32-E72D297353CC}">
              <c16:uniqueId val="{00000000-A1C3-0D42-A3F8-A961754B34FD}"/>
            </c:ext>
          </c:extLst>
        </c:ser>
        <c:ser>
          <c:idx val="1"/>
          <c:order val="1"/>
          <c:tx>
            <c:v>Agora, 2019 (reference scenario)</c:v>
          </c:tx>
          <c:spPr>
            <a:ln w="28575" cmpd="sng">
              <a:solidFill>
                <a:schemeClr val="accent2"/>
              </a:solidFill>
            </a:ln>
          </c:spPr>
          <c:marker>
            <c:symbol val="none"/>
          </c:marker>
          <c:cat>
            <c:numRef>
              <c:f>'off-shore_wind'!$A$5:$A$40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'off-shore_wind'!$E$5:$E$40</c:f>
              <c:numCache>
                <c:formatCode>0.0%</c:formatCode>
                <c:ptCount val="36"/>
                <c:pt idx="5">
                  <c:v>3.2000000000000001E-2</c:v>
                </c:pt>
                <c:pt idx="15">
                  <c:v>3.2000000000000001E-2</c:v>
                </c:pt>
                <c:pt idx="35">
                  <c:v>3.2000000000000001E-2</c:v>
                </c:pt>
              </c:numCache>
            </c:numRef>
          </c:val>
          <c:smooth val="0"/>
          <c:extLst>
            <c:ext xmlns:c16="http://schemas.microsoft.com/office/drawing/2014/chart" uri="{C3380CC4-5D6E-409C-BE32-E72D297353CC}">
              <c16:uniqueId val="{00000001-A1C3-0D42-A3F8-A961754B34FD}"/>
            </c:ext>
          </c:extLst>
        </c:ser>
        <c:dLbls>
          <c:showLegendKey val="0"/>
          <c:showVal val="0"/>
          <c:showCatName val="0"/>
          <c:showSerName val="0"/>
          <c:showPercent val="0"/>
          <c:showBubbleSize val="0"/>
        </c:dLbls>
        <c:smooth val="0"/>
        <c:axId val="653300059"/>
        <c:axId val="1951917168"/>
      </c:lineChart>
      <c:catAx>
        <c:axId val="653300059"/>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1951917168"/>
        <c:crosses val="autoZero"/>
        <c:auto val="1"/>
        <c:lblAlgn val="ctr"/>
        <c:lblOffset val="100"/>
        <c:noMultiLvlLbl val="1"/>
      </c:catAx>
      <c:valAx>
        <c:axId val="1951917168"/>
        <c:scaling>
          <c:orientation val="minMax"/>
          <c:min val="0"/>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0%" sourceLinked="1"/>
        <c:majorTickMark val="none"/>
        <c:minorTickMark val="none"/>
        <c:tickLblPos val="nextTo"/>
        <c:spPr>
          <a:ln/>
        </c:spPr>
        <c:txPr>
          <a:bodyPr/>
          <a:lstStyle/>
          <a:p>
            <a:pPr lvl="0">
              <a:defRPr sz="1400" b="0" i="0">
                <a:solidFill>
                  <a:srgbClr val="000000"/>
                </a:solidFill>
                <a:latin typeface="+mn-lt"/>
              </a:defRPr>
            </a:pPr>
            <a:endParaRPr lang="en-US"/>
          </a:p>
        </c:txPr>
        <c:crossAx val="653300059"/>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Utility-Scale PV lifetime in years:
High / low scenario </a:t>
            </a:r>
          </a:p>
        </c:rich>
      </c:tx>
      <c:overlay val="0"/>
    </c:title>
    <c:autoTitleDeleted val="0"/>
    <c:plotArea>
      <c:layout/>
      <c:barChart>
        <c:barDir val="col"/>
        <c:grouping val="clustered"/>
        <c:varyColors val="1"/>
        <c:ser>
          <c:idx val="0"/>
          <c:order val="0"/>
          <c:tx>
            <c:v>Tsiropoulos, 2018 (ProRES scenario)</c:v>
          </c:tx>
          <c:spPr>
            <a:solidFill>
              <a:srgbClr val="4472C4"/>
            </a:solidFill>
            <a:ln cmpd="sng">
              <a:solidFill>
                <a:srgbClr val="000000"/>
              </a:solidFill>
            </a:ln>
          </c:spPr>
          <c:invertIfNegative val="1"/>
          <c:val>
            <c:numRef>
              <c:f>'off-shore_wind'!$F$5</c:f>
              <c:numCache>
                <c:formatCode>0</c:formatCode>
                <c:ptCount val="1"/>
                <c:pt idx="0">
                  <c:v>30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3BF6-EF42-AC7B-01BAD4D5A3F2}"/>
            </c:ext>
          </c:extLst>
        </c:ser>
        <c:ser>
          <c:idx val="1"/>
          <c:order val="1"/>
          <c:tx>
            <c:v>Agora, 2019 (reference scenario)</c:v>
          </c:tx>
          <c:spPr>
            <a:solidFill>
              <a:srgbClr val="ED7D31"/>
            </a:solidFill>
            <a:ln cmpd="sng">
              <a:solidFill>
                <a:srgbClr val="000000"/>
              </a:solidFill>
            </a:ln>
          </c:spPr>
          <c:invertIfNegative val="1"/>
          <c:val>
            <c:numRef>
              <c:f>'off-shore_wind'!$G$5</c:f>
              <c:numCache>
                <c:formatCode>0</c:formatCode>
                <c:ptCount val="1"/>
                <c:pt idx="0">
                  <c:v>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3BF6-EF42-AC7B-01BAD4D5A3F2}"/>
            </c:ext>
          </c:extLst>
        </c:ser>
        <c:dLbls>
          <c:showLegendKey val="0"/>
          <c:showVal val="0"/>
          <c:showCatName val="0"/>
          <c:showSerName val="0"/>
          <c:showPercent val="0"/>
          <c:showBubbleSize val="0"/>
        </c:dLbls>
        <c:gapWidth val="150"/>
        <c:axId val="579859868"/>
        <c:axId val="239215127"/>
      </c:barChart>
      <c:catAx>
        <c:axId val="579859868"/>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239215127"/>
        <c:crosses val="autoZero"/>
        <c:auto val="1"/>
        <c:lblAlgn val="ctr"/>
        <c:lblOffset val="100"/>
        <c:noMultiLvlLbl val="1"/>
      </c:catAx>
      <c:valAx>
        <c:axId val="239215127"/>
        <c:scaling>
          <c:orientation val="minMax"/>
          <c:min val="0"/>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 sourceLinked="1"/>
        <c:majorTickMark val="none"/>
        <c:minorTickMark val="none"/>
        <c:tickLblPos val="nextTo"/>
        <c:spPr>
          <a:ln/>
        </c:spPr>
        <c:txPr>
          <a:bodyPr/>
          <a:lstStyle/>
          <a:p>
            <a:pPr lvl="0">
              <a:defRPr sz="1400" b="0" i="0">
                <a:solidFill>
                  <a:srgbClr val="000000"/>
                </a:solidFill>
                <a:latin typeface="+mn-lt"/>
              </a:defRPr>
            </a:pPr>
            <a:endParaRPr lang="en-US"/>
          </a:p>
        </c:txPr>
        <c:crossAx val="579859868"/>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Li-Ion battery CAPEX in EUR/kWh</a:t>
            </a:r>
          </a:p>
        </c:rich>
      </c:tx>
      <c:overlay val="0"/>
    </c:title>
    <c:autoTitleDeleted val="0"/>
    <c:plotArea>
      <c:layout/>
      <c:lineChart>
        <c:grouping val="standard"/>
        <c:varyColors val="1"/>
        <c:ser>
          <c:idx val="0"/>
          <c:order val="0"/>
          <c:tx>
            <c:v>Vartiainen, 2020</c:v>
          </c:tx>
          <c:spPr>
            <a:ln w="28575" cmpd="sng">
              <a:solidFill>
                <a:schemeClr val="accent1"/>
              </a:solidFill>
            </a:ln>
          </c:spPr>
          <c:marker>
            <c:symbol val="none"/>
          </c:marker>
          <c:cat>
            <c:numRef>
              <c:f>battery!$A$5:$A$40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battery!$B$5:$B$40</c:f>
              <c:numCache>
                <c:formatCode>General</c:formatCode>
                <c:ptCount val="36"/>
                <c:pt idx="4">
                  <c:v>275</c:v>
                </c:pt>
                <c:pt idx="5">
                  <c:v>251</c:v>
                </c:pt>
                <c:pt idx="6">
                  <c:v>229</c:v>
                </c:pt>
                <c:pt idx="7">
                  <c:v>209</c:v>
                </c:pt>
                <c:pt idx="8">
                  <c:v>192</c:v>
                </c:pt>
                <c:pt idx="9">
                  <c:v>176</c:v>
                </c:pt>
                <c:pt idx="10">
                  <c:v>163</c:v>
                </c:pt>
                <c:pt idx="11">
                  <c:v>151</c:v>
                </c:pt>
                <c:pt idx="12">
                  <c:v>141</c:v>
                </c:pt>
                <c:pt idx="13">
                  <c:v>132</c:v>
                </c:pt>
                <c:pt idx="14">
                  <c:v>124</c:v>
                </c:pt>
                <c:pt idx="15">
                  <c:v>117</c:v>
                </c:pt>
                <c:pt idx="16">
                  <c:v>112</c:v>
                </c:pt>
                <c:pt idx="17">
                  <c:v>106</c:v>
                </c:pt>
                <c:pt idx="18">
                  <c:v>102</c:v>
                </c:pt>
                <c:pt idx="19">
                  <c:v>98</c:v>
                </c:pt>
                <c:pt idx="20">
                  <c:v>94</c:v>
                </c:pt>
                <c:pt idx="21">
                  <c:v>91</c:v>
                </c:pt>
                <c:pt idx="22">
                  <c:v>88</c:v>
                </c:pt>
                <c:pt idx="23">
                  <c:v>85</c:v>
                </c:pt>
                <c:pt idx="24">
                  <c:v>82</c:v>
                </c:pt>
                <c:pt idx="25">
                  <c:v>80</c:v>
                </c:pt>
                <c:pt idx="26">
                  <c:v>78</c:v>
                </c:pt>
                <c:pt idx="27">
                  <c:v>76</c:v>
                </c:pt>
                <c:pt idx="28">
                  <c:v>74</c:v>
                </c:pt>
                <c:pt idx="29">
                  <c:v>73</c:v>
                </c:pt>
                <c:pt idx="30">
                  <c:v>71</c:v>
                </c:pt>
                <c:pt idx="31">
                  <c:v>70</c:v>
                </c:pt>
                <c:pt idx="32">
                  <c:v>69</c:v>
                </c:pt>
                <c:pt idx="33">
                  <c:v>67</c:v>
                </c:pt>
                <c:pt idx="34">
                  <c:v>66</c:v>
                </c:pt>
                <c:pt idx="35">
                  <c:v>65</c:v>
                </c:pt>
              </c:numCache>
            </c:numRef>
          </c:val>
          <c:smooth val="0"/>
          <c:extLst>
            <c:ext xmlns:c16="http://schemas.microsoft.com/office/drawing/2014/chart" uri="{C3380CC4-5D6E-409C-BE32-E72D297353CC}">
              <c16:uniqueId val="{00000000-BD7D-4A4E-983A-F83784A41352}"/>
            </c:ext>
          </c:extLst>
        </c:ser>
        <c:ser>
          <c:idx val="1"/>
          <c:order val="1"/>
          <c:tx>
            <c:v>﻿IEA, 2019b</c:v>
          </c:tx>
          <c:spPr>
            <a:ln w="28575" cmpd="sng">
              <a:solidFill>
                <a:schemeClr val="accent2"/>
              </a:solidFill>
            </a:ln>
          </c:spPr>
          <c:marker>
            <c:symbol val="none"/>
          </c:marker>
          <c:cat>
            <c:numRef>
              <c:f>battery!$A$5:$A$40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battery!$C$5:$C$40</c:f>
              <c:numCache>
                <c:formatCode>General</c:formatCode>
                <c:ptCount val="36"/>
                <c:pt idx="2">
                  <c:v>402</c:v>
                </c:pt>
                <c:pt idx="10">
                  <c:v>268</c:v>
                </c:pt>
                <c:pt idx="15">
                  <c:v>243</c:v>
                </c:pt>
                <c:pt idx="20">
                  <c:v>228</c:v>
                </c:pt>
                <c:pt idx="25">
                  <c:v>218</c:v>
                </c:pt>
              </c:numCache>
            </c:numRef>
          </c:val>
          <c:smooth val="0"/>
          <c:extLst>
            <c:ext xmlns:c16="http://schemas.microsoft.com/office/drawing/2014/chart" uri="{C3380CC4-5D6E-409C-BE32-E72D297353CC}">
              <c16:uniqueId val="{00000001-BD7D-4A4E-983A-F83784A41352}"/>
            </c:ext>
          </c:extLst>
        </c:ser>
        <c:ser>
          <c:idx val="2"/>
          <c:order val="2"/>
          <c:tx>
            <c:v>BATSTROM, 2018</c:v>
          </c:tx>
          <c:spPr>
            <a:ln w="28575" cmpd="sng">
              <a:solidFill>
                <a:schemeClr val="accent3"/>
              </a:solidFill>
            </a:ln>
          </c:spPr>
          <c:marker>
            <c:symbol val="none"/>
          </c:marker>
          <c:cat>
            <c:numRef>
              <c:f>battery!$A$5:$A$40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battery!$D$5:$D$40</c:f>
              <c:numCache>
                <c:formatCode>General</c:formatCode>
                <c:ptCount val="36"/>
                <c:pt idx="0">
                  <c:v>605</c:v>
                </c:pt>
                <c:pt idx="5">
                  <c:v>455</c:v>
                </c:pt>
                <c:pt idx="10">
                  <c:v>345</c:v>
                </c:pt>
                <c:pt idx="15">
                  <c:v>260</c:v>
                </c:pt>
              </c:numCache>
            </c:numRef>
          </c:val>
          <c:smooth val="0"/>
          <c:extLst>
            <c:ext xmlns:c16="http://schemas.microsoft.com/office/drawing/2014/chart" uri="{C3380CC4-5D6E-409C-BE32-E72D297353CC}">
              <c16:uniqueId val="{00000002-BD7D-4A4E-983A-F83784A41352}"/>
            </c:ext>
          </c:extLst>
        </c:ser>
        <c:ser>
          <c:idx val="3"/>
          <c:order val="3"/>
          <c:tx>
            <c:v>Runge, 2020</c:v>
          </c:tx>
          <c:spPr>
            <a:ln w="28575" cmpd="sng">
              <a:solidFill>
                <a:schemeClr val="accent4"/>
              </a:solidFill>
            </a:ln>
          </c:spPr>
          <c:marker>
            <c:symbol val="none"/>
          </c:marker>
          <c:cat>
            <c:numRef>
              <c:f>battery!$A$5:$A$40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battery!$E$5:$E$40</c:f>
              <c:numCache>
                <c:formatCode>General</c:formatCode>
                <c:ptCount val="36"/>
                <c:pt idx="19">
                  <c:v>125</c:v>
                </c:pt>
                <c:pt idx="20">
                  <c:v>125</c:v>
                </c:pt>
              </c:numCache>
            </c:numRef>
          </c:val>
          <c:smooth val="0"/>
          <c:extLst>
            <c:ext xmlns:c16="http://schemas.microsoft.com/office/drawing/2014/chart" uri="{C3380CC4-5D6E-409C-BE32-E72D297353CC}">
              <c16:uniqueId val="{00000003-BD7D-4A4E-983A-F83784A41352}"/>
            </c:ext>
          </c:extLst>
        </c:ser>
        <c:ser>
          <c:idx val="4"/>
          <c:order val="4"/>
          <c:tx>
            <c:v>Cole, 2019</c:v>
          </c:tx>
          <c:spPr>
            <a:ln w="28575" cmpd="sng">
              <a:solidFill>
                <a:schemeClr val="accent5"/>
              </a:solidFill>
            </a:ln>
          </c:spPr>
          <c:marker>
            <c:symbol val="none"/>
          </c:marker>
          <c:cat>
            <c:numRef>
              <c:f>battery!$A$5:$A$40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battery!$F$5:$F$40</c:f>
              <c:numCache>
                <c:formatCode>General</c:formatCode>
                <c:ptCount val="36"/>
                <c:pt idx="3" formatCode="0">
                  <c:v>342</c:v>
                </c:pt>
                <c:pt idx="5" formatCode="0">
                  <c:v>297</c:v>
                </c:pt>
                <c:pt idx="10" formatCode="0">
                  <c:v>223.20000000000002</c:v>
                </c:pt>
                <c:pt idx="15" formatCode="0">
                  <c:v>186.3</c:v>
                </c:pt>
                <c:pt idx="35" formatCode="0">
                  <c:v>142.20000000000002</c:v>
                </c:pt>
              </c:numCache>
            </c:numRef>
          </c:val>
          <c:smooth val="0"/>
          <c:extLst>
            <c:ext xmlns:c16="http://schemas.microsoft.com/office/drawing/2014/chart" uri="{C3380CC4-5D6E-409C-BE32-E72D297353CC}">
              <c16:uniqueId val="{00000004-BD7D-4A4E-983A-F83784A41352}"/>
            </c:ext>
          </c:extLst>
        </c:ser>
        <c:ser>
          <c:idx val="5"/>
          <c:order val="5"/>
          <c:tx>
            <c:v>Cole, 2019</c:v>
          </c:tx>
          <c:spPr>
            <a:ln w="28575" cmpd="sng">
              <a:solidFill>
                <a:schemeClr val="accent6"/>
              </a:solidFill>
            </a:ln>
          </c:spPr>
          <c:marker>
            <c:symbol val="none"/>
          </c:marker>
          <c:cat>
            <c:numRef>
              <c:f>battery!$A$5:$A$40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battery!$G$5:$G$40</c:f>
              <c:numCache>
                <c:formatCode>General</c:formatCode>
                <c:ptCount val="36"/>
                <c:pt idx="3" formatCode="0">
                  <c:v>342</c:v>
                </c:pt>
                <c:pt idx="5" formatCode="0">
                  <c:v>323.10000000000002</c:v>
                </c:pt>
                <c:pt idx="10" formatCode="0">
                  <c:v>297</c:v>
                </c:pt>
                <c:pt idx="15" formatCode="0">
                  <c:v>270.90000000000003</c:v>
                </c:pt>
                <c:pt idx="35" formatCode="0">
                  <c:v>238.5</c:v>
                </c:pt>
              </c:numCache>
            </c:numRef>
          </c:val>
          <c:smooth val="0"/>
          <c:extLst>
            <c:ext xmlns:c16="http://schemas.microsoft.com/office/drawing/2014/chart" uri="{C3380CC4-5D6E-409C-BE32-E72D297353CC}">
              <c16:uniqueId val="{00000005-BD7D-4A4E-983A-F83784A41352}"/>
            </c:ext>
          </c:extLst>
        </c:ser>
        <c:ser>
          <c:idx val="6"/>
          <c:order val="6"/>
          <c:tx>
            <c:v>Cole, 2019</c:v>
          </c:tx>
          <c:spPr>
            <a:ln w="28575" cmpd="sng">
              <a:solidFill>
                <a:schemeClr val="accent1"/>
              </a:solidFill>
            </a:ln>
          </c:spPr>
          <c:marker>
            <c:symbol val="none"/>
          </c:marker>
          <c:cat>
            <c:numRef>
              <c:f>battery!$A$5:$A$40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battery!$H$5:$H$40</c:f>
              <c:numCache>
                <c:formatCode>General</c:formatCode>
                <c:ptCount val="36"/>
                <c:pt idx="3" formatCode="0">
                  <c:v>342</c:v>
                </c:pt>
                <c:pt idx="5" formatCode="0">
                  <c:v>267.3</c:v>
                </c:pt>
                <c:pt idx="10" formatCode="0">
                  <c:v>165.6</c:v>
                </c:pt>
                <c:pt idx="15" formatCode="0">
                  <c:v>111.60000000000001</c:v>
                </c:pt>
                <c:pt idx="35" formatCode="0">
                  <c:v>70.2</c:v>
                </c:pt>
              </c:numCache>
            </c:numRef>
          </c:val>
          <c:smooth val="0"/>
          <c:extLst>
            <c:ext xmlns:c16="http://schemas.microsoft.com/office/drawing/2014/chart" uri="{C3380CC4-5D6E-409C-BE32-E72D297353CC}">
              <c16:uniqueId val="{00000006-BD7D-4A4E-983A-F83784A41352}"/>
            </c:ext>
          </c:extLst>
        </c:ser>
        <c:dLbls>
          <c:showLegendKey val="0"/>
          <c:showVal val="0"/>
          <c:showCatName val="0"/>
          <c:showSerName val="0"/>
          <c:showPercent val="0"/>
          <c:showBubbleSize val="0"/>
        </c:dLbls>
        <c:smooth val="0"/>
        <c:axId val="90585688"/>
        <c:axId val="1732045613"/>
      </c:lineChart>
      <c:catAx>
        <c:axId val="90585688"/>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1732045613"/>
        <c:crosses val="autoZero"/>
        <c:auto val="1"/>
        <c:lblAlgn val="ctr"/>
        <c:lblOffset val="100"/>
        <c:noMultiLvlLbl val="1"/>
      </c:catAx>
      <c:valAx>
        <c:axId val="1732045613"/>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1400" b="0" i="0">
                <a:solidFill>
                  <a:srgbClr val="000000"/>
                </a:solidFill>
                <a:latin typeface="+mn-lt"/>
              </a:defRPr>
            </a:pPr>
            <a:endParaRPr lang="en-US"/>
          </a:p>
        </c:txPr>
        <c:crossAx val="90585688"/>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Utility-Scale PV OPEX in % of CAPEX p.a.:
High / medium / low scenario </a:t>
            </a:r>
          </a:p>
        </c:rich>
      </c:tx>
      <c:overlay val="0"/>
    </c:title>
    <c:autoTitleDeleted val="0"/>
    <c:plotArea>
      <c:layout/>
      <c:lineChart>
        <c:grouping val="standard"/>
        <c:varyColors val="1"/>
        <c:ser>
          <c:idx val="0"/>
          <c:order val="0"/>
          <c:tx>
            <c:v>Vartiainen, 2020</c:v>
          </c:tx>
          <c:spPr>
            <a:ln w="28575" cmpd="sng">
              <a:solidFill>
                <a:schemeClr val="accent1"/>
              </a:solidFill>
            </a:ln>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PV!$E$5:$E$40</c:f>
              <c:numCache>
                <c:formatCode>0.0%</c:formatCode>
                <c:ptCount val="36"/>
                <c:pt idx="4">
                  <c:v>1.9913419913419911E-2</c:v>
                </c:pt>
                <c:pt idx="5">
                  <c:v>2.0417633410672854E-2</c:v>
                </c:pt>
                <c:pt idx="6">
                  <c:v>2.0689655172413793E-2</c:v>
                </c:pt>
                <c:pt idx="7">
                  <c:v>2.1093749999999998E-2</c:v>
                </c:pt>
                <c:pt idx="8">
                  <c:v>2.1369863013698628E-2</c:v>
                </c:pt>
                <c:pt idx="9">
                  <c:v>2.1839080459770115E-2</c:v>
                </c:pt>
                <c:pt idx="10">
                  <c:v>2.2222222222222223E-2</c:v>
                </c:pt>
                <c:pt idx="11">
                  <c:v>2.2257053291536048E-2</c:v>
                </c:pt>
                <c:pt idx="12">
                  <c:v>2.2475570032573292E-2</c:v>
                </c:pt>
                <c:pt idx="13">
                  <c:v>2.2635135135135136E-2</c:v>
                </c:pt>
                <c:pt idx="14">
                  <c:v>2.3157894736842103E-2</c:v>
                </c:pt>
                <c:pt idx="15">
                  <c:v>2.3272727272727275E-2</c:v>
                </c:pt>
                <c:pt idx="16">
                  <c:v>2.3308270676691729E-2</c:v>
                </c:pt>
                <c:pt idx="17">
                  <c:v>2.3735408560311283E-2</c:v>
                </c:pt>
                <c:pt idx="18">
                  <c:v>2.3694779116465864E-2</c:v>
                </c:pt>
                <c:pt idx="19">
                  <c:v>2.3966942148760328E-2</c:v>
                </c:pt>
                <c:pt idx="20">
                  <c:v>2.3829787234042551E-2</c:v>
                </c:pt>
                <c:pt idx="21">
                  <c:v>2.4122807017543858E-2</c:v>
                </c:pt>
                <c:pt idx="22">
                  <c:v>2.4434389140271493E-2</c:v>
                </c:pt>
                <c:pt idx="23">
                  <c:v>2.4651162790697675E-2</c:v>
                </c:pt>
                <c:pt idx="24">
                  <c:v>2.4401913875598084E-2</c:v>
                </c:pt>
                <c:pt idx="25">
                  <c:v>2.4509803921568627E-2</c:v>
                </c:pt>
                <c:pt idx="26">
                  <c:v>2.4623115577889449E-2</c:v>
                </c:pt>
                <c:pt idx="27">
                  <c:v>2.4742268041237112E-2</c:v>
                </c:pt>
                <c:pt idx="28">
                  <c:v>2.4867724867724868E-2</c:v>
                </c:pt>
                <c:pt idx="29">
                  <c:v>2.4864864864864864E-2</c:v>
                </c:pt>
                <c:pt idx="30">
                  <c:v>2.5414364640883976E-2</c:v>
                </c:pt>
                <c:pt idx="31">
                  <c:v>2.5423728813559324E-2</c:v>
                </c:pt>
                <c:pt idx="32">
                  <c:v>2.5287356321839084E-2</c:v>
                </c:pt>
                <c:pt idx="33">
                  <c:v>2.5294117647058821E-2</c:v>
                </c:pt>
                <c:pt idx="34">
                  <c:v>2.5149700598802397E-2</c:v>
                </c:pt>
                <c:pt idx="35">
                  <c:v>2.5609756097560978E-2</c:v>
                </c:pt>
              </c:numCache>
            </c:numRef>
          </c:val>
          <c:smooth val="0"/>
          <c:extLst>
            <c:ext xmlns:c16="http://schemas.microsoft.com/office/drawing/2014/chart" uri="{C3380CC4-5D6E-409C-BE32-E72D297353CC}">
              <c16:uniqueId val="{00000000-1E34-564E-8686-3841A4CBB340}"/>
            </c:ext>
          </c:extLst>
        </c:ser>
        <c:ser>
          <c:idx val="1"/>
          <c:order val="1"/>
          <c:tx>
            <c:v>Tsiropoulos, 2018 (ProRES scenario)</c:v>
          </c:tx>
          <c:spPr>
            <a:ln w="28575" cmpd="sng">
              <a:solidFill>
                <a:schemeClr val="accent3"/>
              </a:solidFill>
            </a:ln>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PV!$F$5:$F$40</c:f>
              <c:numCache>
                <c:formatCode>0.0%</c:formatCode>
                <c:ptCount val="36"/>
                <c:pt idx="0">
                  <c:v>1.7000000000000001E-2</c:v>
                </c:pt>
                <c:pt idx="5">
                  <c:v>1.7000000000000001E-2</c:v>
                </c:pt>
                <c:pt idx="16">
                  <c:v>1.7000000000000001E-2</c:v>
                </c:pt>
                <c:pt idx="25">
                  <c:v>1.7000000000000001E-2</c:v>
                </c:pt>
                <c:pt idx="35">
                  <c:v>1.7000000000000001E-2</c:v>
                </c:pt>
              </c:numCache>
            </c:numRef>
          </c:val>
          <c:smooth val="0"/>
          <c:extLst>
            <c:ext xmlns:c16="http://schemas.microsoft.com/office/drawing/2014/chart" uri="{C3380CC4-5D6E-409C-BE32-E72D297353CC}">
              <c16:uniqueId val="{00000001-1E34-564E-8686-3841A4CBB340}"/>
            </c:ext>
          </c:extLst>
        </c:ser>
        <c:ser>
          <c:idx val="2"/>
          <c:order val="2"/>
          <c:tx>
            <c:v>Agora, 2019 (reference scenario)</c:v>
          </c:tx>
          <c:spPr>
            <a:ln w="28575" cmpd="sng">
              <a:solidFill>
                <a:schemeClr val="accent4"/>
              </a:solidFill>
            </a:ln>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PV!$G$5:$G$40</c:f>
              <c:numCache>
                <c:formatCode>General</c:formatCode>
                <c:ptCount val="36"/>
                <c:pt idx="5" formatCode="0.0%">
                  <c:v>1.4999999999999999E-2</c:v>
                </c:pt>
                <c:pt idx="16" formatCode="0.0%">
                  <c:v>1.4999999999999999E-2</c:v>
                </c:pt>
                <c:pt idx="35" formatCode="0.0%">
                  <c:v>1.4999999999999999E-2</c:v>
                </c:pt>
              </c:numCache>
            </c:numRef>
          </c:val>
          <c:smooth val="0"/>
          <c:extLst>
            <c:ext xmlns:c16="http://schemas.microsoft.com/office/drawing/2014/chart" uri="{C3380CC4-5D6E-409C-BE32-E72D297353CC}">
              <c16:uniqueId val="{00000002-1E34-564E-8686-3841A4CBB340}"/>
            </c:ext>
          </c:extLst>
        </c:ser>
        <c:dLbls>
          <c:showLegendKey val="0"/>
          <c:showVal val="0"/>
          <c:showCatName val="0"/>
          <c:showSerName val="0"/>
          <c:showPercent val="0"/>
          <c:showBubbleSize val="0"/>
        </c:dLbls>
        <c:smooth val="0"/>
        <c:axId val="2010538557"/>
        <c:axId val="94754935"/>
      </c:lineChart>
      <c:catAx>
        <c:axId val="2010538557"/>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94754935"/>
        <c:crosses val="autoZero"/>
        <c:auto val="1"/>
        <c:lblAlgn val="ctr"/>
        <c:lblOffset val="100"/>
        <c:noMultiLvlLbl val="1"/>
      </c:catAx>
      <c:valAx>
        <c:axId val="94754935"/>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0%" sourceLinked="1"/>
        <c:majorTickMark val="none"/>
        <c:minorTickMark val="none"/>
        <c:tickLblPos val="nextTo"/>
        <c:spPr>
          <a:ln/>
        </c:spPr>
        <c:txPr>
          <a:bodyPr/>
          <a:lstStyle/>
          <a:p>
            <a:pPr lvl="0">
              <a:defRPr sz="1400" b="0" i="0">
                <a:solidFill>
                  <a:srgbClr val="000000"/>
                </a:solidFill>
                <a:latin typeface="+mn-lt"/>
              </a:defRPr>
            </a:pPr>
            <a:endParaRPr lang="en-US"/>
          </a:p>
        </c:txPr>
        <c:crossAx val="2010538557"/>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Utility-Scale PV OPEX in % of CAPEX p.a.:
High / medium / low scenario </a:t>
            </a:r>
          </a:p>
        </c:rich>
      </c:tx>
      <c:overlay val="0"/>
    </c:title>
    <c:autoTitleDeleted val="0"/>
    <c:plotArea>
      <c:layout/>
      <c:lineChart>
        <c:grouping val="standard"/>
        <c:varyColors val="1"/>
        <c:ser>
          <c:idx val="0"/>
          <c:order val="0"/>
          <c:tx>
            <c:v>Vartiainen, 2020</c:v>
          </c:tx>
          <c:spPr>
            <a:ln w="28575" cmpd="sng">
              <a:solidFill>
                <a:schemeClr val="accent1"/>
              </a:solidFill>
            </a:ln>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PV!$E$5:$E$40</c:f>
              <c:numCache>
                <c:formatCode>0.0%</c:formatCode>
                <c:ptCount val="36"/>
                <c:pt idx="4">
                  <c:v>1.9913419913419911E-2</c:v>
                </c:pt>
                <c:pt idx="5">
                  <c:v>2.0417633410672854E-2</c:v>
                </c:pt>
                <c:pt idx="6">
                  <c:v>2.0689655172413793E-2</c:v>
                </c:pt>
                <c:pt idx="7">
                  <c:v>2.1093749999999998E-2</c:v>
                </c:pt>
                <c:pt idx="8">
                  <c:v>2.1369863013698628E-2</c:v>
                </c:pt>
                <c:pt idx="9">
                  <c:v>2.1839080459770115E-2</c:v>
                </c:pt>
                <c:pt idx="10">
                  <c:v>2.2222222222222223E-2</c:v>
                </c:pt>
                <c:pt idx="11">
                  <c:v>2.2257053291536048E-2</c:v>
                </c:pt>
                <c:pt idx="12">
                  <c:v>2.2475570032573292E-2</c:v>
                </c:pt>
                <c:pt idx="13">
                  <c:v>2.2635135135135136E-2</c:v>
                </c:pt>
                <c:pt idx="14">
                  <c:v>2.3157894736842103E-2</c:v>
                </c:pt>
                <c:pt idx="15">
                  <c:v>2.3272727272727275E-2</c:v>
                </c:pt>
                <c:pt idx="16">
                  <c:v>2.3308270676691729E-2</c:v>
                </c:pt>
                <c:pt idx="17">
                  <c:v>2.3735408560311283E-2</c:v>
                </c:pt>
                <c:pt idx="18">
                  <c:v>2.3694779116465864E-2</c:v>
                </c:pt>
                <c:pt idx="19">
                  <c:v>2.3966942148760328E-2</c:v>
                </c:pt>
                <c:pt idx="20">
                  <c:v>2.3829787234042551E-2</c:v>
                </c:pt>
                <c:pt idx="21">
                  <c:v>2.4122807017543858E-2</c:v>
                </c:pt>
                <c:pt idx="22">
                  <c:v>2.4434389140271493E-2</c:v>
                </c:pt>
                <c:pt idx="23">
                  <c:v>2.4651162790697675E-2</c:v>
                </c:pt>
                <c:pt idx="24">
                  <c:v>2.4401913875598084E-2</c:v>
                </c:pt>
                <c:pt idx="25">
                  <c:v>2.4509803921568627E-2</c:v>
                </c:pt>
                <c:pt idx="26">
                  <c:v>2.4623115577889449E-2</c:v>
                </c:pt>
                <c:pt idx="27">
                  <c:v>2.4742268041237112E-2</c:v>
                </c:pt>
                <c:pt idx="28">
                  <c:v>2.4867724867724868E-2</c:v>
                </c:pt>
                <c:pt idx="29">
                  <c:v>2.4864864864864864E-2</c:v>
                </c:pt>
                <c:pt idx="30">
                  <c:v>2.5414364640883976E-2</c:v>
                </c:pt>
                <c:pt idx="31">
                  <c:v>2.5423728813559324E-2</c:v>
                </c:pt>
                <c:pt idx="32">
                  <c:v>2.5287356321839084E-2</c:v>
                </c:pt>
                <c:pt idx="33">
                  <c:v>2.5294117647058821E-2</c:v>
                </c:pt>
                <c:pt idx="34">
                  <c:v>2.5149700598802397E-2</c:v>
                </c:pt>
                <c:pt idx="35">
                  <c:v>2.5609756097560978E-2</c:v>
                </c:pt>
              </c:numCache>
            </c:numRef>
          </c:val>
          <c:smooth val="0"/>
          <c:extLst>
            <c:ext xmlns:c16="http://schemas.microsoft.com/office/drawing/2014/chart" uri="{C3380CC4-5D6E-409C-BE32-E72D297353CC}">
              <c16:uniqueId val="{00000000-4E42-EF41-BF00-B5E34E62DFE6}"/>
            </c:ext>
          </c:extLst>
        </c:ser>
        <c:ser>
          <c:idx val="1"/>
          <c:order val="1"/>
          <c:tx>
            <c:v>Tsiropoulos, 2018 (ProRES scenario)</c:v>
          </c:tx>
          <c:spPr>
            <a:ln w="28575" cmpd="sng">
              <a:solidFill>
                <a:schemeClr val="accent3"/>
              </a:solidFill>
            </a:ln>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PV!$F$5:$F$40</c:f>
              <c:numCache>
                <c:formatCode>0.0%</c:formatCode>
                <c:ptCount val="36"/>
                <c:pt idx="0">
                  <c:v>1.7000000000000001E-2</c:v>
                </c:pt>
                <c:pt idx="5">
                  <c:v>1.7000000000000001E-2</c:v>
                </c:pt>
                <c:pt idx="16">
                  <c:v>1.7000000000000001E-2</c:v>
                </c:pt>
                <c:pt idx="25">
                  <c:v>1.7000000000000001E-2</c:v>
                </c:pt>
                <c:pt idx="35">
                  <c:v>1.7000000000000001E-2</c:v>
                </c:pt>
              </c:numCache>
            </c:numRef>
          </c:val>
          <c:smooth val="0"/>
          <c:extLst>
            <c:ext xmlns:c16="http://schemas.microsoft.com/office/drawing/2014/chart" uri="{C3380CC4-5D6E-409C-BE32-E72D297353CC}">
              <c16:uniqueId val="{00000001-4E42-EF41-BF00-B5E34E62DFE6}"/>
            </c:ext>
          </c:extLst>
        </c:ser>
        <c:ser>
          <c:idx val="2"/>
          <c:order val="2"/>
          <c:tx>
            <c:v>Agora, 2019 (reference scenario)</c:v>
          </c:tx>
          <c:spPr>
            <a:ln w="28575" cmpd="sng">
              <a:solidFill>
                <a:schemeClr val="accent4"/>
              </a:solidFill>
            </a:ln>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PV!$G$5:$G$40</c:f>
              <c:numCache>
                <c:formatCode>General</c:formatCode>
                <c:ptCount val="36"/>
                <c:pt idx="5" formatCode="0.0%">
                  <c:v>1.4999999999999999E-2</c:v>
                </c:pt>
                <c:pt idx="16" formatCode="0.0%">
                  <c:v>1.4999999999999999E-2</c:v>
                </c:pt>
                <c:pt idx="35" formatCode="0.0%">
                  <c:v>1.4999999999999999E-2</c:v>
                </c:pt>
              </c:numCache>
            </c:numRef>
          </c:val>
          <c:smooth val="0"/>
          <c:extLst>
            <c:ext xmlns:c16="http://schemas.microsoft.com/office/drawing/2014/chart" uri="{C3380CC4-5D6E-409C-BE32-E72D297353CC}">
              <c16:uniqueId val="{00000002-4E42-EF41-BF00-B5E34E62DFE6}"/>
            </c:ext>
          </c:extLst>
        </c:ser>
        <c:dLbls>
          <c:showLegendKey val="0"/>
          <c:showVal val="0"/>
          <c:showCatName val="0"/>
          <c:showSerName val="0"/>
          <c:showPercent val="0"/>
          <c:showBubbleSize val="0"/>
        </c:dLbls>
        <c:smooth val="0"/>
        <c:axId val="788299306"/>
        <c:axId val="1142319358"/>
      </c:lineChart>
      <c:catAx>
        <c:axId val="788299306"/>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1142319358"/>
        <c:crosses val="autoZero"/>
        <c:auto val="1"/>
        <c:lblAlgn val="ctr"/>
        <c:lblOffset val="100"/>
        <c:noMultiLvlLbl val="1"/>
      </c:catAx>
      <c:valAx>
        <c:axId val="1142319358"/>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0%" sourceLinked="1"/>
        <c:majorTickMark val="none"/>
        <c:minorTickMark val="none"/>
        <c:tickLblPos val="nextTo"/>
        <c:spPr>
          <a:ln/>
        </c:spPr>
        <c:txPr>
          <a:bodyPr/>
          <a:lstStyle/>
          <a:p>
            <a:pPr lvl="0">
              <a:defRPr sz="1400" b="0" i="0">
                <a:solidFill>
                  <a:srgbClr val="000000"/>
                </a:solidFill>
                <a:latin typeface="+mn-lt"/>
              </a:defRPr>
            </a:pPr>
            <a:endParaRPr lang="en-US"/>
          </a:p>
        </c:txPr>
        <c:crossAx val="788299306"/>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Utility-Scale PV lifetime in years:
High / low scenario </a:t>
            </a:r>
          </a:p>
        </c:rich>
      </c:tx>
      <c:overlay val="0"/>
    </c:title>
    <c:autoTitleDeleted val="0"/>
    <c:plotArea>
      <c:layout/>
      <c:barChart>
        <c:barDir val="col"/>
        <c:grouping val="clustered"/>
        <c:varyColors val="1"/>
        <c:ser>
          <c:idx val="0"/>
          <c:order val="0"/>
          <c:tx>
            <c:v>Vartiainen, 2020</c:v>
          </c:tx>
          <c:spPr>
            <a:solidFill>
              <a:srgbClr val="4472C4"/>
            </a:solidFill>
            <a:ln cmpd="sng">
              <a:solidFill>
                <a:srgbClr val="000000"/>
              </a:solidFill>
            </a:ln>
          </c:spPr>
          <c:invertIfNegative val="1"/>
          <c:cat>
            <c:numRef>
              <c:f>PV!$A$5</c:f>
              <c:numCache>
                <c:formatCode>General</c:formatCode>
                <c:ptCount val="1"/>
                <c:pt idx="0">
                  <c:v>2015</c:v>
                </c:pt>
              </c:numCache>
            </c:numRef>
          </c:cat>
          <c:val>
            <c:numRef>
              <c:f>PV!$H$5</c:f>
              <c:numCache>
                <c:formatCode>0</c:formatCode>
                <c:ptCount val="1"/>
                <c:pt idx="0">
                  <c:v>30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8295-FE4B-B726-4FFBC679E728}"/>
            </c:ext>
          </c:extLst>
        </c:ser>
        <c:ser>
          <c:idx val="1"/>
          <c:order val="1"/>
          <c:tx>
            <c:v>Tsiropoulos, 2018 (ProRES scenario)</c:v>
          </c:tx>
          <c:spPr>
            <a:solidFill>
              <a:srgbClr val="A5A5A5"/>
            </a:solidFill>
            <a:ln cmpd="sng">
              <a:solidFill>
                <a:srgbClr val="000000"/>
              </a:solidFill>
            </a:ln>
          </c:spPr>
          <c:invertIfNegative val="1"/>
          <c:cat>
            <c:numRef>
              <c:f>PV!$A$5</c:f>
              <c:numCache>
                <c:formatCode>General</c:formatCode>
                <c:ptCount val="1"/>
                <c:pt idx="0">
                  <c:v>2015</c:v>
                </c:pt>
              </c:numCache>
            </c:numRef>
          </c:cat>
          <c:val>
            <c:numRef>
              <c:f>PV!$I$5</c:f>
              <c:numCache>
                <c:formatCode>0</c:formatCode>
                <c:ptCount val="1"/>
                <c:pt idx="0">
                  <c:v>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8295-FE4B-B726-4FFBC679E728}"/>
            </c:ext>
          </c:extLst>
        </c:ser>
        <c:ser>
          <c:idx val="2"/>
          <c:order val="2"/>
          <c:tx>
            <c:v>Agora, 2019 (reference scenario)</c:v>
          </c:tx>
          <c:spPr>
            <a:solidFill>
              <a:srgbClr val="FFC000"/>
            </a:solidFill>
            <a:ln cmpd="sng">
              <a:solidFill>
                <a:srgbClr val="000000"/>
              </a:solidFill>
            </a:ln>
          </c:spPr>
          <c:invertIfNegative val="1"/>
          <c:cat>
            <c:numRef>
              <c:f>PV!$A$5</c:f>
              <c:numCache>
                <c:formatCode>General</c:formatCode>
                <c:ptCount val="1"/>
                <c:pt idx="0">
                  <c:v>2015</c:v>
                </c:pt>
              </c:numCache>
            </c:numRef>
          </c:cat>
          <c:val>
            <c:numRef>
              <c:f>PV!$J$5</c:f>
              <c:numCache>
                <c:formatCode>0</c:formatCode>
                <c:ptCount val="1"/>
                <c:pt idx="0">
                  <c:v>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8295-FE4B-B726-4FFBC679E728}"/>
            </c:ext>
          </c:extLst>
        </c:ser>
        <c:dLbls>
          <c:showLegendKey val="0"/>
          <c:showVal val="0"/>
          <c:showCatName val="0"/>
          <c:showSerName val="0"/>
          <c:showPercent val="0"/>
          <c:showBubbleSize val="0"/>
        </c:dLbls>
        <c:gapWidth val="150"/>
        <c:axId val="961923958"/>
        <c:axId val="1571121602"/>
      </c:barChart>
      <c:catAx>
        <c:axId val="961923958"/>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1571121602"/>
        <c:crosses val="autoZero"/>
        <c:auto val="1"/>
        <c:lblAlgn val="ctr"/>
        <c:lblOffset val="100"/>
        <c:noMultiLvlLbl val="1"/>
      </c:catAx>
      <c:valAx>
        <c:axId val="1571121602"/>
        <c:scaling>
          <c:orientation val="minMax"/>
          <c:min val="0"/>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 sourceLinked="1"/>
        <c:majorTickMark val="none"/>
        <c:minorTickMark val="none"/>
        <c:tickLblPos val="nextTo"/>
        <c:spPr>
          <a:ln/>
        </c:spPr>
        <c:txPr>
          <a:bodyPr/>
          <a:lstStyle/>
          <a:p>
            <a:pPr lvl="0">
              <a:defRPr sz="1400" b="0" i="0">
                <a:solidFill>
                  <a:srgbClr val="000000"/>
                </a:solidFill>
                <a:latin typeface="+mn-lt"/>
              </a:defRPr>
            </a:pPr>
            <a:endParaRPr lang="en-US"/>
          </a:p>
        </c:txPr>
        <c:crossAx val="961923958"/>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Li-Ion battery OPEX in % of CAPEX p.a.</a:t>
            </a:r>
          </a:p>
        </c:rich>
      </c:tx>
      <c:overlay val="0"/>
    </c:title>
    <c:autoTitleDeleted val="0"/>
    <c:plotArea>
      <c:layout/>
      <c:lineChart>
        <c:grouping val="standard"/>
        <c:varyColors val="1"/>
        <c:ser>
          <c:idx val="0"/>
          <c:order val="0"/>
          <c:tx>
            <c:v>Vartiainen, 2020</c:v>
          </c:tx>
          <c:spPr>
            <a:ln w="28575" cmpd="sng">
              <a:solidFill>
                <a:schemeClr val="accent1"/>
              </a:solidFill>
            </a:ln>
          </c:spPr>
          <c:marker>
            <c:symbol val="none"/>
          </c:marker>
          <c:cat>
            <c:numRef>
              <c:f>battery!$A$5:$A$40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battery!$I$5:$I$40</c:f>
              <c:numCache>
                <c:formatCode>General</c:formatCode>
                <c:ptCount val="36"/>
                <c:pt idx="4" formatCode="0.000">
                  <c:v>1.4909090909090908E-2</c:v>
                </c:pt>
                <c:pt idx="5" formatCode="0.000">
                  <c:v>1.5537848605577689E-2</c:v>
                </c:pt>
                <c:pt idx="6" formatCode="0.000">
                  <c:v>1.6157205240174673E-2</c:v>
                </c:pt>
                <c:pt idx="7" formatCode="0.000">
                  <c:v>1.7224880382775119E-2</c:v>
                </c:pt>
                <c:pt idx="8" formatCode="0.000">
                  <c:v>1.7708333333333333E-2</c:v>
                </c:pt>
                <c:pt idx="9" formatCode="0.000">
                  <c:v>1.8749999999999999E-2</c:v>
                </c:pt>
                <c:pt idx="10" formatCode="0.000">
                  <c:v>1.9631901840490799E-2</c:v>
                </c:pt>
                <c:pt idx="11" formatCode="0.000">
                  <c:v>1.9867549668874173E-2</c:v>
                </c:pt>
                <c:pt idx="12" formatCode="0.000">
                  <c:v>2.0567375886524821E-2</c:v>
                </c:pt>
                <c:pt idx="13" formatCode="0.000">
                  <c:v>2.1969696969696969E-2</c:v>
                </c:pt>
                <c:pt idx="14" formatCode="0.000">
                  <c:v>2.2580645161290321E-2</c:v>
                </c:pt>
                <c:pt idx="15" formatCode="0.000">
                  <c:v>2.3076923076923078E-2</c:v>
                </c:pt>
                <c:pt idx="16" formatCode="0.000">
                  <c:v>2.3214285714285715E-2</c:v>
                </c:pt>
                <c:pt idx="17" formatCode="0.000">
                  <c:v>2.4528301886792454E-2</c:v>
                </c:pt>
                <c:pt idx="18" formatCode="0.000">
                  <c:v>2.4509803921568627E-2</c:v>
                </c:pt>
                <c:pt idx="19" formatCode="0.000">
                  <c:v>2.5510204081632654E-2</c:v>
                </c:pt>
                <c:pt idx="20" formatCode="0.000">
                  <c:v>2.553191489361702E-2</c:v>
                </c:pt>
                <c:pt idx="21" formatCode="0.000">
                  <c:v>2.6373626373626374E-2</c:v>
                </c:pt>
                <c:pt idx="22" formatCode="0.000">
                  <c:v>2.6136363636363635E-2</c:v>
                </c:pt>
                <c:pt idx="23" formatCode="0.000">
                  <c:v>2.7058823529411764E-2</c:v>
                </c:pt>
                <c:pt idx="24" formatCode="0.000">
                  <c:v>2.8048780487804875E-2</c:v>
                </c:pt>
                <c:pt idx="25" formatCode="0.000">
                  <c:v>2.7500000000000004E-2</c:v>
                </c:pt>
                <c:pt idx="26" formatCode="0.000">
                  <c:v>2.8205128205128209E-2</c:v>
                </c:pt>
                <c:pt idx="27" formatCode="0.000">
                  <c:v>2.8947368421052635E-2</c:v>
                </c:pt>
                <c:pt idx="28" formatCode="0.000">
                  <c:v>2.9729729729729731E-2</c:v>
                </c:pt>
                <c:pt idx="29" formatCode="0.000">
                  <c:v>2.8767123287671233E-2</c:v>
                </c:pt>
                <c:pt idx="30" formatCode="0.000">
                  <c:v>2.9577464788732397E-2</c:v>
                </c:pt>
                <c:pt idx="31" formatCode="0.000">
                  <c:v>3.0000000000000002E-2</c:v>
                </c:pt>
                <c:pt idx="32" formatCode="0.000">
                  <c:v>3.0434782608695653E-2</c:v>
                </c:pt>
                <c:pt idx="33" formatCode="0.000">
                  <c:v>3.1343283582089557E-2</c:v>
                </c:pt>
                <c:pt idx="34" formatCode="0.000">
                  <c:v>3.0303030303030304E-2</c:v>
                </c:pt>
                <c:pt idx="35" formatCode="0.000">
                  <c:v>3.0769230769230771E-2</c:v>
                </c:pt>
              </c:numCache>
            </c:numRef>
          </c:val>
          <c:smooth val="0"/>
          <c:extLst>
            <c:ext xmlns:c16="http://schemas.microsoft.com/office/drawing/2014/chart" uri="{C3380CC4-5D6E-409C-BE32-E72D297353CC}">
              <c16:uniqueId val="{00000000-4EAD-4F40-8220-00FDF5B7ABAB}"/>
            </c:ext>
          </c:extLst>
        </c:ser>
        <c:ser>
          <c:idx val="1"/>
          <c:order val="1"/>
          <c:tx>
            <c:v>Runge, 2020</c:v>
          </c:tx>
          <c:spPr>
            <a:ln w="38100" cmpd="sng">
              <a:solidFill>
                <a:schemeClr val="accent2"/>
              </a:solidFill>
            </a:ln>
          </c:spPr>
          <c:marker>
            <c:symbol val="none"/>
          </c:marker>
          <c:cat>
            <c:numRef>
              <c:f>battery!$A$5:$A$40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battery!$J$5:$J$40</c:f>
              <c:numCache>
                <c:formatCode>General</c:formatCode>
                <c:ptCount val="36"/>
                <c:pt idx="19">
                  <c:v>0.03</c:v>
                </c:pt>
                <c:pt idx="20">
                  <c:v>0.03</c:v>
                </c:pt>
              </c:numCache>
            </c:numRef>
          </c:val>
          <c:smooth val="0"/>
          <c:extLst>
            <c:ext xmlns:c16="http://schemas.microsoft.com/office/drawing/2014/chart" uri="{C3380CC4-5D6E-409C-BE32-E72D297353CC}">
              <c16:uniqueId val="{00000001-4EAD-4F40-8220-00FDF5B7ABAB}"/>
            </c:ext>
          </c:extLst>
        </c:ser>
        <c:ser>
          <c:idx val="2"/>
          <c:order val="2"/>
          <c:tx>
            <c:v>Cole, 2019</c:v>
          </c:tx>
          <c:spPr>
            <a:ln w="38100" cmpd="sng">
              <a:solidFill>
                <a:schemeClr val="accent3"/>
              </a:solidFill>
            </a:ln>
          </c:spPr>
          <c:marker>
            <c:symbol val="none"/>
          </c:marker>
          <c:cat>
            <c:numRef>
              <c:f>battery!$A$5:$A$40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battery!$K$5:$K$40</c:f>
              <c:numCache>
                <c:formatCode>General</c:formatCode>
                <c:ptCount val="36"/>
                <c:pt idx="3" formatCode="0.00">
                  <c:v>3.9473684210526314E-2</c:v>
                </c:pt>
                <c:pt idx="4" formatCode="0.00">
                  <c:v>3.9473684210526314E-2</c:v>
                </c:pt>
              </c:numCache>
            </c:numRef>
          </c:val>
          <c:smooth val="0"/>
          <c:extLst>
            <c:ext xmlns:c16="http://schemas.microsoft.com/office/drawing/2014/chart" uri="{C3380CC4-5D6E-409C-BE32-E72D297353CC}">
              <c16:uniqueId val="{00000002-4EAD-4F40-8220-00FDF5B7ABAB}"/>
            </c:ext>
          </c:extLst>
        </c:ser>
        <c:dLbls>
          <c:showLegendKey val="0"/>
          <c:showVal val="0"/>
          <c:showCatName val="0"/>
          <c:showSerName val="0"/>
          <c:showPercent val="0"/>
          <c:showBubbleSize val="0"/>
        </c:dLbls>
        <c:smooth val="0"/>
        <c:axId val="1564739713"/>
        <c:axId val="1272152216"/>
      </c:lineChart>
      <c:catAx>
        <c:axId val="1564739713"/>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1272152216"/>
        <c:crosses val="autoZero"/>
        <c:auto val="1"/>
        <c:lblAlgn val="ctr"/>
        <c:lblOffset val="100"/>
        <c:noMultiLvlLbl val="1"/>
      </c:catAx>
      <c:valAx>
        <c:axId val="1272152216"/>
        <c:scaling>
          <c:orientation val="minMax"/>
          <c:min val="0"/>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1400" b="0" i="0">
                <a:solidFill>
                  <a:srgbClr val="000000"/>
                </a:solidFill>
                <a:latin typeface="+mn-lt"/>
              </a:defRPr>
            </a:pPr>
            <a:endParaRPr lang="en-US"/>
          </a:p>
        </c:txPr>
        <c:crossAx val="1564739713"/>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Li-Ion battery lifetime in years</a:t>
            </a:r>
          </a:p>
        </c:rich>
      </c:tx>
      <c:overlay val="0"/>
    </c:title>
    <c:autoTitleDeleted val="0"/>
    <c:plotArea>
      <c:layout/>
      <c:barChart>
        <c:barDir val="col"/>
        <c:grouping val="clustered"/>
        <c:varyColors val="1"/>
        <c:ser>
          <c:idx val="0"/>
          <c:order val="0"/>
          <c:tx>
            <c:v>Vartiainen, 2020</c:v>
          </c:tx>
          <c:spPr>
            <a:solidFill>
              <a:srgbClr val="4472C4"/>
            </a:solidFill>
            <a:ln cmpd="sng">
              <a:solidFill>
                <a:srgbClr val="000000"/>
              </a:solidFill>
            </a:ln>
          </c:spPr>
          <c:invertIfNegative val="1"/>
          <c:val>
            <c:numRef>
              <c:f>battery!$L$5</c:f>
              <c:numCache>
                <c:formatCode>General</c:formatCode>
                <c:ptCount val="1"/>
                <c:pt idx="0">
                  <c:v>15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7E35-C64E-9082-57D04839E290}"/>
            </c:ext>
          </c:extLst>
        </c:ser>
        <c:ser>
          <c:idx val="1"/>
          <c:order val="1"/>
          <c:tx>
            <c:v>Runge, 2020</c:v>
          </c:tx>
          <c:spPr>
            <a:solidFill>
              <a:srgbClr val="ED7D31"/>
            </a:solidFill>
            <a:ln cmpd="sng">
              <a:solidFill>
                <a:srgbClr val="000000"/>
              </a:solidFill>
            </a:ln>
          </c:spPr>
          <c:invertIfNegative val="1"/>
          <c:val>
            <c:numRef>
              <c:f>battery!$M$25</c:f>
              <c:numCache>
                <c:formatCode>General</c:formatCode>
                <c:ptCount val="1"/>
                <c:pt idx="0">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7E35-C64E-9082-57D04839E290}"/>
            </c:ext>
          </c:extLst>
        </c:ser>
        <c:ser>
          <c:idx val="2"/>
          <c:order val="2"/>
          <c:tx>
            <c:v>Cole, 2019</c:v>
          </c:tx>
          <c:spPr>
            <a:solidFill>
              <a:srgbClr val="A5A5A5"/>
            </a:solidFill>
            <a:ln cmpd="sng">
              <a:solidFill>
                <a:srgbClr val="000000"/>
              </a:solidFill>
            </a:ln>
          </c:spPr>
          <c:invertIfNegative val="1"/>
          <c:val>
            <c:numRef>
              <c:f>battery!$N$9</c:f>
              <c:numCache>
                <c:formatCode>0</c:formatCode>
                <c:ptCount val="1"/>
                <c:pt idx="0">
                  <c:v>15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7E35-C64E-9082-57D04839E290}"/>
            </c:ext>
          </c:extLst>
        </c:ser>
        <c:dLbls>
          <c:showLegendKey val="0"/>
          <c:showVal val="0"/>
          <c:showCatName val="0"/>
          <c:showSerName val="0"/>
          <c:showPercent val="0"/>
          <c:showBubbleSize val="0"/>
        </c:dLbls>
        <c:gapWidth val="150"/>
        <c:axId val="1148040121"/>
        <c:axId val="660423975"/>
      </c:barChart>
      <c:catAx>
        <c:axId val="1148040121"/>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660423975"/>
        <c:crosses val="autoZero"/>
        <c:auto val="1"/>
        <c:lblAlgn val="ctr"/>
        <c:lblOffset val="100"/>
        <c:noMultiLvlLbl val="1"/>
      </c:catAx>
      <c:valAx>
        <c:axId val="660423975"/>
        <c:scaling>
          <c:orientation val="minMax"/>
          <c:min val="0"/>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1400" b="0" i="0">
                <a:solidFill>
                  <a:srgbClr val="000000"/>
                </a:solidFill>
                <a:latin typeface="+mn-lt"/>
              </a:defRPr>
            </a:pPr>
            <a:endParaRPr lang="en-US"/>
          </a:p>
        </c:txPr>
        <c:crossAx val="1148040121"/>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Li-Ion battery cycle efficiency</a:t>
            </a:r>
          </a:p>
        </c:rich>
      </c:tx>
      <c:overlay val="0"/>
    </c:title>
    <c:autoTitleDeleted val="0"/>
    <c:plotArea>
      <c:layout/>
      <c:barChart>
        <c:barDir val="col"/>
        <c:grouping val="clustered"/>
        <c:varyColors val="1"/>
        <c:ser>
          <c:idx val="0"/>
          <c:order val="0"/>
          <c:tx>
            <c:v>Runge, 2020</c:v>
          </c:tx>
          <c:spPr>
            <a:solidFill>
              <a:srgbClr val="4472C4"/>
            </a:solidFill>
            <a:ln cmpd="sng">
              <a:solidFill>
                <a:srgbClr val="000000"/>
              </a:solidFill>
            </a:ln>
          </c:spPr>
          <c:invertIfNegative val="1"/>
          <c:val>
            <c:numRef>
              <c:f>battery!$O$25</c:f>
              <c:numCache>
                <c:formatCode>General</c:formatCode>
                <c:ptCount val="1"/>
                <c:pt idx="0">
                  <c:v>0.97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DAE2-4F43-90B0-55FB3E159EF4}"/>
            </c:ext>
          </c:extLst>
        </c:ser>
        <c:ser>
          <c:idx val="1"/>
          <c:order val="1"/>
          <c:tx>
            <c:v>Cole, 2019</c:v>
          </c:tx>
          <c:spPr>
            <a:solidFill>
              <a:srgbClr val="ED7D31"/>
            </a:solidFill>
            <a:ln cmpd="sng">
              <a:solidFill>
                <a:srgbClr val="000000"/>
              </a:solidFill>
            </a:ln>
          </c:spPr>
          <c:invertIfNegative val="1"/>
          <c:val>
            <c:numRef>
              <c:f>battery!$P$9</c:f>
              <c:numCache>
                <c:formatCode>General</c:formatCode>
                <c:ptCount val="1"/>
                <c:pt idx="0">
                  <c:v>0.85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DAE2-4F43-90B0-55FB3E159EF4}"/>
            </c:ext>
          </c:extLst>
        </c:ser>
        <c:dLbls>
          <c:showLegendKey val="0"/>
          <c:showVal val="0"/>
          <c:showCatName val="0"/>
          <c:showSerName val="0"/>
          <c:showPercent val="0"/>
          <c:showBubbleSize val="0"/>
        </c:dLbls>
        <c:gapWidth val="150"/>
        <c:axId val="1621766113"/>
        <c:axId val="1796796160"/>
      </c:barChart>
      <c:catAx>
        <c:axId val="1621766113"/>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796796160"/>
        <c:crosses val="autoZero"/>
        <c:auto val="1"/>
        <c:lblAlgn val="ctr"/>
        <c:lblOffset val="100"/>
        <c:noMultiLvlLbl val="1"/>
      </c:catAx>
      <c:valAx>
        <c:axId val="1796796160"/>
        <c:scaling>
          <c:orientation val="minMax"/>
          <c:min val="0"/>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1400" b="0" i="0">
                <a:solidFill>
                  <a:srgbClr val="000000"/>
                </a:solidFill>
                <a:latin typeface="+mn-lt"/>
              </a:defRPr>
            </a:pPr>
            <a:endParaRPr lang="en-US"/>
          </a:p>
        </c:txPr>
        <c:crossAx val="1621766113"/>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on-shore wind CAPEX in EUR/kWp</a:t>
            </a:r>
          </a:p>
        </c:rich>
      </c:tx>
      <c:overlay val="0"/>
    </c:title>
    <c:autoTitleDeleted val="0"/>
    <c:plotArea>
      <c:layout/>
      <c:lineChart>
        <c:grouping val="standard"/>
        <c:varyColors val="1"/>
        <c:ser>
          <c:idx val="0"/>
          <c:order val="0"/>
          <c:tx>
            <c:v>Tsiropoulos, 2018 (ProRES scenario)</c:v>
          </c:tx>
          <c:spPr>
            <a:ln w="28575" cmpd="sng">
              <a:solidFill>
                <a:schemeClr val="accent1"/>
              </a:solidFill>
            </a:ln>
          </c:spPr>
          <c:marker>
            <c:symbol val="none"/>
          </c:marker>
          <c:cat>
            <c:numRef>
              <c:f>'off-shore_wind'!$A$5:$A$40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'off-shore_wind'!$B$5:$B$40</c:f>
              <c:numCache>
                <c:formatCode>General</c:formatCode>
                <c:ptCount val="36"/>
                <c:pt idx="0">
                  <c:v>3600</c:v>
                </c:pt>
                <c:pt idx="5">
                  <c:v>2970</c:v>
                </c:pt>
                <c:pt idx="15">
                  <c:v>2370</c:v>
                </c:pt>
                <c:pt idx="25">
                  <c:v>2220</c:v>
                </c:pt>
                <c:pt idx="35">
                  <c:v>2160</c:v>
                </c:pt>
              </c:numCache>
            </c:numRef>
          </c:val>
          <c:smooth val="0"/>
          <c:extLst>
            <c:ext xmlns:c16="http://schemas.microsoft.com/office/drawing/2014/chart" uri="{C3380CC4-5D6E-409C-BE32-E72D297353CC}">
              <c16:uniqueId val="{00000000-3FFD-3240-9A01-59C0152A9B19}"/>
            </c:ext>
          </c:extLst>
        </c:ser>
        <c:ser>
          <c:idx val="1"/>
          <c:order val="1"/>
          <c:tx>
            <c:v>Agora, 2019 (reference scenario)</c:v>
          </c:tx>
          <c:spPr>
            <a:ln w="28575" cmpd="sng">
              <a:solidFill>
                <a:schemeClr val="accent2"/>
              </a:solidFill>
            </a:ln>
          </c:spPr>
          <c:marker>
            <c:symbol val="none"/>
          </c:marker>
          <c:cat>
            <c:numRef>
              <c:f>'off-shore_wind'!$A$5:$A$40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'off-shore_wind'!$C$5:$C$40</c:f>
              <c:numCache>
                <c:formatCode>General</c:formatCode>
                <c:ptCount val="36"/>
                <c:pt idx="5">
                  <c:v>2800</c:v>
                </c:pt>
                <c:pt idx="15">
                  <c:v>2200</c:v>
                </c:pt>
                <c:pt idx="35">
                  <c:v>1600</c:v>
                </c:pt>
              </c:numCache>
            </c:numRef>
          </c:val>
          <c:smooth val="0"/>
          <c:extLst>
            <c:ext xmlns:c16="http://schemas.microsoft.com/office/drawing/2014/chart" uri="{C3380CC4-5D6E-409C-BE32-E72D297353CC}">
              <c16:uniqueId val="{00000001-3FFD-3240-9A01-59C0152A9B19}"/>
            </c:ext>
          </c:extLst>
        </c:ser>
        <c:dLbls>
          <c:showLegendKey val="0"/>
          <c:showVal val="0"/>
          <c:showCatName val="0"/>
          <c:showSerName val="0"/>
          <c:showPercent val="0"/>
          <c:showBubbleSize val="0"/>
        </c:dLbls>
        <c:smooth val="0"/>
        <c:axId val="1638784984"/>
        <c:axId val="392719562"/>
      </c:lineChart>
      <c:catAx>
        <c:axId val="1638784984"/>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392719562"/>
        <c:crosses val="autoZero"/>
        <c:auto val="1"/>
        <c:lblAlgn val="ctr"/>
        <c:lblOffset val="100"/>
        <c:noMultiLvlLbl val="1"/>
      </c:catAx>
      <c:valAx>
        <c:axId val="39271956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1400" b="0" i="0">
                <a:solidFill>
                  <a:srgbClr val="000000"/>
                </a:solidFill>
                <a:latin typeface="+mn-lt"/>
              </a:defRPr>
            </a:pPr>
            <a:endParaRPr lang="en-US"/>
          </a:p>
        </c:txPr>
        <c:crossAx val="1638784984"/>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Utility-Scale PV OPEX in % of CAPEX p.a.:
High / medium / low scenario </a:t>
            </a:r>
          </a:p>
        </c:rich>
      </c:tx>
      <c:overlay val="0"/>
    </c:title>
    <c:autoTitleDeleted val="0"/>
    <c:plotArea>
      <c:layout/>
      <c:lineChart>
        <c:grouping val="standard"/>
        <c:varyColors val="1"/>
        <c:ser>
          <c:idx val="0"/>
          <c:order val="0"/>
          <c:tx>
            <c:v>Vartiainen, 2020</c:v>
          </c:tx>
          <c:spPr>
            <a:ln w="28575" cmpd="sng">
              <a:solidFill>
                <a:schemeClr val="accent1"/>
              </a:solidFill>
            </a:ln>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PV!$E$5:$E$40</c:f>
              <c:numCache>
                <c:formatCode>0.0%</c:formatCode>
                <c:ptCount val="36"/>
                <c:pt idx="4">
                  <c:v>1.9913419913419911E-2</c:v>
                </c:pt>
                <c:pt idx="5">
                  <c:v>2.0417633410672854E-2</c:v>
                </c:pt>
                <c:pt idx="6">
                  <c:v>2.0689655172413793E-2</c:v>
                </c:pt>
                <c:pt idx="7">
                  <c:v>2.1093749999999998E-2</c:v>
                </c:pt>
                <c:pt idx="8">
                  <c:v>2.1369863013698628E-2</c:v>
                </c:pt>
                <c:pt idx="9">
                  <c:v>2.1839080459770115E-2</c:v>
                </c:pt>
                <c:pt idx="10">
                  <c:v>2.2222222222222223E-2</c:v>
                </c:pt>
                <c:pt idx="11">
                  <c:v>2.2257053291536048E-2</c:v>
                </c:pt>
                <c:pt idx="12">
                  <c:v>2.2475570032573292E-2</c:v>
                </c:pt>
                <c:pt idx="13">
                  <c:v>2.2635135135135136E-2</c:v>
                </c:pt>
                <c:pt idx="14">
                  <c:v>2.3157894736842103E-2</c:v>
                </c:pt>
                <c:pt idx="15">
                  <c:v>2.3272727272727275E-2</c:v>
                </c:pt>
                <c:pt idx="16">
                  <c:v>2.3308270676691729E-2</c:v>
                </c:pt>
                <c:pt idx="17">
                  <c:v>2.3735408560311283E-2</c:v>
                </c:pt>
                <c:pt idx="18">
                  <c:v>2.3694779116465864E-2</c:v>
                </c:pt>
                <c:pt idx="19">
                  <c:v>2.3966942148760328E-2</c:v>
                </c:pt>
                <c:pt idx="20">
                  <c:v>2.3829787234042551E-2</c:v>
                </c:pt>
                <c:pt idx="21">
                  <c:v>2.4122807017543858E-2</c:v>
                </c:pt>
                <c:pt idx="22">
                  <c:v>2.4434389140271493E-2</c:v>
                </c:pt>
                <c:pt idx="23">
                  <c:v>2.4651162790697675E-2</c:v>
                </c:pt>
                <c:pt idx="24">
                  <c:v>2.4401913875598084E-2</c:v>
                </c:pt>
                <c:pt idx="25">
                  <c:v>2.4509803921568627E-2</c:v>
                </c:pt>
                <c:pt idx="26">
                  <c:v>2.4623115577889449E-2</c:v>
                </c:pt>
                <c:pt idx="27">
                  <c:v>2.4742268041237112E-2</c:v>
                </c:pt>
                <c:pt idx="28">
                  <c:v>2.4867724867724868E-2</c:v>
                </c:pt>
                <c:pt idx="29">
                  <c:v>2.4864864864864864E-2</c:v>
                </c:pt>
                <c:pt idx="30">
                  <c:v>2.5414364640883976E-2</c:v>
                </c:pt>
                <c:pt idx="31">
                  <c:v>2.5423728813559324E-2</c:v>
                </c:pt>
                <c:pt idx="32">
                  <c:v>2.5287356321839084E-2</c:v>
                </c:pt>
                <c:pt idx="33">
                  <c:v>2.5294117647058821E-2</c:v>
                </c:pt>
                <c:pt idx="34">
                  <c:v>2.5149700598802397E-2</c:v>
                </c:pt>
                <c:pt idx="35">
                  <c:v>2.5609756097560978E-2</c:v>
                </c:pt>
              </c:numCache>
            </c:numRef>
          </c:val>
          <c:smooth val="0"/>
          <c:extLst>
            <c:ext xmlns:c16="http://schemas.microsoft.com/office/drawing/2014/chart" uri="{C3380CC4-5D6E-409C-BE32-E72D297353CC}">
              <c16:uniqueId val="{00000000-2ECE-E94A-B08A-DE0C240B556E}"/>
            </c:ext>
          </c:extLst>
        </c:ser>
        <c:ser>
          <c:idx val="1"/>
          <c:order val="1"/>
          <c:tx>
            <c:v>Tsiropoulos, 2018 (ProRES scenario)</c:v>
          </c:tx>
          <c:spPr>
            <a:ln w="28575" cmpd="sng">
              <a:solidFill>
                <a:schemeClr val="accent3"/>
              </a:solidFill>
            </a:ln>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PV!$F$5:$F$40</c:f>
              <c:numCache>
                <c:formatCode>0.0%</c:formatCode>
                <c:ptCount val="36"/>
                <c:pt idx="0">
                  <c:v>1.7000000000000001E-2</c:v>
                </c:pt>
                <c:pt idx="5">
                  <c:v>1.7000000000000001E-2</c:v>
                </c:pt>
                <c:pt idx="16">
                  <c:v>1.7000000000000001E-2</c:v>
                </c:pt>
                <c:pt idx="25">
                  <c:v>1.7000000000000001E-2</c:v>
                </c:pt>
                <c:pt idx="35">
                  <c:v>1.7000000000000001E-2</c:v>
                </c:pt>
              </c:numCache>
            </c:numRef>
          </c:val>
          <c:smooth val="0"/>
          <c:extLst>
            <c:ext xmlns:c16="http://schemas.microsoft.com/office/drawing/2014/chart" uri="{C3380CC4-5D6E-409C-BE32-E72D297353CC}">
              <c16:uniqueId val="{00000001-2ECE-E94A-B08A-DE0C240B556E}"/>
            </c:ext>
          </c:extLst>
        </c:ser>
        <c:ser>
          <c:idx val="2"/>
          <c:order val="2"/>
          <c:tx>
            <c:v>Agora, 2019 (reference scenario)</c:v>
          </c:tx>
          <c:spPr>
            <a:ln w="28575" cmpd="sng">
              <a:solidFill>
                <a:schemeClr val="accent4"/>
              </a:solidFill>
            </a:ln>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PV!$G$5:$G$40</c:f>
              <c:numCache>
                <c:formatCode>General</c:formatCode>
                <c:ptCount val="36"/>
                <c:pt idx="5" formatCode="0.0%">
                  <c:v>1.4999999999999999E-2</c:v>
                </c:pt>
                <c:pt idx="16" formatCode="0.0%">
                  <c:v>1.4999999999999999E-2</c:v>
                </c:pt>
                <c:pt idx="35" formatCode="0.0%">
                  <c:v>1.4999999999999999E-2</c:v>
                </c:pt>
              </c:numCache>
            </c:numRef>
          </c:val>
          <c:smooth val="0"/>
          <c:extLst>
            <c:ext xmlns:c16="http://schemas.microsoft.com/office/drawing/2014/chart" uri="{C3380CC4-5D6E-409C-BE32-E72D297353CC}">
              <c16:uniqueId val="{00000002-2ECE-E94A-B08A-DE0C240B556E}"/>
            </c:ext>
          </c:extLst>
        </c:ser>
        <c:dLbls>
          <c:showLegendKey val="0"/>
          <c:showVal val="0"/>
          <c:showCatName val="0"/>
          <c:showSerName val="0"/>
          <c:showPercent val="0"/>
          <c:showBubbleSize val="0"/>
        </c:dLbls>
        <c:smooth val="0"/>
        <c:axId val="1939001460"/>
        <c:axId val="580477057"/>
      </c:lineChart>
      <c:catAx>
        <c:axId val="1939001460"/>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580477057"/>
        <c:crosses val="autoZero"/>
        <c:auto val="1"/>
        <c:lblAlgn val="ctr"/>
        <c:lblOffset val="100"/>
        <c:noMultiLvlLbl val="1"/>
      </c:catAx>
      <c:valAx>
        <c:axId val="580477057"/>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0%" sourceLinked="1"/>
        <c:majorTickMark val="none"/>
        <c:minorTickMark val="none"/>
        <c:tickLblPos val="nextTo"/>
        <c:spPr>
          <a:ln/>
        </c:spPr>
        <c:txPr>
          <a:bodyPr/>
          <a:lstStyle/>
          <a:p>
            <a:pPr lvl="0">
              <a:defRPr sz="1400" b="0" i="0">
                <a:solidFill>
                  <a:srgbClr val="000000"/>
                </a:solidFill>
                <a:latin typeface="+mn-lt"/>
              </a:defRPr>
            </a:pPr>
            <a:endParaRPr lang="en-US"/>
          </a:p>
        </c:txPr>
        <c:crossAx val="1939001460"/>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Utility-Scale PV lifetime in years:
High / low scenario </a:t>
            </a:r>
          </a:p>
        </c:rich>
      </c:tx>
      <c:overlay val="0"/>
    </c:title>
    <c:autoTitleDeleted val="0"/>
    <c:plotArea>
      <c:layout/>
      <c:barChart>
        <c:barDir val="col"/>
        <c:grouping val="clustered"/>
        <c:varyColors val="1"/>
        <c:ser>
          <c:idx val="0"/>
          <c:order val="0"/>
          <c:tx>
            <c:v>Vartiainen, 2020</c:v>
          </c:tx>
          <c:spPr>
            <a:solidFill>
              <a:srgbClr val="4472C4"/>
            </a:solidFill>
            <a:ln cmpd="sng">
              <a:solidFill>
                <a:srgbClr val="000000"/>
              </a:solidFill>
            </a:ln>
          </c:spPr>
          <c:invertIfNegative val="1"/>
          <c:cat>
            <c:numRef>
              <c:f>PV!$A$5</c:f>
              <c:numCache>
                <c:formatCode>General</c:formatCode>
                <c:ptCount val="1"/>
                <c:pt idx="0">
                  <c:v>2015</c:v>
                </c:pt>
              </c:numCache>
            </c:numRef>
          </c:cat>
          <c:val>
            <c:numRef>
              <c:f>PV!$H$5</c:f>
              <c:numCache>
                <c:formatCode>0</c:formatCode>
                <c:ptCount val="1"/>
                <c:pt idx="0">
                  <c:v>30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C27A-A24C-ADD6-8024952DAE3B}"/>
            </c:ext>
          </c:extLst>
        </c:ser>
        <c:ser>
          <c:idx val="1"/>
          <c:order val="1"/>
          <c:tx>
            <c:v>Tsiropoulos, 2018 (ProRES scenario)</c:v>
          </c:tx>
          <c:spPr>
            <a:solidFill>
              <a:srgbClr val="A5A5A5"/>
            </a:solidFill>
            <a:ln cmpd="sng">
              <a:solidFill>
                <a:srgbClr val="000000"/>
              </a:solidFill>
            </a:ln>
          </c:spPr>
          <c:invertIfNegative val="1"/>
          <c:cat>
            <c:numRef>
              <c:f>PV!$A$5</c:f>
              <c:numCache>
                <c:formatCode>General</c:formatCode>
                <c:ptCount val="1"/>
                <c:pt idx="0">
                  <c:v>2015</c:v>
                </c:pt>
              </c:numCache>
            </c:numRef>
          </c:cat>
          <c:val>
            <c:numRef>
              <c:f>PV!$I$5</c:f>
              <c:numCache>
                <c:formatCode>0</c:formatCode>
                <c:ptCount val="1"/>
                <c:pt idx="0">
                  <c:v>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C27A-A24C-ADD6-8024952DAE3B}"/>
            </c:ext>
          </c:extLst>
        </c:ser>
        <c:ser>
          <c:idx val="2"/>
          <c:order val="2"/>
          <c:tx>
            <c:v>Agora, 2019 (reference scenario)</c:v>
          </c:tx>
          <c:spPr>
            <a:solidFill>
              <a:srgbClr val="FFC000"/>
            </a:solidFill>
            <a:ln cmpd="sng">
              <a:solidFill>
                <a:srgbClr val="000000"/>
              </a:solidFill>
            </a:ln>
          </c:spPr>
          <c:invertIfNegative val="1"/>
          <c:cat>
            <c:numRef>
              <c:f>PV!$A$5</c:f>
              <c:numCache>
                <c:formatCode>General</c:formatCode>
                <c:ptCount val="1"/>
                <c:pt idx="0">
                  <c:v>2015</c:v>
                </c:pt>
              </c:numCache>
            </c:numRef>
          </c:cat>
          <c:val>
            <c:numRef>
              <c:f>PV!$J$5</c:f>
              <c:numCache>
                <c:formatCode>0</c:formatCode>
                <c:ptCount val="1"/>
                <c:pt idx="0">
                  <c:v>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C27A-A24C-ADD6-8024952DAE3B}"/>
            </c:ext>
          </c:extLst>
        </c:ser>
        <c:dLbls>
          <c:showLegendKey val="0"/>
          <c:showVal val="0"/>
          <c:showCatName val="0"/>
          <c:showSerName val="0"/>
          <c:showPercent val="0"/>
          <c:showBubbleSize val="0"/>
        </c:dLbls>
        <c:gapWidth val="150"/>
        <c:axId val="67449698"/>
        <c:axId val="43005242"/>
      </c:barChart>
      <c:catAx>
        <c:axId val="67449698"/>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43005242"/>
        <c:crosses val="autoZero"/>
        <c:auto val="1"/>
        <c:lblAlgn val="ctr"/>
        <c:lblOffset val="100"/>
        <c:noMultiLvlLbl val="1"/>
      </c:catAx>
      <c:valAx>
        <c:axId val="43005242"/>
        <c:scaling>
          <c:orientation val="minMax"/>
          <c:min val="0"/>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 sourceLinked="1"/>
        <c:majorTickMark val="none"/>
        <c:minorTickMark val="none"/>
        <c:tickLblPos val="nextTo"/>
        <c:spPr>
          <a:ln/>
        </c:spPr>
        <c:txPr>
          <a:bodyPr/>
          <a:lstStyle/>
          <a:p>
            <a:pPr lvl="0">
              <a:defRPr sz="1400" b="0" i="0">
                <a:solidFill>
                  <a:srgbClr val="000000"/>
                </a:solidFill>
                <a:latin typeface="+mn-lt"/>
              </a:defRPr>
            </a:pPr>
            <a:endParaRPr lang="en-US"/>
          </a:p>
        </c:txPr>
        <c:crossAx val="67449698"/>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on-shore wind OPEX in % of CAPEX p.a.:
High / medium / low scenario </a:t>
            </a:r>
          </a:p>
        </c:rich>
      </c:tx>
      <c:overlay val="0"/>
    </c:title>
    <c:autoTitleDeleted val="0"/>
    <c:plotArea>
      <c:layout/>
      <c:lineChart>
        <c:grouping val="standard"/>
        <c:varyColors val="1"/>
        <c:ser>
          <c:idx val="0"/>
          <c:order val="0"/>
          <c:tx>
            <c:v>Tsiropoulos, 2018 (ProRES scenario)</c:v>
          </c:tx>
          <c:spPr>
            <a:ln w="28575" cmpd="sng">
              <a:solidFill>
                <a:schemeClr val="accent1"/>
              </a:solidFill>
            </a:ln>
          </c:spPr>
          <c:marker>
            <c:symbol val="none"/>
          </c:marker>
          <c:cat>
            <c:numRef>
              <c:f>'off-shore_wind'!$A$5:$A$40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'off-shore_wind'!$D$5:$D$40</c:f>
              <c:numCache>
                <c:formatCode>0.0%</c:formatCode>
                <c:ptCount val="36"/>
                <c:pt idx="0">
                  <c:v>0.02</c:v>
                </c:pt>
                <c:pt idx="5">
                  <c:v>0.02</c:v>
                </c:pt>
                <c:pt idx="15">
                  <c:v>0.02</c:v>
                </c:pt>
                <c:pt idx="25">
                  <c:v>0.02</c:v>
                </c:pt>
                <c:pt idx="35">
                  <c:v>0.02</c:v>
                </c:pt>
              </c:numCache>
            </c:numRef>
          </c:val>
          <c:smooth val="0"/>
          <c:extLst>
            <c:ext xmlns:c16="http://schemas.microsoft.com/office/drawing/2014/chart" uri="{C3380CC4-5D6E-409C-BE32-E72D297353CC}">
              <c16:uniqueId val="{00000000-66E3-4747-8750-2639BE795A88}"/>
            </c:ext>
          </c:extLst>
        </c:ser>
        <c:ser>
          <c:idx val="1"/>
          <c:order val="1"/>
          <c:tx>
            <c:v>Agora, 2019 (reference scenario)</c:v>
          </c:tx>
          <c:spPr>
            <a:ln w="28575" cmpd="sng">
              <a:solidFill>
                <a:schemeClr val="accent2"/>
              </a:solidFill>
            </a:ln>
          </c:spPr>
          <c:marker>
            <c:symbol val="none"/>
          </c:marker>
          <c:cat>
            <c:numRef>
              <c:f>'off-shore_wind'!$A$5:$A$40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'off-shore_wind'!$E$5:$E$40</c:f>
              <c:numCache>
                <c:formatCode>0.0%</c:formatCode>
                <c:ptCount val="36"/>
                <c:pt idx="5">
                  <c:v>3.2000000000000001E-2</c:v>
                </c:pt>
                <c:pt idx="15">
                  <c:v>3.2000000000000001E-2</c:v>
                </c:pt>
                <c:pt idx="35">
                  <c:v>3.2000000000000001E-2</c:v>
                </c:pt>
              </c:numCache>
            </c:numRef>
          </c:val>
          <c:smooth val="0"/>
          <c:extLst>
            <c:ext xmlns:c16="http://schemas.microsoft.com/office/drawing/2014/chart" uri="{C3380CC4-5D6E-409C-BE32-E72D297353CC}">
              <c16:uniqueId val="{00000001-66E3-4747-8750-2639BE795A88}"/>
            </c:ext>
          </c:extLst>
        </c:ser>
        <c:dLbls>
          <c:showLegendKey val="0"/>
          <c:showVal val="0"/>
          <c:showCatName val="0"/>
          <c:showSerName val="0"/>
          <c:showPercent val="0"/>
          <c:showBubbleSize val="0"/>
        </c:dLbls>
        <c:smooth val="0"/>
        <c:axId val="1199975246"/>
        <c:axId val="119503395"/>
      </c:lineChart>
      <c:catAx>
        <c:axId val="1199975246"/>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119503395"/>
        <c:crosses val="autoZero"/>
        <c:auto val="1"/>
        <c:lblAlgn val="ctr"/>
        <c:lblOffset val="100"/>
        <c:noMultiLvlLbl val="1"/>
      </c:catAx>
      <c:valAx>
        <c:axId val="119503395"/>
        <c:scaling>
          <c:orientation val="minMax"/>
          <c:min val="0"/>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0%" sourceLinked="1"/>
        <c:majorTickMark val="none"/>
        <c:minorTickMark val="none"/>
        <c:tickLblPos val="nextTo"/>
        <c:spPr>
          <a:ln/>
        </c:spPr>
        <c:txPr>
          <a:bodyPr/>
          <a:lstStyle/>
          <a:p>
            <a:pPr lvl="0">
              <a:defRPr sz="1400" b="0" i="0">
                <a:solidFill>
                  <a:srgbClr val="000000"/>
                </a:solidFill>
                <a:latin typeface="+mn-lt"/>
              </a:defRPr>
            </a:pPr>
            <a:endParaRPr lang="en-US"/>
          </a:p>
        </c:txPr>
        <c:crossAx val="1199975246"/>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Utility-Scale PV lifetime in years:
High / low scenario </a:t>
            </a:r>
          </a:p>
        </c:rich>
      </c:tx>
      <c:overlay val="0"/>
    </c:title>
    <c:autoTitleDeleted val="0"/>
    <c:plotArea>
      <c:layout/>
      <c:barChart>
        <c:barDir val="col"/>
        <c:grouping val="clustered"/>
        <c:varyColors val="1"/>
        <c:ser>
          <c:idx val="0"/>
          <c:order val="0"/>
          <c:tx>
            <c:v>Tsiropoulos, 2018 (ProRES scenario)</c:v>
          </c:tx>
          <c:spPr>
            <a:solidFill>
              <a:srgbClr val="4472C4"/>
            </a:solidFill>
            <a:ln cmpd="sng">
              <a:solidFill>
                <a:srgbClr val="000000"/>
              </a:solidFill>
            </a:ln>
          </c:spPr>
          <c:invertIfNegative val="1"/>
          <c:val>
            <c:numRef>
              <c:f>'off-shore_wind'!$F$5</c:f>
              <c:numCache>
                <c:formatCode>0</c:formatCode>
                <c:ptCount val="1"/>
                <c:pt idx="0">
                  <c:v>30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6AED-1944-87EB-675922391228}"/>
            </c:ext>
          </c:extLst>
        </c:ser>
        <c:ser>
          <c:idx val="1"/>
          <c:order val="1"/>
          <c:tx>
            <c:v>Agora, 2019 (reference scenario)</c:v>
          </c:tx>
          <c:spPr>
            <a:solidFill>
              <a:srgbClr val="ED7D31"/>
            </a:solidFill>
            <a:ln cmpd="sng">
              <a:solidFill>
                <a:srgbClr val="000000"/>
              </a:solidFill>
            </a:ln>
          </c:spPr>
          <c:invertIfNegative val="1"/>
          <c:val>
            <c:numRef>
              <c:f>'off-shore_wind'!$G$5</c:f>
              <c:numCache>
                <c:formatCode>0</c:formatCode>
                <c:ptCount val="1"/>
                <c:pt idx="0">
                  <c:v>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6AED-1944-87EB-675922391228}"/>
            </c:ext>
          </c:extLst>
        </c:ser>
        <c:dLbls>
          <c:showLegendKey val="0"/>
          <c:showVal val="0"/>
          <c:showCatName val="0"/>
          <c:showSerName val="0"/>
          <c:showPercent val="0"/>
          <c:showBubbleSize val="0"/>
        </c:dLbls>
        <c:gapWidth val="150"/>
        <c:axId val="978476724"/>
        <c:axId val="1300571356"/>
      </c:barChart>
      <c:catAx>
        <c:axId val="978476724"/>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300571356"/>
        <c:crosses val="autoZero"/>
        <c:auto val="1"/>
        <c:lblAlgn val="ctr"/>
        <c:lblOffset val="100"/>
        <c:noMultiLvlLbl val="1"/>
      </c:catAx>
      <c:valAx>
        <c:axId val="1300571356"/>
        <c:scaling>
          <c:orientation val="minMax"/>
          <c:min val="0"/>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 sourceLinked="1"/>
        <c:majorTickMark val="none"/>
        <c:minorTickMark val="none"/>
        <c:tickLblPos val="nextTo"/>
        <c:spPr>
          <a:ln/>
        </c:spPr>
        <c:txPr>
          <a:bodyPr/>
          <a:lstStyle/>
          <a:p>
            <a:pPr lvl="0">
              <a:defRPr sz="1400" b="0" i="0">
                <a:solidFill>
                  <a:srgbClr val="000000"/>
                </a:solidFill>
                <a:latin typeface="+mn-lt"/>
              </a:defRPr>
            </a:pPr>
            <a:endParaRPr lang="en-US"/>
          </a:p>
        </c:txPr>
        <c:crossAx val="978476724"/>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Utility-Scale PV lifetime in years:
High / low scenario </a:t>
            </a:r>
          </a:p>
        </c:rich>
      </c:tx>
      <c:overlay val="0"/>
    </c:title>
    <c:autoTitleDeleted val="0"/>
    <c:plotArea>
      <c:layout/>
      <c:barChart>
        <c:barDir val="col"/>
        <c:grouping val="clustered"/>
        <c:varyColors val="1"/>
        <c:ser>
          <c:idx val="0"/>
          <c:order val="0"/>
          <c:tx>
            <c:v>Vartiainen, 2020</c:v>
          </c:tx>
          <c:spPr>
            <a:solidFill>
              <a:srgbClr val="4472C4"/>
            </a:solidFill>
            <a:ln cmpd="sng">
              <a:solidFill>
                <a:srgbClr val="000000"/>
              </a:solidFill>
            </a:ln>
          </c:spPr>
          <c:invertIfNegative val="1"/>
          <c:cat>
            <c:numRef>
              <c:f>PV!$A$5</c:f>
              <c:numCache>
                <c:formatCode>General</c:formatCode>
                <c:ptCount val="1"/>
                <c:pt idx="0">
                  <c:v>2015</c:v>
                </c:pt>
              </c:numCache>
            </c:numRef>
          </c:cat>
          <c:val>
            <c:numRef>
              <c:f>PV!$H$5</c:f>
              <c:numCache>
                <c:formatCode>0</c:formatCode>
                <c:ptCount val="1"/>
                <c:pt idx="0">
                  <c:v>30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7449-884E-B5C8-E1BAAADC22CA}"/>
            </c:ext>
          </c:extLst>
        </c:ser>
        <c:ser>
          <c:idx val="1"/>
          <c:order val="1"/>
          <c:tx>
            <c:v>Tsiropoulos, 2018 (ProRES scenario)</c:v>
          </c:tx>
          <c:spPr>
            <a:solidFill>
              <a:srgbClr val="A5A5A5"/>
            </a:solidFill>
            <a:ln cmpd="sng">
              <a:solidFill>
                <a:srgbClr val="000000"/>
              </a:solidFill>
            </a:ln>
          </c:spPr>
          <c:invertIfNegative val="1"/>
          <c:cat>
            <c:numRef>
              <c:f>PV!$A$5</c:f>
              <c:numCache>
                <c:formatCode>General</c:formatCode>
                <c:ptCount val="1"/>
                <c:pt idx="0">
                  <c:v>2015</c:v>
                </c:pt>
              </c:numCache>
            </c:numRef>
          </c:cat>
          <c:val>
            <c:numRef>
              <c:f>PV!$I$5</c:f>
              <c:numCache>
                <c:formatCode>0</c:formatCode>
                <c:ptCount val="1"/>
                <c:pt idx="0">
                  <c:v>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7449-884E-B5C8-E1BAAADC22CA}"/>
            </c:ext>
          </c:extLst>
        </c:ser>
        <c:ser>
          <c:idx val="2"/>
          <c:order val="2"/>
          <c:tx>
            <c:v>Agora, 2019 (reference scenario)</c:v>
          </c:tx>
          <c:spPr>
            <a:solidFill>
              <a:srgbClr val="FFC000"/>
            </a:solidFill>
            <a:ln cmpd="sng">
              <a:solidFill>
                <a:srgbClr val="000000"/>
              </a:solidFill>
            </a:ln>
          </c:spPr>
          <c:invertIfNegative val="1"/>
          <c:cat>
            <c:numRef>
              <c:f>PV!$A$5</c:f>
              <c:numCache>
                <c:formatCode>General</c:formatCode>
                <c:ptCount val="1"/>
                <c:pt idx="0">
                  <c:v>2015</c:v>
                </c:pt>
              </c:numCache>
            </c:numRef>
          </c:cat>
          <c:val>
            <c:numRef>
              <c:f>PV!$J$5</c:f>
              <c:numCache>
                <c:formatCode>0</c:formatCode>
                <c:ptCount val="1"/>
                <c:pt idx="0">
                  <c:v>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7449-884E-B5C8-E1BAAADC22CA}"/>
            </c:ext>
          </c:extLst>
        </c:ser>
        <c:dLbls>
          <c:showLegendKey val="0"/>
          <c:showVal val="0"/>
          <c:showCatName val="0"/>
          <c:showSerName val="0"/>
          <c:showPercent val="0"/>
          <c:showBubbleSize val="0"/>
        </c:dLbls>
        <c:gapWidth val="150"/>
        <c:axId val="722357397"/>
        <c:axId val="1269608248"/>
      </c:barChart>
      <c:catAx>
        <c:axId val="722357397"/>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1269608248"/>
        <c:crosses val="autoZero"/>
        <c:auto val="1"/>
        <c:lblAlgn val="ctr"/>
        <c:lblOffset val="100"/>
        <c:noMultiLvlLbl val="1"/>
      </c:catAx>
      <c:valAx>
        <c:axId val="1269608248"/>
        <c:scaling>
          <c:orientation val="minMax"/>
          <c:min val="0"/>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 sourceLinked="1"/>
        <c:majorTickMark val="none"/>
        <c:minorTickMark val="none"/>
        <c:tickLblPos val="nextTo"/>
        <c:spPr>
          <a:ln/>
        </c:spPr>
        <c:txPr>
          <a:bodyPr/>
          <a:lstStyle/>
          <a:p>
            <a:pPr lvl="0">
              <a:defRPr sz="1400" b="0" i="0">
                <a:solidFill>
                  <a:srgbClr val="000000"/>
                </a:solidFill>
                <a:latin typeface="+mn-lt"/>
              </a:defRPr>
            </a:pPr>
            <a:endParaRPr lang="en-US"/>
          </a:p>
        </c:txPr>
        <c:crossAx val="722357397"/>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CSP CAPEX in EUR/kWp</a:t>
            </a:r>
          </a:p>
        </c:rich>
      </c:tx>
      <c:overlay val="0"/>
    </c:title>
    <c:autoTitleDeleted val="0"/>
    <c:plotArea>
      <c:layout/>
      <c:lineChart>
        <c:grouping val="standard"/>
        <c:varyColors val="0"/>
        <c:ser>
          <c:idx val="0"/>
          <c:order val="0"/>
          <c:tx>
            <c:v>Tsiropoulos, 2018 (ProRES scenario)</c:v>
          </c:tx>
          <c:spPr>
            <a:ln w="28575" cmpd="sng">
              <a:solidFill>
                <a:schemeClr val="accent1"/>
              </a:solidFill>
            </a:ln>
          </c:spPr>
          <c:marker>
            <c:symbol val="none"/>
          </c:marker>
          <c:cat>
            <c:numRef>
              <c:f>CSP!$A$5:$A$40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CSP!$B$5:$B$40</c:f>
              <c:numCache>
                <c:formatCode>General</c:formatCode>
                <c:ptCount val="36"/>
                <c:pt idx="0">
                  <c:v>5280</c:v>
                </c:pt>
                <c:pt idx="5">
                  <c:v>4330</c:v>
                </c:pt>
                <c:pt idx="15">
                  <c:v>3310</c:v>
                </c:pt>
                <c:pt idx="25">
                  <c:v>3010</c:v>
                </c:pt>
                <c:pt idx="35">
                  <c:v>2880</c:v>
                </c:pt>
              </c:numCache>
            </c:numRef>
          </c:val>
          <c:smooth val="0"/>
          <c:extLst>
            <c:ext xmlns:c16="http://schemas.microsoft.com/office/drawing/2014/chart" uri="{C3380CC4-5D6E-409C-BE32-E72D297353CC}">
              <c16:uniqueId val="{00000000-EB40-3F4E-985B-86E5A009E7AC}"/>
            </c:ext>
          </c:extLst>
        </c:ser>
        <c:dLbls>
          <c:showLegendKey val="0"/>
          <c:showVal val="0"/>
          <c:showCatName val="0"/>
          <c:showSerName val="0"/>
          <c:showPercent val="0"/>
          <c:showBubbleSize val="0"/>
        </c:dLbls>
        <c:smooth val="0"/>
        <c:axId val="2059161678"/>
        <c:axId val="77032668"/>
      </c:lineChart>
      <c:catAx>
        <c:axId val="2059161678"/>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77032668"/>
        <c:crosses val="autoZero"/>
        <c:auto val="1"/>
        <c:lblAlgn val="ctr"/>
        <c:lblOffset val="100"/>
        <c:noMultiLvlLbl val="1"/>
      </c:catAx>
      <c:valAx>
        <c:axId val="77032668"/>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1400" b="0" i="0">
                <a:solidFill>
                  <a:srgbClr val="000000"/>
                </a:solidFill>
                <a:latin typeface="+mn-lt"/>
              </a:defRPr>
            </a:pPr>
            <a:endParaRPr lang="en-US"/>
          </a:p>
        </c:txPr>
        <c:crossAx val="2059161678"/>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Utility-Scale PV OPEX in % of CAPEX p.a.:
High / medium / low scenario </a:t>
            </a:r>
          </a:p>
        </c:rich>
      </c:tx>
      <c:overlay val="0"/>
    </c:title>
    <c:autoTitleDeleted val="0"/>
    <c:plotArea>
      <c:layout/>
      <c:lineChart>
        <c:grouping val="standard"/>
        <c:varyColors val="1"/>
        <c:ser>
          <c:idx val="0"/>
          <c:order val="0"/>
          <c:tx>
            <c:v>Vartiainen, 2020</c:v>
          </c:tx>
          <c:spPr>
            <a:ln w="28575" cmpd="sng">
              <a:solidFill>
                <a:schemeClr val="accent1"/>
              </a:solidFill>
            </a:ln>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PV!$E$5:$E$40</c:f>
              <c:numCache>
                <c:formatCode>0.0%</c:formatCode>
                <c:ptCount val="36"/>
                <c:pt idx="4">
                  <c:v>1.9913419913419911E-2</c:v>
                </c:pt>
                <c:pt idx="5">
                  <c:v>2.0417633410672854E-2</c:v>
                </c:pt>
                <c:pt idx="6">
                  <c:v>2.0689655172413793E-2</c:v>
                </c:pt>
                <c:pt idx="7">
                  <c:v>2.1093749999999998E-2</c:v>
                </c:pt>
                <c:pt idx="8">
                  <c:v>2.1369863013698628E-2</c:v>
                </c:pt>
                <c:pt idx="9">
                  <c:v>2.1839080459770115E-2</c:v>
                </c:pt>
                <c:pt idx="10">
                  <c:v>2.2222222222222223E-2</c:v>
                </c:pt>
                <c:pt idx="11">
                  <c:v>2.2257053291536048E-2</c:v>
                </c:pt>
                <c:pt idx="12">
                  <c:v>2.2475570032573292E-2</c:v>
                </c:pt>
                <c:pt idx="13">
                  <c:v>2.2635135135135136E-2</c:v>
                </c:pt>
                <c:pt idx="14">
                  <c:v>2.3157894736842103E-2</c:v>
                </c:pt>
                <c:pt idx="15">
                  <c:v>2.3272727272727275E-2</c:v>
                </c:pt>
                <c:pt idx="16">
                  <c:v>2.3308270676691729E-2</c:v>
                </c:pt>
                <c:pt idx="17">
                  <c:v>2.3735408560311283E-2</c:v>
                </c:pt>
                <c:pt idx="18">
                  <c:v>2.3694779116465864E-2</c:v>
                </c:pt>
                <c:pt idx="19">
                  <c:v>2.3966942148760328E-2</c:v>
                </c:pt>
                <c:pt idx="20">
                  <c:v>2.3829787234042551E-2</c:v>
                </c:pt>
                <c:pt idx="21">
                  <c:v>2.4122807017543858E-2</c:v>
                </c:pt>
                <c:pt idx="22">
                  <c:v>2.4434389140271493E-2</c:v>
                </c:pt>
                <c:pt idx="23">
                  <c:v>2.4651162790697675E-2</c:v>
                </c:pt>
                <c:pt idx="24">
                  <c:v>2.4401913875598084E-2</c:v>
                </c:pt>
                <c:pt idx="25">
                  <c:v>2.4509803921568627E-2</c:v>
                </c:pt>
                <c:pt idx="26">
                  <c:v>2.4623115577889449E-2</c:v>
                </c:pt>
                <c:pt idx="27">
                  <c:v>2.4742268041237112E-2</c:v>
                </c:pt>
                <c:pt idx="28">
                  <c:v>2.4867724867724868E-2</c:v>
                </c:pt>
                <c:pt idx="29">
                  <c:v>2.4864864864864864E-2</c:v>
                </c:pt>
                <c:pt idx="30">
                  <c:v>2.5414364640883976E-2</c:v>
                </c:pt>
                <c:pt idx="31">
                  <c:v>2.5423728813559324E-2</c:v>
                </c:pt>
                <c:pt idx="32">
                  <c:v>2.5287356321839084E-2</c:v>
                </c:pt>
                <c:pt idx="33">
                  <c:v>2.5294117647058821E-2</c:v>
                </c:pt>
                <c:pt idx="34">
                  <c:v>2.5149700598802397E-2</c:v>
                </c:pt>
                <c:pt idx="35">
                  <c:v>2.5609756097560978E-2</c:v>
                </c:pt>
              </c:numCache>
            </c:numRef>
          </c:val>
          <c:smooth val="0"/>
          <c:extLst>
            <c:ext xmlns:c16="http://schemas.microsoft.com/office/drawing/2014/chart" uri="{C3380CC4-5D6E-409C-BE32-E72D297353CC}">
              <c16:uniqueId val="{00000000-4193-E948-B778-CF9B20E38945}"/>
            </c:ext>
          </c:extLst>
        </c:ser>
        <c:ser>
          <c:idx val="1"/>
          <c:order val="1"/>
          <c:tx>
            <c:v>Tsiropoulos, 2018 (ProRES scenario)</c:v>
          </c:tx>
          <c:spPr>
            <a:ln w="28575" cmpd="sng">
              <a:solidFill>
                <a:schemeClr val="accent3"/>
              </a:solidFill>
            </a:ln>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PV!$F$5:$F$40</c:f>
              <c:numCache>
                <c:formatCode>0.0%</c:formatCode>
                <c:ptCount val="36"/>
                <c:pt idx="0">
                  <c:v>1.7000000000000001E-2</c:v>
                </c:pt>
                <c:pt idx="5">
                  <c:v>1.7000000000000001E-2</c:v>
                </c:pt>
                <c:pt idx="16">
                  <c:v>1.7000000000000001E-2</c:v>
                </c:pt>
                <c:pt idx="25">
                  <c:v>1.7000000000000001E-2</c:v>
                </c:pt>
                <c:pt idx="35">
                  <c:v>1.7000000000000001E-2</c:v>
                </c:pt>
              </c:numCache>
            </c:numRef>
          </c:val>
          <c:smooth val="0"/>
          <c:extLst>
            <c:ext xmlns:c16="http://schemas.microsoft.com/office/drawing/2014/chart" uri="{C3380CC4-5D6E-409C-BE32-E72D297353CC}">
              <c16:uniqueId val="{00000001-4193-E948-B778-CF9B20E38945}"/>
            </c:ext>
          </c:extLst>
        </c:ser>
        <c:ser>
          <c:idx val="2"/>
          <c:order val="2"/>
          <c:tx>
            <c:v>Agora, 2019 (reference scenario)</c:v>
          </c:tx>
          <c:spPr>
            <a:ln w="28575" cmpd="sng">
              <a:solidFill>
                <a:schemeClr val="accent4"/>
              </a:solidFill>
            </a:ln>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PV!$G$5:$G$40</c:f>
              <c:numCache>
                <c:formatCode>General</c:formatCode>
                <c:ptCount val="36"/>
                <c:pt idx="5" formatCode="0.0%">
                  <c:v>1.4999999999999999E-2</c:v>
                </c:pt>
                <c:pt idx="16" formatCode="0.0%">
                  <c:v>1.4999999999999999E-2</c:v>
                </c:pt>
                <c:pt idx="35" formatCode="0.0%">
                  <c:v>1.4999999999999999E-2</c:v>
                </c:pt>
              </c:numCache>
            </c:numRef>
          </c:val>
          <c:smooth val="0"/>
          <c:extLst>
            <c:ext xmlns:c16="http://schemas.microsoft.com/office/drawing/2014/chart" uri="{C3380CC4-5D6E-409C-BE32-E72D297353CC}">
              <c16:uniqueId val="{00000002-4193-E948-B778-CF9B20E38945}"/>
            </c:ext>
          </c:extLst>
        </c:ser>
        <c:dLbls>
          <c:showLegendKey val="0"/>
          <c:showVal val="0"/>
          <c:showCatName val="0"/>
          <c:showSerName val="0"/>
          <c:showPercent val="0"/>
          <c:showBubbleSize val="0"/>
        </c:dLbls>
        <c:smooth val="0"/>
        <c:axId val="2011481953"/>
        <c:axId val="736458799"/>
      </c:lineChart>
      <c:catAx>
        <c:axId val="2011481953"/>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736458799"/>
        <c:crosses val="autoZero"/>
        <c:auto val="1"/>
        <c:lblAlgn val="ctr"/>
        <c:lblOffset val="100"/>
        <c:noMultiLvlLbl val="1"/>
      </c:catAx>
      <c:valAx>
        <c:axId val="736458799"/>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0%" sourceLinked="1"/>
        <c:majorTickMark val="none"/>
        <c:minorTickMark val="none"/>
        <c:tickLblPos val="nextTo"/>
        <c:spPr>
          <a:ln/>
        </c:spPr>
        <c:txPr>
          <a:bodyPr/>
          <a:lstStyle/>
          <a:p>
            <a:pPr lvl="0">
              <a:defRPr sz="1400" b="0" i="0">
                <a:solidFill>
                  <a:srgbClr val="000000"/>
                </a:solidFill>
                <a:latin typeface="+mn-lt"/>
              </a:defRPr>
            </a:pPr>
            <a:endParaRPr lang="en-US"/>
          </a:p>
        </c:txPr>
        <c:crossAx val="2011481953"/>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Utility-Scale PV lifetime in years:
High / low scenario </a:t>
            </a:r>
          </a:p>
        </c:rich>
      </c:tx>
      <c:overlay val="0"/>
    </c:title>
    <c:autoTitleDeleted val="0"/>
    <c:plotArea>
      <c:layout/>
      <c:barChart>
        <c:barDir val="col"/>
        <c:grouping val="clustered"/>
        <c:varyColors val="1"/>
        <c:ser>
          <c:idx val="0"/>
          <c:order val="0"/>
          <c:tx>
            <c:v>Vartiainen, 2020</c:v>
          </c:tx>
          <c:spPr>
            <a:solidFill>
              <a:srgbClr val="4472C4"/>
            </a:solidFill>
            <a:ln cmpd="sng">
              <a:solidFill>
                <a:srgbClr val="000000"/>
              </a:solidFill>
            </a:ln>
          </c:spPr>
          <c:invertIfNegative val="1"/>
          <c:cat>
            <c:numRef>
              <c:f>PV!$A$5</c:f>
              <c:numCache>
                <c:formatCode>General</c:formatCode>
                <c:ptCount val="1"/>
                <c:pt idx="0">
                  <c:v>2015</c:v>
                </c:pt>
              </c:numCache>
            </c:numRef>
          </c:cat>
          <c:val>
            <c:numRef>
              <c:f>PV!$H$5</c:f>
              <c:numCache>
                <c:formatCode>0</c:formatCode>
                <c:ptCount val="1"/>
                <c:pt idx="0">
                  <c:v>30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42BA-7647-BC35-67FB35BA6E8B}"/>
            </c:ext>
          </c:extLst>
        </c:ser>
        <c:ser>
          <c:idx val="1"/>
          <c:order val="1"/>
          <c:tx>
            <c:v>Tsiropoulos, 2018 (ProRES scenario)</c:v>
          </c:tx>
          <c:spPr>
            <a:solidFill>
              <a:srgbClr val="A5A5A5"/>
            </a:solidFill>
            <a:ln cmpd="sng">
              <a:solidFill>
                <a:srgbClr val="000000"/>
              </a:solidFill>
            </a:ln>
          </c:spPr>
          <c:invertIfNegative val="1"/>
          <c:cat>
            <c:numRef>
              <c:f>PV!$A$5</c:f>
              <c:numCache>
                <c:formatCode>General</c:formatCode>
                <c:ptCount val="1"/>
                <c:pt idx="0">
                  <c:v>2015</c:v>
                </c:pt>
              </c:numCache>
            </c:numRef>
          </c:cat>
          <c:val>
            <c:numRef>
              <c:f>PV!$I$5</c:f>
              <c:numCache>
                <c:formatCode>0</c:formatCode>
                <c:ptCount val="1"/>
                <c:pt idx="0">
                  <c:v>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42BA-7647-BC35-67FB35BA6E8B}"/>
            </c:ext>
          </c:extLst>
        </c:ser>
        <c:ser>
          <c:idx val="2"/>
          <c:order val="2"/>
          <c:tx>
            <c:v>Agora, 2019 (reference scenario)</c:v>
          </c:tx>
          <c:spPr>
            <a:solidFill>
              <a:srgbClr val="FFC000"/>
            </a:solidFill>
            <a:ln cmpd="sng">
              <a:solidFill>
                <a:srgbClr val="000000"/>
              </a:solidFill>
            </a:ln>
          </c:spPr>
          <c:invertIfNegative val="1"/>
          <c:cat>
            <c:numRef>
              <c:f>PV!$A$5</c:f>
              <c:numCache>
                <c:formatCode>General</c:formatCode>
                <c:ptCount val="1"/>
                <c:pt idx="0">
                  <c:v>2015</c:v>
                </c:pt>
              </c:numCache>
            </c:numRef>
          </c:cat>
          <c:val>
            <c:numRef>
              <c:f>PV!$J$5</c:f>
              <c:numCache>
                <c:formatCode>0</c:formatCode>
                <c:ptCount val="1"/>
                <c:pt idx="0">
                  <c:v>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42BA-7647-BC35-67FB35BA6E8B}"/>
            </c:ext>
          </c:extLst>
        </c:ser>
        <c:dLbls>
          <c:showLegendKey val="0"/>
          <c:showVal val="0"/>
          <c:showCatName val="0"/>
          <c:showSerName val="0"/>
          <c:showPercent val="0"/>
          <c:showBubbleSize val="0"/>
        </c:dLbls>
        <c:gapWidth val="150"/>
        <c:axId val="2104158852"/>
        <c:axId val="1710994290"/>
      </c:barChart>
      <c:catAx>
        <c:axId val="2104158852"/>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1710994290"/>
        <c:crosses val="autoZero"/>
        <c:auto val="1"/>
        <c:lblAlgn val="ctr"/>
        <c:lblOffset val="100"/>
        <c:noMultiLvlLbl val="1"/>
      </c:catAx>
      <c:valAx>
        <c:axId val="1710994290"/>
        <c:scaling>
          <c:orientation val="minMax"/>
          <c:min val="0"/>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 sourceLinked="1"/>
        <c:majorTickMark val="none"/>
        <c:minorTickMark val="none"/>
        <c:tickLblPos val="nextTo"/>
        <c:spPr>
          <a:ln/>
        </c:spPr>
        <c:txPr>
          <a:bodyPr/>
          <a:lstStyle/>
          <a:p>
            <a:pPr lvl="0">
              <a:defRPr sz="1400" b="0" i="0">
                <a:solidFill>
                  <a:srgbClr val="000000"/>
                </a:solidFill>
                <a:latin typeface="+mn-lt"/>
              </a:defRPr>
            </a:pPr>
            <a:endParaRPr lang="en-US"/>
          </a:p>
        </c:txPr>
        <c:crossAx val="2104158852"/>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CSP OPEX in % of CAPEX p.a.</a:t>
            </a:r>
          </a:p>
        </c:rich>
      </c:tx>
      <c:overlay val="0"/>
    </c:title>
    <c:autoTitleDeleted val="0"/>
    <c:plotArea>
      <c:layout/>
      <c:lineChart>
        <c:grouping val="standard"/>
        <c:varyColors val="0"/>
        <c:ser>
          <c:idx val="0"/>
          <c:order val="0"/>
          <c:tx>
            <c:v>Tsiropoulos, 2018 (ProRES scenario)</c:v>
          </c:tx>
          <c:spPr>
            <a:ln w="28575" cmpd="sng">
              <a:solidFill>
                <a:schemeClr val="accent1"/>
              </a:solidFill>
            </a:ln>
          </c:spPr>
          <c:marker>
            <c:symbol val="none"/>
          </c:marker>
          <c:cat>
            <c:numRef>
              <c:f>CSP!$A$5:$A$40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CSP!$C$5:$C$40</c:f>
              <c:numCache>
                <c:formatCode>0.0%</c:formatCode>
                <c:ptCount val="36"/>
                <c:pt idx="0">
                  <c:v>1.7000000000000001E-2</c:v>
                </c:pt>
                <c:pt idx="5">
                  <c:v>1.7000000000000001E-2</c:v>
                </c:pt>
                <c:pt idx="15">
                  <c:v>1.7000000000000001E-2</c:v>
                </c:pt>
                <c:pt idx="25">
                  <c:v>1.7000000000000001E-2</c:v>
                </c:pt>
                <c:pt idx="35">
                  <c:v>1.7000000000000001E-2</c:v>
                </c:pt>
              </c:numCache>
            </c:numRef>
          </c:val>
          <c:smooth val="0"/>
          <c:extLst>
            <c:ext xmlns:c16="http://schemas.microsoft.com/office/drawing/2014/chart" uri="{C3380CC4-5D6E-409C-BE32-E72D297353CC}">
              <c16:uniqueId val="{00000000-B9AC-7447-90BB-A2174E40B939}"/>
            </c:ext>
          </c:extLst>
        </c:ser>
        <c:dLbls>
          <c:showLegendKey val="0"/>
          <c:showVal val="0"/>
          <c:showCatName val="0"/>
          <c:showSerName val="0"/>
          <c:showPercent val="0"/>
          <c:showBubbleSize val="0"/>
        </c:dLbls>
        <c:smooth val="0"/>
        <c:axId val="128988272"/>
        <c:axId val="186797233"/>
      </c:lineChart>
      <c:catAx>
        <c:axId val="128988272"/>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186797233"/>
        <c:crosses val="autoZero"/>
        <c:auto val="1"/>
        <c:lblAlgn val="ctr"/>
        <c:lblOffset val="100"/>
        <c:noMultiLvlLbl val="1"/>
      </c:catAx>
      <c:valAx>
        <c:axId val="186797233"/>
        <c:scaling>
          <c:orientation val="minMax"/>
          <c:min val="0"/>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0%" sourceLinked="1"/>
        <c:majorTickMark val="none"/>
        <c:minorTickMark val="none"/>
        <c:tickLblPos val="nextTo"/>
        <c:spPr>
          <a:ln/>
        </c:spPr>
        <c:txPr>
          <a:bodyPr/>
          <a:lstStyle/>
          <a:p>
            <a:pPr lvl="0">
              <a:defRPr sz="1400" b="0" i="0">
                <a:solidFill>
                  <a:srgbClr val="000000"/>
                </a:solidFill>
                <a:latin typeface="+mn-lt"/>
              </a:defRPr>
            </a:pPr>
            <a:endParaRPr lang="en-US"/>
          </a:p>
        </c:txPr>
        <c:crossAx val="128988272"/>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CSP lifetime in years</a:t>
            </a:r>
          </a:p>
        </c:rich>
      </c:tx>
      <c:overlay val="0"/>
    </c:title>
    <c:autoTitleDeleted val="0"/>
    <c:plotArea>
      <c:layout/>
      <c:barChart>
        <c:barDir val="col"/>
        <c:grouping val="clustered"/>
        <c:varyColors val="1"/>
        <c:ser>
          <c:idx val="0"/>
          <c:order val="0"/>
          <c:tx>
            <c:v>Tsiropoulos, 2018 (ProRES scenario)</c:v>
          </c:tx>
          <c:spPr>
            <a:solidFill>
              <a:srgbClr val="4472C4"/>
            </a:solidFill>
            <a:ln cmpd="sng">
              <a:solidFill>
                <a:srgbClr val="000000"/>
              </a:solidFill>
            </a:ln>
          </c:spPr>
          <c:invertIfNegative val="1"/>
          <c:val>
            <c:numRef>
              <c:f>CSP!$D$5</c:f>
              <c:numCache>
                <c:formatCode>0</c:formatCode>
                <c:ptCount val="1"/>
                <c:pt idx="0">
                  <c:v>30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B9E-9F49-9F6D-643F799FD96F}"/>
            </c:ext>
          </c:extLst>
        </c:ser>
        <c:dLbls>
          <c:showLegendKey val="0"/>
          <c:showVal val="0"/>
          <c:showCatName val="0"/>
          <c:showSerName val="0"/>
          <c:showPercent val="0"/>
          <c:showBubbleSize val="0"/>
        </c:dLbls>
        <c:gapWidth val="150"/>
        <c:axId val="73656638"/>
        <c:axId val="1423952996"/>
      </c:barChart>
      <c:catAx>
        <c:axId val="73656638"/>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423952996"/>
        <c:crosses val="autoZero"/>
        <c:auto val="1"/>
        <c:lblAlgn val="ctr"/>
        <c:lblOffset val="100"/>
        <c:noMultiLvlLbl val="1"/>
      </c:catAx>
      <c:valAx>
        <c:axId val="1423952996"/>
        <c:scaling>
          <c:orientation val="minMax"/>
          <c:min val="0"/>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 sourceLinked="1"/>
        <c:majorTickMark val="none"/>
        <c:minorTickMark val="none"/>
        <c:tickLblPos val="nextTo"/>
        <c:spPr>
          <a:ln/>
        </c:spPr>
        <c:txPr>
          <a:bodyPr/>
          <a:lstStyle/>
          <a:p>
            <a:pPr lvl="0">
              <a:defRPr sz="1400" b="0" i="0">
                <a:solidFill>
                  <a:srgbClr val="000000"/>
                </a:solidFill>
                <a:latin typeface="+mn-lt"/>
              </a:defRPr>
            </a:pPr>
            <a:endParaRPr lang="en-US"/>
          </a:p>
        </c:txPr>
        <c:crossAx val="73656638"/>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Electrolyser CAPEX in EUR/kW_el</a:t>
            </a:r>
          </a:p>
        </c:rich>
      </c:tx>
      <c:overlay val="0"/>
    </c:title>
    <c:autoTitleDeleted val="0"/>
    <c:plotArea>
      <c:layout/>
      <c:lineChart>
        <c:grouping val="standard"/>
        <c:varyColors val="1"/>
        <c:ser>
          <c:idx val="0"/>
          <c:order val="0"/>
          <c:tx>
            <c:v>Agora, 2019 (reference scenario)</c:v>
          </c:tx>
          <c:spPr>
            <a:ln w="28575" cmpd="sng">
              <a:solidFill>
                <a:schemeClr val="accent1"/>
              </a:solidFill>
            </a:ln>
          </c:spPr>
          <c:marker>
            <c:symbol val="none"/>
          </c:marker>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electrolyser!$B$5:$B$40</c:f>
              <c:numCache>
                <c:formatCode>General</c:formatCode>
                <c:ptCount val="36"/>
                <c:pt idx="5">
                  <c:v>737</c:v>
                </c:pt>
                <c:pt idx="15">
                  <c:v>625</c:v>
                </c:pt>
                <c:pt idx="35">
                  <c:v>500</c:v>
                </c:pt>
              </c:numCache>
            </c:numRef>
          </c:val>
          <c:smooth val="0"/>
          <c:extLst>
            <c:ext xmlns:c16="http://schemas.microsoft.com/office/drawing/2014/chart" uri="{C3380CC4-5D6E-409C-BE32-E72D297353CC}">
              <c16:uniqueId val="{00000000-3323-894F-86E7-B9211E90EFA8}"/>
            </c:ext>
          </c:extLst>
        </c:ser>
        <c:ser>
          <c:idx val="1"/>
          <c:order val="1"/>
          <c:tx>
            <c:v>IEA, 2019</c:v>
          </c:tx>
          <c:spPr>
            <a:ln w="28575" cmpd="sng">
              <a:solidFill>
                <a:schemeClr val="accent2"/>
              </a:solidFill>
            </a:ln>
          </c:spPr>
          <c:marker>
            <c:symbol val="none"/>
          </c:marker>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electrolyser!$C$5:$C$40</c:f>
              <c:numCache>
                <c:formatCode>General</c:formatCode>
                <c:ptCount val="36"/>
                <c:pt idx="5">
                  <c:v>810</c:v>
                </c:pt>
                <c:pt idx="15">
                  <c:v>630</c:v>
                </c:pt>
                <c:pt idx="35">
                  <c:v>405</c:v>
                </c:pt>
              </c:numCache>
            </c:numRef>
          </c:val>
          <c:smooth val="0"/>
          <c:extLst>
            <c:ext xmlns:c16="http://schemas.microsoft.com/office/drawing/2014/chart" uri="{C3380CC4-5D6E-409C-BE32-E72D297353CC}">
              <c16:uniqueId val="{00000001-3323-894F-86E7-B9211E90EFA8}"/>
            </c:ext>
          </c:extLst>
        </c:ser>
        <c:ser>
          <c:idx val="2"/>
          <c:order val="2"/>
          <c:tx>
            <c:v>Matute, 2019</c:v>
          </c:tx>
          <c:spPr>
            <a:ln w="28575" cmpd="sng">
              <a:solidFill>
                <a:schemeClr val="accent3"/>
              </a:solidFill>
            </a:ln>
          </c:spPr>
          <c:marker>
            <c:symbol val="none"/>
          </c:marker>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electrolyser!$D$5:$D$40</c:f>
              <c:numCache>
                <c:formatCode>General</c:formatCode>
                <c:ptCount val="36"/>
                <c:pt idx="2">
                  <c:v>1300</c:v>
                </c:pt>
                <c:pt idx="10">
                  <c:v>900</c:v>
                </c:pt>
              </c:numCache>
            </c:numRef>
          </c:val>
          <c:smooth val="0"/>
          <c:extLst>
            <c:ext xmlns:c16="http://schemas.microsoft.com/office/drawing/2014/chart" uri="{C3380CC4-5D6E-409C-BE32-E72D297353CC}">
              <c16:uniqueId val="{00000002-3323-894F-86E7-B9211E90EFA8}"/>
            </c:ext>
          </c:extLst>
        </c:ser>
        <c:ser>
          <c:idx val="3"/>
          <c:order val="3"/>
          <c:tx>
            <c:v>Böhm, 2020</c:v>
          </c:tx>
          <c:spPr>
            <a:ln w="28575" cmpd="sng">
              <a:solidFill>
                <a:schemeClr val="accent4"/>
              </a:solidFill>
            </a:ln>
          </c:spPr>
          <c:marker>
            <c:symbol val="none"/>
          </c:marker>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electrolyser!$E$5:$E$40</c:f>
              <c:numCache>
                <c:formatCode>General</c:formatCode>
                <c:ptCount val="36"/>
                <c:pt idx="5">
                  <c:v>1188</c:v>
                </c:pt>
                <c:pt idx="15">
                  <c:v>701</c:v>
                </c:pt>
                <c:pt idx="35">
                  <c:v>308</c:v>
                </c:pt>
              </c:numCache>
            </c:numRef>
          </c:val>
          <c:smooth val="0"/>
          <c:extLst>
            <c:ext xmlns:c16="http://schemas.microsoft.com/office/drawing/2014/chart" uri="{C3380CC4-5D6E-409C-BE32-E72D297353CC}">
              <c16:uniqueId val="{00000003-3323-894F-86E7-B9211E90EFA8}"/>
            </c:ext>
          </c:extLst>
        </c:ser>
        <c:ser>
          <c:idx val="4"/>
          <c:order val="4"/>
          <c:tx>
            <c:v>Buttler, 2018</c:v>
          </c:tx>
          <c:spPr>
            <a:ln w="28575" cmpd="sng">
              <a:solidFill>
                <a:schemeClr val="accent6"/>
              </a:solidFill>
            </a:ln>
          </c:spPr>
          <c:marker>
            <c:symbol val="none"/>
          </c:marker>
          <c:dPt>
            <c:idx val="3"/>
            <c:bubble3D val="0"/>
            <c:extLst>
              <c:ext xmlns:c16="http://schemas.microsoft.com/office/drawing/2014/chart" uri="{C3380CC4-5D6E-409C-BE32-E72D297353CC}">
                <c16:uniqueId val="{00000004-3323-894F-86E7-B9211E90EFA8}"/>
              </c:ext>
            </c:extLst>
          </c:dPt>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electrolyser!$I$5:$I$40</c:f>
              <c:numCache>
                <c:formatCode>General</c:formatCode>
                <c:ptCount val="36"/>
                <c:pt idx="2">
                  <c:v>1400</c:v>
                </c:pt>
                <c:pt idx="3">
                  <c:v>1400</c:v>
                </c:pt>
              </c:numCache>
            </c:numRef>
          </c:val>
          <c:smooth val="0"/>
          <c:extLst>
            <c:ext xmlns:c16="http://schemas.microsoft.com/office/drawing/2014/chart" uri="{C3380CC4-5D6E-409C-BE32-E72D297353CC}">
              <c16:uniqueId val="{00000005-3323-894F-86E7-B9211E90EFA8}"/>
            </c:ext>
          </c:extLst>
        </c:ser>
        <c:ser>
          <c:idx val="5"/>
          <c:order val="5"/>
          <c:tx>
            <c:v>Gorre, 2019</c:v>
          </c:tx>
          <c:spPr>
            <a:ln w="28575" cmpd="sng">
              <a:solidFill>
                <a:srgbClr val="7030A0">
                  <a:alpha val="100000"/>
                </a:srgbClr>
              </a:solidFill>
            </a:ln>
          </c:spPr>
          <c:marker>
            <c:symbol val="none"/>
          </c:marker>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electrolyser!$F$5:$F$40</c:f>
              <c:numCache>
                <c:formatCode>General</c:formatCode>
                <c:ptCount val="36"/>
                <c:pt idx="2">
                  <c:v>1180</c:v>
                </c:pt>
                <c:pt idx="15">
                  <c:v>470</c:v>
                </c:pt>
                <c:pt idx="35">
                  <c:v>245</c:v>
                </c:pt>
              </c:numCache>
            </c:numRef>
          </c:val>
          <c:smooth val="0"/>
          <c:extLst>
            <c:ext xmlns:c16="http://schemas.microsoft.com/office/drawing/2014/chart" uri="{C3380CC4-5D6E-409C-BE32-E72D297353CC}">
              <c16:uniqueId val="{00000006-3323-894F-86E7-B9211E90EFA8}"/>
            </c:ext>
          </c:extLst>
        </c:ser>
        <c:ser>
          <c:idx val="6"/>
          <c:order val="6"/>
          <c:tx>
            <c:v>Michalski, 2017</c:v>
          </c:tx>
          <c:spPr>
            <a:ln w="28575" cmpd="sng">
              <a:solidFill>
                <a:schemeClr val="accent1"/>
              </a:solidFill>
            </a:ln>
          </c:spPr>
          <c:marker>
            <c:symbol val="none"/>
          </c:marker>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electrolyser!$G$5:$G$40</c:f>
              <c:numCache>
                <c:formatCode>General</c:formatCode>
                <c:ptCount val="36"/>
                <c:pt idx="10">
                  <c:v>932</c:v>
                </c:pt>
                <c:pt idx="35">
                  <c:v>334</c:v>
                </c:pt>
              </c:numCache>
            </c:numRef>
          </c:val>
          <c:smooth val="0"/>
          <c:extLst>
            <c:ext xmlns:c16="http://schemas.microsoft.com/office/drawing/2014/chart" uri="{C3380CC4-5D6E-409C-BE32-E72D297353CC}">
              <c16:uniqueId val="{00000007-3323-894F-86E7-B9211E90EFA8}"/>
            </c:ext>
          </c:extLst>
        </c:ser>
        <c:ser>
          <c:idx val="7"/>
          <c:order val="7"/>
          <c:tx>
            <c:v>Brynolf, 2018</c:v>
          </c:tx>
          <c:spPr>
            <a:ln w="28575" cmpd="sng">
              <a:solidFill>
                <a:schemeClr val="accent2"/>
              </a:solidFill>
            </a:ln>
          </c:spPr>
          <c:marker>
            <c:symbol val="none"/>
          </c:marker>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electrolyser!$H$5:$H$40</c:f>
              <c:numCache>
                <c:formatCode>General</c:formatCode>
                <c:ptCount val="36"/>
                <c:pt idx="3">
                  <c:v>1900</c:v>
                </c:pt>
                <c:pt idx="15">
                  <c:v>300</c:v>
                </c:pt>
              </c:numCache>
            </c:numRef>
          </c:val>
          <c:smooth val="0"/>
          <c:extLst>
            <c:ext xmlns:c16="http://schemas.microsoft.com/office/drawing/2014/chart" uri="{C3380CC4-5D6E-409C-BE32-E72D297353CC}">
              <c16:uniqueId val="{00000008-3323-894F-86E7-B9211E90EFA8}"/>
            </c:ext>
          </c:extLst>
        </c:ser>
        <c:dLbls>
          <c:showLegendKey val="0"/>
          <c:showVal val="0"/>
          <c:showCatName val="0"/>
          <c:showSerName val="0"/>
          <c:showPercent val="0"/>
          <c:showBubbleSize val="0"/>
        </c:dLbls>
        <c:smooth val="0"/>
        <c:axId val="1794368372"/>
        <c:axId val="1797972100"/>
      </c:lineChart>
      <c:catAx>
        <c:axId val="1794368372"/>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1797972100"/>
        <c:crosses val="autoZero"/>
        <c:auto val="1"/>
        <c:lblAlgn val="ctr"/>
        <c:lblOffset val="100"/>
        <c:noMultiLvlLbl val="1"/>
      </c:catAx>
      <c:valAx>
        <c:axId val="179797210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1400" b="0" i="0">
                <a:solidFill>
                  <a:srgbClr val="000000"/>
                </a:solidFill>
                <a:latin typeface="+mn-lt"/>
              </a:defRPr>
            </a:pPr>
            <a:endParaRPr lang="en-US"/>
          </a:p>
        </c:txPr>
        <c:crossAx val="1794368372"/>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Utility-Scale PV OPEX in % of CAPEX p.a.:
High / medium / low scenario </a:t>
            </a:r>
          </a:p>
        </c:rich>
      </c:tx>
      <c:overlay val="0"/>
    </c:title>
    <c:autoTitleDeleted val="0"/>
    <c:plotArea>
      <c:layout/>
      <c:lineChart>
        <c:grouping val="standard"/>
        <c:varyColors val="1"/>
        <c:ser>
          <c:idx val="0"/>
          <c:order val="0"/>
          <c:tx>
            <c:v>Vartiainen, 2020</c:v>
          </c:tx>
          <c:spPr>
            <a:ln w="28575" cmpd="sng">
              <a:solidFill>
                <a:schemeClr val="accent1"/>
              </a:solidFill>
            </a:ln>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PV!$E$5:$E$40</c:f>
              <c:numCache>
                <c:formatCode>0.0%</c:formatCode>
                <c:ptCount val="36"/>
                <c:pt idx="4">
                  <c:v>1.9913419913419911E-2</c:v>
                </c:pt>
                <c:pt idx="5">
                  <c:v>2.0417633410672854E-2</c:v>
                </c:pt>
                <c:pt idx="6">
                  <c:v>2.0689655172413793E-2</c:v>
                </c:pt>
                <c:pt idx="7">
                  <c:v>2.1093749999999998E-2</c:v>
                </c:pt>
                <c:pt idx="8">
                  <c:v>2.1369863013698628E-2</c:v>
                </c:pt>
                <c:pt idx="9">
                  <c:v>2.1839080459770115E-2</c:v>
                </c:pt>
                <c:pt idx="10">
                  <c:v>2.2222222222222223E-2</c:v>
                </c:pt>
                <c:pt idx="11">
                  <c:v>2.2257053291536048E-2</c:v>
                </c:pt>
                <c:pt idx="12">
                  <c:v>2.2475570032573292E-2</c:v>
                </c:pt>
                <c:pt idx="13">
                  <c:v>2.2635135135135136E-2</c:v>
                </c:pt>
                <c:pt idx="14">
                  <c:v>2.3157894736842103E-2</c:v>
                </c:pt>
                <c:pt idx="15">
                  <c:v>2.3272727272727275E-2</c:v>
                </c:pt>
                <c:pt idx="16">
                  <c:v>2.3308270676691729E-2</c:v>
                </c:pt>
                <c:pt idx="17">
                  <c:v>2.3735408560311283E-2</c:v>
                </c:pt>
                <c:pt idx="18">
                  <c:v>2.3694779116465864E-2</c:v>
                </c:pt>
                <c:pt idx="19">
                  <c:v>2.3966942148760328E-2</c:v>
                </c:pt>
                <c:pt idx="20">
                  <c:v>2.3829787234042551E-2</c:v>
                </c:pt>
                <c:pt idx="21">
                  <c:v>2.4122807017543858E-2</c:v>
                </c:pt>
                <c:pt idx="22">
                  <c:v>2.4434389140271493E-2</c:v>
                </c:pt>
                <c:pt idx="23">
                  <c:v>2.4651162790697675E-2</c:v>
                </c:pt>
                <c:pt idx="24">
                  <c:v>2.4401913875598084E-2</c:v>
                </c:pt>
                <c:pt idx="25">
                  <c:v>2.4509803921568627E-2</c:v>
                </c:pt>
                <c:pt idx="26">
                  <c:v>2.4623115577889449E-2</c:v>
                </c:pt>
                <c:pt idx="27">
                  <c:v>2.4742268041237112E-2</c:v>
                </c:pt>
                <c:pt idx="28">
                  <c:v>2.4867724867724868E-2</c:v>
                </c:pt>
                <c:pt idx="29">
                  <c:v>2.4864864864864864E-2</c:v>
                </c:pt>
                <c:pt idx="30">
                  <c:v>2.5414364640883976E-2</c:v>
                </c:pt>
                <c:pt idx="31">
                  <c:v>2.5423728813559324E-2</c:v>
                </c:pt>
                <c:pt idx="32">
                  <c:v>2.5287356321839084E-2</c:v>
                </c:pt>
                <c:pt idx="33">
                  <c:v>2.5294117647058821E-2</c:v>
                </c:pt>
                <c:pt idx="34">
                  <c:v>2.5149700598802397E-2</c:v>
                </c:pt>
                <c:pt idx="35">
                  <c:v>2.5609756097560978E-2</c:v>
                </c:pt>
              </c:numCache>
            </c:numRef>
          </c:val>
          <c:smooth val="0"/>
          <c:extLst>
            <c:ext xmlns:c16="http://schemas.microsoft.com/office/drawing/2014/chart" uri="{C3380CC4-5D6E-409C-BE32-E72D297353CC}">
              <c16:uniqueId val="{00000000-4A6B-044F-92DA-15823249E1D5}"/>
            </c:ext>
          </c:extLst>
        </c:ser>
        <c:ser>
          <c:idx val="1"/>
          <c:order val="1"/>
          <c:tx>
            <c:v>Tsiropoulos, 2018 (ProRES scenario)</c:v>
          </c:tx>
          <c:spPr>
            <a:ln w="28575" cmpd="sng">
              <a:solidFill>
                <a:schemeClr val="accent3"/>
              </a:solidFill>
            </a:ln>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PV!$F$5:$F$40</c:f>
              <c:numCache>
                <c:formatCode>0.0%</c:formatCode>
                <c:ptCount val="36"/>
                <c:pt idx="0">
                  <c:v>1.7000000000000001E-2</c:v>
                </c:pt>
                <c:pt idx="5">
                  <c:v>1.7000000000000001E-2</c:v>
                </c:pt>
                <c:pt idx="16">
                  <c:v>1.7000000000000001E-2</c:v>
                </c:pt>
                <c:pt idx="25">
                  <c:v>1.7000000000000001E-2</c:v>
                </c:pt>
                <c:pt idx="35">
                  <c:v>1.7000000000000001E-2</c:v>
                </c:pt>
              </c:numCache>
            </c:numRef>
          </c:val>
          <c:smooth val="0"/>
          <c:extLst>
            <c:ext xmlns:c16="http://schemas.microsoft.com/office/drawing/2014/chart" uri="{C3380CC4-5D6E-409C-BE32-E72D297353CC}">
              <c16:uniqueId val="{00000001-4A6B-044F-92DA-15823249E1D5}"/>
            </c:ext>
          </c:extLst>
        </c:ser>
        <c:ser>
          <c:idx val="2"/>
          <c:order val="2"/>
          <c:tx>
            <c:v>Agora, 2019 (reference scenario)</c:v>
          </c:tx>
          <c:spPr>
            <a:ln w="28575" cmpd="sng">
              <a:solidFill>
                <a:schemeClr val="accent4"/>
              </a:solidFill>
            </a:ln>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PV!$G$5:$G$40</c:f>
              <c:numCache>
                <c:formatCode>General</c:formatCode>
                <c:ptCount val="36"/>
                <c:pt idx="5" formatCode="0.0%">
                  <c:v>1.4999999999999999E-2</c:v>
                </c:pt>
                <c:pt idx="16" formatCode="0.0%">
                  <c:v>1.4999999999999999E-2</c:v>
                </c:pt>
                <c:pt idx="35" formatCode="0.0%">
                  <c:v>1.4999999999999999E-2</c:v>
                </c:pt>
              </c:numCache>
            </c:numRef>
          </c:val>
          <c:smooth val="0"/>
          <c:extLst>
            <c:ext xmlns:c16="http://schemas.microsoft.com/office/drawing/2014/chart" uri="{C3380CC4-5D6E-409C-BE32-E72D297353CC}">
              <c16:uniqueId val="{00000002-4A6B-044F-92DA-15823249E1D5}"/>
            </c:ext>
          </c:extLst>
        </c:ser>
        <c:dLbls>
          <c:showLegendKey val="0"/>
          <c:showVal val="0"/>
          <c:showCatName val="0"/>
          <c:showSerName val="0"/>
          <c:showPercent val="0"/>
          <c:showBubbleSize val="0"/>
        </c:dLbls>
        <c:smooth val="0"/>
        <c:axId val="434781731"/>
        <c:axId val="2143245243"/>
      </c:lineChart>
      <c:catAx>
        <c:axId val="434781731"/>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2143245243"/>
        <c:crosses val="autoZero"/>
        <c:auto val="1"/>
        <c:lblAlgn val="ctr"/>
        <c:lblOffset val="100"/>
        <c:noMultiLvlLbl val="1"/>
      </c:catAx>
      <c:valAx>
        <c:axId val="2143245243"/>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0%" sourceLinked="1"/>
        <c:majorTickMark val="none"/>
        <c:minorTickMark val="none"/>
        <c:tickLblPos val="nextTo"/>
        <c:spPr>
          <a:ln/>
        </c:spPr>
        <c:txPr>
          <a:bodyPr/>
          <a:lstStyle/>
          <a:p>
            <a:pPr lvl="0">
              <a:defRPr sz="1400" b="0" i="0">
                <a:solidFill>
                  <a:srgbClr val="000000"/>
                </a:solidFill>
                <a:latin typeface="+mn-lt"/>
              </a:defRPr>
            </a:pPr>
            <a:endParaRPr lang="en-US"/>
          </a:p>
        </c:txPr>
        <c:crossAx val="434781731"/>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Utility-Scale PV lifetime in years:
High / low scenario </a:t>
            </a:r>
          </a:p>
        </c:rich>
      </c:tx>
      <c:overlay val="0"/>
    </c:title>
    <c:autoTitleDeleted val="0"/>
    <c:plotArea>
      <c:layout/>
      <c:barChart>
        <c:barDir val="col"/>
        <c:grouping val="clustered"/>
        <c:varyColors val="1"/>
        <c:ser>
          <c:idx val="0"/>
          <c:order val="0"/>
          <c:tx>
            <c:v>Vartiainen, 2020</c:v>
          </c:tx>
          <c:spPr>
            <a:solidFill>
              <a:srgbClr val="4472C4"/>
            </a:solidFill>
            <a:ln cmpd="sng">
              <a:solidFill>
                <a:srgbClr val="000000"/>
              </a:solidFill>
            </a:ln>
          </c:spPr>
          <c:invertIfNegative val="1"/>
          <c:cat>
            <c:numRef>
              <c:f>PV!$A$5</c:f>
              <c:numCache>
                <c:formatCode>General</c:formatCode>
                <c:ptCount val="1"/>
                <c:pt idx="0">
                  <c:v>2015</c:v>
                </c:pt>
              </c:numCache>
            </c:numRef>
          </c:cat>
          <c:val>
            <c:numRef>
              <c:f>PV!$H$5</c:f>
              <c:numCache>
                <c:formatCode>0</c:formatCode>
                <c:ptCount val="1"/>
                <c:pt idx="0">
                  <c:v>30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55E3-6D43-BAD0-D89BA4C52BFD}"/>
            </c:ext>
          </c:extLst>
        </c:ser>
        <c:ser>
          <c:idx val="1"/>
          <c:order val="1"/>
          <c:tx>
            <c:v>Tsiropoulos, 2018 (ProRES scenario)</c:v>
          </c:tx>
          <c:spPr>
            <a:solidFill>
              <a:srgbClr val="A5A5A5"/>
            </a:solidFill>
            <a:ln cmpd="sng">
              <a:solidFill>
                <a:srgbClr val="000000"/>
              </a:solidFill>
            </a:ln>
          </c:spPr>
          <c:invertIfNegative val="1"/>
          <c:cat>
            <c:numRef>
              <c:f>PV!$A$5</c:f>
              <c:numCache>
                <c:formatCode>General</c:formatCode>
                <c:ptCount val="1"/>
                <c:pt idx="0">
                  <c:v>2015</c:v>
                </c:pt>
              </c:numCache>
            </c:numRef>
          </c:cat>
          <c:val>
            <c:numRef>
              <c:f>PV!$I$5</c:f>
              <c:numCache>
                <c:formatCode>0</c:formatCode>
                <c:ptCount val="1"/>
                <c:pt idx="0">
                  <c:v>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55E3-6D43-BAD0-D89BA4C52BFD}"/>
            </c:ext>
          </c:extLst>
        </c:ser>
        <c:ser>
          <c:idx val="2"/>
          <c:order val="2"/>
          <c:tx>
            <c:v>Agora, 2019 (reference scenario)</c:v>
          </c:tx>
          <c:spPr>
            <a:solidFill>
              <a:srgbClr val="FFC000"/>
            </a:solidFill>
            <a:ln cmpd="sng">
              <a:solidFill>
                <a:srgbClr val="000000"/>
              </a:solidFill>
            </a:ln>
          </c:spPr>
          <c:invertIfNegative val="1"/>
          <c:cat>
            <c:numRef>
              <c:f>PV!$A$5</c:f>
              <c:numCache>
                <c:formatCode>General</c:formatCode>
                <c:ptCount val="1"/>
                <c:pt idx="0">
                  <c:v>2015</c:v>
                </c:pt>
              </c:numCache>
            </c:numRef>
          </c:cat>
          <c:val>
            <c:numRef>
              <c:f>PV!$J$5</c:f>
              <c:numCache>
                <c:formatCode>0</c:formatCode>
                <c:ptCount val="1"/>
                <c:pt idx="0">
                  <c:v>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55E3-6D43-BAD0-D89BA4C52BFD}"/>
            </c:ext>
          </c:extLst>
        </c:ser>
        <c:dLbls>
          <c:showLegendKey val="0"/>
          <c:showVal val="0"/>
          <c:showCatName val="0"/>
          <c:showSerName val="0"/>
          <c:showPercent val="0"/>
          <c:showBubbleSize val="0"/>
        </c:dLbls>
        <c:gapWidth val="150"/>
        <c:axId val="940638335"/>
        <c:axId val="1036733188"/>
      </c:barChart>
      <c:catAx>
        <c:axId val="940638335"/>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1036733188"/>
        <c:crosses val="autoZero"/>
        <c:auto val="1"/>
        <c:lblAlgn val="ctr"/>
        <c:lblOffset val="100"/>
        <c:noMultiLvlLbl val="1"/>
      </c:catAx>
      <c:valAx>
        <c:axId val="1036733188"/>
        <c:scaling>
          <c:orientation val="minMax"/>
          <c:min val="0"/>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 sourceLinked="1"/>
        <c:majorTickMark val="none"/>
        <c:minorTickMark val="none"/>
        <c:tickLblPos val="nextTo"/>
        <c:spPr>
          <a:ln/>
        </c:spPr>
        <c:txPr>
          <a:bodyPr/>
          <a:lstStyle/>
          <a:p>
            <a:pPr lvl="0">
              <a:defRPr sz="1400" b="0" i="0">
                <a:solidFill>
                  <a:srgbClr val="000000"/>
                </a:solidFill>
                <a:latin typeface="+mn-lt"/>
              </a:defRPr>
            </a:pPr>
            <a:endParaRPr lang="en-US"/>
          </a:p>
        </c:txPr>
        <c:crossAx val="940638335"/>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Electrolyser OPEX in % of CAPEX p.a.</a:t>
            </a:r>
          </a:p>
        </c:rich>
      </c:tx>
      <c:overlay val="0"/>
    </c:title>
    <c:autoTitleDeleted val="0"/>
    <c:plotArea>
      <c:layout/>
      <c:lineChart>
        <c:grouping val="standard"/>
        <c:varyColors val="1"/>
        <c:ser>
          <c:idx val="0"/>
          <c:order val="0"/>
          <c:tx>
            <c:v>Agora, 2019 (reference scenario)</c:v>
          </c:tx>
          <c:spPr>
            <a:ln w="28575" cmpd="sng">
              <a:solidFill>
                <a:schemeClr val="accent1"/>
              </a:solidFill>
            </a:ln>
          </c:spPr>
          <c:marker>
            <c:symbol val="none"/>
          </c:marker>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electrolyser!$J$5:$J$40</c:f>
              <c:numCache>
                <c:formatCode>0.0%</c:formatCode>
                <c:ptCount val="36"/>
                <c:pt idx="5">
                  <c:v>0.03</c:v>
                </c:pt>
                <c:pt idx="15">
                  <c:v>0.03</c:v>
                </c:pt>
                <c:pt idx="35">
                  <c:v>0.03</c:v>
                </c:pt>
              </c:numCache>
            </c:numRef>
          </c:val>
          <c:smooth val="0"/>
          <c:extLst>
            <c:ext xmlns:c16="http://schemas.microsoft.com/office/drawing/2014/chart" uri="{C3380CC4-5D6E-409C-BE32-E72D297353CC}">
              <c16:uniqueId val="{00000000-00D4-0C40-918B-2B9001B8548F}"/>
            </c:ext>
          </c:extLst>
        </c:ser>
        <c:ser>
          <c:idx val="1"/>
          <c:order val="1"/>
          <c:tx>
            <c:v>IEA, 2019</c:v>
          </c:tx>
          <c:spPr>
            <a:ln w="28575" cmpd="sng">
              <a:solidFill>
                <a:schemeClr val="accent2"/>
              </a:solidFill>
            </a:ln>
          </c:spPr>
          <c:marker>
            <c:symbol val="none"/>
          </c:marker>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electrolyser!$K$5:$K$40</c:f>
              <c:numCache>
                <c:formatCode>0.0%</c:formatCode>
                <c:ptCount val="36"/>
                <c:pt idx="5">
                  <c:v>1.4999999999999999E-2</c:v>
                </c:pt>
                <c:pt idx="15">
                  <c:v>1.4999999999999999E-2</c:v>
                </c:pt>
                <c:pt idx="35">
                  <c:v>1.4999999999999999E-2</c:v>
                </c:pt>
              </c:numCache>
            </c:numRef>
          </c:val>
          <c:smooth val="0"/>
          <c:extLst>
            <c:ext xmlns:c16="http://schemas.microsoft.com/office/drawing/2014/chart" uri="{C3380CC4-5D6E-409C-BE32-E72D297353CC}">
              <c16:uniqueId val="{00000001-00D4-0C40-918B-2B9001B8548F}"/>
            </c:ext>
          </c:extLst>
        </c:ser>
        <c:ser>
          <c:idx val="2"/>
          <c:order val="2"/>
          <c:tx>
            <c:v>Matute, 2019</c:v>
          </c:tx>
          <c:spPr>
            <a:ln w="28575" cmpd="sng">
              <a:solidFill>
                <a:schemeClr val="accent3"/>
              </a:solidFill>
            </a:ln>
          </c:spPr>
          <c:marker>
            <c:symbol val="none"/>
          </c:marker>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electrolyser!$L$5:$L$40</c:f>
              <c:numCache>
                <c:formatCode>0.0%</c:formatCode>
                <c:ptCount val="36"/>
                <c:pt idx="2">
                  <c:v>0.03</c:v>
                </c:pt>
                <c:pt idx="10">
                  <c:v>0.03</c:v>
                </c:pt>
              </c:numCache>
            </c:numRef>
          </c:val>
          <c:smooth val="0"/>
          <c:extLst>
            <c:ext xmlns:c16="http://schemas.microsoft.com/office/drawing/2014/chart" uri="{C3380CC4-5D6E-409C-BE32-E72D297353CC}">
              <c16:uniqueId val="{00000002-00D4-0C40-918B-2B9001B8548F}"/>
            </c:ext>
          </c:extLst>
        </c:ser>
        <c:ser>
          <c:idx val="3"/>
          <c:order val="3"/>
          <c:tx>
            <c:v>Böhm, 2020</c:v>
          </c:tx>
          <c:spPr>
            <a:ln w="28575" cmpd="sng">
              <a:solidFill>
                <a:schemeClr val="accent4"/>
              </a:solidFill>
            </a:ln>
          </c:spPr>
          <c:marker>
            <c:symbol val="none"/>
          </c:marker>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electrolyser!$M$5:$M$40</c:f>
              <c:numCache>
                <c:formatCode>0.0%</c:formatCode>
                <c:ptCount val="36"/>
              </c:numCache>
            </c:numRef>
          </c:val>
          <c:smooth val="0"/>
          <c:extLst>
            <c:ext xmlns:c16="http://schemas.microsoft.com/office/drawing/2014/chart" uri="{C3380CC4-5D6E-409C-BE32-E72D297353CC}">
              <c16:uniqueId val="{00000003-00D4-0C40-918B-2B9001B8548F}"/>
            </c:ext>
          </c:extLst>
        </c:ser>
        <c:ser>
          <c:idx val="4"/>
          <c:order val="4"/>
          <c:tx>
            <c:v>Buttler, 2018</c:v>
          </c:tx>
          <c:spPr>
            <a:ln w="38100" cmpd="sng">
              <a:solidFill>
                <a:schemeClr val="accent6"/>
              </a:solidFill>
            </a:ln>
          </c:spPr>
          <c:marker>
            <c:symbol val="none"/>
          </c:marker>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electrolyser!$Q$5:$Q$40</c:f>
              <c:numCache>
                <c:formatCode>0.0%</c:formatCode>
                <c:ptCount val="36"/>
                <c:pt idx="2">
                  <c:v>0.03</c:v>
                </c:pt>
                <c:pt idx="3">
                  <c:v>0.03</c:v>
                </c:pt>
              </c:numCache>
            </c:numRef>
          </c:val>
          <c:smooth val="0"/>
          <c:extLst>
            <c:ext xmlns:c16="http://schemas.microsoft.com/office/drawing/2014/chart" uri="{C3380CC4-5D6E-409C-BE32-E72D297353CC}">
              <c16:uniqueId val="{00000004-00D4-0C40-918B-2B9001B8548F}"/>
            </c:ext>
          </c:extLst>
        </c:ser>
        <c:ser>
          <c:idx val="5"/>
          <c:order val="5"/>
          <c:tx>
            <c:v>Gorre, 2019</c:v>
          </c:tx>
          <c:spPr>
            <a:ln w="28575" cmpd="sng">
              <a:solidFill>
                <a:srgbClr val="7030A0">
                  <a:alpha val="100000"/>
                </a:srgbClr>
              </a:solidFill>
            </a:ln>
          </c:spPr>
          <c:marker>
            <c:symbol val="none"/>
          </c:marker>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electrolyser!$N$5:$N$40</c:f>
              <c:numCache>
                <c:formatCode>0.0%</c:formatCode>
                <c:ptCount val="36"/>
                <c:pt idx="2">
                  <c:v>0.04</c:v>
                </c:pt>
                <c:pt idx="15">
                  <c:v>0.03</c:v>
                </c:pt>
                <c:pt idx="35">
                  <c:v>0.02</c:v>
                </c:pt>
              </c:numCache>
            </c:numRef>
          </c:val>
          <c:smooth val="0"/>
          <c:extLst>
            <c:ext xmlns:c16="http://schemas.microsoft.com/office/drawing/2014/chart" uri="{C3380CC4-5D6E-409C-BE32-E72D297353CC}">
              <c16:uniqueId val="{00000005-00D4-0C40-918B-2B9001B8548F}"/>
            </c:ext>
          </c:extLst>
        </c:ser>
        <c:ser>
          <c:idx val="6"/>
          <c:order val="6"/>
          <c:tx>
            <c:v>Michalski, 2017</c:v>
          </c:tx>
          <c:spPr>
            <a:ln w="28575" cmpd="sng">
              <a:solidFill>
                <a:schemeClr val="accent1"/>
              </a:solidFill>
            </a:ln>
          </c:spPr>
          <c:marker>
            <c:symbol val="none"/>
          </c:marker>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electrolyser!$O$5:$O$40</c:f>
              <c:numCache>
                <c:formatCode>0.0%</c:formatCode>
                <c:ptCount val="36"/>
                <c:pt idx="10">
                  <c:v>7.0000000000000007E-2</c:v>
                </c:pt>
                <c:pt idx="35">
                  <c:v>0.02</c:v>
                </c:pt>
              </c:numCache>
            </c:numRef>
          </c:val>
          <c:smooth val="0"/>
          <c:extLst>
            <c:ext xmlns:c16="http://schemas.microsoft.com/office/drawing/2014/chart" uri="{C3380CC4-5D6E-409C-BE32-E72D297353CC}">
              <c16:uniqueId val="{00000006-00D4-0C40-918B-2B9001B8548F}"/>
            </c:ext>
          </c:extLst>
        </c:ser>
        <c:dLbls>
          <c:showLegendKey val="0"/>
          <c:showVal val="0"/>
          <c:showCatName val="0"/>
          <c:showSerName val="0"/>
          <c:showPercent val="0"/>
          <c:showBubbleSize val="0"/>
        </c:dLbls>
        <c:smooth val="0"/>
        <c:axId val="1757353624"/>
        <c:axId val="1537641665"/>
      </c:lineChart>
      <c:catAx>
        <c:axId val="1757353624"/>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1537641665"/>
        <c:crosses val="autoZero"/>
        <c:auto val="1"/>
        <c:lblAlgn val="ctr"/>
        <c:lblOffset val="100"/>
        <c:noMultiLvlLbl val="1"/>
      </c:catAx>
      <c:valAx>
        <c:axId val="1537641665"/>
        <c:scaling>
          <c:orientation val="minMax"/>
          <c:min val="0"/>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0%" sourceLinked="1"/>
        <c:majorTickMark val="none"/>
        <c:minorTickMark val="none"/>
        <c:tickLblPos val="nextTo"/>
        <c:spPr>
          <a:ln/>
        </c:spPr>
        <c:txPr>
          <a:bodyPr/>
          <a:lstStyle/>
          <a:p>
            <a:pPr lvl="0">
              <a:defRPr sz="1400" b="0" i="0">
                <a:solidFill>
                  <a:srgbClr val="000000"/>
                </a:solidFill>
                <a:latin typeface="+mn-lt"/>
              </a:defRPr>
            </a:pPr>
            <a:endParaRPr lang="en-US"/>
          </a:p>
        </c:txPr>
        <c:crossAx val="1757353624"/>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Electrolyser lifetime in years</a:t>
            </a:r>
          </a:p>
        </c:rich>
      </c:tx>
      <c:overlay val="0"/>
    </c:title>
    <c:autoTitleDeleted val="0"/>
    <c:plotArea>
      <c:layout/>
      <c:barChart>
        <c:barDir val="col"/>
        <c:grouping val="clustered"/>
        <c:varyColors val="1"/>
        <c:ser>
          <c:idx val="0"/>
          <c:order val="0"/>
          <c:tx>
            <c:v>IEA, 2019</c:v>
          </c:tx>
          <c:spPr>
            <a:solidFill>
              <a:srgbClr val="ED7D31"/>
            </a:solidFill>
            <a:ln cmpd="sng">
              <a:solidFill>
                <a:srgbClr val="000000"/>
              </a:solidFill>
            </a:ln>
          </c:spPr>
          <c:invertIfNegative val="1"/>
          <c:val>
            <c:numRef>
              <c:f>electrolyser!$S$10</c:f>
              <c:numCache>
                <c:formatCode>General</c:formatCode>
                <c:ptCount val="1"/>
                <c:pt idx="0">
                  <c:v>30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191A-654A-AA66-568987CD03D0}"/>
            </c:ext>
          </c:extLst>
        </c:ser>
        <c:ser>
          <c:idx val="1"/>
          <c:order val="1"/>
          <c:tx>
            <c:v>Matute, 2019</c:v>
          </c:tx>
          <c:spPr>
            <a:solidFill>
              <a:srgbClr val="A5A5A5"/>
            </a:solidFill>
            <a:ln cmpd="sng">
              <a:solidFill>
                <a:srgbClr val="000000"/>
              </a:solidFill>
            </a:ln>
          </c:spPr>
          <c:invertIfNegative val="1"/>
          <c:val>
            <c:numRef>
              <c:f>electrolyser!$T$7</c:f>
              <c:numCache>
                <c:formatCode>General</c:formatCode>
                <c:ptCount val="1"/>
                <c:pt idx="0">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191A-654A-AA66-568987CD03D0}"/>
            </c:ext>
          </c:extLst>
        </c:ser>
        <c:ser>
          <c:idx val="2"/>
          <c:order val="2"/>
          <c:tx>
            <c:v>Michalski, 2017</c:v>
          </c:tx>
          <c:spPr>
            <a:solidFill>
              <a:srgbClr val="4472C4"/>
            </a:solidFill>
            <a:ln cmpd="sng">
              <a:solidFill>
                <a:srgbClr val="000000"/>
              </a:solidFill>
            </a:ln>
          </c:spPr>
          <c:invertIfNegative val="1"/>
          <c:val>
            <c:numRef>
              <c:f>electrolyser!$V$15</c:f>
              <c:numCache>
                <c:formatCode>General</c:formatCode>
                <c:ptCount val="1"/>
                <c:pt idx="0">
                  <c:v>30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191A-654A-AA66-568987CD03D0}"/>
            </c:ext>
          </c:extLst>
        </c:ser>
        <c:dLbls>
          <c:showLegendKey val="0"/>
          <c:showVal val="0"/>
          <c:showCatName val="0"/>
          <c:showSerName val="0"/>
          <c:showPercent val="0"/>
          <c:showBubbleSize val="0"/>
        </c:dLbls>
        <c:gapWidth val="150"/>
        <c:axId val="1424717071"/>
        <c:axId val="356348290"/>
      </c:barChart>
      <c:catAx>
        <c:axId val="1424717071"/>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356348290"/>
        <c:crosses val="autoZero"/>
        <c:auto val="1"/>
        <c:lblAlgn val="ctr"/>
        <c:lblOffset val="100"/>
        <c:noMultiLvlLbl val="1"/>
      </c:catAx>
      <c:valAx>
        <c:axId val="356348290"/>
        <c:scaling>
          <c:orientation val="minMax"/>
          <c:min val="0"/>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1400" b="0" i="0">
                <a:solidFill>
                  <a:srgbClr val="000000"/>
                </a:solidFill>
                <a:latin typeface="+mn-lt"/>
              </a:defRPr>
            </a:pPr>
            <a:endParaRPr lang="en-US"/>
          </a:p>
        </c:txPr>
        <c:crossAx val="1424717071"/>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on-shore wind CAPEX in EUR/kWp</a:t>
            </a:r>
          </a:p>
        </c:rich>
      </c:tx>
      <c:overlay val="0"/>
    </c:title>
    <c:autoTitleDeleted val="0"/>
    <c:plotArea>
      <c:layout/>
      <c:lineChart>
        <c:grouping val="standard"/>
        <c:varyColors val="1"/>
        <c:ser>
          <c:idx val="0"/>
          <c:order val="0"/>
          <c:tx>
            <c:v>Tsiropoulos, 2018 (ProRES scenario)</c:v>
          </c:tx>
          <c:spPr>
            <a:ln w="28575" cmpd="sng">
              <a:solidFill>
                <a:schemeClr val="accent1"/>
              </a:solidFill>
            </a:ln>
          </c:spPr>
          <c:marker>
            <c:symbol val="none"/>
          </c:marker>
          <c:cat>
            <c:numRef>
              <c:f>'on-shore_wind'!$A$5:$A$40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'on-shore_wind'!$B$5:$B$40</c:f>
              <c:numCache>
                <c:formatCode>General</c:formatCode>
                <c:ptCount val="36"/>
                <c:pt idx="0">
                  <c:v>1350</c:v>
                </c:pt>
                <c:pt idx="5">
                  <c:v>1290</c:v>
                </c:pt>
                <c:pt idx="15">
                  <c:v>1190</c:v>
                </c:pt>
                <c:pt idx="25">
                  <c:v>1140</c:v>
                </c:pt>
                <c:pt idx="35">
                  <c:v>1110</c:v>
                </c:pt>
              </c:numCache>
            </c:numRef>
          </c:val>
          <c:smooth val="0"/>
          <c:extLst>
            <c:ext xmlns:c16="http://schemas.microsoft.com/office/drawing/2014/chart" uri="{C3380CC4-5D6E-409C-BE32-E72D297353CC}">
              <c16:uniqueId val="{00000000-8B38-9B44-8469-5B246D603465}"/>
            </c:ext>
          </c:extLst>
        </c:ser>
        <c:ser>
          <c:idx val="1"/>
          <c:order val="1"/>
          <c:tx>
            <c:v>Agora, 2019 (reference scenario)</c:v>
          </c:tx>
          <c:spPr>
            <a:ln w="28575" cmpd="sng">
              <a:solidFill>
                <a:schemeClr val="accent2"/>
              </a:solidFill>
            </a:ln>
          </c:spPr>
          <c:marker>
            <c:symbol val="none"/>
          </c:marker>
          <c:cat>
            <c:numRef>
              <c:f>'on-shore_wind'!$A$5:$A$40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'on-shore_wind'!$C$5:$C$40</c:f>
              <c:numCache>
                <c:formatCode>General</c:formatCode>
                <c:ptCount val="36"/>
                <c:pt idx="5">
                  <c:v>1526</c:v>
                </c:pt>
                <c:pt idx="15">
                  <c:v>1260</c:v>
                </c:pt>
                <c:pt idx="35">
                  <c:v>1078</c:v>
                </c:pt>
              </c:numCache>
            </c:numRef>
          </c:val>
          <c:smooth val="0"/>
          <c:extLst>
            <c:ext xmlns:c16="http://schemas.microsoft.com/office/drawing/2014/chart" uri="{C3380CC4-5D6E-409C-BE32-E72D297353CC}">
              <c16:uniqueId val="{00000001-8B38-9B44-8469-5B246D603465}"/>
            </c:ext>
          </c:extLst>
        </c:ser>
        <c:dLbls>
          <c:showLegendKey val="0"/>
          <c:showVal val="0"/>
          <c:showCatName val="0"/>
          <c:showSerName val="0"/>
          <c:showPercent val="0"/>
          <c:showBubbleSize val="0"/>
        </c:dLbls>
        <c:smooth val="0"/>
        <c:axId val="547133725"/>
        <c:axId val="733046068"/>
      </c:lineChart>
      <c:catAx>
        <c:axId val="547133725"/>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733046068"/>
        <c:crosses val="autoZero"/>
        <c:auto val="1"/>
        <c:lblAlgn val="ctr"/>
        <c:lblOffset val="100"/>
        <c:noMultiLvlLbl val="1"/>
      </c:catAx>
      <c:valAx>
        <c:axId val="733046068"/>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1400" b="0" i="0">
                <a:solidFill>
                  <a:srgbClr val="000000"/>
                </a:solidFill>
                <a:latin typeface="+mn-lt"/>
              </a:defRPr>
            </a:pPr>
            <a:endParaRPr lang="en-US"/>
          </a:p>
        </c:txPr>
        <c:crossAx val="547133725"/>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Utility-Scale PV lifetime in years:
High / low scenario </a:t>
            </a:r>
          </a:p>
        </c:rich>
      </c:tx>
      <c:overlay val="0"/>
    </c:title>
    <c:autoTitleDeleted val="0"/>
    <c:plotArea>
      <c:layout/>
      <c:barChart>
        <c:barDir val="col"/>
        <c:grouping val="clustered"/>
        <c:varyColors val="1"/>
        <c:ser>
          <c:idx val="0"/>
          <c:order val="0"/>
          <c:tx>
            <c:v>Vartiainen, 2020</c:v>
          </c:tx>
          <c:spPr>
            <a:solidFill>
              <a:srgbClr val="4472C4"/>
            </a:solidFill>
            <a:ln cmpd="sng">
              <a:solidFill>
                <a:srgbClr val="000000"/>
              </a:solidFill>
            </a:ln>
          </c:spPr>
          <c:invertIfNegative val="1"/>
          <c:cat>
            <c:numRef>
              <c:f>PV!$A$5</c:f>
              <c:numCache>
                <c:formatCode>General</c:formatCode>
                <c:ptCount val="1"/>
                <c:pt idx="0">
                  <c:v>2015</c:v>
                </c:pt>
              </c:numCache>
            </c:numRef>
          </c:cat>
          <c:val>
            <c:numRef>
              <c:f>PV!$H$5</c:f>
              <c:numCache>
                <c:formatCode>0</c:formatCode>
                <c:ptCount val="1"/>
                <c:pt idx="0">
                  <c:v>30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3D4E-884C-9602-E93D28974FD1}"/>
            </c:ext>
          </c:extLst>
        </c:ser>
        <c:ser>
          <c:idx val="1"/>
          <c:order val="1"/>
          <c:tx>
            <c:v>Tsiropoulos, 2018 (ProRES scenario)</c:v>
          </c:tx>
          <c:spPr>
            <a:solidFill>
              <a:srgbClr val="A5A5A5"/>
            </a:solidFill>
            <a:ln cmpd="sng">
              <a:solidFill>
                <a:srgbClr val="000000"/>
              </a:solidFill>
            </a:ln>
          </c:spPr>
          <c:invertIfNegative val="1"/>
          <c:cat>
            <c:numRef>
              <c:f>PV!$A$5</c:f>
              <c:numCache>
                <c:formatCode>General</c:formatCode>
                <c:ptCount val="1"/>
                <c:pt idx="0">
                  <c:v>2015</c:v>
                </c:pt>
              </c:numCache>
            </c:numRef>
          </c:cat>
          <c:val>
            <c:numRef>
              <c:f>PV!$I$5</c:f>
              <c:numCache>
                <c:formatCode>0</c:formatCode>
                <c:ptCount val="1"/>
                <c:pt idx="0">
                  <c:v>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3D4E-884C-9602-E93D28974FD1}"/>
            </c:ext>
          </c:extLst>
        </c:ser>
        <c:ser>
          <c:idx val="2"/>
          <c:order val="2"/>
          <c:tx>
            <c:v>Agora, 2019 (reference scenario)</c:v>
          </c:tx>
          <c:spPr>
            <a:solidFill>
              <a:srgbClr val="FFC000"/>
            </a:solidFill>
            <a:ln cmpd="sng">
              <a:solidFill>
                <a:srgbClr val="000000"/>
              </a:solidFill>
            </a:ln>
          </c:spPr>
          <c:invertIfNegative val="1"/>
          <c:cat>
            <c:numRef>
              <c:f>PV!$A$5</c:f>
              <c:numCache>
                <c:formatCode>General</c:formatCode>
                <c:ptCount val="1"/>
                <c:pt idx="0">
                  <c:v>2015</c:v>
                </c:pt>
              </c:numCache>
            </c:numRef>
          </c:cat>
          <c:val>
            <c:numRef>
              <c:f>PV!$J$5</c:f>
              <c:numCache>
                <c:formatCode>0</c:formatCode>
                <c:ptCount val="1"/>
                <c:pt idx="0">
                  <c:v>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3D4E-884C-9602-E93D28974FD1}"/>
            </c:ext>
          </c:extLst>
        </c:ser>
        <c:dLbls>
          <c:showLegendKey val="0"/>
          <c:showVal val="0"/>
          <c:showCatName val="0"/>
          <c:showSerName val="0"/>
          <c:showPercent val="0"/>
          <c:showBubbleSize val="0"/>
        </c:dLbls>
        <c:gapWidth val="150"/>
        <c:axId val="1516281591"/>
        <c:axId val="646141703"/>
      </c:barChart>
      <c:catAx>
        <c:axId val="1516281591"/>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646141703"/>
        <c:crosses val="autoZero"/>
        <c:auto val="1"/>
        <c:lblAlgn val="ctr"/>
        <c:lblOffset val="100"/>
        <c:noMultiLvlLbl val="1"/>
      </c:catAx>
      <c:valAx>
        <c:axId val="646141703"/>
        <c:scaling>
          <c:orientation val="minMax"/>
          <c:min val="0"/>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 sourceLinked="1"/>
        <c:majorTickMark val="none"/>
        <c:minorTickMark val="none"/>
        <c:tickLblPos val="nextTo"/>
        <c:spPr>
          <a:ln/>
        </c:spPr>
        <c:txPr>
          <a:bodyPr/>
          <a:lstStyle/>
          <a:p>
            <a:pPr lvl="0">
              <a:defRPr sz="1400" b="0" i="0">
                <a:solidFill>
                  <a:srgbClr val="000000"/>
                </a:solidFill>
                <a:latin typeface="+mn-lt"/>
              </a:defRPr>
            </a:pPr>
            <a:endParaRPr lang="en-US"/>
          </a:p>
        </c:txPr>
        <c:crossAx val="1516281591"/>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Electrolyser efficiency in kWh_H2/kWh_el (LHV)</a:t>
            </a:r>
          </a:p>
        </c:rich>
      </c:tx>
      <c:overlay val="0"/>
    </c:title>
    <c:autoTitleDeleted val="0"/>
    <c:plotArea>
      <c:layout/>
      <c:lineChart>
        <c:grouping val="standard"/>
        <c:varyColors val="1"/>
        <c:ser>
          <c:idx val="0"/>
          <c:order val="0"/>
          <c:tx>
            <c:v>Agora, 2019 (reference scenario)</c:v>
          </c:tx>
          <c:spPr>
            <a:ln w="28575" cmpd="sng">
              <a:solidFill>
                <a:schemeClr val="accent2"/>
              </a:solidFill>
            </a:ln>
          </c:spPr>
          <c:marker>
            <c:symbol val="none"/>
          </c:marker>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electrolyser!$X$5:$X$40</c:f>
              <c:numCache>
                <c:formatCode>0%</c:formatCode>
                <c:ptCount val="36"/>
                <c:pt idx="5">
                  <c:v>0.67</c:v>
                </c:pt>
                <c:pt idx="15">
                  <c:v>0.71</c:v>
                </c:pt>
                <c:pt idx="35">
                  <c:v>0.8</c:v>
                </c:pt>
              </c:numCache>
            </c:numRef>
          </c:val>
          <c:smooth val="0"/>
          <c:extLst>
            <c:ext xmlns:c16="http://schemas.microsoft.com/office/drawing/2014/chart" uri="{C3380CC4-5D6E-409C-BE32-E72D297353CC}">
              <c16:uniqueId val="{00000000-01F9-7448-9A46-5B766DF932C2}"/>
            </c:ext>
          </c:extLst>
        </c:ser>
        <c:ser>
          <c:idx val="1"/>
          <c:order val="1"/>
          <c:tx>
            <c:v>IEA, 2019</c:v>
          </c:tx>
          <c:spPr>
            <a:ln w="28575" cmpd="sng">
              <a:solidFill>
                <a:schemeClr val="accent3"/>
              </a:solidFill>
            </a:ln>
          </c:spPr>
          <c:marker>
            <c:symbol val="none"/>
          </c:marker>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electrolyser!$Y$5:$Y$40</c:f>
              <c:numCache>
                <c:formatCode>0%</c:formatCode>
                <c:ptCount val="36"/>
                <c:pt idx="5">
                  <c:v>0.64</c:v>
                </c:pt>
                <c:pt idx="15">
                  <c:v>0.69</c:v>
                </c:pt>
                <c:pt idx="35">
                  <c:v>0.74</c:v>
                </c:pt>
              </c:numCache>
            </c:numRef>
          </c:val>
          <c:smooth val="0"/>
          <c:extLst>
            <c:ext xmlns:c16="http://schemas.microsoft.com/office/drawing/2014/chart" uri="{C3380CC4-5D6E-409C-BE32-E72D297353CC}">
              <c16:uniqueId val="{00000001-01F9-7448-9A46-5B766DF932C2}"/>
            </c:ext>
          </c:extLst>
        </c:ser>
        <c:ser>
          <c:idx val="2"/>
          <c:order val="2"/>
          <c:tx>
            <c:v>Matute, 2019</c:v>
          </c:tx>
          <c:spPr>
            <a:ln w="28575" cmpd="sng">
              <a:solidFill>
                <a:schemeClr val="accent5"/>
              </a:solidFill>
            </a:ln>
          </c:spPr>
          <c:marker>
            <c:symbol val="none"/>
          </c:marker>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electrolyser!$Z$5:$Z$40</c:f>
              <c:numCache>
                <c:formatCode>0%</c:formatCode>
                <c:ptCount val="36"/>
                <c:pt idx="2">
                  <c:v>4.922955742627874E-4</c:v>
                </c:pt>
                <c:pt idx="10">
                  <c:v>5.6660434018924587E-4</c:v>
                </c:pt>
              </c:numCache>
            </c:numRef>
          </c:val>
          <c:smooth val="0"/>
          <c:extLst>
            <c:ext xmlns:c16="http://schemas.microsoft.com/office/drawing/2014/chart" uri="{C3380CC4-5D6E-409C-BE32-E72D297353CC}">
              <c16:uniqueId val="{00000002-01F9-7448-9A46-5B766DF932C2}"/>
            </c:ext>
          </c:extLst>
        </c:ser>
        <c:ser>
          <c:idx val="3"/>
          <c:order val="3"/>
          <c:tx>
            <c:v>Buttler, 2018</c:v>
          </c:tx>
          <c:spPr>
            <a:ln w="38100" cmpd="sng">
              <a:solidFill>
                <a:schemeClr val="accent6"/>
              </a:solidFill>
            </a:ln>
          </c:spPr>
          <c:marker>
            <c:symbol val="none"/>
          </c:marker>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electrolyser!$AE$5:$AE$40</c:f>
              <c:numCache>
                <c:formatCode>0%</c:formatCode>
                <c:ptCount val="36"/>
                <c:pt idx="2">
                  <c:v>0.6</c:v>
                </c:pt>
                <c:pt idx="3">
                  <c:v>0.6</c:v>
                </c:pt>
              </c:numCache>
            </c:numRef>
          </c:val>
          <c:smooth val="0"/>
          <c:extLst>
            <c:ext xmlns:c16="http://schemas.microsoft.com/office/drawing/2014/chart" uri="{C3380CC4-5D6E-409C-BE32-E72D297353CC}">
              <c16:uniqueId val="{00000003-01F9-7448-9A46-5B766DF932C2}"/>
            </c:ext>
          </c:extLst>
        </c:ser>
        <c:ser>
          <c:idx val="4"/>
          <c:order val="4"/>
          <c:tx>
            <c:v>Gorre, 2019</c:v>
          </c:tx>
          <c:spPr>
            <a:ln w="28575" cmpd="sng">
              <a:solidFill>
                <a:srgbClr val="7030A0">
                  <a:alpha val="100000"/>
                </a:srgbClr>
              </a:solidFill>
            </a:ln>
          </c:spPr>
          <c:marker>
            <c:symbol val="none"/>
          </c:marker>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electrolyser!$AB$5:$AB$40</c:f>
              <c:numCache>
                <c:formatCode>0%</c:formatCode>
                <c:ptCount val="36"/>
                <c:pt idx="2">
                  <c:v>0.64</c:v>
                </c:pt>
                <c:pt idx="15">
                  <c:v>0.75</c:v>
                </c:pt>
                <c:pt idx="35">
                  <c:v>0.78</c:v>
                </c:pt>
              </c:numCache>
            </c:numRef>
          </c:val>
          <c:smooth val="0"/>
          <c:extLst>
            <c:ext xmlns:c16="http://schemas.microsoft.com/office/drawing/2014/chart" uri="{C3380CC4-5D6E-409C-BE32-E72D297353CC}">
              <c16:uniqueId val="{00000004-01F9-7448-9A46-5B766DF932C2}"/>
            </c:ext>
          </c:extLst>
        </c:ser>
        <c:ser>
          <c:idx val="5"/>
          <c:order val="5"/>
          <c:tx>
            <c:v>Michalski, 2017</c:v>
          </c:tx>
          <c:spPr>
            <a:ln w="28575" cmpd="sng">
              <a:solidFill>
                <a:schemeClr val="accent1"/>
              </a:solidFill>
            </a:ln>
          </c:spPr>
          <c:marker>
            <c:symbol val="none"/>
          </c:marker>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electrolyser!$AC$5:$AC$40</c:f>
              <c:numCache>
                <c:formatCode>0%</c:formatCode>
                <c:ptCount val="36"/>
                <c:pt idx="10">
                  <c:v>0.57999999999999996</c:v>
                </c:pt>
                <c:pt idx="35">
                  <c:v>0.7</c:v>
                </c:pt>
              </c:numCache>
            </c:numRef>
          </c:val>
          <c:smooth val="0"/>
          <c:extLst>
            <c:ext xmlns:c16="http://schemas.microsoft.com/office/drawing/2014/chart" uri="{C3380CC4-5D6E-409C-BE32-E72D297353CC}">
              <c16:uniqueId val="{00000005-01F9-7448-9A46-5B766DF932C2}"/>
            </c:ext>
          </c:extLst>
        </c:ser>
        <c:ser>
          <c:idx val="6"/>
          <c:order val="6"/>
          <c:tx>
            <c:v>Brynolf, 2018</c:v>
          </c:tx>
          <c:spPr>
            <a:ln w="28575" cmpd="sng">
              <a:solidFill>
                <a:schemeClr val="accent2"/>
              </a:solidFill>
              <a:prstDash val="sysDot"/>
            </a:ln>
          </c:spPr>
          <c:marker>
            <c:symbol val="none"/>
          </c:marker>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electrolyser!$AD$5:$AD$40</c:f>
              <c:numCache>
                <c:formatCode>0%</c:formatCode>
                <c:ptCount val="36"/>
                <c:pt idx="3">
                  <c:v>0.62</c:v>
                </c:pt>
                <c:pt idx="13">
                  <c:v>0.69</c:v>
                </c:pt>
              </c:numCache>
            </c:numRef>
          </c:val>
          <c:smooth val="0"/>
          <c:extLst>
            <c:ext xmlns:c16="http://schemas.microsoft.com/office/drawing/2014/chart" uri="{C3380CC4-5D6E-409C-BE32-E72D297353CC}">
              <c16:uniqueId val="{00000006-01F9-7448-9A46-5B766DF932C2}"/>
            </c:ext>
          </c:extLst>
        </c:ser>
        <c:dLbls>
          <c:showLegendKey val="0"/>
          <c:showVal val="0"/>
          <c:showCatName val="0"/>
          <c:showSerName val="0"/>
          <c:showPercent val="0"/>
          <c:showBubbleSize val="0"/>
        </c:dLbls>
        <c:smooth val="0"/>
        <c:axId val="597007006"/>
        <c:axId val="457187307"/>
      </c:lineChart>
      <c:catAx>
        <c:axId val="597007006"/>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out"/>
        <c:minorTickMark val="none"/>
        <c:tickLblPos val="nextTo"/>
        <c:txPr>
          <a:bodyPr/>
          <a:lstStyle/>
          <a:p>
            <a:pPr lvl="0">
              <a:defRPr sz="1400" b="0" i="0">
                <a:solidFill>
                  <a:srgbClr val="000000"/>
                </a:solidFill>
                <a:latin typeface="+mn-lt"/>
              </a:defRPr>
            </a:pPr>
            <a:endParaRPr lang="en-US"/>
          </a:p>
        </c:txPr>
        <c:crossAx val="457187307"/>
        <c:crosses val="autoZero"/>
        <c:auto val="1"/>
        <c:lblAlgn val="ctr"/>
        <c:lblOffset val="100"/>
        <c:noMultiLvlLbl val="1"/>
      </c:catAx>
      <c:valAx>
        <c:axId val="457187307"/>
        <c:scaling>
          <c:orientation val="minMax"/>
          <c:min val="0"/>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 sourceLinked="1"/>
        <c:majorTickMark val="none"/>
        <c:minorTickMark val="none"/>
        <c:tickLblPos val="nextTo"/>
        <c:spPr>
          <a:ln/>
        </c:spPr>
        <c:txPr>
          <a:bodyPr/>
          <a:lstStyle/>
          <a:p>
            <a:pPr lvl="0">
              <a:defRPr sz="1400" b="0" i="0">
                <a:solidFill>
                  <a:srgbClr val="000000"/>
                </a:solidFill>
                <a:latin typeface="+mn-lt"/>
              </a:defRPr>
            </a:pPr>
            <a:endParaRPr lang="en-US"/>
          </a:p>
        </c:txPr>
        <c:crossAx val="597007006"/>
        <c:crosses val="autoZero"/>
        <c:crossBetween val="between"/>
      </c:valAx>
    </c:plotArea>
    <c:legend>
      <c:legendPos val="b"/>
      <c:layout>
        <c:manualLayout>
          <c:xMode val="edge"/>
          <c:yMode val="edge"/>
          <c:x val="5.5907035814071616E-2"/>
          <c:y val="0.77540535236833719"/>
        </c:manualLayout>
      </c:layout>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H2 storage CAPEX in EUR/kWp</a:t>
            </a:r>
          </a:p>
        </c:rich>
      </c:tx>
      <c:overlay val="0"/>
    </c:title>
    <c:autoTitleDeleted val="0"/>
    <c:plotArea>
      <c:layout/>
      <c:lineChart>
        <c:grouping val="standard"/>
        <c:varyColors val="1"/>
        <c:dLbls>
          <c:showLegendKey val="0"/>
          <c:showVal val="0"/>
          <c:showCatName val="0"/>
          <c:showSerName val="0"/>
          <c:showPercent val="0"/>
          <c:showBubbleSize val="0"/>
        </c:dLbls>
        <c:marker val="1"/>
        <c:smooth val="0"/>
        <c:axId val="525041055"/>
        <c:axId val="237285854"/>
      </c:lineChart>
      <c:catAx>
        <c:axId val="525041055"/>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237285854"/>
        <c:crosses val="autoZero"/>
        <c:auto val="1"/>
        <c:lblAlgn val="ctr"/>
        <c:lblOffset val="100"/>
        <c:noMultiLvlLbl val="1"/>
      </c:catAx>
      <c:valAx>
        <c:axId val="237285854"/>
        <c:scaling>
          <c:orientation val="minMax"/>
        </c:scaling>
        <c:delete val="0"/>
        <c:axPos val="l"/>
        <c:majorTickMark val="cross"/>
        <c:minorTickMark val="cross"/>
        <c:tickLblPos val="nextTo"/>
        <c:spPr>
          <a:ln>
            <a:noFill/>
          </a:ln>
        </c:spPr>
        <c:crossAx val="525041055"/>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Utility-Scale PV OPEX in % of CAPEX p.a.:
High / medium / low scenario </a:t>
            </a:r>
          </a:p>
        </c:rich>
      </c:tx>
      <c:overlay val="0"/>
    </c:title>
    <c:autoTitleDeleted val="0"/>
    <c:plotArea>
      <c:layout/>
      <c:lineChart>
        <c:grouping val="standard"/>
        <c:varyColors val="1"/>
        <c:ser>
          <c:idx val="0"/>
          <c:order val="0"/>
          <c:tx>
            <c:v>Vartiainen, 2020</c:v>
          </c:tx>
          <c:spPr>
            <a:ln w="28575" cmpd="sng">
              <a:solidFill>
                <a:schemeClr val="accent1"/>
              </a:solidFill>
            </a:ln>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PV!$E$5:$E$40</c:f>
              <c:numCache>
                <c:formatCode>0.0%</c:formatCode>
                <c:ptCount val="36"/>
                <c:pt idx="4">
                  <c:v>1.9913419913419911E-2</c:v>
                </c:pt>
                <c:pt idx="5">
                  <c:v>2.0417633410672854E-2</c:v>
                </c:pt>
                <c:pt idx="6">
                  <c:v>2.0689655172413793E-2</c:v>
                </c:pt>
                <c:pt idx="7">
                  <c:v>2.1093749999999998E-2</c:v>
                </c:pt>
                <c:pt idx="8">
                  <c:v>2.1369863013698628E-2</c:v>
                </c:pt>
                <c:pt idx="9">
                  <c:v>2.1839080459770115E-2</c:v>
                </c:pt>
                <c:pt idx="10">
                  <c:v>2.2222222222222223E-2</c:v>
                </c:pt>
                <c:pt idx="11">
                  <c:v>2.2257053291536048E-2</c:v>
                </c:pt>
                <c:pt idx="12">
                  <c:v>2.2475570032573292E-2</c:v>
                </c:pt>
                <c:pt idx="13">
                  <c:v>2.2635135135135136E-2</c:v>
                </c:pt>
                <c:pt idx="14">
                  <c:v>2.3157894736842103E-2</c:v>
                </c:pt>
                <c:pt idx="15">
                  <c:v>2.3272727272727275E-2</c:v>
                </c:pt>
                <c:pt idx="16">
                  <c:v>2.3308270676691729E-2</c:v>
                </c:pt>
                <c:pt idx="17">
                  <c:v>2.3735408560311283E-2</c:v>
                </c:pt>
                <c:pt idx="18">
                  <c:v>2.3694779116465864E-2</c:v>
                </c:pt>
                <c:pt idx="19">
                  <c:v>2.3966942148760328E-2</c:v>
                </c:pt>
                <c:pt idx="20">
                  <c:v>2.3829787234042551E-2</c:v>
                </c:pt>
                <c:pt idx="21">
                  <c:v>2.4122807017543858E-2</c:v>
                </c:pt>
                <c:pt idx="22">
                  <c:v>2.4434389140271493E-2</c:v>
                </c:pt>
                <c:pt idx="23">
                  <c:v>2.4651162790697675E-2</c:v>
                </c:pt>
                <c:pt idx="24">
                  <c:v>2.4401913875598084E-2</c:v>
                </c:pt>
                <c:pt idx="25">
                  <c:v>2.4509803921568627E-2</c:v>
                </c:pt>
                <c:pt idx="26">
                  <c:v>2.4623115577889449E-2</c:v>
                </c:pt>
                <c:pt idx="27">
                  <c:v>2.4742268041237112E-2</c:v>
                </c:pt>
                <c:pt idx="28">
                  <c:v>2.4867724867724868E-2</c:v>
                </c:pt>
                <c:pt idx="29">
                  <c:v>2.4864864864864864E-2</c:v>
                </c:pt>
                <c:pt idx="30">
                  <c:v>2.5414364640883976E-2</c:v>
                </c:pt>
                <c:pt idx="31">
                  <c:v>2.5423728813559324E-2</c:v>
                </c:pt>
                <c:pt idx="32">
                  <c:v>2.5287356321839084E-2</c:v>
                </c:pt>
                <c:pt idx="33">
                  <c:v>2.5294117647058821E-2</c:v>
                </c:pt>
                <c:pt idx="34">
                  <c:v>2.5149700598802397E-2</c:v>
                </c:pt>
                <c:pt idx="35">
                  <c:v>2.5609756097560978E-2</c:v>
                </c:pt>
              </c:numCache>
            </c:numRef>
          </c:val>
          <c:smooth val="0"/>
          <c:extLst>
            <c:ext xmlns:c16="http://schemas.microsoft.com/office/drawing/2014/chart" uri="{C3380CC4-5D6E-409C-BE32-E72D297353CC}">
              <c16:uniqueId val="{00000000-8C6D-6D45-95A6-3C28A7FA4F62}"/>
            </c:ext>
          </c:extLst>
        </c:ser>
        <c:ser>
          <c:idx val="1"/>
          <c:order val="1"/>
          <c:tx>
            <c:v>Tsiropoulos, 2018 (ProRES scenario)</c:v>
          </c:tx>
          <c:spPr>
            <a:ln w="28575" cmpd="sng">
              <a:solidFill>
                <a:schemeClr val="accent3"/>
              </a:solidFill>
            </a:ln>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PV!$F$5:$F$40</c:f>
              <c:numCache>
                <c:formatCode>0.0%</c:formatCode>
                <c:ptCount val="36"/>
                <c:pt idx="0">
                  <c:v>1.7000000000000001E-2</c:v>
                </c:pt>
                <c:pt idx="5">
                  <c:v>1.7000000000000001E-2</c:v>
                </c:pt>
                <c:pt idx="16">
                  <c:v>1.7000000000000001E-2</c:v>
                </c:pt>
                <c:pt idx="25">
                  <c:v>1.7000000000000001E-2</c:v>
                </c:pt>
                <c:pt idx="35">
                  <c:v>1.7000000000000001E-2</c:v>
                </c:pt>
              </c:numCache>
            </c:numRef>
          </c:val>
          <c:smooth val="0"/>
          <c:extLst>
            <c:ext xmlns:c16="http://schemas.microsoft.com/office/drawing/2014/chart" uri="{C3380CC4-5D6E-409C-BE32-E72D297353CC}">
              <c16:uniqueId val="{00000001-8C6D-6D45-95A6-3C28A7FA4F62}"/>
            </c:ext>
          </c:extLst>
        </c:ser>
        <c:ser>
          <c:idx val="2"/>
          <c:order val="2"/>
          <c:tx>
            <c:v>Agora, 2019 (reference scenario)</c:v>
          </c:tx>
          <c:spPr>
            <a:ln w="28575" cmpd="sng">
              <a:solidFill>
                <a:schemeClr val="accent4"/>
              </a:solidFill>
            </a:ln>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PV!$G$5:$G$40</c:f>
              <c:numCache>
                <c:formatCode>General</c:formatCode>
                <c:ptCount val="36"/>
                <c:pt idx="5" formatCode="0.0%">
                  <c:v>1.4999999999999999E-2</c:v>
                </c:pt>
                <c:pt idx="16" formatCode="0.0%">
                  <c:v>1.4999999999999999E-2</c:v>
                </c:pt>
                <c:pt idx="35" formatCode="0.0%">
                  <c:v>1.4999999999999999E-2</c:v>
                </c:pt>
              </c:numCache>
            </c:numRef>
          </c:val>
          <c:smooth val="0"/>
          <c:extLst>
            <c:ext xmlns:c16="http://schemas.microsoft.com/office/drawing/2014/chart" uri="{C3380CC4-5D6E-409C-BE32-E72D297353CC}">
              <c16:uniqueId val="{00000002-8C6D-6D45-95A6-3C28A7FA4F62}"/>
            </c:ext>
          </c:extLst>
        </c:ser>
        <c:dLbls>
          <c:showLegendKey val="0"/>
          <c:showVal val="0"/>
          <c:showCatName val="0"/>
          <c:showSerName val="0"/>
          <c:showPercent val="0"/>
          <c:showBubbleSize val="0"/>
        </c:dLbls>
        <c:smooth val="0"/>
        <c:axId val="415442854"/>
        <c:axId val="371554595"/>
      </c:lineChart>
      <c:catAx>
        <c:axId val="415442854"/>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371554595"/>
        <c:crosses val="autoZero"/>
        <c:auto val="1"/>
        <c:lblAlgn val="ctr"/>
        <c:lblOffset val="100"/>
        <c:noMultiLvlLbl val="1"/>
      </c:catAx>
      <c:valAx>
        <c:axId val="371554595"/>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0%" sourceLinked="1"/>
        <c:majorTickMark val="none"/>
        <c:minorTickMark val="none"/>
        <c:tickLblPos val="nextTo"/>
        <c:spPr>
          <a:ln/>
        </c:spPr>
        <c:txPr>
          <a:bodyPr/>
          <a:lstStyle/>
          <a:p>
            <a:pPr lvl="0">
              <a:defRPr sz="1400" b="0" i="0">
                <a:solidFill>
                  <a:srgbClr val="000000"/>
                </a:solidFill>
                <a:latin typeface="+mn-lt"/>
              </a:defRPr>
            </a:pPr>
            <a:endParaRPr lang="en-US"/>
          </a:p>
        </c:txPr>
        <c:crossAx val="415442854"/>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Utility-Scale PV lifetime in years:
High / low scenario </a:t>
            </a:r>
          </a:p>
        </c:rich>
      </c:tx>
      <c:overlay val="0"/>
    </c:title>
    <c:autoTitleDeleted val="0"/>
    <c:plotArea>
      <c:layout/>
      <c:barChart>
        <c:barDir val="col"/>
        <c:grouping val="clustered"/>
        <c:varyColors val="1"/>
        <c:ser>
          <c:idx val="0"/>
          <c:order val="0"/>
          <c:tx>
            <c:v>Vartiainen, 2020</c:v>
          </c:tx>
          <c:spPr>
            <a:solidFill>
              <a:srgbClr val="4472C4"/>
            </a:solidFill>
            <a:ln cmpd="sng">
              <a:solidFill>
                <a:srgbClr val="000000"/>
              </a:solidFill>
            </a:ln>
          </c:spPr>
          <c:invertIfNegative val="1"/>
          <c:cat>
            <c:numRef>
              <c:f>PV!$A$5</c:f>
              <c:numCache>
                <c:formatCode>General</c:formatCode>
                <c:ptCount val="1"/>
                <c:pt idx="0">
                  <c:v>2015</c:v>
                </c:pt>
              </c:numCache>
            </c:numRef>
          </c:cat>
          <c:val>
            <c:numRef>
              <c:f>PV!$H$5</c:f>
              <c:numCache>
                <c:formatCode>0</c:formatCode>
                <c:ptCount val="1"/>
                <c:pt idx="0">
                  <c:v>30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705-1442-991F-A0F3A93FAE9A}"/>
            </c:ext>
          </c:extLst>
        </c:ser>
        <c:ser>
          <c:idx val="1"/>
          <c:order val="1"/>
          <c:tx>
            <c:v>Tsiropoulos, 2018 (ProRES scenario)</c:v>
          </c:tx>
          <c:spPr>
            <a:solidFill>
              <a:srgbClr val="A5A5A5"/>
            </a:solidFill>
            <a:ln cmpd="sng">
              <a:solidFill>
                <a:srgbClr val="000000"/>
              </a:solidFill>
            </a:ln>
          </c:spPr>
          <c:invertIfNegative val="1"/>
          <c:cat>
            <c:numRef>
              <c:f>PV!$A$5</c:f>
              <c:numCache>
                <c:formatCode>General</c:formatCode>
                <c:ptCount val="1"/>
                <c:pt idx="0">
                  <c:v>2015</c:v>
                </c:pt>
              </c:numCache>
            </c:numRef>
          </c:cat>
          <c:val>
            <c:numRef>
              <c:f>PV!$I$5</c:f>
              <c:numCache>
                <c:formatCode>0</c:formatCode>
                <c:ptCount val="1"/>
                <c:pt idx="0">
                  <c:v>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E705-1442-991F-A0F3A93FAE9A}"/>
            </c:ext>
          </c:extLst>
        </c:ser>
        <c:ser>
          <c:idx val="2"/>
          <c:order val="2"/>
          <c:tx>
            <c:v>Agora, 2019 (reference scenario)</c:v>
          </c:tx>
          <c:spPr>
            <a:solidFill>
              <a:srgbClr val="FFC000"/>
            </a:solidFill>
            <a:ln cmpd="sng">
              <a:solidFill>
                <a:srgbClr val="000000"/>
              </a:solidFill>
            </a:ln>
          </c:spPr>
          <c:invertIfNegative val="1"/>
          <c:cat>
            <c:numRef>
              <c:f>PV!$A$5</c:f>
              <c:numCache>
                <c:formatCode>General</c:formatCode>
                <c:ptCount val="1"/>
                <c:pt idx="0">
                  <c:v>2015</c:v>
                </c:pt>
              </c:numCache>
            </c:numRef>
          </c:cat>
          <c:val>
            <c:numRef>
              <c:f>PV!$J$5</c:f>
              <c:numCache>
                <c:formatCode>0</c:formatCode>
                <c:ptCount val="1"/>
                <c:pt idx="0">
                  <c:v>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E705-1442-991F-A0F3A93FAE9A}"/>
            </c:ext>
          </c:extLst>
        </c:ser>
        <c:dLbls>
          <c:showLegendKey val="0"/>
          <c:showVal val="0"/>
          <c:showCatName val="0"/>
          <c:showSerName val="0"/>
          <c:showPercent val="0"/>
          <c:showBubbleSize val="0"/>
        </c:dLbls>
        <c:gapWidth val="150"/>
        <c:axId val="341706846"/>
        <c:axId val="1047506469"/>
      </c:barChart>
      <c:catAx>
        <c:axId val="341706846"/>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1047506469"/>
        <c:crosses val="autoZero"/>
        <c:auto val="1"/>
        <c:lblAlgn val="ctr"/>
        <c:lblOffset val="100"/>
        <c:noMultiLvlLbl val="1"/>
      </c:catAx>
      <c:valAx>
        <c:axId val="1047506469"/>
        <c:scaling>
          <c:orientation val="minMax"/>
          <c:min val="0"/>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 sourceLinked="1"/>
        <c:majorTickMark val="none"/>
        <c:minorTickMark val="none"/>
        <c:tickLblPos val="nextTo"/>
        <c:spPr>
          <a:ln/>
        </c:spPr>
        <c:txPr>
          <a:bodyPr/>
          <a:lstStyle/>
          <a:p>
            <a:pPr lvl="0">
              <a:defRPr sz="1400" b="0" i="0">
                <a:solidFill>
                  <a:srgbClr val="000000"/>
                </a:solidFill>
                <a:latin typeface="+mn-lt"/>
              </a:defRPr>
            </a:pPr>
            <a:endParaRPr lang="en-US"/>
          </a:p>
        </c:txPr>
        <c:crossAx val="341706846"/>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H2 storage OPEX in % of CAPEX p.a.</a:t>
            </a:r>
          </a:p>
        </c:rich>
      </c:tx>
      <c:overlay val="0"/>
    </c:title>
    <c:autoTitleDeleted val="0"/>
    <c:plotArea>
      <c:layout/>
      <c:lineChart>
        <c:grouping val="standard"/>
        <c:varyColors val="1"/>
        <c:dLbls>
          <c:showLegendKey val="0"/>
          <c:showVal val="0"/>
          <c:showCatName val="0"/>
          <c:showSerName val="0"/>
          <c:showPercent val="0"/>
          <c:showBubbleSize val="0"/>
        </c:dLbls>
        <c:marker val="1"/>
        <c:smooth val="0"/>
        <c:axId val="1622261643"/>
        <c:axId val="1748942449"/>
      </c:lineChart>
      <c:catAx>
        <c:axId val="1622261643"/>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1748942449"/>
        <c:crosses val="autoZero"/>
        <c:auto val="1"/>
        <c:lblAlgn val="ctr"/>
        <c:lblOffset val="100"/>
        <c:noMultiLvlLbl val="1"/>
      </c:catAx>
      <c:valAx>
        <c:axId val="1748942449"/>
        <c:scaling>
          <c:orientation val="minMax"/>
        </c:scaling>
        <c:delete val="0"/>
        <c:axPos val="l"/>
        <c:majorTickMark val="cross"/>
        <c:minorTickMark val="cross"/>
        <c:tickLblPos val="nextTo"/>
        <c:spPr>
          <a:ln>
            <a:noFill/>
          </a:ln>
        </c:spPr>
        <c:crossAx val="1622261643"/>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H2 storage lifetime in years</a:t>
            </a:r>
          </a:p>
        </c:rich>
      </c:tx>
      <c:overlay val="0"/>
    </c:title>
    <c:autoTitleDeleted val="0"/>
    <c:plotArea>
      <c:layout/>
      <c:barChart>
        <c:barDir val="col"/>
        <c:grouping val="clustered"/>
        <c:varyColors val="1"/>
        <c:ser>
          <c:idx val="0"/>
          <c:order val="0"/>
          <c:invertIfNegative val="1"/>
          <c:cat>
            <c:numRef>
              <c:f>'H2 storage'!$M$10</c:f>
              <c:numCache>
                <c:formatCode>General</c:formatCode>
                <c:ptCount val="1"/>
              </c:numCache>
            </c:numRef>
          </c:cat>
          <c:val>
            <c:numRef>
              <c:f>'H2 storage'!$N$7</c:f>
              <c:numCache>
                <c:formatCode>General</c:formatCode>
                <c:ptCount val="1"/>
              </c:numCache>
            </c:numRef>
          </c:val>
          <c:extLst>
            <c:ext xmlns:c16="http://schemas.microsoft.com/office/drawing/2014/chart" uri="{C3380CC4-5D6E-409C-BE32-E72D297353CC}">
              <c16:uniqueId val="{00000000-7442-3C44-82D1-88D9FAFAA26F}"/>
            </c:ext>
          </c:extLst>
        </c:ser>
        <c:dLbls>
          <c:showLegendKey val="0"/>
          <c:showVal val="0"/>
          <c:showCatName val="0"/>
          <c:showSerName val="0"/>
          <c:showPercent val="0"/>
          <c:showBubbleSize val="0"/>
        </c:dLbls>
        <c:gapWidth val="150"/>
        <c:axId val="743091111"/>
        <c:axId val="2052406049"/>
      </c:barChart>
      <c:catAx>
        <c:axId val="743091111"/>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2052406049"/>
        <c:crosses val="autoZero"/>
        <c:auto val="1"/>
        <c:lblAlgn val="ctr"/>
        <c:lblOffset val="100"/>
        <c:noMultiLvlLbl val="1"/>
      </c:catAx>
      <c:valAx>
        <c:axId val="2052406049"/>
        <c:scaling>
          <c:orientation val="minMax"/>
        </c:scaling>
        <c:delete val="0"/>
        <c:axPos val="l"/>
        <c:numFmt formatCode="General" sourceLinked="1"/>
        <c:majorTickMark val="cross"/>
        <c:minorTickMark val="cross"/>
        <c:tickLblPos val="nextTo"/>
        <c:spPr>
          <a:ln>
            <a:noFill/>
          </a:ln>
        </c:spPr>
        <c:crossAx val="743091111"/>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Utility-Scale PV lifetime in years:
High / low scenario </a:t>
            </a:r>
          </a:p>
        </c:rich>
      </c:tx>
      <c:overlay val="0"/>
    </c:title>
    <c:autoTitleDeleted val="0"/>
    <c:plotArea>
      <c:layout/>
      <c:barChart>
        <c:barDir val="col"/>
        <c:grouping val="clustered"/>
        <c:varyColors val="1"/>
        <c:ser>
          <c:idx val="0"/>
          <c:order val="0"/>
          <c:tx>
            <c:v>Vartiainen, 2020</c:v>
          </c:tx>
          <c:spPr>
            <a:solidFill>
              <a:srgbClr val="4472C4"/>
            </a:solidFill>
            <a:ln cmpd="sng">
              <a:solidFill>
                <a:srgbClr val="000000"/>
              </a:solidFill>
            </a:ln>
          </c:spPr>
          <c:invertIfNegative val="1"/>
          <c:cat>
            <c:numRef>
              <c:f>PV!$A$5</c:f>
              <c:numCache>
                <c:formatCode>General</c:formatCode>
                <c:ptCount val="1"/>
                <c:pt idx="0">
                  <c:v>2015</c:v>
                </c:pt>
              </c:numCache>
            </c:numRef>
          </c:cat>
          <c:val>
            <c:numRef>
              <c:f>PV!$H$5</c:f>
              <c:numCache>
                <c:formatCode>0</c:formatCode>
                <c:ptCount val="1"/>
                <c:pt idx="0">
                  <c:v>30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6D5-5E4E-AE3A-F4DE39062C1A}"/>
            </c:ext>
          </c:extLst>
        </c:ser>
        <c:ser>
          <c:idx val="1"/>
          <c:order val="1"/>
          <c:tx>
            <c:v>Tsiropoulos, 2018 (ProRES scenario)</c:v>
          </c:tx>
          <c:spPr>
            <a:solidFill>
              <a:srgbClr val="A5A5A5"/>
            </a:solidFill>
            <a:ln cmpd="sng">
              <a:solidFill>
                <a:srgbClr val="000000"/>
              </a:solidFill>
            </a:ln>
          </c:spPr>
          <c:invertIfNegative val="1"/>
          <c:cat>
            <c:numRef>
              <c:f>PV!$A$5</c:f>
              <c:numCache>
                <c:formatCode>General</c:formatCode>
                <c:ptCount val="1"/>
                <c:pt idx="0">
                  <c:v>2015</c:v>
                </c:pt>
              </c:numCache>
            </c:numRef>
          </c:cat>
          <c:val>
            <c:numRef>
              <c:f>PV!$I$5</c:f>
              <c:numCache>
                <c:formatCode>0</c:formatCode>
                <c:ptCount val="1"/>
                <c:pt idx="0">
                  <c:v>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E6D5-5E4E-AE3A-F4DE39062C1A}"/>
            </c:ext>
          </c:extLst>
        </c:ser>
        <c:ser>
          <c:idx val="2"/>
          <c:order val="2"/>
          <c:tx>
            <c:v>Agora, 2019 (reference scenario)</c:v>
          </c:tx>
          <c:spPr>
            <a:solidFill>
              <a:srgbClr val="FFC000"/>
            </a:solidFill>
            <a:ln cmpd="sng">
              <a:solidFill>
                <a:srgbClr val="000000"/>
              </a:solidFill>
            </a:ln>
          </c:spPr>
          <c:invertIfNegative val="1"/>
          <c:cat>
            <c:numRef>
              <c:f>PV!$A$5</c:f>
              <c:numCache>
                <c:formatCode>General</c:formatCode>
                <c:ptCount val="1"/>
                <c:pt idx="0">
                  <c:v>2015</c:v>
                </c:pt>
              </c:numCache>
            </c:numRef>
          </c:cat>
          <c:val>
            <c:numRef>
              <c:f>PV!$J$5</c:f>
              <c:numCache>
                <c:formatCode>0</c:formatCode>
                <c:ptCount val="1"/>
                <c:pt idx="0">
                  <c:v>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E6D5-5E4E-AE3A-F4DE39062C1A}"/>
            </c:ext>
          </c:extLst>
        </c:ser>
        <c:dLbls>
          <c:showLegendKey val="0"/>
          <c:showVal val="0"/>
          <c:showCatName val="0"/>
          <c:showSerName val="0"/>
          <c:showPercent val="0"/>
          <c:showBubbleSize val="0"/>
        </c:dLbls>
        <c:gapWidth val="150"/>
        <c:axId val="1677749749"/>
        <c:axId val="560903586"/>
      </c:barChart>
      <c:catAx>
        <c:axId val="1677749749"/>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560903586"/>
        <c:crosses val="autoZero"/>
        <c:auto val="1"/>
        <c:lblAlgn val="ctr"/>
        <c:lblOffset val="100"/>
        <c:noMultiLvlLbl val="1"/>
      </c:catAx>
      <c:valAx>
        <c:axId val="560903586"/>
        <c:scaling>
          <c:orientation val="minMax"/>
          <c:min val="0"/>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 sourceLinked="1"/>
        <c:majorTickMark val="none"/>
        <c:minorTickMark val="none"/>
        <c:tickLblPos val="nextTo"/>
        <c:spPr>
          <a:ln/>
        </c:spPr>
        <c:txPr>
          <a:bodyPr/>
          <a:lstStyle/>
          <a:p>
            <a:pPr lvl="0">
              <a:defRPr sz="1400" b="0" i="0">
                <a:solidFill>
                  <a:srgbClr val="000000"/>
                </a:solidFill>
                <a:latin typeface="+mn-lt"/>
              </a:defRPr>
            </a:pPr>
            <a:endParaRPr lang="en-US"/>
          </a:p>
        </c:txPr>
        <c:crossAx val="1677749749"/>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H2 storage cycle efficiency</a:t>
            </a:r>
          </a:p>
        </c:rich>
      </c:tx>
      <c:overlay val="0"/>
    </c:title>
    <c:autoTitleDeleted val="0"/>
    <c:plotArea>
      <c:layout/>
      <c:lineChart>
        <c:grouping val="standard"/>
        <c:varyColors val="1"/>
        <c:dLbls>
          <c:showLegendKey val="0"/>
          <c:showVal val="0"/>
          <c:showCatName val="0"/>
          <c:showSerName val="0"/>
          <c:showPercent val="0"/>
          <c:showBubbleSize val="0"/>
        </c:dLbls>
        <c:marker val="1"/>
        <c:smooth val="0"/>
        <c:axId val="1766159225"/>
        <c:axId val="913240827"/>
      </c:lineChart>
      <c:catAx>
        <c:axId val="1766159225"/>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out"/>
        <c:minorTickMark val="none"/>
        <c:tickLblPos val="nextTo"/>
        <c:txPr>
          <a:bodyPr/>
          <a:lstStyle/>
          <a:p>
            <a:pPr lvl="0">
              <a:defRPr sz="1400" b="0" i="0">
                <a:solidFill>
                  <a:srgbClr val="000000"/>
                </a:solidFill>
                <a:latin typeface="+mn-lt"/>
              </a:defRPr>
            </a:pPr>
            <a:endParaRPr lang="en-US"/>
          </a:p>
        </c:txPr>
        <c:crossAx val="913240827"/>
        <c:crosses val="autoZero"/>
        <c:auto val="1"/>
        <c:lblAlgn val="ctr"/>
        <c:lblOffset val="100"/>
        <c:noMultiLvlLbl val="1"/>
      </c:catAx>
      <c:valAx>
        <c:axId val="913240827"/>
        <c:scaling>
          <c:orientation val="minMax"/>
        </c:scaling>
        <c:delete val="0"/>
        <c:axPos val="l"/>
        <c:majorTickMark val="cross"/>
        <c:minorTickMark val="cross"/>
        <c:tickLblPos val="nextTo"/>
        <c:spPr>
          <a:ln>
            <a:noFill/>
          </a:ln>
        </c:spPr>
        <c:crossAx val="1766159225"/>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off-shore wind CAPEX in EUR/kWp</a:t>
            </a:r>
          </a:p>
        </c:rich>
      </c:tx>
      <c:overlay val="0"/>
    </c:title>
    <c:autoTitleDeleted val="0"/>
    <c:plotArea>
      <c:layout/>
      <c:lineChart>
        <c:grouping val="standard"/>
        <c:varyColors val="0"/>
        <c:ser>
          <c:idx val="0"/>
          <c:order val="0"/>
          <c:tx>
            <c:v>Agora, 2019 (reference scenario)</c:v>
          </c:tx>
          <c:spPr>
            <a:ln w="28575" cmpd="sng">
              <a:solidFill>
                <a:schemeClr val="accent1"/>
              </a:solidFill>
            </a:ln>
          </c:spPr>
          <c:marker>
            <c:symbol val="none"/>
          </c:marker>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electrolyser!$B$5:$B$40</c:f>
              <c:numCache>
                <c:formatCode>General</c:formatCode>
                <c:ptCount val="36"/>
                <c:pt idx="5">
                  <c:v>737</c:v>
                </c:pt>
                <c:pt idx="15">
                  <c:v>625</c:v>
                </c:pt>
                <c:pt idx="35">
                  <c:v>500</c:v>
                </c:pt>
              </c:numCache>
            </c:numRef>
          </c:val>
          <c:smooth val="0"/>
          <c:extLst>
            <c:ext xmlns:c16="http://schemas.microsoft.com/office/drawing/2014/chart" uri="{C3380CC4-5D6E-409C-BE32-E72D297353CC}">
              <c16:uniqueId val="{00000000-BEA3-C744-B16D-4830EF12C1BF}"/>
            </c:ext>
          </c:extLst>
        </c:ser>
        <c:dLbls>
          <c:showLegendKey val="0"/>
          <c:showVal val="0"/>
          <c:showCatName val="0"/>
          <c:showSerName val="0"/>
          <c:showPercent val="0"/>
          <c:showBubbleSize val="0"/>
        </c:dLbls>
        <c:smooth val="0"/>
        <c:axId val="905918939"/>
        <c:axId val="220071492"/>
      </c:lineChart>
      <c:catAx>
        <c:axId val="905918939"/>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220071492"/>
        <c:crosses val="autoZero"/>
        <c:auto val="1"/>
        <c:lblAlgn val="ctr"/>
        <c:lblOffset val="100"/>
        <c:noMultiLvlLbl val="1"/>
      </c:catAx>
      <c:valAx>
        <c:axId val="22007149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1400" b="0" i="0">
                <a:solidFill>
                  <a:srgbClr val="000000"/>
                </a:solidFill>
                <a:latin typeface="+mn-lt"/>
              </a:defRPr>
            </a:pPr>
            <a:endParaRPr lang="en-US"/>
          </a:p>
        </c:txPr>
        <c:crossAx val="905918939"/>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Utility-Scale PV OPEX in % of CAPEX p.a.:
High / medium / low scenario </a:t>
            </a:r>
          </a:p>
        </c:rich>
      </c:tx>
      <c:overlay val="0"/>
    </c:title>
    <c:autoTitleDeleted val="0"/>
    <c:plotArea>
      <c:layout/>
      <c:lineChart>
        <c:grouping val="standard"/>
        <c:varyColors val="1"/>
        <c:ser>
          <c:idx val="0"/>
          <c:order val="0"/>
          <c:tx>
            <c:v>Vartiainen, 2020</c:v>
          </c:tx>
          <c:spPr>
            <a:ln w="28575" cmpd="sng">
              <a:solidFill>
                <a:schemeClr val="accent1"/>
              </a:solidFill>
            </a:ln>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PV!$E$5:$E$40</c:f>
              <c:numCache>
                <c:formatCode>0.0%</c:formatCode>
                <c:ptCount val="36"/>
                <c:pt idx="4">
                  <c:v>1.9913419913419911E-2</c:v>
                </c:pt>
                <c:pt idx="5">
                  <c:v>2.0417633410672854E-2</c:v>
                </c:pt>
                <c:pt idx="6">
                  <c:v>2.0689655172413793E-2</c:v>
                </c:pt>
                <c:pt idx="7">
                  <c:v>2.1093749999999998E-2</c:v>
                </c:pt>
                <c:pt idx="8">
                  <c:v>2.1369863013698628E-2</c:v>
                </c:pt>
                <c:pt idx="9">
                  <c:v>2.1839080459770115E-2</c:v>
                </c:pt>
                <c:pt idx="10">
                  <c:v>2.2222222222222223E-2</c:v>
                </c:pt>
                <c:pt idx="11">
                  <c:v>2.2257053291536048E-2</c:v>
                </c:pt>
                <c:pt idx="12">
                  <c:v>2.2475570032573292E-2</c:v>
                </c:pt>
                <c:pt idx="13">
                  <c:v>2.2635135135135136E-2</c:v>
                </c:pt>
                <c:pt idx="14">
                  <c:v>2.3157894736842103E-2</c:v>
                </c:pt>
                <c:pt idx="15">
                  <c:v>2.3272727272727275E-2</c:v>
                </c:pt>
                <c:pt idx="16">
                  <c:v>2.3308270676691729E-2</c:v>
                </c:pt>
                <c:pt idx="17">
                  <c:v>2.3735408560311283E-2</c:v>
                </c:pt>
                <c:pt idx="18">
                  <c:v>2.3694779116465864E-2</c:v>
                </c:pt>
                <c:pt idx="19">
                  <c:v>2.3966942148760328E-2</c:v>
                </c:pt>
                <c:pt idx="20">
                  <c:v>2.3829787234042551E-2</c:v>
                </c:pt>
                <c:pt idx="21">
                  <c:v>2.4122807017543858E-2</c:v>
                </c:pt>
                <c:pt idx="22">
                  <c:v>2.4434389140271493E-2</c:v>
                </c:pt>
                <c:pt idx="23">
                  <c:v>2.4651162790697675E-2</c:v>
                </c:pt>
                <c:pt idx="24">
                  <c:v>2.4401913875598084E-2</c:v>
                </c:pt>
                <c:pt idx="25">
                  <c:v>2.4509803921568627E-2</c:v>
                </c:pt>
                <c:pt idx="26">
                  <c:v>2.4623115577889449E-2</c:v>
                </c:pt>
                <c:pt idx="27">
                  <c:v>2.4742268041237112E-2</c:v>
                </c:pt>
                <c:pt idx="28">
                  <c:v>2.4867724867724868E-2</c:v>
                </c:pt>
                <c:pt idx="29">
                  <c:v>2.4864864864864864E-2</c:v>
                </c:pt>
                <c:pt idx="30">
                  <c:v>2.5414364640883976E-2</c:v>
                </c:pt>
                <c:pt idx="31">
                  <c:v>2.5423728813559324E-2</c:v>
                </c:pt>
                <c:pt idx="32">
                  <c:v>2.5287356321839084E-2</c:v>
                </c:pt>
                <c:pt idx="33">
                  <c:v>2.5294117647058821E-2</c:v>
                </c:pt>
                <c:pt idx="34">
                  <c:v>2.5149700598802397E-2</c:v>
                </c:pt>
                <c:pt idx="35">
                  <c:v>2.5609756097560978E-2</c:v>
                </c:pt>
              </c:numCache>
            </c:numRef>
          </c:val>
          <c:smooth val="0"/>
          <c:extLst>
            <c:ext xmlns:c16="http://schemas.microsoft.com/office/drawing/2014/chart" uri="{C3380CC4-5D6E-409C-BE32-E72D297353CC}">
              <c16:uniqueId val="{00000000-3864-784A-9348-BF9904FD2F75}"/>
            </c:ext>
          </c:extLst>
        </c:ser>
        <c:ser>
          <c:idx val="1"/>
          <c:order val="1"/>
          <c:tx>
            <c:v>Tsiropoulos, 2018 (ProRES scenario)</c:v>
          </c:tx>
          <c:spPr>
            <a:ln w="28575" cmpd="sng">
              <a:solidFill>
                <a:schemeClr val="accent3"/>
              </a:solidFill>
            </a:ln>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PV!$F$5:$F$40</c:f>
              <c:numCache>
                <c:formatCode>0.0%</c:formatCode>
                <c:ptCount val="36"/>
                <c:pt idx="0">
                  <c:v>1.7000000000000001E-2</c:v>
                </c:pt>
                <c:pt idx="5">
                  <c:v>1.7000000000000001E-2</c:v>
                </c:pt>
                <c:pt idx="16">
                  <c:v>1.7000000000000001E-2</c:v>
                </c:pt>
                <c:pt idx="25">
                  <c:v>1.7000000000000001E-2</c:v>
                </c:pt>
                <c:pt idx="35">
                  <c:v>1.7000000000000001E-2</c:v>
                </c:pt>
              </c:numCache>
            </c:numRef>
          </c:val>
          <c:smooth val="0"/>
          <c:extLst>
            <c:ext xmlns:c16="http://schemas.microsoft.com/office/drawing/2014/chart" uri="{C3380CC4-5D6E-409C-BE32-E72D297353CC}">
              <c16:uniqueId val="{00000001-3864-784A-9348-BF9904FD2F75}"/>
            </c:ext>
          </c:extLst>
        </c:ser>
        <c:ser>
          <c:idx val="2"/>
          <c:order val="2"/>
          <c:tx>
            <c:v>Agora, 2019 (reference scenario)</c:v>
          </c:tx>
          <c:spPr>
            <a:ln w="28575" cmpd="sng">
              <a:solidFill>
                <a:schemeClr val="accent4"/>
              </a:solidFill>
            </a:ln>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PV!$G$5:$G$40</c:f>
              <c:numCache>
                <c:formatCode>General</c:formatCode>
                <c:ptCount val="36"/>
                <c:pt idx="5" formatCode="0.0%">
                  <c:v>1.4999999999999999E-2</c:v>
                </c:pt>
                <c:pt idx="16" formatCode="0.0%">
                  <c:v>1.4999999999999999E-2</c:v>
                </c:pt>
                <c:pt idx="35" formatCode="0.0%">
                  <c:v>1.4999999999999999E-2</c:v>
                </c:pt>
              </c:numCache>
            </c:numRef>
          </c:val>
          <c:smooth val="0"/>
          <c:extLst>
            <c:ext xmlns:c16="http://schemas.microsoft.com/office/drawing/2014/chart" uri="{C3380CC4-5D6E-409C-BE32-E72D297353CC}">
              <c16:uniqueId val="{00000002-3864-784A-9348-BF9904FD2F75}"/>
            </c:ext>
          </c:extLst>
        </c:ser>
        <c:dLbls>
          <c:showLegendKey val="0"/>
          <c:showVal val="0"/>
          <c:showCatName val="0"/>
          <c:showSerName val="0"/>
          <c:showPercent val="0"/>
          <c:showBubbleSize val="0"/>
        </c:dLbls>
        <c:smooth val="0"/>
        <c:axId val="379182827"/>
        <c:axId val="1026889694"/>
      </c:lineChart>
      <c:catAx>
        <c:axId val="379182827"/>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1026889694"/>
        <c:crosses val="autoZero"/>
        <c:auto val="1"/>
        <c:lblAlgn val="ctr"/>
        <c:lblOffset val="100"/>
        <c:noMultiLvlLbl val="1"/>
      </c:catAx>
      <c:valAx>
        <c:axId val="1026889694"/>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0%" sourceLinked="1"/>
        <c:majorTickMark val="none"/>
        <c:minorTickMark val="none"/>
        <c:tickLblPos val="nextTo"/>
        <c:spPr>
          <a:ln/>
        </c:spPr>
        <c:txPr>
          <a:bodyPr/>
          <a:lstStyle/>
          <a:p>
            <a:pPr lvl="0">
              <a:defRPr sz="1400" b="0" i="0">
                <a:solidFill>
                  <a:srgbClr val="000000"/>
                </a:solidFill>
                <a:latin typeface="+mn-lt"/>
              </a:defRPr>
            </a:pPr>
            <a:endParaRPr lang="en-US"/>
          </a:p>
        </c:txPr>
        <c:crossAx val="379182827"/>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Utility-Scale PV OPEX in % of CAPEX p.a.:
High / medium / low scenario </a:t>
            </a:r>
          </a:p>
        </c:rich>
      </c:tx>
      <c:overlay val="0"/>
    </c:title>
    <c:autoTitleDeleted val="0"/>
    <c:plotArea>
      <c:layout/>
      <c:lineChart>
        <c:grouping val="standard"/>
        <c:varyColors val="1"/>
        <c:ser>
          <c:idx val="0"/>
          <c:order val="0"/>
          <c:tx>
            <c:v>Vartiainen, 2020</c:v>
          </c:tx>
          <c:spPr>
            <a:ln w="28575" cmpd="sng">
              <a:solidFill>
                <a:schemeClr val="accent1"/>
              </a:solidFill>
            </a:ln>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PV!$E$5:$E$40</c:f>
              <c:numCache>
                <c:formatCode>0.0%</c:formatCode>
                <c:ptCount val="36"/>
                <c:pt idx="4">
                  <c:v>1.9913419913419911E-2</c:v>
                </c:pt>
                <c:pt idx="5">
                  <c:v>2.0417633410672854E-2</c:v>
                </c:pt>
                <c:pt idx="6">
                  <c:v>2.0689655172413793E-2</c:v>
                </c:pt>
                <c:pt idx="7">
                  <c:v>2.1093749999999998E-2</c:v>
                </c:pt>
                <c:pt idx="8">
                  <c:v>2.1369863013698628E-2</c:v>
                </c:pt>
                <c:pt idx="9">
                  <c:v>2.1839080459770115E-2</c:v>
                </c:pt>
                <c:pt idx="10">
                  <c:v>2.2222222222222223E-2</c:v>
                </c:pt>
                <c:pt idx="11">
                  <c:v>2.2257053291536048E-2</c:v>
                </c:pt>
                <c:pt idx="12">
                  <c:v>2.2475570032573292E-2</c:v>
                </c:pt>
                <c:pt idx="13">
                  <c:v>2.2635135135135136E-2</c:v>
                </c:pt>
                <c:pt idx="14">
                  <c:v>2.3157894736842103E-2</c:v>
                </c:pt>
                <c:pt idx="15">
                  <c:v>2.3272727272727275E-2</c:v>
                </c:pt>
                <c:pt idx="16">
                  <c:v>2.3308270676691729E-2</c:v>
                </c:pt>
                <c:pt idx="17">
                  <c:v>2.3735408560311283E-2</c:v>
                </c:pt>
                <c:pt idx="18">
                  <c:v>2.3694779116465864E-2</c:v>
                </c:pt>
                <c:pt idx="19">
                  <c:v>2.3966942148760328E-2</c:v>
                </c:pt>
                <c:pt idx="20">
                  <c:v>2.3829787234042551E-2</c:v>
                </c:pt>
                <c:pt idx="21">
                  <c:v>2.4122807017543858E-2</c:v>
                </c:pt>
                <c:pt idx="22">
                  <c:v>2.4434389140271493E-2</c:v>
                </c:pt>
                <c:pt idx="23">
                  <c:v>2.4651162790697675E-2</c:v>
                </c:pt>
                <c:pt idx="24">
                  <c:v>2.4401913875598084E-2</c:v>
                </c:pt>
                <c:pt idx="25">
                  <c:v>2.4509803921568627E-2</c:v>
                </c:pt>
                <c:pt idx="26">
                  <c:v>2.4623115577889449E-2</c:v>
                </c:pt>
                <c:pt idx="27">
                  <c:v>2.4742268041237112E-2</c:v>
                </c:pt>
                <c:pt idx="28">
                  <c:v>2.4867724867724868E-2</c:v>
                </c:pt>
                <c:pt idx="29">
                  <c:v>2.4864864864864864E-2</c:v>
                </c:pt>
                <c:pt idx="30">
                  <c:v>2.5414364640883976E-2</c:v>
                </c:pt>
                <c:pt idx="31">
                  <c:v>2.5423728813559324E-2</c:v>
                </c:pt>
                <c:pt idx="32">
                  <c:v>2.5287356321839084E-2</c:v>
                </c:pt>
                <c:pt idx="33">
                  <c:v>2.5294117647058821E-2</c:v>
                </c:pt>
                <c:pt idx="34">
                  <c:v>2.5149700598802397E-2</c:v>
                </c:pt>
                <c:pt idx="35">
                  <c:v>2.5609756097560978E-2</c:v>
                </c:pt>
              </c:numCache>
            </c:numRef>
          </c:val>
          <c:smooth val="0"/>
          <c:extLst>
            <c:ext xmlns:c16="http://schemas.microsoft.com/office/drawing/2014/chart" uri="{C3380CC4-5D6E-409C-BE32-E72D297353CC}">
              <c16:uniqueId val="{00000000-2707-1044-9A69-AD8259BECBAD}"/>
            </c:ext>
          </c:extLst>
        </c:ser>
        <c:ser>
          <c:idx val="1"/>
          <c:order val="1"/>
          <c:tx>
            <c:v>Tsiropoulos, 2018 (ProRES scenario)</c:v>
          </c:tx>
          <c:spPr>
            <a:ln w="28575" cmpd="sng">
              <a:solidFill>
                <a:schemeClr val="accent3"/>
              </a:solidFill>
            </a:ln>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PV!$F$5:$F$40</c:f>
              <c:numCache>
                <c:formatCode>0.0%</c:formatCode>
                <c:ptCount val="36"/>
                <c:pt idx="0">
                  <c:v>1.7000000000000001E-2</c:v>
                </c:pt>
                <c:pt idx="5">
                  <c:v>1.7000000000000001E-2</c:v>
                </c:pt>
                <c:pt idx="16">
                  <c:v>1.7000000000000001E-2</c:v>
                </c:pt>
                <c:pt idx="25">
                  <c:v>1.7000000000000001E-2</c:v>
                </c:pt>
                <c:pt idx="35">
                  <c:v>1.7000000000000001E-2</c:v>
                </c:pt>
              </c:numCache>
            </c:numRef>
          </c:val>
          <c:smooth val="0"/>
          <c:extLst>
            <c:ext xmlns:c16="http://schemas.microsoft.com/office/drawing/2014/chart" uri="{C3380CC4-5D6E-409C-BE32-E72D297353CC}">
              <c16:uniqueId val="{00000001-2707-1044-9A69-AD8259BECBAD}"/>
            </c:ext>
          </c:extLst>
        </c:ser>
        <c:ser>
          <c:idx val="2"/>
          <c:order val="2"/>
          <c:tx>
            <c:v>Agora, 2019 (reference scenario)</c:v>
          </c:tx>
          <c:spPr>
            <a:ln w="28575" cmpd="sng">
              <a:solidFill>
                <a:schemeClr val="accent4"/>
              </a:solidFill>
            </a:ln>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PV!$G$5:$G$40</c:f>
              <c:numCache>
                <c:formatCode>General</c:formatCode>
                <c:ptCount val="36"/>
                <c:pt idx="5" formatCode="0.0%">
                  <c:v>1.4999999999999999E-2</c:v>
                </c:pt>
                <c:pt idx="16" formatCode="0.0%">
                  <c:v>1.4999999999999999E-2</c:v>
                </c:pt>
                <c:pt idx="35" formatCode="0.0%">
                  <c:v>1.4999999999999999E-2</c:v>
                </c:pt>
              </c:numCache>
            </c:numRef>
          </c:val>
          <c:smooth val="0"/>
          <c:extLst>
            <c:ext xmlns:c16="http://schemas.microsoft.com/office/drawing/2014/chart" uri="{C3380CC4-5D6E-409C-BE32-E72D297353CC}">
              <c16:uniqueId val="{00000002-2707-1044-9A69-AD8259BECBAD}"/>
            </c:ext>
          </c:extLst>
        </c:ser>
        <c:dLbls>
          <c:showLegendKey val="0"/>
          <c:showVal val="0"/>
          <c:showCatName val="0"/>
          <c:showSerName val="0"/>
          <c:showPercent val="0"/>
          <c:showBubbleSize val="0"/>
        </c:dLbls>
        <c:smooth val="0"/>
        <c:axId val="173548035"/>
        <c:axId val="129066295"/>
      </c:lineChart>
      <c:catAx>
        <c:axId val="173548035"/>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129066295"/>
        <c:crosses val="autoZero"/>
        <c:auto val="1"/>
        <c:lblAlgn val="ctr"/>
        <c:lblOffset val="100"/>
        <c:noMultiLvlLbl val="1"/>
      </c:catAx>
      <c:valAx>
        <c:axId val="129066295"/>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0%" sourceLinked="1"/>
        <c:majorTickMark val="none"/>
        <c:minorTickMark val="none"/>
        <c:tickLblPos val="nextTo"/>
        <c:spPr>
          <a:ln/>
        </c:spPr>
        <c:txPr>
          <a:bodyPr/>
          <a:lstStyle/>
          <a:p>
            <a:pPr lvl="0">
              <a:defRPr sz="1400" b="0" i="0">
                <a:solidFill>
                  <a:srgbClr val="000000"/>
                </a:solidFill>
                <a:latin typeface="+mn-lt"/>
              </a:defRPr>
            </a:pPr>
            <a:endParaRPr lang="en-US"/>
          </a:p>
        </c:txPr>
        <c:crossAx val="173548035"/>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Utility-Scale PV lifetime in years:
High / low scenario </a:t>
            </a:r>
          </a:p>
        </c:rich>
      </c:tx>
      <c:overlay val="0"/>
    </c:title>
    <c:autoTitleDeleted val="0"/>
    <c:plotArea>
      <c:layout/>
      <c:barChart>
        <c:barDir val="col"/>
        <c:grouping val="clustered"/>
        <c:varyColors val="1"/>
        <c:ser>
          <c:idx val="0"/>
          <c:order val="0"/>
          <c:tx>
            <c:v>Vartiainen, 2020</c:v>
          </c:tx>
          <c:spPr>
            <a:solidFill>
              <a:srgbClr val="4472C4"/>
            </a:solidFill>
            <a:ln cmpd="sng">
              <a:solidFill>
                <a:srgbClr val="000000"/>
              </a:solidFill>
            </a:ln>
          </c:spPr>
          <c:invertIfNegative val="1"/>
          <c:cat>
            <c:numRef>
              <c:f>PV!$A$5</c:f>
              <c:numCache>
                <c:formatCode>General</c:formatCode>
                <c:ptCount val="1"/>
                <c:pt idx="0">
                  <c:v>2015</c:v>
                </c:pt>
              </c:numCache>
            </c:numRef>
          </c:cat>
          <c:val>
            <c:numRef>
              <c:f>PV!$H$5</c:f>
              <c:numCache>
                <c:formatCode>0</c:formatCode>
                <c:ptCount val="1"/>
                <c:pt idx="0">
                  <c:v>30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766D-2048-8F80-687761EB550A}"/>
            </c:ext>
          </c:extLst>
        </c:ser>
        <c:ser>
          <c:idx val="1"/>
          <c:order val="1"/>
          <c:tx>
            <c:v>Tsiropoulos, 2018 (ProRES scenario)</c:v>
          </c:tx>
          <c:spPr>
            <a:solidFill>
              <a:srgbClr val="A5A5A5"/>
            </a:solidFill>
            <a:ln cmpd="sng">
              <a:solidFill>
                <a:srgbClr val="000000"/>
              </a:solidFill>
            </a:ln>
          </c:spPr>
          <c:invertIfNegative val="1"/>
          <c:cat>
            <c:numRef>
              <c:f>PV!$A$5</c:f>
              <c:numCache>
                <c:formatCode>General</c:formatCode>
                <c:ptCount val="1"/>
                <c:pt idx="0">
                  <c:v>2015</c:v>
                </c:pt>
              </c:numCache>
            </c:numRef>
          </c:cat>
          <c:val>
            <c:numRef>
              <c:f>PV!$I$5</c:f>
              <c:numCache>
                <c:formatCode>0</c:formatCode>
                <c:ptCount val="1"/>
                <c:pt idx="0">
                  <c:v>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766D-2048-8F80-687761EB550A}"/>
            </c:ext>
          </c:extLst>
        </c:ser>
        <c:ser>
          <c:idx val="2"/>
          <c:order val="2"/>
          <c:tx>
            <c:v>Agora, 2019 (reference scenario)</c:v>
          </c:tx>
          <c:spPr>
            <a:solidFill>
              <a:srgbClr val="FFC000"/>
            </a:solidFill>
            <a:ln cmpd="sng">
              <a:solidFill>
                <a:srgbClr val="000000"/>
              </a:solidFill>
            </a:ln>
          </c:spPr>
          <c:invertIfNegative val="1"/>
          <c:cat>
            <c:numRef>
              <c:f>PV!$A$5</c:f>
              <c:numCache>
                <c:formatCode>General</c:formatCode>
                <c:ptCount val="1"/>
                <c:pt idx="0">
                  <c:v>2015</c:v>
                </c:pt>
              </c:numCache>
            </c:numRef>
          </c:cat>
          <c:val>
            <c:numRef>
              <c:f>PV!$J$5</c:f>
              <c:numCache>
                <c:formatCode>0</c:formatCode>
                <c:ptCount val="1"/>
                <c:pt idx="0">
                  <c:v>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766D-2048-8F80-687761EB550A}"/>
            </c:ext>
          </c:extLst>
        </c:ser>
        <c:dLbls>
          <c:showLegendKey val="0"/>
          <c:showVal val="0"/>
          <c:showCatName val="0"/>
          <c:showSerName val="0"/>
          <c:showPercent val="0"/>
          <c:showBubbleSize val="0"/>
        </c:dLbls>
        <c:gapWidth val="150"/>
        <c:axId val="1635889293"/>
        <c:axId val="1994712435"/>
      </c:barChart>
      <c:catAx>
        <c:axId val="1635889293"/>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1994712435"/>
        <c:crosses val="autoZero"/>
        <c:auto val="1"/>
        <c:lblAlgn val="ctr"/>
        <c:lblOffset val="100"/>
        <c:noMultiLvlLbl val="1"/>
      </c:catAx>
      <c:valAx>
        <c:axId val="1994712435"/>
        <c:scaling>
          <c:orientation val="minMax"/>
          <c:min val="0"/>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 sourceLinked="1"/>
        <c:majorTickMark val="none"/>
        <c:minorTickMark val="none"/>
        <c:tickLblPos val="nextTo"/>
        <c:spPr>
          <a:ln/>
        </c:spPr>
        <c:txPr>
          <a:bodyPr/>
          <a:lstStyle/>
          <a:p>
            <a:pPr lvl="0">
              <a:defRPr sz="1400" b="0" i="0">
                <a:solidFill>
                  <a:srgbClr val="000000"/>
                </a:solidFill>
                <a:latin typeface="+mn-lt"/>
              </a:defRPr>
            </a:pPr>
            <a:endParaRPr lang="en-US"/>
          </a:p>
        </c:txPr>
        <c:crossAx val="1635889293"/>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off-shore wind OPEX in % of CAPEX p.a.</a:t>
            </a:r>
          </a:p>
        </c:rich>
      </c:tx>
      <c:overlay val="0"/>
    </c:title>
    <c:autoTitleDeleted val="0"/>
    <c:plotArea>
      <c:layout/>
      <c:lineChart>
        <c:grouping val="standard"/>
        <c:varyColors val="0"/>
        <c:ser>
          <c:idx val="0"/>
          <c:order val="0"/>
          <c:tx>
            <c:v>Agora, 2019 (reference scenario)</c:v>
          </c:tx>
          <c:spPr>
            <a:ln w="28575" cmpd="sng">
              <a:solidFill>
                <a:schemeClr val="accent1"/>
              </a:solidFill>
            </a:ln>
          </c:spPr>
          <c:marker>
            <c:symbol val="none"/>
          </c:marker>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electrolyser!$J$5:$J$40</c:f>
              <c:numCache>
                <c:formatCode>0.0%</c:formatCode>
                <c:ptCount val="36"/>
                <c:pt idx="5">
                  <c:v>0.03</c:v>
                </c:pt>
                <c:pt idx="15">
                  <c:v>0.03</c:v>
                </c:pt>
                <c:pt idx="35">
                  <c:v>0.03</c:v>
                </c:pt>
              </c:numCache>
            </c:numRef>
          </c:val>
          <c:smooth val="0"/>
          <c:extLst>
            <c:ext xmlns:c16="http://schemas.microsoft.com/office/drawing/2014/chart" uri="{C3380CC4-5D6E-409C-BE32-E72D297353CC}">
              <c16:uniqueId val="{00000000-45FE-8E4F-8218-C2DDFB95D803}"/>
            </c:ext>
          </c:extLst>
        </c:ser>
        <c:dLbls>
          <c:showLegendKey val="0"/>
          <c:showVal val="0"/>
          <c:showCatName val="0"/>
          <c:showSerName val="0"/>
          <c:showPercent val="0"/>
          <c:showBubbleSize val="0"/>
        </c:dLbls>
        <c:smooth val="0"/>
        <c:axId val="977830912"/>
        <c:axId val="1836575346"/>
      </c:lineChart>
      <c:catAx>
        <c:axId val="977830912"/>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1836575346"/>
        <c:crosses val="autoZero"/>
        <c:auto val="1"/>
        <c:lblAlgn val="ctr"/>
        <c:lblOffset val="100"/>
        <c:noMultiLvlLbl val="1"/>
      </c:catAx>
      <c:valAx>
        <c:axId val="1836575346"/>
        <c:scaling>
          <c:orientation val="minMax"/>
          <c:min val="0"/>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0%" sourceLinked="1"/>
        <c:majorTickMark val="none"/>
        <c:minorTickMark val="none"/>
        <c:tickLblPos val="nextTo"/>
        <c:spPr>
          <a:ln/>
        </c:spPr>
        <c:txPr>
          <a:bodyPr/>
          <a:lstStyle/>
          <a:p>
            <a:pPr lvl="0">
              <a:defRPr sz="1400" b="0" i="0">
                <a:solidFill>
                  <a:srgbClr val="000000"/>
                </a:solidFill>
                <a:latin typeface="+mn-lt"/>
              </a:defRPr>
            </a:pPr>
            <a:endParaRPr lang="en-US"/>
          </a:p>
        </c:txPr>
        <c:crossAx val="977830912"/>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off-shore wind lifetime in years</a:t>
            </a:r>
          </a:p>
        </c:rich>
      </c:tx>
      <c:overlay val="0"/>
    </c:title>
    <c:autoTitleDeleted val="0"/>
    <c:plotArea>
      <c:layout/>
      <c:barChart>
        <c:barDir val="col"/>
        <c:grouping val="clustered"/>
        <c:varyColors val="1"/>
        <c:ser>
          <c:idx val="0"/>
          <c:order val="0"/>
          <c:invertIfNegative val="1"/>
          <c:cat>
            <c:numRef>
              <c:f>electrolyser!$R$5</c:f>
              <c:numCache>
                <c:formatCode>0</c:formatCode>
                <c:ptCount val="1"/>
              </c:numCache>
            </c:numRef>
          </c:cat>
          <c:val>
            <c:numRef>
              <c:f>electrolyser!$R$5</c:f>
              <c:numCache>
                <c:formatCode>0</c:formatCode>
                <c:ptCount val="1"/>
              </c:numCache>
            </c:numRef>
          </c:val>
          <c:extLst>
            <c:ext xmlns:c16="http://schemas.microsoft.com/office/drawing/2014/chart" uri="{C3380CC4-5D6E-409C-BE32-E72D297353CC}">
              <c16:uniqueId val="{00000000-B1F7-F24D-B819-C5381409E9D3}"/>
            </c:ext>
          </c:extLst>
        </c:ser>
        <c:dLbls>
          <c:showLegendKey val="0"/>
          <c:showVal val="0"/>
          <c:showCatName val="0"/>
          <c:showSerName val="0"/>
          <c:showPercent val="0"/>
          <c:showBubbleSize val="0"/>
        </c:dLbls>
        <c:gapWidth val="150"/>
        <c:axId val="577775913"/>
        <c:axId val="295427424"/>
      </c:barChart>
      <c:catAx>
        <c:axId val="577775913"/>
        <c:scaling>
          <c:orientation val="minMax"/>
        </c:scaling>
        <c:delete val="0"/>
        <c:axPos val="b"/>
        <c:title>
          <c:tx>
            <c:rich>
              <a:bodyPr/>
              <a:lstStyle/>
              <a:p>
                <a:pPr lvl="0">
                  <a:defRPr b="0">
                    <a:solidFill>
                      <a:srgbClr val="000000"/>
                    </a:solidFill>
                    <a:latin typeface="+mn-lt"/>
                  </a:defRPr>
                </a:pPr>
                <a:endParaRPr/>
              </a:p>
            </c:rich>
          </c:tx>
          <c:overlay val="0"/>
        </c:title>
        <c:numFmt formatCode="0" sourceLinked="1"/>
        <c:majorTickMark val="none"/>
        <c:minorTickMark val="none"/>
        <c:tickLblPos val="nextTo"/>
        <c:txPr>
          <a:bodyPr/>
          <a:lstStyle/>
          <a:p>
            <a:pPr lvl="0">
              <a:defRPr b="0">
                <a:solidFill>
                  <a:srgbClr val="000000"/>
                </a:solidFill>
                <a:latin typeface="+mn-lt"/>
              </a:defRPr>
            </a:pPr>
            <a:endParaRPr lang="en-US"/>
          </a:p>
        </c:txPr>
        <c:crossAx val="295427424"/>
        <c:crosses val="autoZero"/>
        <c:auto val="1"/>
        <c:lblAlgn val="ctr"/>
        <c:lblOffset val="100"/>
        <c:noMultiLvlLbl val="1"/>
      </c:catAx>
      <c:valAx>
        <c:axId val="295427424"/>
        <c:scaling>
          <c:orientation val="minMax"/>
        </c:scaling>
        <c:delete val="0"/>
        <c:axPos val="l"/>
        <c:numFmt formatCode="0" sourceLinked="1"/>
        <c:majorTickMark val="cross"/>
        <c:minorTickMark val="cross"/>
        <c:tickLblPos val="nextTo"/>
        <c:spPr>
          <a:ln>
            <a:noFill/>
          </a:ln>
        </c:spPr>
        <c:crossAx val="577775913"/>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Fischer-Tropsch CAPEX in EUR/kW_liquid_HC</a:t>
            </a:r>
          </a:p>
        </c:rich>
      </c:tx>
      <c:overlay val="0"/>
    </c:title>
    <c:autoTitleDeleted val="0"/>
    <c:plotArea>
      <c:layout/>
      <c:lineChart>
        <c:grouping val="standard"/>
        <c:varyColors val="1"/>
        <c:ser>
          <c:idx val="0"/>
          <c:order val="0"/>
          <c:tx>
            <c:v>Agora, 2019 (reference scenario)</c:v>
          </c:tx>
          <c:spPr>
            <a:ln w="28575" cmpd="sng">
              <a:solidFill>
                <a:schemeClr val="accent2"/>
              </a:solidFill>
            </a:ln>
          </c:spPr>
          <c:marker>
            <c:symbol val="none"/>
          </c:marker>
          <c:cat>
            <c:numRef>
              <c:f>FT!$A$5:$A$40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FT!$B$5:$B$40</c:f>
              <c:numCache>
                <c:formatCode>General</c:formatCode>
                <c:ptCount val="36"/>
                <c:pt idx="5">
                  <c:v>788</c:v>
                </c:pt>
                <c:pt idx="15">
                  <c:v>677</c:v>
                </c:pt>
                <c:pt idx="35">
                  <c:v>500</c:v>
                </c:pt>
              </c:numCache>
            </c:numRef>
          </c:val>
          <c:smooth val="0"/>
          <c:extLst>
            <c:ext xmlns:c16="http://schemas.microsoft.com/office/drawing/2014/chart" uri="{C3380CC4-5D6E-409C-BE32-E72D297353CC}">
              <c16:uniqueId val="{00000000-DE3C-6C46-8263-7473B92B0B87}"/>
            </c:ext>
          </c:extLst>
        </c:ser>
        <c:ser>
          <c:idx val="1"/>
          <c:order val="1"/>
          <c:tx>
            <c:v>IEA, 2019</c:v>
          </c:tx>
          <c:spPr>
            <a:ln w="28575" cmpd="sng">
              <a:solidFill>
                <a:schemeClr val="accent1"/>
              </a:solidFill>
            </a:ln>
          </c:spPr>
          <c:marker>
            <c:symbol val="none"/>
          </c:marker>
          <c:cat>
            <c:numRef>
              <c:f>FT!$A$5:$A$40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FT!$C$5:$C$40</c:f>
              <c:numCache>
                <c:formatCode>General</c:formatCode>
                <c:ptCount val="36"/>
                <c:pt idx="5">
                  <c:v>810</c:v>
                </c:pt>
                <c:pt idx="15">
                  <c:v>630</c:v>
                </c:pt>
                <c:pt idx="35">
                  <c:v>405</c:v>
                </c:pt>
              </c:numCache>
            </c:numRef>
          </c:val>
          <c:smooth val="0"/>
          <c:extLst>
            <c:ext xmlns:c16="http://schemas.microsoft.com/office/drawing/2014/chart" uri="{C3380CC4-5D6E-409C-BE32-E72D297353CC}">
              <c16:uniqueId val="{00000001-DE3C-6C46-8263-7473B92B0B87}"/>
            </c:ext>
          </c:extLst>
        </c:ser>
        <c:ser>
          <c:idx val="2"/>
          <c:order val="2"/>
          <c:tx>
            <c:v>Runge, 2020</c:v>
          </c:tx>
          <c:spPr>
            <a:ln w="38100" cmpd="sng">
              <a:solidFill>
                <a:schemeClr val="accent3"/>
              </a:solidFill>
            </a:ln>
          </c:spPr>
          <c:marker>
            <c:symbol val="none"/>
          </c:marker>
          <c:cat>
            <c:numRef>
              <c:f>FT!$A$5:$A$40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FT!$D$5:$D$40</c:f>
              <c:numCache>
                <c:formatCode>General</c:formatCode>
                <c:ptCount val="36"/>
                <c:pt idx="19">
                  <c:v>183</c:v>
                </c:pt>
                <c:pt idx="20">
                  <c:v>183</c:v>
                </c:pt>
              </c:numCache>
            </c:numRef>
          </c:val>
          <c:smooth val="0"/>
          <c:extLst>
            <c:ext xmlns:c16="http://schemas.microsoft.com/office/drawing/2014/chart" uri="{C3380CC4-5D6E-409C-BE32-E72D297353CC}">
              <c16:uniqueId val="{00000002-DE3C-6C46-8263-7473B92B0B87}"/>
            </c:ext>
          </c:extLst>
        </c:ser>
        <c:dLbls>
          <c:showLegendKey val="0"/>
          <c:showVal val="0"/>
          <c:showCatName val="0"/>
          <c:showSerName val="0"/>
          <c:showPercent val="0"/>
          <c:showBubbleSize val="0"/>
        </c:dLbls>
        <c:smooth val="0"/>
        <c:axId val="2106580624"/>
        <c:axId val="2003982338"/>
      </c:lineChart>
      <c:catAx>
        <c:axId val="2106580624"/>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2003982338"/>
        <c:crosses val="autoZero"/>
        <c:auto val="1"/>
        <c:lblAlgn val="ctr"/>
        <c:lblOffset val="100"/>
        <c:noMultiLvlLbl val="1"/>
      </c:catAx>
      <c:valAx>
        <c:axId val="2003982338"/>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1400" b="0" i="0">
                <a:solidFill>
                  <a:srgbClr val="000000"/>
                </a:solidFill>
                <a:latin typeface="+mn-lt"/>
              </a:defRPr>
            </a:pPr>
            <a:endParaRPr lang="en-US"/>
          </a:p>
        </c:txPr>
        <c:crossAx val="2106580624"/>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Utility-Scale PV OPEX in % of CAPEX p.a.:
High / medium / low scenario </a:t>
            </a:r>
          </a:p>
        </c:rich>
      </c:tx>
      <c:overlay val="0"/>
    </c:title>
    <c:autoTitleDeleted val="0"/>
    <c:plotArea>
      <c:layout/>
      <c:lineChart>
        <c:grouping val="standard"/>
        <c:varyColors val="1"/>
        <c:ser>
          <c:idx val="0"/>
          <c:order val="0"/>
          <c:tx>
            <c:v>Vartiainen, 2020</c:v>
          </c:tx>
          <c:spPr>
            <a:ln w="28575" cmpd="sng">
              <a:solidFill>
                <a:schemeClr val="accent1"/>
              </a:solidFill>
            </a:ln>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PV!$E$5:$E$40</c:f>
              <c:numCache>
                <c:formatCode>0.0%</c:formatCode>
                <c:ptCount val="36"/>
                <c:pt idx="4">
                  <c:v>1.9913419913419911E-2</c:v>
                </c:pt>
                <c:pt idx="5">
                  <c:v>2.0417633410672854E-2</c:v>
                </c:pt>
                <c:pt idx="6">
                  <c:v>2.0689655172413793E-2</c:v>
                </c:pt>
                <c:pt idx="7">
                  <c:v>2.1093749999999998E-2</c:v>
                </c:pt>
                <c:pt idx="8">
                  <c:v>2.1369863013698628E-2</c:v>
                </c:pt>
                <c:pt idx="9">
                  <c:v>2.1839080459770115E-2</c:v>
                </c:pt>
                <c:pt idx="10">
                  <c:v>2.2222222222222223E-2</c:v>
                </c:pt>
                <c:pt idx="11">
                  <c:v>2.2257053291536048E-2</c:v>
                </c:pt>
                <c:pt idx="12">
                  <c:v>2.2475570032573292E-2</c:v>
                </c:pt>
                <c:pt idx="13">
                  <c:v>2.2635135135135136E-2</c:v>
                </c:pt>
                <c:pt idx="14">
                  <c:v>2.3157894736842103E-2</c:v>
                </c:pt>
                <c:pt idx="15">
                  <c:v>2.3272727272727275E-2</c:v>
                </c:pt>
                <c:pt idx="16">
                  <c:v>2.3308270676691729E-2</c:v>
                </c:pt>
                <c:pt idx="17">
                  <c:v>2.3735408560311283E-2</c:v>
                </c:pt>
                <c:pt idx="18">
                  <c:v>2.3694779116465864E-2</c:v>
                </c:pt>
                <c:pt idx="19">
                  <c:v>2.3966942148760328E-2</c:v>
                </c:pt>
                <c:pt idx="20">
                  <c:v>2.3829787234042551E-2</c:v>
                </c:pt>
                <c:pt idx="21">
                  <c:v>2.4122807017543858E-2</c:v>
                </c:pt>
                <c:pt idx="22">
                  <c:v>2.4434389140271493E-2</c:v>
                </c:pt>
                <c:pt idx="23">
                  <c:v>2.4651162790697675E-2</c:v>
                </c:pt>
                <c:pt idx="24">
                  <c:v>2.4401913875598084E-2</c:v>
                </c:pt>
                <c:pt idx="25">
                  <c:v>2.4509803921568627E-2</c:v>
                </c:pt>
                <c:pt idx="26">
                  <c:v>2.4623115577889449E-2</c:v>
                </c:pt>
                <c:pt idx="27">
                  <c:v>2.4742268041237112E-2</c:v>
                </c:pt>
                <c:pt idx="28">
                  <c:v>2.4867724867724868E-2</c:v>
                </c:pt>
                <c:pt idx="29">
                  <c:v>2.4864864864864864E-2</c:v>
                </c:pt>
                <c:pt idx="30">
                  <c:v>2.5414364640883976E-2</c:v>
                </c:pt>
                <c:pt idx="31">
                  <c:v>2.5423728813559324E-2</c:v>
                </c:pt>
                <c:pt idx="32">
                  <c:v>2.5287356321839084E-2</c:v>
                </c:pt>
                <c:pt idx="33">
                  <c:v>2.5294117647058821E-2</c:v>
                </c:pt>
                <c:pt idx="34">
                  <c:v>2.5149700598802397E-2</c:v>
                </c:pt>
                <c:pt idx="35">
                  <c:v>2.5609756097560978E-2</c:v>
                </c:pt>
              </c:numCache>
            </c:numRef>
          </c:val>
          <c:smooth val="0"/>
          <c:extLst>
            <c:ext xmlns:c16="http://schemas.microsoft.com/office/drawing/2014/chart" uri="{C3380CC4-5D6E-409C-BE32-E72D297353CC}">
              <c16:uniqueId val="{00000000-4F56-D841-9869-8FD4DB469F16}"/>
            </c:ext>
          </c:extLst>
        </c:ser>
        <c:ser>
          <c:idx val="1"/>
          <c:order val="1"/>
          <c:tx>
            <c:v>Tsiropoulos, 2018 (ProRES scenario)</c:v>
          </c:tx>
          <c:spPr>
            <a:ln w="28575" cmpd="sng">
              <a:solidFill>
                <a:schemeClr val="accent3"/>
              </a:solidFill>
            </a:ln>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PV!$F$5:$F$40</c:f>
              <c:numCache>
                <c:formatCode>0.0%</c:formatCode>
                <c:ptCount val="36"/>
                <c:pt idx="0">
                  <c:v>1.7000000000000001E-2</c:v>
                </c:pt>
                <c:pt idx="5">
                  <c:v>1.7000000000000001E-2</c:v>
                </c:pt>
                <c:pt idx="16">
                  <c:v>1.7000000000000001E-2</c:v>
                </c:pt>
                <c:pt idx="25">
                  <c:v>1.7000000000000001E-2</c:v>
                </c:pt>
                <c:pt idx="35">
                  <c:v>1.7000000000000001E-2</c:v>
                </c:pt>
              </c:numCache>
            </c:numRef>
          </c:val>
          <c:smooth val="0"/>
          <c:extLst>
            <c:ext xmlns:c16="http://schemas.microsoft.com/office/drawing/2014/chart" uri="{C3380CC4-5D6E-409C-BE32-E72D297353CC}">
              <c16:uniqueId val="{00000001-4F56-D841-9869-8FD4DB469F16}"/>
            </c:ext>
          </c:extLst>
        </c:ser>
        <c:ser>
          <c:idx val="2"/>
          <c:order val="2"/>
          <c:tx>
            <c:v>Agora, 2019 (reference scenario)</c:v>
          </c:tx>
          <c:spPr>
            <a:ln w="28575" cmpd="sng">
              <a:solidFill>
                <a:schemeClr val="accent4"/>
              </a:solidFill>
            </a:ln>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PV!$G$5:$G$40</c:f>
              <c:numCache>
                <c:formatCode>General</c:formatCode>
                <c:ptCount val="36"/>
                <c:pt idx="5" formatCode="0.0%">
                  <c:v>1.4999999999999999E-2</c:v>
                </c:pt>
                <c:pt idx="16" formatCode="0.0%">
                  <c:v>1.4999999999999999E-2</c:v>
                </c:pt>
                <c:pt idx="35" formatCode="0.0%">
                  <c:v>1.4999999999999999E-2</c:v>
                </c:pt>
              </c:numCache>
            </c:numRef>
          </c:val>
          <c:smooth val="0"/>
          <c:extLst>
            <c:ext xmlns:c16="http://schemas.microsoft.com/office/drawing/2014/chart" uri="{C3380CC4-5D6E-409C-BE32-E72D297353CC}">
              <c16:uniqueId val="{00000002-4F56-D841-9869-8FD4DB469F16}"/>
            </c:ext>
          </c:extLst>
        </c:ser>
        <c:dLbls>
          <c:showLegendKey val="0"/>
          <c:showVal val="0"/>
          <c:showCatName val="0"/>
          <c:showSerName val="0"/>
          <c:showPercent val="0"/>
          <c:showBubbleSize val="0"/>
        </c:dLbls>
        <c:smooth val="0"/>
        <c:axId val="148467"/>
        <c:axId val="261379923"/>
      </c:lineChart>
      <c:catAx>
        <c:axId val="148467"/>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261379923"/>
        <c:crosses val="autoZero"/>
        <c:auto val="1"/>
        <c:lblAlgn val="ctr"/>
        <c:lblOffset val="100"/>
        <c:noMultiLvlLbl val="1"/>
      </c:catAx>
      <c:valAx>
        <c:axId val="261379923"/>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0%" sourceLinked="1"/>
        <c:majorTickMark val="none"/>
        <c:minorTickMark val="none"/>
        <c:tickLblPos val="nextTo"/>
        <c:spPr>
          <a:ln/>
        </c:spPr>
        <c:txPr>
          <a:bodyPr/>
          <a:lstStyle/>
          <a:p>
            <a:pPr lvl="0">
              <a:defRPr sz="1400" b="0" i="0">
                <a:solidFill>
                  <a:srgbClr val="000000"/>
                </a:solidFill>
                <a:latin typeface="+mn-lt"/>
              </a:defRPr>
            </a:pPr>
            <a:endParaRPr lang="en-US"/>
          </a:p>
        </c:txPr>
        <c:crossAx val="148467"/>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Utility-Scale PV lifetime in years:
High / low scenario </a:t>
            </a:r>
          </a:p>
        </c:rich>
      </c:tx>
      <c:overlay val="0"/>
    </c:title>
    <c:autoTitleDeleted val="0"/>
    <c:plotArea>
      <c:layout/>
      <c:barChart>
        <c:barDir val="col"/>
        <c:grouping val="clustered"/>
        <c:varyColors val="1"/>
        <c:ser>
          <c:idx val="0"/>
          <c:order val="0"/>
          <c:tx>
            <c:v>Vartiainen, 2020</c:v>
          </c:tx>
          <c:spPr>
            <a:solidFill>
              <a:srgbClr val="4472C4"/>
            </a:solidFill>
            <a:ln cmpd="sng">
              <a:solidFill>
                <a:srgbClr val="000000"/>
              </a:solidFill>
            </a:ln>
          </c:spPr>
          <c:invertIfNegative val="1"/>
          <c:cat>
            <c:numRef>
              <c:f>PV!$A$5</c:f>
              <c:numCache>
                <c:formatCode>General</c:formatCode>
                <c:ptCount val="1"/>
                <c:pt idx="0">
                  <c:v>2015</c:v>
                </c:pt>
              </c:numCache>
            </c:numRef>
          </c:cat>
          <c:val>
            <c:numRef>
              <c:f>PV!$H$5</c:f>
              <c:numCache>
                <c:formatCode>0</c:formatCode>
                <c:ptCount val="1"/>
                <c:pt idx="0">
                  <c:v>30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AEDB-6741-AF42-057B9FF95E01}"/>
            </c:ext>
          </c:extLst>
        </c:ser>
        <c:ser>
          <c:idx val="1"/>
          <c:order val="1"/>
          <c:tx>
            <c:v>Tsiropoulos, 2018 (ProRES scenario)</c:v>
          </c:tx>
          <c:spPr>
            <a:solidFill>
              <a:srgbClr val="A5A5A5"/>
            </a:solidFill>
            <a:ln cmpd="sng">
              <a:solidFill>
                <a:srgbClr val="000000"/>
              </a:solidFill>
            </a:ln>
          </c:spPr>
          <c:invertIfNegative val="1"/>
          <c:cat>
            <c:numRef>
              <c:f>PV!$A$5</c:f>
              <c:numCache>
                <c:formatCode>General</c:formatCode>
                <c:ptCount val="1"/>
                <c:pt idx="0">
                  <c:v>2015</c:v>
                </c:pt>
              </c:numCache>
            </c:numRef>
          </c:cat>
          <c:val>
            <c:numRef>
              <c:f>PV!$I$5</c:f>
              <c:numCache>
                <c:formatCode>0</c:formatCode>
                <c:ptCount val="1"/>
                <c:pt idx="0">
                  <c:v>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AEDB-6741-AF42-057B9FF95E01}"/>
            </c:ext>
          </c:extLst>
        </c:ser>
        <c:ser>
          <c:idx val="2"/>
          <c:order val="2"/>
          <c:tx>
            <c:v>Agora, 2019 (reference scenario)</c:v>
          </c:tx>
          <c:spPr>
            <a:solidFill>
              <a:srgbClr val="FFC000"/>
            </a:solidFill>
            <a:ln cmpd="sng">
              <a:solidFill>
                <a:srgbClr val="000000"/>
              </a:solidFill>
            </a:ln>
          </c:spPr>
          <c:invertIfNegative val="1"/>
          <c:cat>
            <c:numRef>
              <c:f>PV!$A$5</c:f>
              <c:numCache>
                <c:formatCode>General</c:formatCode>
                <c:ptCount val="1"/>
                <c:pt idx="0">
                  <c:v>2015</c:v>
                </c:pt>
              </c:numCache>
            </c:numRef>
          </c:cat>
          <c:val>
            <c:numRef>
              <c:f>PV!$J$5</c:f>
              <c:numCache>
                <c:formatCode>0</c:formatCode>
                <c:ptCount val="1"/>
                <c:pt idx="0">
                  <c:v>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AEDB-6741-AF42-057B9FF95E01}"/>
            </c:ext>
          </c:extLst>
        </c:ser>
        <c:dLbls>
          <c:showLegendKey val="0"/>
          <c:showVal val="0"/>
          <c:showCatName val="0"/>
          <c:showSerName val="0"/>
          <c:showPercent val="0"/>
          <c:showBubbleSize val="0"/>
        </c:dLbls>
        <c:gapWidth val="150"/>
        <c:axId val="466377256"/>
        <c:axId val="1044991168"/>
      </c:barChart>
      <c:catAx>
        <c:axId val="466377256"/>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1044991168"/>
        <c:crosses val="autoZero"/>
        <c:auto val="1"/>
        <c:lblAlgn val="ctr"/>
        <c:lblOffset val="100"/>
        <c:noMultiLvlLbl val="1"/>
      </c:catAx>
      <c:valAx>
        <c:axId val="1044991168"/>
        <c:scaling>
          <c:orientation val="minMax"/>
          <c:min val="0"/>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 sourceLinked="1"/>
        <c:majorTickMark val="none"/>
        <c:minorTickMark val="none"/>
        <c:tickLblPos val="nextTo"/>
        <c:spPr>
          <a:ln/>
        </c:spPr>
        <c:txPr>
          <a:bodyPr/>
          <a:lstStyle/>
          <a:p>
            <a:pPr lvl="0">
              <a:defRPr sz="1400" b="0" i="0">
                <a:solidFill>
                  <a:srgbClr val="000000"/>
                </a:solidFill>
                <a:latin typeface="+mn-lt"/>
              </a:defRPr>
            </a:pPr>
            <a:endParaRPr lang="en-US"/>
          </a:p>
        </c:txPr>
        <c:crossAx val="466377256"/>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Fischer-Tropsch OPEX in % of CAPEX p.a.</a:t>
            </a:r>
          </a:p>
        </c:rich>
      </c:tx>
      <c:overlay val="0"/>
    </c:title>
    <c:autoTitleDeleted val="0"/>
    <c:plotArea>
      <c:layout/>
      <c:lineChart>
        <c:grouping val="standard"/>
        <c:varyColors val="1"/>
        <c:ser>
          <c:idx val="0"/>
          <c:order val="0"/>
          <c:tx>
            <c:v>Agora, 2019 (reference scenario)</c:v>
          </c:tx>
          <c:spPr>
            <a:ln w="28575" cmpd="sng">
              <a:solidFill>
                <a:schemeClr val="accent2"/>
              </a:solidFill>
            </a:ln>
          </c:spPr>
          <c:marker>
            <c:symbol val="none"/>
          </c:marker>
          <c:cat>
            <c:numRef>
              <c:f>FT!$A$5:$A$40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FT!$F$5:$F$40</c:f>
              <c:numCache>
                <c:formatCode>0.0%</c:formatCode>
                <c:ptCount val="36"/>
                <c:pt idx="5">
                  <c:v>0.03</c:v>
                </c:pt>
                <c:pt idx="15">
                  <c:v>0.03</c:v>
                </c:pt>
                <c:pt idx="35">
                  <c:v>0.03</c:v>
                </c:pt>
              </c:numCache>
            </c:numRef>
          </c:val>
          <c:smooth val="0"/>
          <c:extLst>
            <c:ext xmlns:c16="http://schemas.microsoft.com/office/drawing/2014/chart" uri="{C3380CC4-5D6E-409C-BE32-E72D297353CC}">
              <c16:uniqueId val="{00000000-0F90-584F-90AC-2445EB612A3C}"/>
            </c:ext>
          </c:extLst>
        </c:ser>
        <c:ser>
          <c:idx val="1"/>
          <c:order val="1"/>
          <c:tx>
            <c:v>IEA, 2019</c:v>
          </c:tx>
          <c:spPr>
            <a:ln w="28575" cmpd="sng">
              <a:solidFill>
                <a:schemeClr val="accent1"/>
              </a:solidFill>
            </a:ln>
          </c:spPr>
          <c:marker>
            <c:symbol val="none"/>
          </c:marker>
          <c:cat>
            <c:numRef>
              <c:f>FT!$A$5:$A$40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FT!$G$5:$G$40</c:f>
              <c:numCache>
                <c:formatCode>0.0%</c:formatCode>
                <c:ptCount val="36"/>
                <c:pt idx="5">
                  <c:v>1.4999999999999999E-2</c:v>
                </c:pt>
                <c:pt idx="15">
                  <c:v>1.4999999999999999E-2</c:v>
                </c:pt>
                <c:pt idx="35">
                  <c:v>1.4999999999999999E-2</c:v>
                </c:pt>
              </c:numCache>
            </c:numRef>
          </c:val>
          <c:smooth val="0"/>
          <c:extLst>
            <c:ext xmlns:c16="http://schemas.microsoft.com/office/drawing/2014/chart" uri="{C3380CC4-5D6E-409C-BE32-E72D297353CC}">
              <c16:uniqueId val="{00000001-0F90-584F-90AC-2445EB612A3C}"/>
            </c:ext>
          </c:extLst>
        </c:ser>
        <c:ser>
          <c:idx val="2"/>
          <c:order val="2"/>
          <c:tx>
            <c:v>Runge, 2020</c:v>
          </c:tx>
          <c:spPr>
            <a:ln w="38100" cmpd="sng">
              <a:solidFill>
                <a:schemeClr val="accent3"/>
              </a:solidFill>
            </a:ln>
          </c:spPr>
          <c:marker>
            <c:symbol val="none"/>
          </c:marker>
          <c:cat>
            <c:numRef>
              <c:f>FT!$A$5:$A$40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FT!$H$5:$H$40</c:f>
              <c:numCache>
                <c:formatCode>0.0%</c:formatCode>
                <c:ptCount val="36"/>
                <c:pt idx="19">
                  <c:v>0.04</c:v>
                </c:pt>
                <c:pt idx="20">
                  <c:v>0.04</c:v>
                </c:pt>
              </c:numCache>
            </c:numRef>
          </c:val>
          <c:smooth val="0"/>
          <c:extLst>
            <c:ext xmlns:c16="http://schemas.microsoft.com/office/drawing/2014/chart" uri="{C3380CC4-5D6E-409C-BE32-E72D297353CC}">
              <c16:uniqueId val="{00000002-0F90-584F-90AC-2445EB612A3C}"/>
            </c:ext>
          </c:extLst>
        </c:ser>
        <c:dLbls>
          <c:showLegendKey val="0"/>
          <c:showVal val="0"/>
          <c:showCatName val="0"/>
          <c:showSerName val="0"/>
          <c:showPercent val="0"/>
          <c:showBubbleSize val="0"/>
        </c:dLbls>
        <c:smooth val="0"/>
        <c:axId val="514894441"/>
        <c:axId val="1026841727"/>
      </c:lineChart>
      <c:catAx>
        <c:axId val="514894441"/>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1026841727"/>
        <c:crosses val="autoZero"/>
        <c:auto val="1"/>
        <c:lblAlgn val="ctr"/>
        <c:lblOffset val="100"/>
        <c:noMultiLvlLbl val="1"/>
      </c:catAx>
      <c:valAx>
        <c:axId val="1026841727"/>
        <c:scaling>
          <c:orientation val="minMax"/>
          <c:min val="0"/>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0%" sourceLinked="1"/>
        <c:majorTickMark val="none"/>
        <c:minorTickMark val="none"/>
        <c:tickLblPos val="nextTo"/>
        <c:spPr>
          <a:ln/>
        </c:spPr>
        <c:txPr>
          <a:bodyPr/>
          <a:lstStyle/>
          <a:p>
            <a:pPr lvl="0">
              <a:defRPr sz="1400" b="0" i="0">
                <a:solidFill>
                  <a:srgbClr val="000000"/>
                </a:solidFill>
                <a:latin typeface="+mn-lt"/>
              </a:defRPr>
            </a:pPr>
            <a:endParaRPr lang="en-US"/>
          </a:p>
        </c:txPr>
        <c:crossAx val="514894441"/>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Fischer-Tropsch lifetime in years</a:t>
            </a:r>
          </a:p>
        </c:rich>
      </c:tx>
      <c:overlay val="0"/>
    </c:title>
    <c:autoTitleDeleted val="0"/>
    <c:plotArea>
      <c:layout/>
      <c:barChart>
        <c:barDir val="col"/>
        <c:grouping val="clustered"/>
        <c:varyColors val="1"/>
        <c:ser>
          <c:idx val="0"/>
          <c:order val="0"/>
          <c:tx>
            <c:v>IEA, 2019</c:v>
          </c:tx>
          <c:spPr>
            <a:solidFill>
              <a:srgbClr val="4472C4"/>
            </a:solidFill>
            <a:ln cmpd="sng">
              <a:solidFill>
                <a:srgbClr val="000000"/>
              </a:solidFill>
            </a:ln>
          </c:spPr>
          <c:invertIfNegative val="1"/>
          <c:val>
            <c:numRef>
              <c:f>FT!$K$5</c:f>
              <c:numCache>
                <c:formatCode>0</c:formatCode>
                <c:ptCount val="1"/>
                <c:pt idx="0">
                  <c:v>30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831D-2C45-8948-4FB9EDF48BC3}"/>
            </c:ext>
          </c:extLst>
        </c:ser>
        <c:ser>
          <c:idx val="1"/>
          <c:order val="1"/>
          <c:tx>
            <c:v>Runge, 2020</c:v>
          </c:tx>
          <c:spPr>
            <a:solidFill>
              <a:srgbClr val="ED7D31"/>
            </a:solidFill>
            <a:ln cmpd="sng">
              <a:solidFill>
                <a:srgbClr val="000000"/>
              </a:solidFill>
            </a:ln>
          </c:spPr>
          <c:invertIfNegative val="1"/>
          <c:val>
            <c:numRef>
              <c:f>FT!$L$25</c:f>
              <c:numCache>
                <c:formatCode>General</c:formatCode>
                <c:ptCount val="1"/>
                <c:pt idx="0">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831D-2C45-8948-4FB9EDF48BC3}"/>
            </c:ext>
          </c:extLst>
        </c:ser>
        <c:dLbls>
          <c:showLegendKey val="0"/>
          <c:showVal val="0"/>
          <c:showCatName val="0"/>
          <c:showSerName val="0"/>
          <c:showPercent val="0"/>
          <c:showBubbleSize val="0"/>
        </c:dLbls>
        <c:gapWidth val="150"/>
        <c:axId val="1585526009"/>
        <c:axId val="1330184528"/>
      </c:barChart>
      <c:catAx>
        <c:axId val="1585526009"/>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330184528"/>
        <c:crosses val="autoZero"/>
        <c:auto val="1"/>
        <c:lblAlgn val="ctr"/>
        <c:lblOffset val="100"/>
        <c:noMultiLvlLbl val="1"/>
      </c:catAx>
      <c:valAx>
        <c:axId val="1330184528"/>
        <c:scaling>
          <c:orientation val="minMax"/>
          <c:min val="0"/>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 sourceLinked="1"/>
        <c:majorTickMark val="none"/>
        <c:minorTickMark val="none"/>
        <c:tickLblPos val="nextTo"/>
        <c:spPr>
          <a:ln/>
        </c:spPr>
        <c:txPr>
          <a:bodyPr/>
          <a:lstStyle/>
          <a:p>
            <a:pPr lvl="0">
              <a:defRPr sz="1400" b="0" i="0">
                <a:solidFill>
                  <a:srgbClr val="000000"/>
                </a:solidFill>
                <a:latin typeface="+mn-lt"/>
              </a:defRPr>
            </a:pPr>
            <a:endParaRPr lang="en-US"/>
          </a:p>
        </c:txPr>
        <c:crossAx val="1585526009"/>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Fischer-Tropsch efficiency in % (LHV)</a:t>
            </a:r>
          </a:p>
        </c:rich>
      </c:tx>
      <c:overlay val="0"/>
    </c:title>
    <c:autoTitleDeleted val="0"/>
    <c:plotArea>
      <c:layout/>
      <c:lineChart>
        <c:grouping val="standard"/>
        <c:varyColors val="1"/>
        <c:ser>
          <c:idx val="0"/>
          <c:order val="0"/>
          <c:tx>
            <c:v>Agora, 2019 (reference scenario)</c:v>
          </c:tx>
          <c:spPr>
            <a:ln w="28575" cmpd="sng">
              <a:solidFill>
                <a:schemeClr val="accent2"/>
              </a:solidFill>
            </a:ln>
          </c:spPr>
          <c:marker>
            <c:symbol val="none"/>
          </c:marker>
          <c:cat>
            <c:numRef>
              <c:f>FT!$A$5:$A$40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FT!$N$5:$N$40</c:f>
              <c:numCache>
                <c:formatCode>General</c:formatCode>
                <c:ptCount val="36"/>
                <c:pt idx="5" formatCode="0%">
                  <c:v>0.8</c:v>
                </c:pt>
                <c:pt idx="15" formatCode="0%">
                  <c:v>0.8</c:v>
                </c:pt>
                <c:pt idx="35" formatCode="0%">
                  <c:v>0.8</c:v>
                </c:pt>
              </c:numCache>
            </c:numRef>
          </c:val>
          <c:smooth val="0"/>
          <c:extLst>
            <c:ext xmlns:c16="http://schemas.microsoft.com/office/drawing/2014/chart" uri="{C3380CC4-5D6E-409C-BE32-E72D297353CC}">
              <c16:uniqueId val="{00000000-CBB8-D34A-A2DE-EBB32EB74829}"/>
            </c:ext>
          </c:extLst>
        </c:ser>
        <c:ser>
          <c:idx val="1"/>
          <c:order val="1"/>
          <c:tx>
            <c:v>IEA, 2019</c:v>
          </c:tx>
          <c:spPr>
            <a:ln w="28575" cmpd="sng">
              <a:solidFill>
                <a:schemeClr val="accent1"/>
              </a:solidFill>
            </a:ln>
          </c:spPr>
          <c:marker>
            <c:symbol val="none"/>
          </c:marker>
          <c:cat>
            <c:numRef>
              <c:f>FT!$A$5:$A$40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FT!$O$5:$O$40</c:f>
              <c:numCache>
                <c:formatCode>General</c:formatCode>
                <c:ptCount val="36"/>
                <c:pt idx="5" formatCode="0%">
                  <c:v>0.64</c:v>
                </c:pt>
                <c:pt idx="15" formatCode="0%">
                  <c:v>0.69</c:v>
                </c:pt>
                <c:pt idx="35" formatCode="0%">
                  <c:v>0.74</c:v>
                </c:pt>
              </c:numCache>
            </c:numRef>
          </c:val>
          <c:smooth val="0"/>
          <c:extLst>
            <c:ext xmlns:c16="http://schemas.microsoft.com/office/drawing/2014/chart" uri="{C3380CC4-5D6E-409C-BE32-E72D297353CC}">
              <c16:uniqueId val="{00000001-CBB8-D34A-A2DE-EBB32EB74829}"/>
            </c:ext>
          </c:extLst>
        </c:ser>
        <c:ser>
          <c:idx val="2"/>
          <c:order val="2"/>
          <c:tx>
            <c:v>Runge, 2020</c:v>
          </c:tx>
          <c:spPr>
            <a:ln w="38100" cmpd="sng">
              <a:solidFill>
                <a:schemeClr val="accent3"/>
              </a:solidFill>
            </a:ln>
          </c:spPr>
          <c:marker>
            <c:symbol val="none"/>
          </c:marker>
          <c:cat>
            <c:numRef>
              <c:f>FT!$A$5:$A$40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FT!$P$5:$P$40</c:f>
              <c:numCache>
                <c:formatCode>General</c:formatCode>
                <c:ptCount val="36"/>
                <c:pt idx="19" formatCode="0%">
                  <c:v>0.83399999999999996</c:v>
                </c:pt>
                <c:pt idx="20" formatCode="0%">
                  <c:v>0.83399999999999996</c:v>
                </c:pt>
              </c:numCache>
            </c:numRef>
          </c:val>
          <c:smooth val="0"/>
          <c:extLst>
            <c:ext xmlns:c16="http://schemas.microsoft.com/office/drawing/2014/chart" uri="{C3380CC4-5D6E-409C-BE32-E72D297353CC}">
              <c16:uniqueId val="{00000002-CBB8-D34A-A2DE-EBB32EB74829}"/>
            </c:ext>
          </c:extLst>
        </c:ser>
        <c:dLbls>
          <c:showLegendKey val="0"/>
          <c:showVal val="0"/>
          <c:showCatName val="0"/>
          <c:showSerName val="0"/>
          <c:showPercent val="0"/>
          <c:showBubbleSize val="0"/>
        </c:dLbls>
        <c:smooth val="0"/>
        <c:axId val="1733515646"/>
        <c:axId val="871466443"/>
      </c:lineChart>
      <c:catAx>
        <c:axId val="1733515646"/>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871466443"/>
        <c:crosses val="autoZero"/>
        <c:auto val="1"/>
        <c:lblAlgn val="ctr"/>
        <c:lblOffset val="100"/>
        <c:noMultiLvlLbl val="1"/>
      </c:catAx>
      <c:valAx>
        <c:axId val="871466443"/>
        <c:scaling>
          <c:orientation val="minMax"/>
          <c:min val="0"/>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1400" b="0" i="0">
                <a:solidFill>
                  <a:srgbClr val="000000"/>
                </a:solidFill>
                <a:latin typeface="+mn-lt"/>
              </a:defRPr>
            </a:pPr>
            <a:endParaRPr lang="en-US"/>
          </a:p>
        </c:txPr>
        <c:crossAx val="1733515646"/>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Utility-Scale PV lifetime in years:
High / low scenario </a:t>
            </a:r>
          </a:p>
        </c:rich>
      </c:tx>
      <c:overlay val="0"/>
    </c:title>
    <c:autoTitleDeleted val="0"/>
    <c:plotArea>
      <c:layout/>
      <c:barChart>
        <c:barDir val="col"/>
        <c:grouping val="clustered"/>
        <c:varyColors val="1"/>
        <c:ser>
          <c:idx val="0"/>
          <c:order val="0"/>
          <c:tx>
            <c:v>Vartiainen, 2020</c:v>
          </c:tx>
          <c:spPr>
            <a:solidFill>
              <a:srgbClr val="4472C4"/>
            </a:solidFill>
            <a:ln cmpd="sng">
              <a:solidFill>
                <a:srgbClr val="000000"/>
              </a:solidFill>
            </a:ln>
          </c:spPr>
          <c:invertIfNegative val="1"/>
          <c:cat>
            <c:numRef>
              <c:f>PV!$A$5</c:f>
              <c:numCache>
                <c:formatCode>General</c:formatCode>
                <c:ptCount val="1"/>
                <c:pt idx="0">
                  <c:v>2015</c:v>
                </c:pt>
              </c:numCache>
            </c:numRef>
          </c:cat>
          <c:val>
            <c:numRef>
              <c:f>PV!$H$5</c:f>
              <c:numCache>
                <c:formatCode>0</c:formatCode>
                <c:ptCount val="1"/>
                <c:pt idx="0">
                  <c:v>30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2750-024B-8940-D369241D0249}"/>
            </c:ext>
          </c:extLst>
        </c:ser>
        <c:ser>
          <c:idx val="1"/>
          <c:order val="1"/>
          <c:tx>
            <c:v>Tsiropoulos, 2018 (ProRES scenario)</c:v>
          </c:tx>
          <c:spPr>
            <a:solidFill>
              <a:srgbClr val="A5A5A5"/>
            </a:solidFill>
            <a:ln cmpd="sng">
              <a:solidFill>
                <a:srgbClr val="000000"/>
              </a:solidFill>
            </a:ln>
          </c:spPr>
          <c:invertIfNegative val="1"/>
          <c:cat>
            <c:numRef>
              <c:f>PV!$A$5</c:f>
              <c:numCache>
                <c:formatCode>General</c:formatCode>
                <c:ptCount val="1"/>
                <c:pt idx="0">
                  <c:v>2015</c:v>
                </c:pt>
              </c:numCache>
            </c:numRef>
          </c:cat>
          <c:val>
            <c:numRef>
              <c:f>PV!$I$5</c:f>
              <c:numCache>
                <c:formatCode>0</c:formatCode>
                <c:ptCount val="1"/>
                <c:pt idx="0">
                  <c:v>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2750-024B-8940-D369241D0249}"/>
            </c:ext>
          </c:extLst>
        </c:ser>
        <c:ser>
          <c:idx val="2"/>
          <c:order val="2"/>
          <c:tx>
            <c:v>Agora, 2019 (reference scenario)</c:v>
          </c:tx>
          <c:spPr>
            <a:solidFill>
              <a:srgbClr val="FFC000"/>
            </a:solidFill>
            <a:ln cmpd="sng">
              <a:solidFill>
                <a:srgbClr val="000000"/>
              </a:solidFill>
            </a:ln>
          </c:spPr>
          <c:invertIfNegative val="1"/>
          <c:cat>
            <c:numRef>
              <c:f>PV!$A$5</c:f>
              <c:numCache>
                <c:formatCode>General</c:formatCode>
                <c:ptCount val="1"/>
                <c:pt idx="0">
                  <c:v>2015</c:v>
                </c:pt>
              </c:numCache>
            </c:numRef>
          </c:cat>
          <c:val>
            <c:numRef>
              <c:f>PV!$J$5</c:f>
              <c:numCache>
                <c:formatCode>0</c:formatCode>
                <c:ptCount val="1"/>
                <c:pt idx="0">
                  <c:v>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2750-024B-8940-D369241D0249}"/>
            </c:ext>
          </c:extLst>
        </c:ser>
        <c:dLbls>
          <c:showLegendKey val="0"/>
          <c:showVal val="0"/>
          <c:showCatName val="0"/>
          <c:showSerName val="0"/>
          <c:showPercent val="0"/>
          <c:showBubbleSize val="0"/>
        </c:dLbls>
        <c:gapWidth val="150"/>
        <c:axId val="1346526350"/>
        <c:axId val="515439161"/>
      </c:barChart>
      <c:catAx>
        <c:axId val="1346526350"/>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515439161"/>
        <c:crosses val="autoZero"/>
        <c:auto val="1"/>
        <c:lblAlgn val="ctr"/>
        <c:lblOffset val="100"/>
        <c:noMultiLvlLbl val="1"/>
      </c:catAx>
      <c:valAx>
        <c:axId val="515439161"/>
        <c:scaling>
          <c:orientation val="minMax"/>
          <c:min val="0"/>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 sourceLinked="1"/>
        <c:majorTickMark val="none"/>
        <c:minorTickMark val="none"/>
        <c:tickLblPos val="nextTo"/>
        <c:spPr>
          <a:ln/>
        </c:spPr>
        <c:txPr>
          <a:bodyPr/>
          <a:lstStyle/>
          <a:p>
            <a:pPr lvl="0">
              <a:defRPr sz="1400" b="0" i="0">
                <a:solidFill>
                  <a:srgbClr val="000000"/>
                </a:solidFill>
                <a:latin typeface="+mn-lt"/>
              </a:defRPr>
            </a:pPr>
            <a:endParaRPr lang="en-US"/>
          </a:p>
        </c:txPr>
        <c:crossAx val="1346526350"/>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on-shore wind OPEX in % of CAPEX p.a.</a:t>
            </a:r>
          </a:p>
        </c:rich>
      </c:tx>
      <c:overlay val="0"/>
    </c:title>
    <c:autoTitleDeleted val="0"/>
    <c:plotArea>
      <c:layout/>
      <c:lineChart>
        <c:grouping val="standard"/>
        <c:varyColors val="1"/>
        <c:ser>
          <c:idx val="0"/>
          <c:order val="0"/>
          <c:tx>
            <c:v>Tsiropoulos, 2018 (ProRES scenario)</c:v>
          </c:tx>
          <c:spPr>
            <a:ln w="28575" cmpd="sng">
              <a:solidFill>
                <a:schemeClr val="accent1"/>
              </a:solidFill>
            </a:ln>
          </c:spPr>
          <c:marker>
            <c:symbol val="none"/>
          </c:marker>
          <c:cat>
            <c:numRef>
              <c:f>'on-shore_wind'!$A$5:$A$40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'on-shore_wind'!$D$5:$D$40</c:f>
              <c:numCache>
                <c:formatCode>0.0%</c:formatCode>
                <c:ptCount val="36"/>
                <c:pt idx="0">
                  <c:v>0.03</c:v>
                </c:pt>
                <c:pt idx="5">
                  <c:v>0.03</c:v>
                </c:pt>
                <c:pt idx="15">
                  <c:v>0.03</c:v>
                </c:pt>
                <c:pt idx="25">
                  <c:v>0.03</c:v>
                </c:pt>
                <c:pt idx="35">
                  <c:v>0.03</c:v>
                </c:pt>
              </c:numCache>
            </c:numRef>
          </c:val>
          <c:smooth val="0"/>
          <c:extLst>
            <c:ext xmlns:c16="http://schemas.microsoft.com/office/drawing/2014/chart" uri="{C3380CC4-5D6E-409C-BE32-E72D297353CC}">
              <c16:uniqueId val="{00000000-D883-EF4B-85F4-FAE008B73F89}"/>
            </c:ext>
          </c:extLst>
        </c:ser>
        <c:ser>
          <c:idx val="1"/>
          <c:order val="1"/>
          <c:tx>
            <c:v>Agora, 2019 (reference scenario)</c:v>
          </c:tx>
          <c:spPr>
            <a:ln w="28575" cmpd="sng">
              <a:solidFill>
                <a:schemeClr val="accent2"/>
              </a:solidFill>
            </a:ln>
          </c:spPr>
          <c:marker>
            <c:symbol val="none"/>
          </c:marker>
          <c:cat>
            <c:numRef>
              <c:f>'on-shore_wind'!$A$5:$A$40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'on-shore_wind'!$E$5:$E$40</c:f>
              <c:numCache>
                <c:formatCode>0.0%</c:formatCode>
                <c:ptCount val="36"/>
                <c:pt idx="5">
                  <c:v>2.5000000000000001E-2</c:v>
                </c:pt>
                <c:pt idx="15">
                  <c:v>2.5000000000000001E-2</c:v>
                </c:pt>
                <c:pt idx="35">
                  <c:v>2.5000000000000001E-2</c:v>
                </c:pt>
              </c:numCache>
            </c:numRef>
          </c:val>
          <c:smooth val="0"/>
          <c:extLst>
            <c:ext xmlns:c16="http://schemas.microsoft.com/office/drawing/2014/chart" uri="{C3380CC4-5D6E-409C-BE32-E72D297353CC}">
              <c16:uniqueId val="{00000001-D883-EF4B-85F4-FAE008B73F89}"/>
            </c:ext>
          </c:extLst>
        </c:ser>
        <c:dLbls>
          <c:showLegendKey val="0"/>
          <c:showVal val="0"/>
          <c:showCatName val="0"/>
          <c:showSerName val="0"/>
          <c:showPercent val="0"/>
          <c:showBubbleSize val="0"/>
        </c:dLbls>
        <c:smooth val="0"/>
        <c:axId val="507499008"/>
        <c:axId val="1830014244"/>
      </c:lineChart>
      <c:catAx>
        <c:axId val="507499008"/>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1830014244"/>
        <c:crosses val="autoZero"/>
        <c:auto val="1"/>
        <c:lblAlgn val="ctr"/>
        <c:lblOffset val="100"/>
        <c:noMultiLvlLbl val="1"/>
      </c:catAx>
      <c:valAx>
        <c:axId val="1830014244"/>
        <c:scaling>
          <c:orientation val="minMax"/>
          <c:min val="0"/>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0%" sourceLinked="1"/>
        <c:majorTickMark val="none"/>
        <c:minorTickMark val="none"/>
        <c:tickLblPos val="nextTo"/>
        <c:spPr>
          <a:ln/>
        </c:spPr>
        <c:txPr>
          <a:bodyPr/>
          <a:lstStyle/>
          <a:p>
            <a:pPr lvl="0">
              <a:defRPr sz="1400" b="0" i="0">
                <a:solidFill>
                  <a:srgbClr val="000000"/>
                </a:solidFill>
                <a:latin typeface="+mn-lt"/>
              </a:defRPr>
            </a:pPr>
            <a:endParaRPr lang="en-US"/>
          </a:p>
        </c:txPr>
        <c:crossAx val="507499008"/>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on-shore wind lifetime in years</a:t>
            </a:r>
          </a:p>
        </c:rich>
      </c:tx>
      <c:overlay val="0"/>
    </c:title>
    <c:autoTitleDeleted val="0"/>
    <c:plotArea>
      <c:layout/>
      <c:barChart>
        <c:barDir val="col"/>
        <c:grouping val="clustered"/>
        <c:varyColors val="1"/>
        <c:ser>
          <c:idx val="0"/>
          <c:order val="0"/>
          <c:tx>
            <c:v>Tsiropoulos, 2018 (ProRES scenario)</c:v>
          </c:tx>
          <c:spPr>
            <a:solidFill>
              <a:srgbClr val="4472C4"/>
            </a:solidFill>
            <a:ln cmpd="sng">
              <a:solidFill>
                <a:srgbClr val="000000"/>
              </a:solidFill>
            </a:ln>
          </c:spPr>
          <c:invertIfNegative val="1"/>
          <c:val>
            <c:numRef>
              <c:f>'on-shore_wind'!$F$5</c:f>
              <c:numCache>
                <c:formatCode>0</c:formatCode>
                <c:ptCount val="1"/>
                <c:pt idx="0">
                  <c:v>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8CF9-F249-AFD1-30E4A943BD2C}"/>
            </c:ext>
          </c:extLst>
        </c:ser>
        <c:ser>
          <c:idx val="1"/>
          <c:order val="1"/>
          <c:tx>
            <c:v>Agora, 2019 (reference scenario)</c:v>
          </c:tx>
          <c:spPr>
            <a:solidFill>
              <a:srgbClr val="ED7D31"/>
            </a:solidFill>
            <a:ln cmpd="sng">
              <a:solidFill>
                <a:srgbClr val="000000"/>
              </a:solidFill>
            </a:ln>
          </c:spPr>
          <c:invertIfNegative val="1"/>
          <c:val>
            <c:numRef>
              <c:f>'on-shore_wind'!$G$5</c:f>
              <c:numCache>
                <c:formatCode>0</c:formatCode>
                <c:ptCount val="1"/>
                <c:pt idx="0">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8CF9-F249-AFD1-30E4A943BD2C}"/>
            </c:ext>
          </c:extLst>
        </c:ser>
        <c:dLbls>
          <c:showLegendKey val="0"/>
          <c:showVal val="0"/>
          <c:showCatName val="0"/>
          <c:showSerName val="0"/>
          <c:showPercent val="0"/>
          <c:showBubbleSize val="0"/>
        </c:dLbls>
        <c:gapWidth val="150"/>
        <c:axId val="1157341726"/>
        <c:axId val="190941803"/>
      </c:barChart>
      <c:catAx>
        <c:axId val="1157341726"/>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90941803"/>
        <c:crosses val="autoZero"/>
        <c:auto val="1"/>
        <c:lblAlgn val="ctr"/>
        <c:lblOffset val="100"/>
        <c:noMultiLvlLbl val="1"/>
      </c:catAx>
      <c:valAx>
        <c:axId val="190941803"/>
        <c:scaling>
          <c:orientation val="minMax"/>
          <c:min val="0"/>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 sourceLinked="1"/>
        <c:majorTickMark val="none"/>
        <c:minorTickMark val="none"/>
        <c:tickLblPos val="nextTo"/>
        <c:spPr>
          <a:ln/>
        </c:spPr>
        <c:txPr>
          <a:bodyPr/>
          <a:lstStyle/>
          <a:p>
            <a:pPr lvl="0">
              <a:defRPr sz="1400" b="0" i="0">
                <a:solidFill>
                  <a:srgbClr val="000000"/>
                </a:solidFill>
                <a:latin typeface="+mn-lt"/>
              </a:defRPr>
            </a:pPr>
            <a:endParaRPr lang="en-US"/>
          </a:p>
        </c:txPr>
        <c:crossAx val="1157341726"/>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off-shore wind CAPEX in EUR/kWp</a:t>
            </a:r>
          </a:p>
        </c:rich>
      </c:tx>
      <c:overlay val="0"/>
    </c:title>
    <c:autoTitleDeleted val="0"/>
    <c:plotArea>
      <c:layout/>
      <c:lineChart>
        <c:grouping val="standard"/>
        <c:varyColors val="1"/>
        <c:ser>
          <c:idx val="0"/>
          <c:order val="0"/>
          <c:tx>
            <c:v>Tsiropoulos, 2018 (ProRES scenario)</c:v>
          </c:tx>
          <c:spPr>
            <a:ln w="28575" cmpd="sng">
              <a:solidFill>
                <a:schemeClr val="accent1"/>
              </a:solidFill>
            </a:ln>
          </c:spPr>
          <c:marker>
            <c:symbol val="none"/>
          </c:marker>
          <c:cat>
            <c:numRef>
              <c:f>'off-shore_wind'!$A$5:$A$40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'off-shore_wind'!$B$5:$B$40</c:f>
              <c:numCache>
                <c:formatCode>General</c:formatCode>
                <c:ptCount val="36"/>
                <c:pt idx="0">
                  <c:v>3600</c:v>
                </c:pt>
                <c:pt idx="5">
                  <c:v>2970</c:v>
                </c:pt>
                <c:pt idx="15">
                  <c:v>2370</c:v>
                </c:pt>
                <c:pt idx="25">
                  <c:v>2220</c:v>
                </c:pt>
                <c:pt idx="35">
                  <c:v>2160</c:v>
                </c:pt>
              </c:numCache>
            </c:numRef>
          </c:val>
          <c:smooth val="0"/>
          <c:extLst>
            <c:ext xmlns:c16="http://schemas.microsoft.com/office/drawing/2014/chart" uri="{C3380CC4-5D6E-409C-BE32-E72D297353CC}">
              <c16:uniqueId val="{00000000-6ACD-FA4B-AA69-BBACD6FFEA93}"/>
            </c:ext>
          </c:extLst>
        </c:ser>
        <c:ser>
          <c:idx val="1"/>
          <c:order val="1"/>
          <c:tx>
            <c:v>Agora, 2019 (reference scenario)</c:v>
          </c:tx>
          <c:spPr>
            <a:ln w="28575" cmpd="sng">
              <a:solidFill>
                <a:schemeClr val="accent2"/>
              </a:solidFill>
            </a:ln>
          </c:spPr>
          <c:marker>
            <c:symbol val="none"/>
          </c:marker>
          <c:cat>
            <c:numRef>
              <c:f>'off-shore_wind'!$A$5:$A$40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'off-shore_wind'!$C$5:$C$40</c:f>
              <c:numCache>
                <c:formatCode>General</c:formatCode>
                <c:ptCount val="36"/>
                <c:pt idx="5">
                  <c:v>2800</c:v>
                </c:pt>
                <c:pt idx="15">
                  <c:v>2200</c:v>
                </c:pt>
                <c:pt idx="35">
                  <c:v>1600</c:v>
                </c:pt>
              </c:numCache>
            </c:numRef>
          </c:val>
          <c:smooth val="0"/>
          <c:extLst>
            <c:ext xmlns:c16="http://schemas.microsoft.com/office/drawing/2014/chart" uri="{C3380CC4-5D6E-409C-BE32-E72D297353CC}">
              <c16:uniqueId val="{00000001-6ACD-FA4B-AA69-BBACD6FFEA93}"/>
            </c:ext>
          </c:extLst>
        </c:ser>
        <c:dLbls>
          <c:showLegendKey val="0"/>
          <c:showVal val="0"/>
          <c:showCatName val="0"/>
          <c:showSerName val="0"/>
          <c:showPercent val="0"/>
          <c:showBubbleSize val="0"/>
        </c:dLbls>
        <c:smooth val="0"/>
        <c:axId val="1310677381"/>
        <c:axId val="499489755"/>
      </c:lineChart>
      <c:catAx>
        <c:axId val="1310677381"/>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499489755"/>
        <c:crosses val="autoZero"/>
        <c:auto val="1"/>
        <c:lblAlgn val="ctr"/>
        <c:lblOffset val="100"/>
        <c:noMultiLvlLbl val="1"/>
      </c:catAx>
      <c:valAx>
        <c:axId val="499489755"/>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1400" b="0" i="0">
                <a:solidFill>
                  <a:srgbClr val="000000"/>
                </a:solidFill>
                <a:latin typeface="+mn-lt"/>
              </a:defRPr>
            </a:pPr>
            <a:endParaRPr lang="en-US"/>
          </a:p>
        </c:txPr>
        <c:crossAx val="1310677381"/>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chart" Target="../charts/chart8.xml"/><Relationship Id="rId4"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5" Type="http://schemas.openxmlformats.org/officeDocument/2006/relationships/chart" Target="../charts/chart13.xml"/><Relationship Id="rId4"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8" Type="http://schemas.openxmlformats.org/officeDocument/2006/relationships/chart" Target="../charts/chart21.xml"/><Relationship Id="rId3" Type="http://schemas.openxmlformats.org/officeDocument/2006/relationships/chart" Target="../charts/chart16.xml"/><Relationship Id="rId7" Type="http://schemas.openxmlformats.org/officeDocument/2006/relationships/chart" Target="../charts/chart20.xml"/><Relationship Id="rId2" Type="http://schemas.openxmlformats.org/officeDocument/2006/relationships/chart" Target="../charts/chart15.xml"/><Relationship Id="rId1" Type="http://schemas.openxmlformats.org/officeDocument/2006/relationships/chart" Target="../charts/chart14.xml"/><Relationship Id="rId6" Type="http://schemas.openxmlformats.org/officeDocument/2006/relationships/chart" Target="../charts/chart19.xml"/><Relationship Id="rId11" Type="http://schemas.openxmlformats.org/officeDocument/2006/relationships/chart" Target="../charts/chart24.xml"/><Relationship Id="rId5" Type="http://schemas.openxmlformats.org/officeDocument/2006/relationships/chart" Target="../charts/chart18.xml"/><Relationship Id="rId10" Type="http://schemas.openxmlformats.org/officeDocument/2006/relationships/chart" Target="../charts/chart23.xml"/><Relationship Id="rId4" Type="http://schemas.openxmlformats.org/officeDocument/2006/relationships/chart" Target="../charts/chart17.xml"/><Relationship Id="rId9" Type="http://schemas.openxmlformats.org/officeDocument/2006/relationships/chart" Target="../charts/chart22.xml"/></Relationships>
</file>

<file path=xl/drawings/_rels/drawing6.xml.rels><?xml version="1.0" encoding="UTF-8" standalone="yes"?>
<Relationships xmlns="http://schemas.openxmlformats.org/package/2006/relationships"><Relationship Id="rId8" Type="http://schemas.openxmlformats.org/officeDocument/2006/relationships/chart" Target="../charts/chart32.xml"/><Relationship Id="rId3" Type="http://schemas.openxmlformats.org/officeDocument/2006/relationships/chart" Target="../charts/chart27.xml"/><Relationship Id="rId7" Type="http://schemas.openxmlformats.org/officeDocument/2006/relationships/chart" Target="../charts/chart31.xml"/><Relationship Id="rId2" Type="http://schemas.openxmlformats.org/officeDocument/2006/relationships/chart" Target="../charts/chart26.xml"/><Relationship Id="rId1" Type="http://schemas.openxmlformats.org/officeDocument/2006/relationships/chart" Target="../charts/chart25.xml"/><Relationship Id="rId6" Type="http://schemas.openxmlformats.org/officeDocument/2006/relationships/chart" Target="../charts/chart30.xml"/><Relationship Id="rId5" Type="http://schemas.openxmlformats.org/officeDocument/2006/relationships/chart" Target="../charts/chart29.xml"/><Relationship Id="rId10" Type="http://schemas.openxmlformats.org/officeDocument/2006/relationships/chart" Target="../charts/chart34.xml"/><Relationship Id="rId4" Type="http://schemas.openxmlformats.org/officeDocument/2006/relationships/chart" Target="../charts/chart28.xml"/><Relationship Id="rId9" Type="http://schemas.openxmlformats.org/officeDocument/2006/relationships/chart" Target="../charts/chart33.xml"/></Relationships>
</file>

<file path=xl/drawings/_rels/drawing7.xml.rels><?xml version="1.0" encoding="UTF-8" standalone="yes"?>
<Relationships xmlns="http://schemas.openxmlformats.org/package/2006/relationships"><Relationship Id="rId3" Type="http://schemas.openxmlformats.org/officeDocument/2006/relationships/chart" Target="../charts/chart37.xml"/><Relationship Id="rId7" Type="http://schemas.openxmlformats.org/officeDocument/2006/relationships/chart" Target="../charts/chart41.xml"/><Relationship Id="rId2" Type="http://schemas.openxmlformats.org/officeDocument/2006/relationships/chart" Target="../charts/chart36.xml"/><Relationship Id="rId1" Type="http://schemas.openxmlformats.org/officeDocument/2006/relationships/chart" Target="../charts/chart35.xml"/><Relationship Id="rId6" Type="http://schemas.openxmlformats.org/officeDocument/2006/relationships/chart" Target="../charts/chart40.xml"/><Relationship Id="rId5" Type="http://schemas.openxmlformats.org/officeDocument/2006/relationships/chart" Target="../charts/chart39.xml"/><Relationship Id="rId4" Type="http://schemas.openxmlformats.org/officeDocument/2006/relationships/chart" Target="../charts/chart38.xml"/></Relationships>
</file>

<file path=xl/drawings/_rels/drawing8.xml.rels><?xml version="1.0" encoding="UTF-8" standalone="yes"?>
<Relationships xmlns="http://schemas.openxmlformats.org/package/2006/relationships"><Relationship Id="rId3" Type="http://schemas.openxmlformats.org/officeDocument/2006/relationships/chart" Target="../charts/chart44.xml"/><Relationship Id="rId7" Type="http://schemas.openxmlformats.org/officeDocument/2006/relationships/chart" Target="../charts/chart48.xml"/><Relationship Id="rId2" Type="http://schemas.openxmlformats.org/officeDocument/2006/relationships/chart" Target="../charts/chart43.xml"/><Relationship Id="rId1" Type="http://schemas.openxmlformats.org/officeDocument/2006/relationships/chart" Target="../charts/chart42.xml"/><Relationship Id="rId6" Type="http://schemas.openxmlformats.org/officeDocument/2006/relationships/chart" Target="../charts/chart47.xml"/><Relationship Id="rId5" Type="http://schemas.openxmlformats.org/officeDocument/2006/relationships/chart" Target="../charts/chart46.xml"/><Relationship Id="rId4" Type="http://schemas.openxmlformats.org/officeDocument/2006/relationships/chart" Target="../charts/chart45.xml"/></Relationships>
</file>

<file path=xl/drawings/_rels/drawing9.xml.rels><?xml version="1.0" encoding="UTF-8" standalone="yes"?>
<Relationships xmlns="http://schemas.openxmlformats.org/package/2006/relationships"><Relationship Id="rId8" Type="http://schemas.openxmlformats.org/officeDocument/2006/relationships/chart" Target="../charts/chart56.xml"/><Relationship Id="rId3" Type="http://schemas.openxmlformats.org/officeDocument/2006/relationships/chart" Target="../charts/chart51.xml"/><Relationship Id="rId7" Type="http://schemas.openxmlformats.org/officeDocument/2006/relationships/chart" Target="../charts/chart55.xml"/><Relationship Id="rId2" Type="http://schemas.openxmlformats.org/officeDocument/2006/relationships/chart" Target="../charts/chart50.xml"/><Relationship Id="rId1" Type="http://schemas.openxmlformats.org/officeDocument/2006/relationships/chart" Target="../charts/chart49.xml"/><Relationship Id="rId6" Type="http://schemas.openxmlformats.org/officeDocument/2006/relationships/chart" Target="../charts/chart54.xml"/><Relationship Id="rId11" Type="http://schemas.openxmlformats.org/officeDocument/2006/relationships/chart" Target="../charts/chart59.xml"/><Relationship Id="rId5" Type="http://schemas.openxmlformats.org/officeDocument/2006/relationships/chart" Target="../charts/chart53.xml"/><Relationship Id="rId10" Type="http://schemas.openxmlformats.org/officeDocument/2006/relationships/chart" Target="../charts/chart58.xml"/><Relationship Id="rId4" Type="http://schemas.openxmlformats.org/officeDocument/2006/relationships/chart" Target="../charts/chart52.xml"/><Relationship Id="rId9" Type="http://schemas.openxmlformats.org/officeDocument/2006/relationships/chart" Target="../charts/chart57.xml"/></Relationships>
</file>

<file path=xl/drawings/drawing1.xml><?xml version="1.0" encoding="utf-8"?>
<xdr:wsDr xmlns:xdr="http://schemas.openxmlformats.org/drawingml/2006/spreadsheetDrawing" xmlns:a="http://schemas.openxmlformats.org/drawingml/2006/main">
  <xdr:oneCellAnchor>
    <xdr:from>
      <xdr:col>7</xdr:col>
      <xdr:colOff>95250</xdr:colOff>
      <xdr:row>32</xdr:row>
      <xdr:rowOff>85725</xdr:rowOff>
    </xdr:from>
    <xdr:ext cx="8677275" cy="4667250"/>
    <xdr:pic>
      <xdr:nvPicPr>
        <xdr:cNvPr id="2" name="image1.png">
          <a:extLst>
            <a:ext uri="{FF2B5EF4-FFF2-40B4-BE49-F238E27FC236}">
              <a16:creationId xmlns:a16="http://schemas.microsoft.com/office/drawing/2014/main" id="{00000000-0008-0000-08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238125</xdr:colOff>
      <xdr:row>40</xdr:row>
      <xdr:rowOff>161925</xdr:rowOff>
    </xdr:from>
    <xdr:ext cx="7143750" cy="4010025"/>
    <xdr:graphicFrame macro="">
      <xdr:nvGraphicFramePr>
        <xdr:cNvPr id="1331071445" name="Chart 1">
          <a:extLst>
            <a:ext uri="{FF2B5EF4-FFF2-40B4-BE49-F238E27FC236}">
              <a16:creationId xmlns:a16="http://schemas.microsoft.com/office/drawing/2014/main" id="{00000000-0008-0000-0A00-0000D58956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4</xdr:col>
      <xdr:colOff>152400</xdr:colOff>
      <xdr:row>40</xdr:row>
      <xdr:rowOff>161925</xdr:rowOff>
    </xdr:from>
    <xdr:ext cx="6334125" cy="4010025"/>
    <xdr:graphicFrame macro="">
      <xdr:nvGraphicFramePr>
        <xdr:cNvPr id="1437015218" name="Chart 2">
          <a:extLst>
            <a:ext uri="{FF2B5EF4-FFF2-40B4-BE49-F238E27FC236}">
              <a16:creationId xmlns:a16="http://schemas.microsoft.com/office/drawing/2014/main" id="{00000000-0008-0000-0A00-0000B21CA7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7</xdr:col>
      <xdr:colOff>495300</xdr:colOff>
      <xdr:row>40</xdr:row>
      <xdr:rowOff>133350</xdr:rowOff>
    </xdr:from>
    <xdr:ext cx="5305425" cy="4010025"/>
    <xdr:graphicFrame macro="">
      <xdr:nvGraphicFramePr>
        <xdr:cNvPr id="2139281814" name="Chart 3">
          <a:extLst>
            <a:ext uri="{FF2B5EF4-FFF2-40B4-BE49-F238E27FC236}">
              <a16:creationId xmlns:a16="http://schemas.microsoft.com/office/drawing/2014/main" id="{00000000-0008-0000-0A00-000096D982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238125</xdr:colOff>
      <xdr:row>40</xdr:row>
      <xdr:rowOff>161925</xdr:rowOff>
    </xdr:from>
    <xdr:ext cx="6334125" cy="4010025"/>
    <xdr:graphicFrame macro="">
      <xdr:nvGraphicFramePr>
        <xdr:cNvPr id="68919971" name="Chart 4">
          <a:extLst>
            <a:ext uri="{FF2B5EF4-FFF2-40B4-BE49-F238E27FC236}">
              <a16:creationId xmlns:a16="http://schemas.microsoft.com/office/drawing/2014/main" id="{00000000-0008-0000-0B00-0000A3A21B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3</xdr:col>
      <xdr:colOff>152400</xdr:colOff>
      <xdr:row>40</xdr:row>
      <xdr:rowOff>161925</xdr:rowOff>
    </xdr:from>
    <xdr:ext cx="4305300" cy="4010025"/>
    <xdr:graphicFrame macro="">
      <xdr:nvGraphicFramePr>
        <xdr:cNvPr id="783191375" name="Chart 5">
          <a:extLst>
            <a:ext uri="{FF2B5EF4-FFF2-40B4-BE49-F238E27FC236}">
              <a16:creationId xmlns:a16="http://schemas.microsoft.com/office/drawing/2014/main" id="{00000000-0008-0000-0B00-00004F8DAE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5</xdr:col>
      <xdr:colOff>495300</xdr:colOff>
      <xdr:row>40</xdr:row>
      <xdr:rowOff>133350</xdr:rowOff>
    </xdr:from>
    <xdr:ext cx="3419475" cy="4010025"/>
    <xdr:graphicFrame macro="">
      <xdr:nvGraphicFramePr>
        <xdr:cNvPr id="1238309547" name="Chart 6">
          <a:extLst>
            <a:ext uri="{FF2B5EF4-FFF2-40B4-BE49-F238E27FC236}">
              <a16:creationId xmlns:a16="http://schemas.microsoft.com/office/drawing/2014/main" id="{00000000-0008-0000-0B00-0000AB1ACF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3</xdr:col>
      <xdr:colOff>152400</xdr:colOff>
      <xdr:row>40</xdr:row>
      <xdr:rowOff>161925</xdr:rowOff>
    </xdr:from>
    <xdr:ext cx="4305300" cy="4010025"/>
    <xdr:graphicFrame macro="">
      <xdr:nvGraphicFramePr>
        <xdr:cNvPr id="15943089" name="Chart 7">
          <a:extLst>
            <a:ext uri="{FF2B5EF4-FFF2-40B4-BE49-F238E27FC236}">
              <a16:creationId xmlns:a16="http://schemas.microsoft.com/office/drawing/2014/main" id="{00000000-0008-0000-0B00-0000B145F3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5</xdr:col>
      <xdr:colOff>152400</xdr:colOff>
      <xdr:row>40</xdr:row>
      <xdr:rowOff>133350</xdr:rowOff>
    </xdr:from>
    <xdr:ext cx="3429000" cy="4010025"/>
    <xdr:graphicFrame macro="">
      <xdr:nvGraphicFramePr>
        <xdr:cNvPr id="1535204158" name="Chart 8">
          <a:extLst>
            <a:ext uri="{FF2B5EF4-FFF2-40B4-BE49-F238E27FC236}">
              <a16:creationId xmlns:a16="http://schemas.microsoft.com/office/drawing/2014/main" id="{00000000-0008-0000-0B00-00003E5B81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238125</xdr:colOff>
      <xdr:row>40</xdr:row>
      <xdr:rowOff>161925</xdr:rowOff>
    </xdr:from>
    <xdr:ext cx="5133975" cy="4010025"/>
    <xdr:graphicFrame macro="">
      <xdr:nvGraphicFramePr>
        <xdr:cNvPr id="2017838373" name="Chart 9">
          <a:extLst>
            <a:ext uri="{FF2B5EF4-FFF2-40B4-BE49-F238E27FC236}">
              <a16:creationId xmlns:a16="http://schemas.microsoft.com/office/drawing/2014/main" id="{00000000-0008-0000-0C00-000025C545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3</xdr:col>
      <xdr:colOff>152400</xdr:colOff>
      <xdr:row>40</xdr:row>
      <xdr:rowOff>161925</xdr:rowOff>
    </xdr:from>
    <xdr:ext cx="4086225" cy="4010025"/>
    <xdr:graphicFrame macro="">
      <xdr:nvGraphicFramePr>
        <xdr:cNvPr id="783238871" name="Chart 10">
          <a:extLst>
            <a:ext uri="{FF2B5EF4-FFF2-40B4-BE49-F238E27FC236}">
              <a16:creationId xmlns:a16="http://schemas.microsoft.com/office/drawing/2014/main" id="{00000000-0008-0000-0C00-0000D746AF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5</xdr:col>
      <xdr:colOff>495300</xdr:colOff>
      <xdr:row>40</xdr:row>
      <xdr:rowOff>133350</xdr:rowOff>
    </xdr:from>
    <xdr:ext cx="4600575" cy="4010025"/>
    <xdr:graphicFrame macro="">
      <xdr:nvGraphicFramePr>
        <xdr:cNvPr id="973600214" name="Chart 11">
          <a:extLst>
            <a:ext uri="{FF2B5EF4-FFF2-40B4-BE49-F238E27FC236}">
              <a16:creationId xmlns:a16="http://schemas.microsoft.com/office/drawing/2014/main" id="{00000000-0008-0000-0C00-0000D6F507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3</xdr:col>
      <xdr:colOff>152400</xdr:colOff>
      <xdr:row>40</xdr:row>
      <xdr:rowOff>161925</xdr:rowOff>
    </xdr:from>
    <xdr:ext cx="4086225" cy="4010025"/>
    <xdr:graphicFrame macro="">
      <xdr:nvGraphicFramePr>
        <xdr:cNvPr id="1399982561" name="Chart 12">
          <a:extLst>
            <a:ext uri="{FF2B5EF4-FFF2-40B4-BE49-F238E27FC236}">
              <a16:creationId xmlns:a16="http://schemas.microsoft.com/office/drawing/2014/main" id="{00000000-0008-0000-0C00-0000E10972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5</xdr:col>
      <xdr:colOff>152400</xdr:colOff>
      <xdr:row>40</xdr:row>
      <xdr:rowOff>133350</xdr:rowOff>
    </xdr:from>
    <xdr:ext cx="4829175" cy="4010025"/>
    <xdr:graphicFrame macro="">
      <xdr:nvGraphicFramePr>
        <xdr:cNvPr id="1858218753" name="Chart 13">
          <a:extLst>
            <a:ext uri="{FF2B5EF4-FFF2-40B4-BE49-F238E27FC236}">
              <a16:creationId xmlns:a16="http://schemas.microsoft.com/office/drawing/2014/main" id="{00000000-0008-0000-0C00-0000012BC2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238125</xdr:colOff>
      <xdr:row>40</xdr:row>
      <xdr:rowOff>161925</xdr:rowOff>
    </xdr:from>
    <xdr:ext cx="3209925" cy="4010025"/>
    <xdr:graphicFrame macro="">
      <xdr:nvGraphicFramePr>
        <xdr:cNvPr id="483344731" name="Chart 14">
          <a:extLst>
            <a:ext uri="{FF2B5EF4-FFF2-40B4-BE49-F238E27FC236}">
              <a16:creationId xmlns:a16="http://schemas.microsoft.com/office/drawing/2014/main" id="{00000000-0008-0000-0D00-00005B41CF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8</xdr:col>
      <xdr:colOff>152400</xdr:colOff>
      <xdr:row>40</xdr:row>
      <xdr:rowOff>161925</xdr:rowOff>
    </xdr:from>
    <xdr:ext cx="1104900" cy="4010025"/>
    <xdr:graphicFrame macro="">
      <xdr:nvGraphicFramePr>
        <xdr:cNvPr id="591872473" name="Chart 15">
          <a:extLst>
            <a:ext uri="{FF2B5EF4-FFF2-40B4-BE49-F238E27FC236}">
              <a16:creationId xmlns:a16="http://schemas.microsoft.com/office/drawing/2014/main" id="{00000000-0008-0000-0D00-0000D94147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11</xdr:col>
      <xdr:colOff>495300</xdr:colOff>
      <xdr:row>40</xdr:row>
      <xdr:rowOff>133350</xdr:rowOff>
    </xdr:from>
    <xdr:ext cx="1533525" cy="4010025"/>
    <xdr:graphicFrame macro="">
      <xdr:nvGraphicFramePr>
        <xdr:cNvPr id="1451981762" name="Chart 16">
          <a:extLst>
            <a:ext uri="{FF2B5EF4-FFF2-40B4-BE49-F238E27FC236}">
              <a16:creationId xmlns:a16="http://schemas.microsoft.com/office/drawing/2014/main" id="{00000000-0008-0000-0D00-0000C27B8B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8</xdr:col>
      <xdr:colOff>152400</xdr:colOff>
      <xdr:row>40</xdr:row>
      <xdr:rowOff>161925</xdr:rowOff>
    </xdr:from>
    <xdr:ext cx="1104900" cy="4010025"/>
    <xdr:graphicFrame macro="">
      <xdr:nvGraphicFramePr>
        <xdr:cNvPr id="2011128183" name="Chart 17">
          <a:extLst>
            <a:ext uri="{FF2B5EF4-FFF2-40B4-BE49-F238E27FC236}">
              <a16:creationId xmlns:a16="http://schemas.microsoft.com/office/drawing/2014/main" id="{00000000-0008-0000-0D00-00007761DF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11</xdr:col>
      <xdr:colOff>152400</xdr:colOff>
      <xdr:row>40</xdr:row>
      <xdr:rowOff>133350</xdr:rowOff>
    </xdr:from>
    <xdr:ext cx="1876425" cy="4010025"/>
    <xdr:graphicFrame macro="">
      <xdr:nvGraphicFramePr>
        <xdr:cNvPr id="1240836585" name="Chart 18">
          <a:extLst>
            <a:ext uri="{FF2B5EF4-FFF2-40B4-BE49-F238E27FC236}">
              <a16:creationId xmlns:a16="http://schemas.microsoft.com/office/drawing/2014/main" id="{00000000-0008-0000-0D00-0000E9A9F5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0</xdr:col>
      <xdr:colOff>238125</xdr:colOff>
      <xdr:row>40</xdr:row>
      <xdr:rowOff>161925</xdr:rowOff>
    </xdr:from>
    <xdr:ext cx="8505825" cy="4010025"/>
    <xdr:graphicFrame macro="">
      <xdr:nvGraphicFramePr>
        <xdr:cNvPr id="1489976570" name="Chart 19">
          <a:extLst>
            <a:ext uri="{FF2B5EF4-FFF2-40B4-BE49-F238E27FC236}">
              <a16:creationId xmlns:a16="http://schemas.microsoft.com/office/drawing/2014/main" id="{00000000-0008-0000-0D00-0000FA3CCF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8</xdr:col>
      <xdr:colOff>152400</xdr:colOff>
      <xdr:row>40</xdr:row>
      <xdr:rowOff>161925</xdr:rowOff>
    </xdr:from>
    <xdr:ext cx="1104900" cy="4010025"/>
    <xdr:graphicFrame macro="">
      <xdr:nvGraphicFramePr>
        <xdr:cNvPr id="45689910" name="Chart 20">
          <a:extLst>
            <a:ext uri="{FF2B5EF4-FFF2-40B4-BE49-F238E27FC236}">
              <a16:creationId xmlns:a16="http://schemas.microsoft.com/office/drawing/2014/main" id="{00000000-0008-0000-0D00-0000362CB9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11</xdr:col>
      <xdr:colOff>495300</xdr:colOff>
      <xdr:row>40</xdr:row>
      <xdr:rowOff>133350</xdr:rowOff>
    </xdr:from>
    <xdr:ext cx="1533525" cy="4010025"/>
    <xdr:graphicFrame macro="">
      <xdr:nvGraphicFramePr>
        <xdr:cNvPr id="1741544090" name="Chart 21">
          <a:extLst>
            <a:ext uri="{FF2B5EF4-FFF2-40B4-BE49-F238E27FC236}">
              <a16:creationId xmlns:a16="http://schemas.microsoft.com/office/drawing/2014/main" id="{00000000-0008-0000-0D00-00009ADACD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oneCellAnchor>
    <xdr:from>
      <xdr:col>8</xdr:col>
      <xdr:colOff>152400</xdr:colOff>
      <xdr:row>40</xdr:row>
      <xdr:rowOff>161925</xdr:rowOff>
    </xdr:from>
    <xdr:ext cx="3048000" cy="4010025"/>
    <xdr:graphicFrame macro="">
      <xdr:nvGraphicFramePr>
        <xdr:cNvPr id="44912989" name="Chart 22">
          <a:extLst>
            <a:ext uri="{FF2B5EF4-FFF2-40B4-BE49-F238E27FC236}">
              <a16:creationId xmlns:a16="http://schemas.microsoft.com/office/drawing/2014/main" id="{00000000-0008-0000-0D00-00005D51AD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fLocksWithSheet="0"/>
  </xdr:oneCellAnchor>
  <xdr:oneCellAnchor>
    <xdr:from>
      <xdr:col>11</xdr:col>
      <xdr:colOff>152400</xdr:colOff>
      <xdr:row>40</xdr:row>
      <xdr:rowOff>133350</xdr:rowOff>
    </xdr:from>
    <xdr:ext cx="4029075" cy="4010025"/>
    <xdr:graphicFrame macro="">
      <xdr:nvGraphicFramePr>
        <xdr:cNvPr id="1037631435" name="Chart 23">
          <a:extLst>
            <a:ext uri="{FF2B5EF4-FFF2-40B4-BE49-F238E27FC236}">
              <a16:creationId xmlns:a16="http://schemas.microsoft.com/office/drawing/2014/main" id="{00000000-0008-0000-0D00-0000CBFFD8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fLocksWithSheet="0"/>
  </xdr:oneCellAnchor>
  <xdr:oneCellAnchor>
    <xdr:from>
      <xdr:col>14</xdr:col>
      <xdr:colOff>0</xdr:colOff>
      <xdr:row>41</xdr:row>
      <xdr:rowOff>0</xdr:rowOff>
    </xdr:from>
    <xdr:ext cx="3448050" cy="4010025"/>
    <xdr:graphicFrame macro="">
      <xdr:nvGraphicFramePr>
        <xdr:cNvPr id="854866468" name="Chart 24">
          <a:extLst>
            <a:ext uri="{FF2B5EF4-FFF2-40B4-BE49-F238E27FC236}">
              <a16:creationId xmlns:a16="http://schemas.microsoft.com/office/drawing/2014/main" id="{00000000-0008-0000-0D00-0000243AF4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dr:oneCellAnchor>
    <xdr:from>
      <xdr:col>0</xdr:col>
      <xdr:colOff>238125</xdr:colOff>
      <xdr:row>40</xdr:row>
      <xdr:rowOff>161925</xdr:rowOff>
    </xdr:from>
    <xdr:ext cx="3705225" cy="4010025"/>
    <xdr:graphicFrame macro="">
      <xdr:nvGraphicFramePr>
        <xdr:cNvPr id="410551911" name="Chart 25">
          <a:extLst>
            <a:ext uri="{FF2B5EF4-FFF2-40B4-BE49-F238E27FC236}">
              <a16:creationId xmlns:a16="http://schemas.microsoft.com/office/drawing/2014/main" id="{00000000-0008-0000-0E00-0000678678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2</xdr:col>
      <xdr:colOff>152400</xdr:colOff>
      <xdr:row>40</xdr:row>
      <xdr:rowOff>161925</xdr:rowOff>
    </xdr:from>
    <xdr:ext cx="2886075" cy="4010025"/>
    <xdr:graphicFrame macro="">
      <xdr:nvGraphicFramePr>
        <xdr:cNvPr id="1185427532" name="Chart 26">
          <a:extLst>
            <a:ext uri="{FF2B5EF4-FFF2-40B4-BE49-F238E27FC236}">
              <a16:creationId xmlns:a16="http://schemas.microsoft.com/office/drawing/2014/main" id="{00000000-0008-0000-0E00-00004C30A8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3</xdr:col>
      <xdr:colOff>495300</xdr:colOff>
      <xdr:row>40</xdr:row>
      <xdr:rowOff>133350</xdr:rowOff>
    </xdr:from>
    <xdr:ext cx="2543175" cy="4010025"/>
    <xdr:graphicFrame macro="">
      <xdr:nvGraphicFramePr>
        <xdr:cNvPr id="386071355" name="Chart 27">
          <a:extLst>
            <a:ext uri="{FF2B5EF4-FFF2-40B4-BE49-F238E27FC236}">
              <a16:creationId xmlns:a16="http://schemas.microsoft.com/office/drawing/2014/main" id="{00000000-0008-0000-0E00-00003BFB02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2</xdr:col>
      <xdr:colOff>152400</xdr:colOff>
      <xdr:row>40</xdr:row>
      <xdr:rowOff>161925</xdr:rowOff>
    </xdr:from>
    <xdr:ext cx="2886075" cy="4010025"/>
    <xdr:graphicFrame macro="">
      <xdr:nvGraphicFramePr>
        <xdr:cNvPr id="116761797" name="Chart 28">
          <a:extLst>
            <a:ext uri="{FF2B5EF4-FFF2-40B4-BE49-F238E27FC236}">
              <a16:creationId xmlns:a16="http://schemas.microsoft.com/office/drawing/2014/main" id="{00000000-0008-0000-0E00-0000C5A4F5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3</xdr:col>
      <xdr:colOff>152400</xdr:colOff>
      <xdr:row>40</xdr:row>
      <xdr:rowOff>133350</xdr:rowOff>
    </xdr:from>
    <xdr:ext cx="2886075" cy="4010025"/>
    <xdr:graphicFrame macro="">
      <xdr:nvGraphicFramePr>
        <xdr:cNvPr id="536480007" name="Chart 29">
          <a:extLst>
            <a:ext uri="{FF2B5EF4-FFF2-40B4-BE49-F238E27FC236}">
              <a16:creationId xmlns:a16="http://schemas.microsoft.com/office/drawing/2014/main" id="{00000000-0008-0000-0E00-00000709FA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0</xdr:col>
      <xdr:colOff>238125</xdr:colOff>
      <xdr:row>40</xdr:row>
      <xdr:rowOff>161925</xdr:rowOff>
    </xdr:from>
    <xdr:ext cx="3705225" cy="4010025"/>
    <xdr:graphicFrame macro="">
      <xdr:nvGraphicFramePr>
        <xdr:cNvPr id="183576726" name="Chart 30">
          <a:extLst>
            <a:ext uri="{FF2B5EF4-FFF2-40B4-BE49-F238E27FC236}">
              <a16:creationId xmlns:a16="http://schemas.microsoft.com/office/drawing/2014/main" id="{00000000-0008-0000-0E00-00009628F1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2</xdr:col>
      <xdr:colOff>152400</xdr:colOff>
      <xdr:row>40</xdr:row>
      <xdr:rowOff>161925</xdr:rowOff>
    </xdr:from>
    <xdr:ext cx="2886075" cy="4010025"/>
    <xdr:graphicFrame macro="">
      <xdr:nvGraphicFramePr>
        <xdr:cNvPr id="976966118" name="Chart 31">
          <a:extLst>
            <a:ext uri="{FF2B5EF4-FFF2-40B4-BE49-F238E27FC236}">
              <a16:creationId xmlns:a16="http://schemas.microsoft.com/office/drawing/2014/main" id="{00000000-0008-0000-0E00-0000E6513B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3</xdr:col>
      <xdr:colOff>495300</xdr:colOff>
      <xdr:row>40</xdr:row>
      <xdr:rowOff>133350</xdr:rowOff>
    </xdr:from>
    <xdr:ext cx="2543175" cy="4010025"/>
    <xdr:graphicFrame macro="">
      <xdr:nvGraphicFramePr>
        <xdr:cNvPr id="165400226" name="Chart 32">
          <a:extLst>
            <a:ext uri="{FF2B5EF4-FFF2-40B4-BE49-F238E27FC236}">
              <a16:creationId xmlns:a16="http://schemas.microsoft.com/office/drawing/2014/main" id="{00000000-0008-0000-0E00-0000A2CEDB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oneCellAnchor>
    <xdr:from>
      <xdr:col>2</xdr:col>
      <xdr:colOff>152400</xdr:colOff>
      <xdr:row>40</xdr:row>
      <xdr:rowOff>161925</xdr:rowOff>
    </xdr:from>
    <xdr:ext cx="2886075" cy="4010025"/>
    <xdr:graphicFrame macro="">
      <xdr:nvGraphicFramePr>
        <xdr:cNvPr id="967473258" name="Chart 33">
          <a:extLst>
            <a:ext uri="{FF2B5EF4-FFF2-40B4-BE49-F238E27FC236}">
              <a16:creationId xmlns:a16="http://schemas.microsoft.com/office/drawing/2014/main" id="{00000000-0008-0000-0E00-00006A78AA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fLocksWithSheet="0"/>
  </xdr:oneCellAnchor>
  <xdr:oneCellAnchor>
    <xdr:from>
      <xdr:col>3</xdr:col>
      <xdr:colOff>152400</xdr:colOff>
      <xdr:row>40</xdr:row>
      <xdr:rowOff>133350</xdr:rowOff>
    </xdr:from>
    <xdr:ext cx="2886075" cy="4010025"/>
    <xdr:graphicFrame macro="">
      <xdr:nvGraphicFramePr>
        <xdr:cNvPr id="838700283" name="Chart 34">
          <a:extLst>
            <a:ext uri="{FF2B5EF4-FFF2-40B4-BE49-F238E27FC236}">
              <a16:creationId xmlns:a16="http://schemas.microsoft.com/office/drawing/2014/main" id="{00000000-0008-0000-0E00-0000FB8CFD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dr:oneCellAnchor>
    <xdr:from>
      <xdr:col>0</xdr:col>
      <xdr:colOff>0</xdr:colOff>
      <xdr:row>40</xdr:row>
      <xdr:rowOff>161925</xdr:rowOff>
    </xdr:from>
    <xdr:ext cx="10925175" cy="4010025"/>
    <xdr:graphicFrame macro="">
      <xdr:nvGraphicFramePr>
        <xdr:cNvPr id="356727564" name="Chart 35">
          <a:extLst>
            <a:ext uri="{FF2B5EF4-FFF2-40B4-BE49-F238E27FC236}">
              <a16:creationId xmlns:a16="http://schemas.microsoft.com/office/drawing/2014/main" id="{00000000-0008-0000-0F00-00000C3B43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9</xdr:col>
      <xdr:colOff>152400</xdr:colOff>
      <xdr:row>40</xdr:row>
      <xdr:rowOff>161925</xdr:rowOff>
    </xdr:from>
    <xdr:ext cx="7391400" cy="4010025"/>
    <xdr:graphicFrame macro="">
      <xdr:nvGraphicFramePr>
        <xdr:cNvPr id="1474579118" name="Chart 36">
          <a:extLst>
            <a:ext uri="{FF2B5EF4-FFF2-40B4-BE49-F238E27FC236}">
              <a16:creationId xmlns:a16="http://schemas.microsoft.com/office/drawing/2014/main" id="{00000000-0008-0000-0F00-0000AE4AE4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17</xdr:col>
      <xdr:colOff>495300</xdr:colOff>
      <xdr:row>40</xdr:row>
      <xdr:rowOff>133350</xdr:rowOff>
    </xdr:from>
    <xdr:ext cx="5162550" cy="4010025"/>
    <xdr:graphicFrame macro="">
      <xdr:nvGraphicFramePr>
        <xdr:cNvPr id="424584083" name="Chart 37">
          <a:extLst>
            <a:ext uri="{FF2B5EF4-FFF2-40B4-BE49-F238E27FC236}">
              <a16:creationId xmlns:a16="http://schemas.microsoft.com/office/drawing/2014/main" id="{00000000-0008-0000-0F00-000093A34E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9</xdr:col>
      <xdr:colOff>152400</xdr:colOff>
      <xdr:row>40</xdr:row>
      <xdr:rowOff>161925</xdr:rowOff>
    </xdr:from>
    <xdr:ext cx="7391400" cy="4010025"/>
    <xdr:graphicFrame macro="">
      <xdr:nvGraphicFramePr>
        <xdr:cNvPr id="1523544451" name="Chart 38">
          <a:extLst>
            <a:ext uri="{FF2B5EF4-FFF2-40B4-BE49-F238E27FC236}">
              <a16:creationId xmlns:a16="http://schemas.microsoft.com/office/drawing/2014/main" id="{00000000-0008-0000-0F00-00008371CF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17</xdr:col>
      <xdr:colOff>152400</xdr:colOff>
      <xdr:row>40</xdr:row>
      <xdr:rowOff>133350</xdr:rowOff>
    </xdr:from>
    <xdr:ext cx="5505450" cy="4010025"/>
    <xdr:graphicFrame macro="">
      <xdr:nvGraphicFramePr>
        <xdr:cNvPr id="300182712" name="Chart 39">
          <a:extLst>
            <a:ext uri="{FF2B5EF4-FFF2-40B4-BE49-F238E27FC236}">
              <a16:creationId xmlns:a16="http://schemas.microsoft.com/office/drawing/2014/main" id="{00000000-0008-0000-0F00-0000B86CE4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23</xdr:col>
      <xdr:colOff>495300</xdr:colOff>
      <xdr:row>40</xdr:row>
      <xdr:rowOff>133350</xdr:rowOff>
    </xdr:from>
    <xdr:ext cx="7048500" cy="4010025"/>
    <xdr:graphicFrame macro="">
      <xdr:nvGraphicFramePr>
        <xdr:cNvPr id="645591147" name="Chart 40">
          <a:extLst>
            <a:ext uri="{FF2B5EF4-FFF2-40B4-BE49-F238E27FC236}">
              <a16:creationId xmlns:a16="http://schemas.microsoft.com/office/drawing/2014/main" id="{00000000-0008-0000-0F00-00006BF07A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23</xdr:col>
      <xdr:colOff>152400</xdr:colOff>
      <xdr:row>40</xdr:row>
      <xdr:rowOff>133350</xdr:rowOff>
    </xdr:from>
    <xdr:ext cx="9467850" cy="4010025"/>
    <xdr:graphicFrame macro="">
      <xdr:nvGraphicFramePr>
        <xdr:cNvPr id="1746001863" name="Chart 41">
          <a:extLst>
            <a:ext uri="{FF2B5EF4-FFF2-40B4-BE49-F238E27FC236}">
              <a16:creationId xmlns:a16="http://schemas.microsoft.com/office/drawing/2014/main" id="{00000000-0008-0000-0F00-0000C7DF11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dr:oneCellAnchor>
    <xdr:from>
      <xdr:col>0</xdr:col>
      <xdr:colOff>238125</xdr:colOff>
      <xdr:row>40</xdr:row>
      <xdr:rowOff>161925</xdr:rowOff>
    </xdr:from>
    <xdr:ext cx="5591175" cy="4010025"/>
    <xdr:graphicFrame macro="">
      <xdr:nvGraphicFramePr>
        <xdr:cNvPr id="1031390290" name="Chart 42">
          <a:extLst>
            <a:ext uri="{FF2B5EF4-FFF2-40B4-BE49-F238E27FC236}">
              <a16:creationId xmlns:a16="http://schemas.microsoft.com/office/drawing/2014/main" id="{00000000-0008-0000-1100-000052C479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6</xdr:col>
      <xdr:colOff>152400</xdr:colOff>
      <xdr:row>40</xdr:row>
      <xdr:rowOff>161925</xdr:rowOff>
    </xdr:from>
    <xdr:ext cx="4562475" cy="4010025"/>
    <xdr:graphicFrame macro="">
      <xdr:nvGraphicFramePr>
        <xdr:cNvPr id="1225887022" name="Chart 43">
          <a:extLst>
            <a:ext uri="{FF2B5EF4-FFF2-40B4-BE49-F238E27FC236}">
              <a16:creationId xmlns:a16="http://schemas.microsoft.com/office/drawing/2014/main" id="{00000000-0008-0000-1100-00002E8D11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11</xdr:col>
      <xdr:colOff>495300</xdr:colOff>
      <xdr:row>40</xdr:row>
      <xdr:rowOff>133350</xdr:rowOff>
    </xdr:from>
    <xdr:ext cx="4219575" cy="4010025"/>
    <xdr:graphicFrame macro="">
      <xdr:nvGraphicFramePr>
        <xdr:cNvPr id="1493121015" name="Chart 44">
          <a:extLst>
            <a:ext uri="{FF2B5EF4-FFF2-40B4-BE49-F238E27FC236}">
              <a16:creationId xmlns:a16="http://schemas.microsoft.com/office/drawing/2014/main" id="{00000000-0008-0000-1100-0000F737FF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6</xdr:col>
      <xdr:colOff>152400</xdr:colOff>
      <xdr:row>40</xdr:row>
      <xdr:rowOff>161925</xdr:rowOff>
    </xdr:from>
    <xdr:ext cx="4562475" cy="4010025"/>
    <xdr:graphicFrame macro="">
      <xdr:nvGraphicFramePr>
        <xdr:cNvPr id="387145659" name="Chart 45">
          <a:extLst>
            <a:ext uri="{FF2B5EF4-FFF2-40B4-BE49-F238E27FC236}">
              <a16:creationId xmlns:a16="http://schemas.microsoft.com/office/drawing/2014/main" id="{00000000-0008-0000-1100-0000BB5F13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11</xdr:col>
      <xdr:colOff>152400</xdr:colOff>
      <xdr:row>40</xdr:row>
      <xdr:rowOff>133350</xdr:rowOff>
    </xdr:from>
    <xdr:ext cx="4562475" cy="4010025"/>
    <xdr:graphicFrame macro="">
      <xdr:nvGraphicFramePr>
        <xdr:cNvPr id="1685531802" name="Chart 46">
          <a:extLst>
            <a:ext uri="{FF2B5EF4-FFF2-40B4-BE49-F238E27FC236}">
              <a16:creationId xmlns:a16="http://schemas.microsoft.com/office/drawing/2014/main" id="{00000000-0008-0000-1100-00009A2C77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16</xdr:col>
      <xdr:colOff>495300</xdr:colOff>
      <xdr:row>40</xdr:row>
      <xdr:rowOff>133350</xdr:rowOff>
    </xdr:from>
    <xdr:ext cx="4219575" cy="4010025"/>
    <xdr:graphicFrame macro="">
      <xdr:nvGraphicFramePr>
        <xdr:cNvPr id="72003251" name="Chart 47">
          <a:extLst>
            <a:ext uri="{FF2B5EF4-FFF2-40B4-BE49-F238E27FC236}">
              <a16:creationId xmlns:a16="http://schemas.microsoft.com/office/drawing/2014/main" id="{00000000-0008-0000-1100-0000B3AE4A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16</xdr:col>
      <xdr:colOff>152400</xdr:colOff>
      <xdr:row>40</xdr:row>
      <xdr:rowOff>133350</xdr:rowOff>
    </xdr:from>
    <xdr:ext cx="4562475" cy="4010025"/>
    <xdr:graphicFrame macro="">
      <xdr:nvGraphicFramePr>
        <xdr:cNvPr id="1472257577" name="Chart 48">
          <a:extLst>
            <a:ext uri="{FF2B5EF4-FFF2-40B4-BE49-F238E27FC236}">
              <a16:creationId xmlns:a16="http://schemas.microsoft.com/office/drawing/2014/main" id="{00000000-0008-0000-1100-000029DEC0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wsDr>
</file>

<file path=xl/drawings/drawing9.xml><?xml version="1.0" encoding="utf-8"?>
<xdr:wsDr xmlns:xdr="http://schemas.openxmlformats.org/drawingml/2006/spreadsheetDrawing" xmlns:a="http://schemas.openxmlformats.org/drawingml/2006/main">
  <xdr:oneCellAnchor>
    <xdr:from>
      <xdr:col>0</xdr:col>
      <xdr:colOff>238125</xdr:colOff>
      <xdr:row>40</xdr:row>
      <xdr:rowOff>161925</xdr:rowOff>
    </xdr:from>
    <xdr:ext cx="5133975" cy="4010025"/>
    <xdr:graphicFrame macro="">
      <xdr:nvGraphicFramePr>
        <xdr:cNvPr id="57675991" name="Chart 49">
          <a:extLst>
            <a:ext uri="{FF2B5EF4-FFF2-40B4-BE49-F238E27FC236}">
              <a16:creationId xmlns:a16="http://schemas.microsoft.com/office/drawing/2014/main" id="{00000000-0008-0000-1200-0000D71070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xdr:col>
      <xdr:colOff>152400</xdr:colOff>
      <xdr:row>40</xdr:row>
      <xdr:rowOff>161925</xdr:rowOff>
    </xdr:from>
    <xdr:ext cx="4086225" cy="4010025"/>
    <xdr:graphicFrame macro="">
      <xdr:nvGraphicFramePr>
        <xdr:cNvPr id="795128856" name="Chart 50">
          <a:extLst>
            <a:ext uri="{FF2B5EF4-FFF2-40B4-BE49-F238E27FC236}">
              <a16:creationId xmlns:a16="http://schemas.microsoft.com/office/drawing/2014/main" id="{00000000-0008-0000-1200-000018B464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9</xdr:col>
      <xdr:colOff>495300</xdr:colOff>
      <xdr:row>40</xdr:row>
      <xdr:rowOff>133350</xdr:rowOff>
    </xdr:from>
    <xdr:ext cx="4600575" cy="4010025"/>
    <xdr:graphicFrame macro="">
      <xdr:nvGraphicFramePr>
        <xdr:cNvPr id="1052692529" name="Chart 51">
          <a:extLst>
            <a:ext uri="{FF2B5EF4-FFF2-40B4-BE49-F238E27FC236}">
              <a16:creationId xmlns:a16="http://schemas.microsoft.com/office/drawing/2014/main" id="{00000000-0008-0000-1200-000031D0BE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5</xdr:col>
      <xdr:colOff>152400</xdr:colOff>
      <xdr:row>40</xdr:row>
      <xdr:rowOff>161925</xdr:rowOff>
    </xdr:from>
    <xdr:ext cx="4086225" cy="4010025"/>
    <xdr:graphicFrame macro="">
      <xdr:nvGraphicFramePr>
        <xdr:cNvPr id="768921924" name="Chart 52">
          <a:extLst>
            <a:ext uri="{FF2B5EF4-FFF2-40B4-BE49-F238E27FC236}">
              <a16:creationId xmlns:a16="http://schemas.microsoft.com/office/drawing/2014/main" id="{00000000-0008-0000-1200-000044D1D4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9</xdr:col>
      <xdr:colOff>152400</xdr:colOff>
      <xdr:row>40</xdr:row>
      <xdr:rowOff>133350</xdr:rowOff>
    </xdr:from>
    <xdr:ext cx="4829175" cy="4010025"/>
    <xdr:graphicFrame macro="">
      <xdr:nvGraphicFramePr>
        <xdr:cNvPr id="466748090" name="Chart 53">
          <a:extLst>
            <a:ext uri="{FF2B5EF4-FFF2-40B4-BE49-F238E27FC236}">
              <a16:creationId xmlns:a16="http://schemas.microsoft.com/office/drawing/2014/main" id="{00000000-0008-0000-1200-0000BA02D2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0</xdr:col>
      <xdr:colOff>238125</xdr:colOff>
      <xdr:row>40</xdr:row>
      <xdr:rowOff>161925</xdr:rowOff>
    </xdr:from>
    <xdr:ext cx="5133975" cy="4010025"/>
    <xdr:graphicFrame macro="">
      <xdr:nvGraphicFramePr>
        <xdr:cNvPr id="751908502" name="Chart 54">
          <a:extLst>
            <a:ext uri="{FF2B5EF4-FFF2-40B4-BE49-F238E27FC236}">
              <a16:creationId xmlns:a16="http://schemas.microsoft.com/office/drawing/2014/main" id="{00000000-0008-0000-1200-00009636D1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5</xdr:col>
      <xdr:colOff>152400</xdr:colOff>
      <xdr:row>40</xdr:row>
      <xdr:rowOff>161925</xdr:rowOff>
    </xdr:from>
    <xdr:ext cx="4086225" cy="4010025"/>
    <xdr:graphicFrame macro="">
      <xdr:nvGraphicFramePr>
        <xdr:cNvPr id="767781083" name="Chart 55">
          <a:extLst>
            <a:ext uri="{FF2B5EF4-FFF2-40B4-BE49-F238E27FC236}">
              <a16:creationId xmlns:a16="http://schemas.microsoft.com/office/drawing/2014/main" id="{00000000-0008-0000-1200-0000DB68C3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9</xdr:col>
      <xdr:colOff>495300</xdr:colOff>
      <xdr:row>40</xdr:row>
      <xdr:rowOff>133350</xdr:rowOff>
    </xdr:from>
    <xdr:ext cx="4600575" cy="4010025"/>
    <xdr:graphicFrame macro="">
      <xdr:nvGraphicFramePr>
        <xdr:cNvPr id="92497218" name="Chart 56">
          <a:extLst>
            <a:ext uri="{FF2B5EF4-FFF2-40B4-BE49-F238E27FC236}">
              <a16:creationId xmlns:a16="http://schemas.microsoft.com/office/drawing/2014/main" id="{00000000-0008-0000-1200-0000426583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oneCellAnchor>
    <xdr:from>
      <xdr:col>5</xdr:col>
      <xdr:colOff>152400</xdr:colOff>
      <xdr:row>40</xdr:row>
      <xdr:rowOff>161925</xdr:rowOff>
    </xdr:from>
    <xdr:ext cx="5086350" cy="4010025"/>
    <xdr:graphicFrame macro="">
      <xdr:nvGraphicFramePr>
        <xdr:cNvPr id="1336824871" name="Chart 57">
          <a:extLst>
            <a:ext uri="{FF2B5EF4-FFF2-40B4-BE49-F238E27FC236}">
              <a16:creationId xmlns:a16="http://schemas.microsoft.com/office/drawing/2014/main" id="{00000000-0008-0000-1200-00002754AE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fLocksWithSheet="0"/>
  </xdr:oneCellAnchor>
  <xdr:oneCellAnchor>
    <xdr:from>
      <xdr:col>9</xdr:col>
      <xdr:colOff>152400</xdr:colOff>
      <xdr:row>40</xdr:row>
      <xdr:rowOff>133350</xdr:rowOff>
    </xdr:from>
    <xdr:ext cx="4829175" cy="4010025"/>
    <xdr:graphicFrame macro="">
      <xdr:nvGraphicFramePr>
        <xdr:cNvPr id="2113051288" name="Chart 58">
          <a:extLst>
            <a:ext uri="{FF2B5EF4-FFF2-40B4-BE49-F238E27FC236}">
              <a16:creationId xmlns:a16="http://schemas.microsoft.com/office/drawing/2014/main" id="{00000000-0008-0000-1200-0000989AF2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fLocksWithSheet="0"/>
  </xdr:oneCellAnchor>
  <xdr:oneCellAnchor>
    <xdr:from>
      <xdr:col>13</xdr:col>
      <xdr:colOff>171450</xdr:colOff>
      <xdr:row>40</xdr:row>
      <xdr:rowOff>133350</xdr:rowOff>
    </xdr:from>
    <xdr:ext cx="3333750" cy="4010025"/>
    <xdr:graphicFrame macro="">
      <xdr:nvGraphicFramePr>
        <xdr:cNvPr id="1381693684" name="Chart 59">
          <a:extLst>
            <a:ext uri="{FF2B5EF4-FFF2-40B4-BE49-F238E27FC236}">
              <a16:creationId xmlns:a16="http://schemas.microsoft.com/office/drawing/2014/main" id="{00000000-0008-0000-1200-0000F4F85A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nrel.gov/pv/module-efficiency.html"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1.xml.rels><?xml version="1.0" encoding="UTF-8" standalone="yes"?>
<Relationships xmlns="http://schemas.openxmlformats.org/package/2006/relationships"><Relationship Id="rId2" Type="http://schemas.openxmlformats.org/officeDocument/2006/relationships/hyperlink" Target="https://www.engineeringtoolbox.com/fuels-higher-calorific-values-d_169.html" TargetMode="External"/><Relationship Id="rId1" Type="http://schemas.openxmlformats.org/officeDocument/2006/relationships/hyperlink" Target="https://www.engineeringtoolbox.com/fuels-higher-calorific-values-d_169.html"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www.tesla.com/en_AU/blog/introducing-megapack-utility-scale-energy-storag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E1000"/>
  <sheetViews>
    <sheetView tabSelected="1" workbookViewId="0">
      <pane xSplit="3" topLeftCell="AB1" activePane="topRight" state="frozen"/>
      <selection pane="topRight" activeCell="C30" sqref="C30"/>
    </sheetView>
  </sheetViews>
  <sheetFormatPr baseColWidth="10" defaultColWidth="11.1640625" defaultRowHeight="15" customHeight="1" outlineLevelCol="1" x14ac:dyDescent="0.2"/>
  <cols>
    <col min="1" max="1" width="44.83203125" customWidth="1"/>
    <col min="2" max="2" width="34.6640625" customWidth="1"/>
    <col min="3" max="5" width="11.6640625" customWidth="1"/>
    <col min="6" max="35" width="11.6640625" customWidth="1" outlineLevel="1"/>
    <col min="36" max="36" width="43.1640625" customWidth="1"/>
    <col min="37" max="37" width="11.83203125" customWidth="1"/>
    <col min="38" max="38" width="10.5" customWidth="1"/>
    <col min="39" max="39" width="11.5" customWidth="1"/>
    <col min="40" max="40" width="32" customWidth="1"/>
    <col min="41" max="41" width="10.5" customWidth="1"/>
    <col min="42" max="42" width="30.83203125" customWidth="1"/>
    <col min="43" max="57" width="10.5" customWidth="1"/>
  </cols>
  <sheetData>
    <row r="1" spans="1:57" ht="15.75" customHeight="1" x14ac:dyDescent="0.2">
      <c r="C1" s="1">
        <v>2020</v>
      </c>
      <c r="D1" s="1"/>
      <c r="E1" s="1"/>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57" ht="15.75" customHeight="1" x14ac:dyDescent="0.2">
      <c r="A2" s="2" t="s">
        <v>0</v>
      </c>
      <c r="B2" s="2" t="s">
        <v>1</v>
      </c>
      <c r="C2" s="2" t="s">
        <v>2</v>
      </c>
      <c r="D2" s="2" t="s">
        <v>3</v>
      </c>
      <c r="E2" s="2" t="s">
        <v>4</v>
      </c>
      <c r="F2" s="2" t="s">
        <v>5</v>
      </c>
      <c r="G2" s="2" t="s">
        <v>6</v>
      </c>
      <c r="H2" s="2" t="s">
        <v>7</v>
      </c>
      <c r="I2" s="2" t="s">
        <v>8</v>
      </c>
      <c r="J2" s="2" t="s">
        <v>9</v>
      </c>
      <c r="K2" s="2" t="s">
        <v>10</v>
      </c>
      <c r="L2" s="2" t="s">
        <v>11</v>
      </c>
      <c r="M2" s="2" t="s">
        <v>12</v>
      </c>
      <c r="N2" s="2" t="s">
        <v>13</v>
      </c>
      <c r="O2" s="2" t="s">
        <v>14</v>
      </c>
      <c r="P2" s="2" t="s">
        <v>15</v>
      </c>
      <c r="Q2" s="2" t="s">
        <v>16</v>
      </c>
      <c r="R2" s="2" t="s">
        <v>17</v>
      </c>
      <c r="S2" s="2" t="s">
        <v>18</v>
      </c>
      <c r="T2" s="2" t="s">
        <v>19</v>
      </c>
      <c r="U2" s="2" t="s">
        <v>20</v>
      </c>
      <c r="V2" s="2" t="s">
        <v>21</v>
      </c>
      <c r="W2" s="2" t="s">
        <v>22</v>
      </c>
      <c r="X2" s="2" t="s">
        <v>23</v>
      </c>
      <c r="Y2" s="2" t="s">
        <v>24</v>
      </c>
      <c r="Z2" s="2" t="s">
        <v>25</v>
      </c>
      <c r="AA2" s="2" t="s">
        <v>26</v>
      </c>
      <c r="AB2" s="2" t="s">
        <v>27</v>
      </c>
      <c r="AC2" s="2" t="s">
        <v>28</v>
      </c>
      <c r="AD2" s="2" t="s">
        <v>29</v>
      </c>
      <c r="AE2" s="2" t="s">
        <v>30</v>
      </c>
      <c r="AF2" s="2" t="s">
        <v>31</v>
      </c>
      <c r="AG2" s="2" t="s">
        <v>32</v>
      </c>
      <c r="AH2" s="2" t="s">
        <v>33</v>
      </c>
      <c r="AI2" s="2" t="s">
        <v>34</v>
      </c>
      <c r="AJ2" s="2" t="s">
        <v>35</v>
      </c>
      <c r="AK2" s="2" t="s">
        <v>36</v>
      </c>
      <c r="AL2" s="2" t="s">
        <v>37</v>
      </c>
    </row>
    <row r="3" spans="1:57" ht="15.75" customHeight="1" x14ac:dyDescent="0.2">
      <c r="A3" s="1" t="s">
        <v>38</v>
      </c>
      <c r="B3" s="3" t="s">
        <v>39</v>
      </c>
      <c r="C3" s="4">
        <v>10</v>
      </c>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t="s">
        <v>40</v>
      </c>
      <c r="AK3" s="5"/>
      <c r="AL3" s="5"/>
      <c r="AM3" s="6" t="e">
        <f>#REF!*10^9*3600/#REF!</f>
        <v>#REF!</v>
      </c>
      <c r="AN3" s="3" t="s">
        <v>41</v>
      </c>
      <c r="AO3" s="6" t="e">
        <f>AM3/#REF!</f>
        <v>#REF!</v>
      </c>
      <c r="AP3" s="3" t="s">
        <v>42</v>
      </c>
      <c r="AQ3" s="6" t="e">
        <f>AO3/constants!C3</f>
        <v>#REF!</v>
      </c>
      <c r="AR3" s="3" t="s">
        <v>43</v>
      </c>
      <c r="AS3" s="6" t="e">
        <f>AO3*3.79</f>
        <v>#REF!</v>
      </c>
      <c r="AT3" s="3" t="s">
        <v>44</v>
      </c>
    </row>
    <row r="4" spans="1:57" ht="15.75" customHeight="1" x14ac:dyDescent="0.2">
      <c r="A4" s="5"/>
      <c r="B4" s="3"/>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1"/>
      <c r="AN4" s="1"/>
      <c r="AO4" s="1"/>
      <c r="AP4" s="1"/>
      <c r="AQ4" s="1"/>
      <c r="AR4" s="1"/>
      <c r="AS4" s="1"/>
      <c r="AT4" s="1"/>
      <c r="AU4" s="1"/>
      <c r="AV4" s="1"/>
      <c r="AW4" s="1"/>
      <c r="AX4" s="1"/>
      <c r="AY4" s="1"/>
      <c r="AZ4" s="1"/>
      <c r="BA4" s="1"/>
      <c r="BB4" s="1"/>
      <c r="BC4" s="1"/>
      <c r="BD4" s="1"/>
      <c r="BE4" s="1"/>
    </row>
    <row r="5" spans="1:57" ht="15.75" customHeight="1" x14ac:dyDescent="0.2">
      <c r="A5" s="7" t="s">
        <v>45</v>
      </c>
      <c r="B5" s="7"/>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row>
    <row r="6" spans="1:57" ht="15.75" customHeight="1" x14ac:dyDescent="0.2">
      <c r="A6" s="3" t="s">
        <v>46</v>
      </c>
      <c r="B6" s="8" t="s">
        <v>566</v>
      </c>
      <c r="C6" s="1">
        <v>10</v>
      </c>
      <c r="D6" s="1">
        <v>6</v>
      </c>
      <c r="E6" s="1">
        <v>15</v>
      </c>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3" t="s">
        <v>47</v>
      </c>
      <c r="AK6" s="144" t="s">
        <v>568</v>
      </c>
    </row>
    <row r="7" spans="1:57" ht="15.75" customHeight="1" x14ac:dyDescent="0.2">
      <c r="A7" s="3" t="s">
        <v>48</v>
      </c>
      <c r="B7" s="8" t="s">
        <v>49</v>
      </c>
      <c r="C7" s="9">
        <v>5000</v>
      </c>
      <c r="D7" s="6"/>
      <c r="E7" s="6"/>
      <c r="AJ7" s="3" t="str">
        <f t="shared" ref="AJ7:AJ8" si="0">""</f>
        <v/>
      </c>
    </row>
    <row r="8" spans="1:57" ht="15.75" customHeight="1" x14ac:dyDescent="0.2">
      <c r="A8" s="3" t="s">
        <v>50</v>
      </c>
      <c r="B8" s="8" t="s">
        <v>51</v>
      </c>
      <c r="C8" s="10">
        <v>0</v>
      </c>
      <c r="D8" s="1"/>
      <c r="E8" s="1"/>
      <c r="AJ8" s="3" t="str">
        <f t="shared" si="0"/>
        <v/>
      </c>
    </row>
    <row r="9" spans="1:57" ht="15.75" customHeight="1" x14ac:dyDescent="0.2">
      <c r="A9" s="3" t="s">
        <v>52</v>
      </c>
      <c r="B9" s="8" t="s">
        <v>53</v>
      </c>
      <c r="C9" s="1">
        <v>1760</v>
      </c>
      <c r="D9" s="8">
        <f>C9*0.8</f>
        <v>1408</v>
      </c>
      <c r="E9" s="1">
        <f>C9*1.2</f>
        <v>2112</v>
      </c>
      <c r="F9" s="3">
        <v>1728.625658289327</v>
      </c>
      <c r="G9" s="3">
        <v>1709.026252801784</v>
      </c>
      <c r="H9" s="3">
        <v>1694.15472188798</v>
      </c>
      <c r="I9" s="3">
        <v>1681.845676282242</v>
      </c>
      <c r="J9" s="3">
        <v>1671.1469895354669</v>
      </c>
      <c r="K9" s="3">
        <v>1661.5557194746009</v>
      </c>
      <c r="L9" s="3">
        <v>1652.774019216185</v>
      </c>
      <c r="M9" s="3">
        <v>1644.6110391690181</v>
      </c>
      <c r="N9" s="3">
        <v>1636.937205604685</v>
      </c>
      <c r="O9" s="3">
        <v>1629.660553736451</v>
      </c>
      <c r="P9" s="3">
        <v>1622.713473960963</v>
      </c>
      <c r="Q9" s="3">
        <v>1616.0448193452669</v>
      </c>
      <c r="R9" s="3">
        <v>1609.6149677085789</v>
      </c>
      <c r="S9" s="3">
        <v>1603.3926040962931</v>
      </c>
      <c r="T9" s="3">
        <v>1597.3525516274451</v>
      </c>
      <c r="U9" s="3">
        <v>1591.4742661370281</v>
      </c>
      <c r="V9" s="3">
        <v>1585.7407650806031</v>
      </c>
      <c r="W9" s="3">
        <v>1580.137848682599</v>
      </c>
      <c r="X9" s="3">
        <v>1574.6535226699641</v>
      </c>
      <c r="Y9" s="3">
        <v>1569.2775631144709</v>
      </c>
      <c r="Z9" s="3">
        <v>1564.0011834095949</v>
      </c>
      <c r="AA9" s="3">
        <v>1558.8167759315741</v>
      </c>
      <c r="AB9" s="3">
        <v>1553.7177091675801</v>
      </c>
      <c r="AC9" s="3">
        <v>1548.698166622067</v>
      </c>
      <c r="AD9" s="3">
        <v>1543.753017595559</v>
      </c>
      <c r="AE9" s="3">
        <v>1538.877712564336</v>
      </c>
      <c r="AF9" s="3">
        <v>1534.0681977527099</v>
      </c>
      <c r="AG9" s="3">
        <v>1529.320844826751</v>
      </c>
      <c r="AH9" s="3">
        <v>1524.6323926107259</v>
      </c>
      <c r="AI9" s="3">
        <v>1519.9998984433171</v>
      </c>
      <c r="AJ9" s="3" t="s">
        <v>54</v>
      </c>
      <c r="AK9" s="3" t="s">
        <v>55</v>
      </c>
    </row>
    <row r="10" spans="1:57" ht="15.75" customHeight="1" x14ac:dyDescent="0.2">
      <c r="A10" s="3" t="s">
        <v>56</v>
      </c>
      <c r="B10" s="8" t="s">
        <v>57</v>
      </c>
      <c r="C10" s="1">
        <v>2.5000000000000001E-2</v>
      </c>
      <c r="D10" s="1">
        <v>0.02</v>
      </c>
      <c r="E10" s="1">
        <v>0.03</v>
      </c>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3" t="s">
        <v>58</v>
      </c>
      <c r="AK10" s="3" t="s">
        <v>59</v>
      </c>
    </row>
    <row r="11" spans="1:57" ht="15.75" customHeight="1" x14ac:dyDescent="0.2">
      <c r="A11" s="3" t="s">
        <v>52</v>
      </c>
      <c r="B11" s="8" t="s">
        <v>60</v>
      </c>
      <c r="C11" s="3">
        <v>1290</v>
      </c>
      <c r="D11" s="8">
        <f>C11*0.8</f>
        <v>1032</v>
      </c>
      <c r="E11" s="1">
        <f>C11*1.2</f>
        <v>1548</v>
      </c>
      <c r="F11" s="3">
        <v>1266.4351021399359</v>
      </c>
      <c r="G11" s="3">
        <v>1251.7215719568251</v>
      </c>
      <c r="H11" s="3">
        <v>1240.5603045013179</v>
      </c>
      <c r="I11" s="3">
        <v>1231.323820126421</v>
      </c>
      <c r="J11" s="3">
        <v>1223.2967440579409</v>
      </c>
      <c r="K11" s="3">
        <v>1216.1012857804151</v>
      </c>
      <c r="L11" s="3">
        <v>1209.513758135746</v>
      </c>
      <c r="M11" s="3">
        <v>1203.3908536894121</v>
      </c>
      <c r="N11" s="3">
        <v>1197.6352899225101</v>
      </c>
      <c r="O11" s="3">
        <v>1192.178028800794</v>
      </c>
      <c r="P11" s="3">
        <v>1186.9683208669551</v>
      </c>
      <c r="Q11" s="3">
        <v>1181.967777285188</v>
      </c>
      <c r="R11" s="3">
        <v>1177.1466614419051</v>
      </c>
      <c r="S11" s="3">
        <v>1172.4814728071599</v>
      </c>
      <c r="T11" s="3">
        <v>1167.953318199216</v>
      </c>
      <c r="U11" s="3">
        <v>1163.546781562449</v>
      </c>
      <c r="V11" s="3">
        <v>1159.2491198518881</v>
      </c>
      <c r="W11" s="3">
        <v>1155.0496783596971</v>
      </c>
      <c r="X11" s="3">
        <v>1150.939457398709</v>
      </c>
      <c r="Y11" s="3">
        <v>1146.9107856787571</v>
      </c>
      <c r="Z11" s="3">
        <v>1142.957070359103</v>
      </c>
      <c r="AA11" s="3">
        <v>1139.0726031656311</v>
      </c>
      <c r="AB11" s="3">
        <v>1135.25240814433</v>
      </c>
      <c r="AC11" s="3">
        <v>1131.492120773825</v>
      </c>
      <c r="AD11" s="3">
        <v>1127.787891000381</v>
      </c>
      <c r="AE11" s="3">
        <v>1124.1363047366719</v>
      </c>
      <c r="AF11" s="3">
        <v>1120.5343197645359</v>
      </c>
      <c r="AG11" s="3">
        <v>1116.9792129858199</v>
      </c>
      <c r="AH11" s="3">
        <v>1113.46853669542</v>
      </c>
      <c r="AI11" s="3">
        <v>1110.0000820880121</v>
      </c>
      <c r="AJ11" s="3" t="s">
        <v>54</v>
      </c>
      <c r="AK11" s="3" t="s">
        <v>55</v>
      </c>
    </row>
    <row r="12" spans="1:57" ht="15.75" customHeight="1" x14ac:dyDescent="0.2">
      <c r="A12" s="3" t="s">
        <v>56</v>
      </c>
      <c r="B12" s="8" t="s">
        <v>61</v>
      </c>
      <c r="C12" s="1">
        <v>2.5000000000000001E-2</v>
      </c>
      <c r="D12" s="1">
        <v>0.02</v>
      </c>
      <c r="E12" s="1">
        <v>0.03</v>
      </c>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3" t="s">
        <v>58</v>
      </c>
      <c r="AK12" s="3" t="s">
        <v>59</v>
      </c>
    </row>
    <row r="13" spans="1:57" ht="15.75" customHeight="1" x14ac:dyDescent="0.2">
      <c r="A13" s="3" t="s">
        <v>52</v>
      </c>
      <c r="B13" s="8" t="s">
        <v>62</v>
      </c>
      <c r="C13" s="3">
        <v>1040</v>
      </c>
      <c r="D13" s="8">
        <f>C13*0.8</f>
        <v>832</v>
      </c>
      <c r="E13" s="1">
        <f>C13*1.2</f>
        <v>1248</v>
      </c>
      <c r="F13" s="3">
        <v>1020.320190748602</v>
      </c>
      <c r="G13" s="3">
        <v>1008.04157200671</v>
      </c>
      <c r="H13" s="3">
        <v>998.73106232688235</v>
      </c>
      <c r="I13" s="3">
        <v>991.0281599676299</v>
      </c>
      <c r="J13" s="3">
        <v>984.33513082136346</v>
      </c>
      <c r="K13" s="3">
        <v>978.33642512896665</v>
      </c>
      <c r="L13" s="3">
        <v>972.84526240294781</v>
      </c>
      <c r="M13" s="3">
        <v>967.74200869431661</v>
      </c>
      <c r="N13" s="3">
        <v>962.9454684946902</v>
      </c>
      <c r="O13" s="3">
        <v>958.39803019668921</v>
      </c>
      <c r="P13" s="3">
        <v>954.05735017122936</v>
      </c>
      <c r="Q13" s="3">
        <v>949.89140217859926</v>
      </c>
      <c r="R13" s="3">
        <v>945.87538088714541</v>
      </c>
      <c r="S13" s="3">
        <v>941.98968471437684</v>
      </c>
      <c r="T13" s="3">
        <v>938.21855622958981</v>
      </c>
      <c r="U13" s="3">
        <v>934.54913881121274</v>
      </c>
      <c r="V13" s="3">
        <v>930.97080556760534</v>
      </c>
      <c r="W13" s="3">
        <v>927.47467144725033</v>
      </c>
      <c r="X13" s="3">
        <v>924.05323168792415</v>
      </c>
      <c r="Y13" s="3">
        <v>920.70008931437519</v>
      </c>
      <c r="Z13" s="3">
        <v>917.40974662581266</v>
      </c>
      <c r="AA13" s="3">
        <v>914.17744346790937</v>
      </c>
      <c r="AB13" s="3">
        <v>910.99903024623427</v>
      </c>
      <c r="AC13" s="3">
        <v>907.87086710364224</v>
      </c>
      <c r="AD13" s="3">
        <v>904.78974305550446</v>
      </c>
      <c r="AE13" s="3">
        <v>901.75281052760101</v>
      </c>
      <c r="AF13" s="3">
        <v>898.75753190912178</v>
      </c>
      <c r="AG13" s="3">
        <v>895.80163557105675</v>
      </c>
      <c r="AH13" s="3">
        <v>892.88307940947402</v>
      </c>
      <c r="AI13" s="3">
        <v>890.00002042161486</v>
      </c>
      <c r="AJ13" s="3" t="s">
        <v>54</v>
      </c>
      <c r="AK13" s="3" t="s">
        <v>55</v>
      </c>
    </row>
    <row r="14" spans="1:57" ht="15.75" customHeight="1" x14ac:dyDescent="0.2">
      <c r="A14" s="3" t="s">
        <v>56</v>
      </c>
      <c r="B14" s="8" t="s">
        <v>63</v>
      </c>
      <c r="C14" s="1">
        <v>2.5000000000000001E-2</v>
      </c>
      <c r="D14" s="1">
        <v>0.02</v>
      </c>
      <c r="E14" s="1">
        <v>0.03</v>
      </c>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3" t="s">
        <v>58</v>
      </c>
      <c r="AK14" s="3" t="s">
        <v>59</v>
      </c>
    </row>
    <row r="15" spans="1:57" ht="15.75" customHeight="1" x14ac:dyDescent="0.2">
      <c r="A15" s="3" t="s">
        <v>64</v>
      </c>
      <c r="B15" s="8" t="s">
        <v>65</v>
      </c>
      <c r="C15" s="1">
        <v>30</v>
      </c>
      <c r="D15" s="1">
        <v>20</v>
      </c>
      <c r="E15" s="1">
        <v>30</v>
      </c>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3" t="s">
        <v>66</v>
      </c>
      <c r="AK15" s="3" t="s">
        <v>67</v>
      </c>
    </row>
    <row r="16" spans="1:57" ht="15.75" customHeight="1" x14ac:dyDescent="0.2">
      <c r="B16" s="3"/>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row>
    <row r="17" spans="1:38" ht="15.75" customHeight="1" x14ac:dyDescent="0.2">
      <c r="A17" s="7" t="s">
        <v>68</v>
      </c>
      <c r="B17" s="7"/>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row>
    <row r="18" spans="1:38" ht="15.75" customHeight="1" x14ac:dyDescent="0.2">
      <c r="A18" s="3" t="s">
        <v>46</v>
      </c>
      <c r="B18" s="8" t="s">
        <v>567</v>
      </c>
      <c r="C18" s="1">
        <v>10</v>
      </c>
      <c r="D18" s="1">
        <v>6</v>
      </c>
      <c r="E18" s="1">
        <v>15</v>
      </c>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3" t="s">
        <v>47</v>
      </c>
      <c r="AK18" s="144" t="s">
        <v>568</v>
      </c>
    </row>
    <row r="19" spans="1:38" ht="15.75" customHeight="1" x14ac:dyDescent="0.2">
      <c r="A19" s="3" t="s">
        <v>52</v>
      </c>
      <c r="B19" s="8" t="s">
        <v>69</v>
      </c>
      <c r="C19" s="3">
        <v>2890</v>
      </c>
      <c r="D19" s="8">
        <f>C19*0.8</f>
        <v>2312</v>
      </c>
      <c r="E19" s="1">
        <f>C19*1.2</f>
        <v>3468</v>
      </c>
      <c r="F19" s="3">
        <v>2779.5743189955169</v>
      </c>
      <c r="G19" s="3">
        <v>2712.1862279514521</v>
      </c>
      <c r="H19" s="3">
        <v>2661.6851805619999</v>
      </c>
      <c r="I19" s="3">
        <v>2620.2204346522039</v>
      </c>
      <c r="J19" s="3">
        <v>2584.3919270758738</v>
      </c>
      <c r="K19" s="3">
        <v>2552.4239418091538</v>
      </c>
      <c r="L19" s="3">
        <v>2523.274354659447</v>
      </c>
      <c r="M19" s="3">
        <v>2496.280347401369</v>
      </c>
      <c r="N19" s="3">
        <v>2470.9946856514298</v>
      </c>
      <c r="O19" s="3">
        <v>2447.1015848242382</v>
      </c>
      <c r="P19" s="3">
        <v>2424.369892295143</v>
      </c>
      <c r="Q19" s="3">
        <v>2402.6253646600971</v>
      </c>
      <c r="R19" s="3">
        <v>2381.733411094026</v>
      </c>
      <c r="S19" s="3">
        <v>2361.587900929886</v>
      </c>
      <c r="T19" s="3">
        <v>2342.1036500854598</v>
      </c>
      <c r="U19" s="3">
        <v>2323.211227203396</v>
      </c>
      <c r="V19" s="3">
        <v>2304.8532715748838</v>
      </c>
      <c r="W19" s="3">
        <v>2286.9818248196229</v>
      </c>
      <c r="X19" s="3">
        <v>2269.5563595087428</v>
      </c>
      <c r="Y19" s="3">
        <v>2252.5422975612942</v>
      </c>
      <c r="Z19" s="3">
        <v>2235.909879603601</v>
      </c>
      <c r="AA19" s="3">
        <v>2219.633290245557</v>
      </c>
      <c r="AB19" s="3">
        <v>2203.6899729181382</v>
      </c>
      <c r="AC19" s="3">
        <v>2188.0600871282072</v>
      </c>
      <c r="AD19" s="3">
        <v>2172.7260741006121</v>
      </c>
      <c r="AE19" s="3">
        <v>2157.6723058862658</v>
      </c>
      <c r="AF19" s="3">
        <v>2142.8847994428911</v>
      </c>
      <c r="AG19" s="3">
        <v>2128.3509817976951</v>
      </c>
      <c r="AH19" s="3">
        <v>2114.0594957412068</v>
      </c>
      <c r="AI19" s="3">
        <v>2100.0000379551179</v>
      </c>
      <c r="AJ19" s="3" t="s">
        <v>54</v>
      </c>
      <c r="AK19" s="3" t="s">
        <v>55</v>
      </c>
    </row>
    <row r="20" spans="1:38" ht="15.75" customHeight="1" x14ac:dyDescent="0.2">
      <c r="A20" s="3" t="s">
        <v>56</v>
      </c>
      <c r="B20" s="8" t="s">
        <v>70</v>
      </c>
      <c r="C20" s="1">
        <v>2.5000000000000001E-2</v>
      </c>
      <c r="D20" s="1">
        <v>0.02</v>
      </c>
      <c r="E20" s="1">
        <v>0.03</v>
      </c>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3" t="s">
        <v>58</v>
      </c>
      <c r="AK20" s="3" t="s">
        <v>59</v>
      </c>
    </row>
    <row r="21" spans="1:38" ht="15.75" customHeight="1" x14ac:dyDescent="0.2">
      <c r="A21" s="3" t="s">
        <v>52</v>
      </c>
      <c r="B21" s="8" t="s">
        <v>71</v>
      </c>
      <c r="C21" s="3">
        <v>2970</v>
      </c>
      <c r="D21" s="8">
        <f>C21*0.8</f>
        <v>2376</v>
      </c>
      <c r="E21" s="1">
        <f>C21*1.2</f>
        <v>3564</v>
      </c>
      <c r="F21" s="3">
        <v>2856.8160354301999</v>
      </c>
      <c r="G21" s="3">
        <v>2787.736613886264</v>
      </c>
      <c r="H21" s="3">
        <v>2735.9648859138638</v>
      </c>
      <c r="I21" s="3">
        <v>2693.4551422991199</v>
      </c>
      <c r="J21" s="3">
        <v>2656.7226181194278</v>
      </c>
      <c r="K21" s="3">
        <v>2623.9472582114099</v>
      </c>
      <c r="L21" s="3">
        <v>2594.0608691889188</v>
      </c>
      <c r="M21" s="3">
        <v>2566.3840275694638</v>
      </c>
      <c r="N21" s="3">
        <v>2540.4582810464549</v>
      </c>
      <c r="O21" s="3">
        <v>2515.959916404649</v>
      </c>
      <c r="P21" s="3">
        <v>2492.651972664466</v>
      </c>
      <c r="Q21" s="3">
        <v>2470.3558253148099</v>
      </c>
      <c r="R21" s="3">
        <v>2448.9334978305519</v>
      </c>
      <c r="S21" s="3">
        <v>2428.276188899521</v>
      </c>
      <c r="T21" s="3">
        <v>2408.2965704825829</v>
      </c>
      <c r="U21" s="3">
        <v>2388.9234636380111</v>
      </c>
      <c r="V21" s="3">
        <v>2370.098063991742</v>
      </c>
      <c r="W21" s="3">
        <v>2351.7712063718068</v>
      </c>
      <c r="X21" s="3">
        <v>2333.9013438652</v>
      </c>
      <c r="Y21" s="3">
        <v>2316.4530289398658</v>
      </c>
      <c r="Z21" s="3">
        <v>2299.39575434278</v>
      </c>
      <c r="AA21" s="3">
        <v>2282.7030563451358</v>
      </c>
      <c r="AB21" s="3">
        <v>2266.3518123142571</v>
      </c>
      <c r="AC21" s="3">
        <v>2250.3216842849729</v>
      </c>
      <c r="AD21" s="3">
        <v>2234.594673645865</v>
      </c>
      <c r="AE21" s="3">
        <v>2219.1547613929051</v>
      </c>
      <c r="AF21" s="3">
        <v>2203.9876149923189</v>
      </c>
      <c r="AG21" s="3">
        <v>2189.0803476125961</v>
      </c>
      <c r="AH21" s="3">
        <v>2174.4213189094321</v>
      </c>
      <c r="AI21" s="3">
        <v>2159.999969062661</v>
      </c>
      <c r="AJ21" s="3" t="s">
        <v>54</v>
      </c>
      <c r="AK21" s="3" t="s">
        <v>55</v>
      </c>
    </row>
    <row r="22" spans="1:38" ht="15.75" customHeight="1" x14ac:dyDescent="0.2">
      <c r="A22" s="3" t="s">
        <v>56</v>
      </c>
      <c r="B22" s="8" t="s">
        <v>72</v>
      </c>
      <c r="C22" s="1">
        <v>2.5000000000000001E-2</v>
      </c>
      <c r="D22" s="1">
        <v>0.02</v>
      </c>
      <c r="E22" s="1">
        <v>0.03</v>
      </c>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3" t="s">
        <v>58</v>
      </c>
      <c r="AK22" s="3" t="s">
        <v>59</v>
      </c>
    </row>
    <row r="23" spans="1:38" ht="15.75" customHeight="1" x14ac:dyDescent="0.2">
      <c r="A23" s="3" t="s">
        <v>52</v>
      </c>
      <c r="B23" s="8" t="s">
        <v>73</v>
      </c>
      <c r="C23" s="3">
        <v>4540</v>
      </c>
      <c r="D23" s="8">
        <f>C23*0.8</f>
        <v>3632</v>
      </c>
      <c r="E23" s="1">
        <f>C23*1.2</f>
        <v>5448</v>
      </c>
      <c r="F23" s="3">
        <v>4366.6943112107183</v>
      </c>
      <c r="G23" s="3">
        <v>4260.9287401918727</v>
      </c>
      <c r="H23" s="3">
        <v>4181.6656015099416</v>
      </c>
      <c r="I23" s="3">
        <v>4116.5843134916977</v>
      </c>
      <c r="J23" s="3">
        <v>4060.3488317877109</v>
      </c>
      <c r="K23" s="3">
        <v>4010.1722981667908</v>
      </c>
      <c r="L23" s="3">
        <v>3964.4191473624428</v>
      </c>
      <c r="M23" s="3">
        <v>3922.0491034461411</v>
      </c>
      <c r="N23" s="3">
        <v>3882.3602361546009</v>
      </c>
      <c r="O23" s="3">
        <v>3844.8569201131049</v>
      </c>
      <c r="P23" s="3">
        <v>3809.1763576218359</v>
      </c>
      <c r="Q23" s="3">
        <v>3775.0450693705789</v>
      </c>
      <c r="R23" s="3">
        <v>3742.2518108570998</v>
      </c>
      <c r="S23" s="3">
        <v>3710.6300061997881</v>
      </c>
      <c r="T23" s="3">
        <v>3680.0459557063559</v>
      </c>
      <c r="U23" s="3">
        <v>3650.3906841366602</v>
      </c>
      <c r="V23" s="3">
        <v>3621.5741616640248</v>
      </c>
      <c r="W23" s="3">
        <v>3593.521115906638</v>
      </c>
      <c r="X23" s="3">
        <v>3566.1679378034851</v>
      </c>
      <c r="Y23" s="3">
        <v>3539.4603561891131</v>
      </c>
      <c r="Z23" s="3">
        <v>3513.3516632069918</v>
      </c>
      <c r="AA23" s="3">
        <v>3487.8013413883091</v>
      </c>
      <c r="AB23" s="3">
        <v>3462.7739882513411</v>
      </c>
      <c r="AC23" s="3">
        <v>3438.2384644290109</v>
      </c>
      <c r="AD23" s="3">
        <v>3414.1672119142472</v>
      </c>
      <c r="AE23" s="3">
        <v>3390.5357033088121</v>
      </c>
      <c r="AF23" s="3">
        <v>3367.3219930499372</v>
      </c>
      <c r="AG23" s="3">
        <v>3344.5063488129031</v>
      </c>
      <c r="AH23" s="3">
        <v>3322.070946529735</v>
      </c>
      <c r="AI23" s="3">
        <v>3299.9996163152691</v>
      </c>
      <c r="AJ23" s="3" t="s">
        <v>54</v>
      </c>
      <c r="AK23" s="3" t="s">
        <v>55</v>
      </c>
    </row>
    <row r="24" spans="1:38" ht="15.75" customHeight="1" x14ac:dyDescent="0.2">
      <c r="A24" s="3" t="s">
        <v>56</v>
      </c>
      <c r="B24" s="8" t="s">
        <v>74</v>
      </c>
      <c r="C24" s="1">
        <v>2.5000000000000001E-2</v>
      </c>
      <c r="D24" s="1">
        <v>0.02</v>
      </c>
      <c r="E24" s="1">
        <v>0.03</v>
      </c>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3" t="s">
        <v>58</v>
      </c>
      <c r="AK24" s="3" t="s">
        <v>59</v>
      </c>
    </row>
    <row r="25" spans="1:38" ht="15.75" customHeight="1" x14ac:dyDescent="0.2">
      <c r="A25" s="3" t="s">
        <v>64</v>
      </c>
      <c r="B25" s="8" t="s">
        <v>65</v>
      </c>
      <c r="C25" s="11">
        <v>30</v>
      </c>
      <c r="D25" s="11"/>
      <c r="E25" s="11"/>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3" t="s">
        <v>66</v>
      </c>
      <c r="AK25" s="1" t="s">
        <v>67</v>
      </c>
    </row>
    <row r="26" spans="1:38" ht="15.75" customHeight="1" x14ac:dyDescent="0.2">
      <c r="B26" s="3"/>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3" t="s">
        <v>75</v>
      </c>
    </row>
    <row r="27" spans="1:38" ht="15.75" customHeight="1" x14ac:dyDescent="0.2">
      <c r="A27" s="7" t="s">
        <v>76</v>
      </c>
      <c r="B27" s="7" t="s">
        <v>75</v>
      </c>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t="s">
        <v>75</v>
      </c>
      <c r="AK27" s="7"/>
      <c r="AL27" s="7"/>
    </row>
    <row r="28" spans="1:38" ht="15.75" customHeight="1" x14ac:dyDescent="0.2">
      <c r="A28" s="3" t="s">
        <v>48</v>
      </c>
      <c r="B28" s="8" t="s">
        <v>77</v>
      </c>
      <c r="C28" s="9">
        <v>500000</v>
      </c>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3" t="s">
        <v>78</v>
      </c>
    </row>
    <row r="29" spans="1:38" ht="15.75" customHeight="1" x14ac:dyDescent="0.2">
      <c r="A29" s="3" t="s">
        <v>50</v>
      </c>
      <c r="B29" s="8" t="s">
        <v>79</v>
      </c>
      <c r="C29" s="10">
        <v>0</v>
      </c>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3" t="s">
        <v>78</v>
      </c>
    </row>
    <row r="30" spans="1:38" ht="15.75" customHeight="1" x14ac:dyDescent="0.2">
      <c r="A30" s="3" t="s">
        <v>80</v>
      </c>
      <c r="B30" s="8" t="s">
        <v>81</v>
      </c>
      <c r="C30" s="146">
        <f>(1/8.3)*247.105*1000</f>
        <v>29771.686746987947</v>
      </c>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44" t="s">
        <v>571</v>
      </c>
      <c r="AK30" s="3" t="s">
        <v>569</v>
      </c>
      <c r="AL30" s="145" t="s">
        <v>570</v>
      </c>
    </row>
    <row r="31" spans="1:38" ht="15.75" customHeight="1" x14ac:dyDescent="0.2">
      <c r="A31" s="3" t="s">
        <v>83</v>
      </c>
      <c r="B31" s="8" t="s">
        <v>84</v>
      </c>
      <c r="C31" s="14">
        <v>676.33333333333337</v>
      </c>
      <c r="D31" s="15">
        <f>C31*0.8</f>
        <v>541.06666666666672</v>
      </c>
      <c r="E31" s="14">
        <f>C31*1.2</f>
        <v>811.6</v>
      </c>
      <c r="F31" s="3">
        <v>618.85834520758317</v>
      </c>
      <c r="G31" s="3">
        <v>585.6955925325376</v>
      </c>
      <c r="H31" s="3">
        <v>561.55234208318689</v>
      </c>
      <c r="I31" s="3">
        <v>542.090015680492</v>
      </c>
      <c r="J31" s="3">
        <v>525.49675301012792</v>
      </c>
      <c r="K31" s="3">
        <v>510.85128745205247</v>
      </c>
      <c r="L31" s="3">
        <v>497.6240239934375</v>
      </c>
      <c r="M31" s="3">
        <v>485.48355812831608</v>
      </c>
      <c r="N31" s="3">
        <v>474.20910006625041</v>
      </c>
      <c r="O31" s="3">
        <v>463.64625855682749</v>
      </c>
      <c r="P31" s="3">
        <v>453.68281207482079</v>
      </c>
      <c r="Q31" s="3">
        <v>444.23455673887548</v>
      </c>
      <c r="R31" s="3">
        <v>435.23660462044512</v>
      </c>
      <c r="S31" s="3">
        <v>426.63780254355669</v>
      </c>
      <c r="T31" s="3">
        <v>418.39702338683509</v>
      </c>
      <c r="U31" s="3">
        <v>410.48062631718159</v>
      </c>
      <c r="V31" s="3">
        <v>402.86067179017999</v>
      </c>
      <c r="W31" s="3">
        <v>395.51363831984253</v>
      </c>
      <c r="X31" s="3">
        <v>388.4194814316761</v>
      </c>
      <c r="Y31" s="3">
        <v>381.56093126663143</v>
      </c>
      <c r="Z31" s="3">
        <v>374.92295998074991</v>
      </c>
      <c r="AA31" s="3">
        <v>368.49237212497229</v>
      </c>
      <c r="AB31" s="3">
        <v>362.25748553835928</v>
      </c>
      <c r="AC31" s="3">
        <v>356.20787983363653</v>
      </c>
      <c r="AD31" s="3">
        <v>350.33419602939739</v>
      </c>
      <c r="AE31" s="3">
        <v>344.62797535438239</v>
      </c>
      <c r="AF31" s="3">
        <v>339.08152838665569</v>
      </c>
      <c r="AG31" s="3">
        <v>333.68782792479129</v>
      </c>
      <c r="AH31" s="3">
        <v>328.44042060109962</v>
      </c>
      <c r="AI31" s="3">
        <v>323.33335342593369</v>
      </c>
      <c r="AJ31" s="3" t="s">
        <v>85</v>
      </c>
      <c r="AK31" s="3" t="s">
        <v>86</v>
      </c>
    </row>
    <row r="32" spans="1:38" ht="15.75" customHeight="1" x14ac:dyDescent="0.2">
      <c r="A32" s="3" t="s">
        <v>87</v>
      </c>
      <c r="B32" s="8" t="s">
        <v>88</v>
      </c>
      <c r="C32" s="1">
        <v>0.02</v>
      </c>
      <c r="D32" s="1">
        <v>1.4999999999999999E-2</v>
      </c>
      <c r="E32" s="1">
        <v>2.5000000000000001E-2</v>
      </c>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3" t="s">
        <v>58</v>
      </c>
      <c r="AK32" s="3" t="s">
        <v>86</v>
      </c>
    </row>
    <row r="33" spans="1:38" ht="15.75" customHeight="1" x14ac:dyDescent="0.2">
      <c r="A33" s="3" t="s">
        <v>89</v>
      </c>
      <c r="B33" s="8" t="s">
        <v>90</v>
      </c>
      <c r="C33" s="1">
        <v>30</v>
      </c>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3" t="s">
        <v>66</v>
      </c>
      <c r="AK33" s="3" t="s">
        <v>86</v>
      </c>
    </row>
    <row r="34" spans="1:38" ht="15.75" customHeight="1" x14ac:dyDescent="0.2">
      <c r="B34" s="3" t="s">
        <v>75</v>
      </c>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3" t="s">
        <v>75</v>
      </c>
    </row>
    <row r="35" spans="1:38" ht="15.75" customHeight="1" x14ac:dyDescent="0.2">
      <c r="A35" s="7" t="s">
        <v>91</v>
      </c>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t="s">
        <v>75</v>
      </c>
      <c r="AK35" s="7"/>
      <c r="AL35" s="7"/>
    </row>
    <row r="36" spans="1:38" ht="15.75" customHeight="1" x14ac:dyDescent="0.2">
      <c r="A36" s="3" t="s">
        <v>48</v>
      </c>
      <c r="B36" s="8" t="s">
        <v>92</v>
      </c>
      <c r="C36" s="9">
        <v>1000000</v>
      </c>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1" t="s">
        <v>93</v>
      </c>
    </row>
    <row r="37" spans="1:38" ht="15.75" customHeight="1" x14ac:dyDescent="0.2">
      <c r="A37" s="3" t="s">
        <v>50</v>
      </c>
      <c r="B37" s="8" t="s">
        <v>94</v>
      </c>
      <c r="C37" s="10">
        <v>0</v>
      </c>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t="s">
        <v>93</v>
      </c>
    </row>
    <row r="38" spans="1:38" ht="15.75" customHeight="1" x14ac:dyDescent="0.2">
      <c r="A38" s="3" t="s">
        <v>95</v>
      </c>
      <c r="B38" s="8" t="s">
        <v>96</v>
      </c>
      <c r="C38" s="14">
        <v>324.19166666666672</v>
      </c>
      <c r="D38" s="15">
        <f>C38*0.8</f>
        <v>259.35333333333341</v>
      </c>
      <c r="E38" s="14">
        <f>C38*1.2</f>
        <v>389.03000000000003</v>
      </c>
      <c r="F38" s="3">
        <v>290.35160571527422</v>
      </c>
      <c r="G38" s="3">
        <v>271.29468187930621</v>
      </c>
      <c r="H38" s="3">
        <v>257.58846323226618</v>
      </c>
      <c r="I38" s="3">
        <v>246.6228092186557</v>
      </c>
      <c r="J38" s="3">
        <v>237.3247671476235</v>
      </c>
      <c r="K38" s="3">
        <v>229.15495216040941</v>
      </c>
      <c r="L38" s="3">
        <v>221.80592126167861</v>
      </c>
      <c r="M38" s="3">
        <v>215.08649939663371</v>
      </c>
      <c r="N38" s="3">
        <v>208.8698970106885</v>
      </c>
      <c r="O38" s="3">
        <v>203.06771729648489</v>
      </c>
      <c r="P38" s="3">
        <v>197.61580885514761</v>
      </c>
      <c r="Q38" s="3">
        <v>192.46605135358371</v>
      </c>
      <c r="R38" s="3">
        <v>187.5813316387985</v>
      </c>
      <c r="S38" s="3">
        <v>182.93233690369399</v>
      </c>
      <c r="T38" s="3">
        <v>178.4954330005578</v>
      </c>
      <c r="U38" s="3">
        <v>174.25121720199621</v>
      </c>
      <c r="V38" s="3">
        <v>170.18350468230821</v>
      </c>
      <c r="W38" s="3">
        <v>166.27860225292801</v>
      </c>
      <c r="X38" s="3">
        <v>162.52477730603809</v>
      </c>
      <c r="Y38" s="3">
        <v>158.91186245824829</v>
      </c>
      <c r="Z38" s="3">
        <v>155.430956447097</v>
      </c>
      <c r="AA38" s="3">
        <v>152.07419454225581</v>
      </c>
      <c r="AB38" s="3">
        <v>148.8345699824626</v>
      </c>
      <c r="AC38" s="3">
        <v>145.70579342127391</v>
      </c>
      <c r="AD38" s="3">
        <v>142.68218106662709</v>
      </c>
      <c r="AE38" s="3">
        <v>139.75856474861629</v>
      </c>
      <c r="AF38" s="3">
        <v>136.9302189343768</v>
      </c>
      <c r="AG38" s="3">
        <v>134.19280097677961</v>
      </c>
      <c r="AH38" s="3">
        <v>131.5423017967625</v>
      </c>
      <c r="AI38" s="3">
        <v>128.97500486514991</v>
      </c>
      <c r="AJ38" s="3" t="s">
        <v>97</v>
      </c>
      <c r="AK38" s="8" t="s">
        <v>98</v>
      </c>
    </row>
    <row r="39" spans="1:38" ht="15.75" customHeight="1" x14ac:dyDescent="0.2">
      <c r="A39" s="3" t="s">
        <v>99</v>
      </c>
      <c r="B39" s="8" t="s">
        <v>100</v>
      </c>
      <c r="C39" s="16">
        <v>2.5000000000000001E-2</v>
      </c>
      <c r="D39" s="1">
        <v>0.02</v>
      </c>
      <c r="E39" s="1">
        <v>0.03</v>
      </c>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3" t="s">
        <v>58</v>
      </c>
      <c r="AK39" s="1" t="s">
        <v>101</v>
      </c>
    </row>
    <row r="40" spans="1:38" ht="15.75" customHeight="1" x14ac:dyDescent="0.2">
      <c r="A40" s="3" t="s">
        <v>102</v>
      </c>
      <c r="B40" s="8" t="s">
        <v>103</v>
      </c>
      <c r="C40" s="1">
        <v>15</v>
      </c>
      <c r="D40" s="1">
        <v>10</v>
      </c>
      <c r="E40" s="1">
        <v>20</v>
      </c>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3" t="s">
        <v>66</v>
      </c>
      <c r="AK40" s="1" t="s">
        <v>104</v>
      </c>
    </row>
    <row r="41" spans="1:38" ht="15.75" customHeight="1" x14ac:dyDescent="0.2">
      <c r="A41" s="3" t="s">
        <v>105</v>
      </c>
      <c r="B41" s="8" t="s">
        <v>106</v>
      </c>
      <c r="C41" s="1">
        <v>0.92500000000000004</v>
      </c>
      <c r="D41" s="1">
        <v>0.9</v>
      </c>
      <c r="E41" s="1">
        <v>0.95</v>
      </c>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3" t="s">
        <v>75</v>
      </c>
      <c r="AK41" s="8" t="s">
        <v>107</v>
      </c>
    </row>
    <row r="42" spans="1:38" ht="15.75" customHeight="1" x14ac:dyDescent="0.2">
      <c r="A42" s="3" t="s">
        <v>108</v>
      </c>
      <c r="B42" s="8" t="s">
        <v>109</v>
      </c>
      <c r="C42" s="1">
        <v>0.5</v>
      </c>
      <c r="D42" s="1">
        <v>0.25</v>
      </c>
      <c r="E42" s="1">
        <v>0.75</v>
      </c>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3" t="s">
        <v>110</v>
      </c>
      <c r="AK42" s="8" t="s">
        <v>111</v>
      </c>
    </row>
    <row r="43" spans="1:38" ht="15.75" customHeight="1" x14ac:dyDescent="0.2">
      <c r="B43" s="3" t="s">
        <v>75</v>
      </c>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3" t="s">
        <v>75</v>
      </c>
    </row>
    <row r="44" spans="1:38" ht="15.75" customHeight="1" x14ac:dyDescent="0.2">
      <c r="A44" s="7" t="s">
        <v>112</v>
      </c>
      <c r="B44" s="7" t="s">
        <v>75</v>
      </c>
      <c r="C44" s="7"/>
      <c r="D44" s="7"/>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t="s">
        <v>75</v>
      </c>
      <c r="AK44" s="7"/>
      <c r="AL44" s="7"/>
    </row>
    <row r="45" spans="1:38" ht="15.75" customHeight="1" x14ac:dyDescent="0.2">
      <c r="A45" s="3" t="s">
        <v>48</v>
      </c>
      <c r="B45" s="8" t="s">
        <v>113</v>
      </c>
      <c r="C45" s="9">
        <v>100000</v>
      </c>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1" t="s">
        <v>78</v>
      </c>
    </row>
    <row r="46" spans="1:38" ht="15.75" customHeight="1" x14ac:dyDescent="0.2">
      <c r="A46" s="3" t="s">
        <v>50</v>
      </c>
      <c r="B46" s="8" t="s">
        <v>114</v>
      </c>
      <c r="C46" s="10">
        <v>0</v>
      </c>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t="s">
        <v>78</v>
      </c>
    </row>
    <row r="47" spans="1:38" ht="15.75" customHeight="1" x14ac:dyDescent="0.2">
      <c r="A47" s="3" t="s">
        <v>52</v>
      </c>
      <c r="B47" s="8" t="s">
        <v>115</v>
      </c>
      <c r="C47" s="14">
        <v>1083.7270000000001</v>
      </c>
      <c r="D47" s="15">
        <f>C47*0.8</f>
        <v>866.98160000000007</v>
      </c>
      <c r="E47" s="14">
        <f>C47*1.2</f>
        <v>1300.4724000000001</v>
      </c>
      <c r="F47" s="17">
        <v>950.16125690000001</v>
      </c>
      <c r="G47" s="17">
        <v>876.74557010000001</v>
      </c>
      <c r="H47" s="17">
        <v>824.56687929999998</v>
      </c>
      <c r="I47" s="17">
        <v>783.12443159999998</v>
      </c>
      <c r="J47" s="17">
        <v>748.16926530000001</v>
      </c>
      <c r="K47" s="17">
        <v>717.58918830000005</v>
      </c>
      <c r="L47" s="17">
        <v>690.19007750000003</v>
      </c>
      <c r="M47" s="17">
        <v>665.23372500000005</v>
      </c>
      <c r="N47" s="17">
        <v>642.23244539999996</v>
      </c>
      <c r="O47" s="17">
        <v>620.84699999999998</v>
      </c>
      <c r="P47" s="17">
        <v>600.83130000000006</v>
      </c>
      <c r="Q47" s="17">
        <v>582.00059999999996</v>
      </c>
      <c r="R47" s="17">
        <v>564.2124</v>
      </c>
      <c r="S47" s="17">
        <v>547.35350000000005</v>
      </c>
      <c r="T47" s="17">
        <v>531.33249999999998</v>
      </c>
      <c r="U47" s="17">
        <v>516.07389999999998</v>
      </c>
      <c r="V47" s="17">
        <v>501.5145</v>
      </c>
      <c r="W47" s="17">
        <v>487.60050000000001</v>
      </c>
      <c r="X47" s="17">
        <v>474.28550000000001</v>
      </c>
      <c r="Y47" s="17">
        <v>461.52910000000003</v>
      </c>
      <c r="Z47" s="17">
        <v>449.29579999999999</v>
      </c>
      <c r="AA47" s="17">
        <v>437.5539</v>
      </c>
      <c r="AB47" s="17">
        <v>426.27510000000001</v>
      </c>
      <c r="AC47" s="17">
        <v>415.43380000000002</v>
      </c>
      <c r="AD47" s="17">
        <v>405.00670000000002</v>
      </c>
      <c r="AE47" s="17">
        <v>394.97280000000001</v>
      </c>
      <c r="AF47" s="17">
        <v>385.3125</v>
      </c>
      <c r="AG47" s="17">
        <v>376.00779999999997</v>
      </c>
      <c r="AH47" s="17">
        <v>367.04219999999998</v>
      </c>
      <c r="AI47" s="17">
        <v>358.4</v>
      </c>
      <c r="AJ47" s="3" t="s">
        <v>116</v>
      </c>
      <c r="AK47" s="3" t="s">
        <v>117</v>
      </c>
    </row>
    <row r="48" spans="1:38" ht="15.75" customHeight="1" x14ac:dyDescent="0.2">
      <c r="A48" s="3" t="s">
        <v>56</v>
      </c>
      <c r="B48" s="8" t="s">
        <v>118</v>
      </c>
      <c r="C48" s="1">
        <v>2.5000000000000001E-2</v>
      </c>
      <c r="D48" s="1">
        <v>0.02</v>
      </c>
      <c r="E48" s="1">
        <v>0.03</v>
      </c>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3" t="s">
        <v>58</v>
      </c>
      <c r="AK48" s="3" t="s">
        <v>117</v>
      </c>
    </row>
    <row r="49" spans="1:38" ht="15.75" customHeight="1" x14ac:dyDescent="0.2">
      <c r="A49" s="3" t="s">
        <v>102</v>
      </c>
      <c r="B49" s="8" t="s">
        <v>119</v>
      </c>
      <c r="C49" s="1">
        <v>30</v>
      </c>
      <c r="D49" s="1">
        <v>25</v>
      </c>
      <c r="E49" s="1">
        <v>35</v>
      </c>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3" t="s">
        <v>66</v>
      </c>
      <c r="AK49" s="8" t="s">
        <v>120</v>
      </c>
    </row>
    <row r="50" spans="1:38" ht="15.75" customHeight="1" x14ac:dyDescent="0.2">
      <c r="A50" s="3" t="s">
        <v>121</v>
      </c>
      <c r="B50" s="8" t="s">
        <v>122</v>
      </c>
      <c r="C50" s="18">
        <v>0</v>
      </c>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3" t="s">
        <v>123</v>
      </c>
      <c r="AK50" s="13" t="s">
        <v>547</v>
      </c>
    </row>
    <row r="51" spans="1:38" ht="15.75" customHeight="1" x14ac:dyDescent="0.2">
      <c r="A51" s="3" t="s">
        <v>124</v>
      </c>
      <c r="B51" s="8" t="s">
        <v>125</v>
      </c>
      <c r="C51" s="19">
        <v>0.6</v>
      </c>
      <c r="D51" s="19">
        <v>0.55000000000000004</v>
      </c>
      <c r="E51" s="19">
        <v>0.65</v>
      </c>
      <c r="F51" s="19">
        <f t="shared" ref="F51:AH51" si="1">ROUND($C$51+(F1-$C$1)/($AI$1-$C$1)*($AI$51-$C$51),3)</f>
        <v>0.60299999999999998</v>
      </c>
      <c r="G51" s="19">
        <f t="shared" si="1"/>
        <v>0.60699999999999998</v>
      </c>
      <c r="H51" s="19">
        <f t="shared" si="1"/>
        <v>0.61</v>
      </c>
      <c r="I51" s="19">
        <f t="shared" si="1"/>
        <v>0.61299999999999999</v>
      </c>
      <c r="J51" s="19">
        <f t="shared" si="1"/>
        <v>0.61699999999999999</v>
      </c>
      <c r="K51" s="19">
        <f t="shared" si="1"/>
        <v>0.62</v>
      </c>
      <c r="L51" s="19">
        <f t="shared" si="1"/>
        <v>0.623</v>
      </c>
      <c r="M51" s="19">
        <f t="shared" si="1"/>
        <v>0.627</v>
      </c>
      <c r="N51" s="19">
        <f t="shared" si="1"/>
        <v>0.63</v>
      </c>
      <c r="O51" s="19">
        <f t="shared" si="1"/>
        <v>0.63300000000000001</v>
      </c>
      <c r="P51" s="19">
        <f t="shared" si="1"/>
        <v>0.63700000000000001</v>
      </c>
      <c r="Q51" s="19">
        <f t="shared" si="1"/>
        <v>0.64</v>
      </c>
      <c r="R51" s="19">
        <f t="shared" si="1"/>
        <v>0.64300000000000002</v>
      </c>
      <c r="S51" s="19">
        <f t="shared" si="1"/>
        <v>0.64700000000000002</v>
      </c>
      <c r="T51" s="19">
        <f t="shared" si="1"/>
        <v>0.65</v>
      </c>
      <c r="U51" s="19">
        <f t="shared" si="1"/>
        <v>0.65300000000000002</v>
      </c>
      <c r="V51" s="19">
        <f t="shared" si="1"/>
        <v>0.65700000000000003</v>
      </c>
      <c r="W51" s="19">
        <f t="shared" si="1"/>
        <v>0.66</v>
      </c>
      <c r="X51" s="19">
        <f t="shared" si="1"/>
        <v>0.66300000000000003</v>
      </c>
      <c r="Y51" s="19">
        <f t="shared" si="1"/>
        <v>0.66700000000000004</v>
      </c>
      <c r="Z51" s="19">
        <f t="shared" si="1"/>
        <v>0.67</v>
      </c>
      <c r="AA51" s="19">
        <f t="shared" si="1"/>
        <v>0.67300000000000004</v>
      </c>
      <c r="AB51" s="19">
        <f t="shared" si="1"/>
        <v>0.67700000000000005</v>
      </c>
      <c r="AC51" s="19">
        <f t="shared" si="1"/>
        <v>0.68</v>
      </c>
      <c r="AD51" s="19">
        <f t="shared" si="1"/>
        <v>0.68300000000000005</v>
      </c>
      <c r="AE51" s="19">
        <f t="shared" si="1"/>
        <v>0.68700000000000006</v>
      </c>
      <c r="AF51" s="19">
        <f t="shared" si="1"/>
        <v>0.69</v>
      </c>
      <c r="AG51" s="19">
        <f t="shared" si="1"/>
        <v>0.69299999999999995</v>
      </c>
      <c r="AH51" s="19">
        <f t="shared" si="1"/>
        <v>0.69699999999999995</v>
      </c>
      <c r="AI51" s="19">
        <v>0.7</v>
      </c>
      <c r="AJ51" s="1" t="s">
        <v>126</v>
      </c>
      <c r="AK51" s="8" t="s">
        <v>127</v>
      </c>
    </row>
    <row r="52" spans="1:38" ht="15.75" customHeight="1" x14ac:dyDescent="0.2">
      <c r="A52" s="20" t="s">
        <v>128</v>
      </c>
      <c r="B52" s="8" t="s">
        <v>129</v>
      </c>
      <c r="C52" s="1">
        <v>10</v>
      </c>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K52" s="3" t="s">
        <v>130</v>
      </c>
    </row>
    <row r="53" spans="1:38" ht="15.75" customHeight="1" x14ac:dyDescent="0.2">
      <c r="A53" s="20" t="s">
        <v>131</v>
      </c>
      <c r="B53" s="8" t="s">
        <v>132</v>
      </c>
      <c r="C53" s="19">
        <v>0.33</v>
      </c>
      <c r="D53" s="1"/>
      <c r="E53" s="1"/>
      <c r="F53" s="19">
        <f t="shared" ref="F53:AH53" si="2">ROUND($C$53+(F1-$C$1)/($AI$1-$C$1)*($AI$53-$C$53),3)</f>
        <v>0.32700000000000001</v>
      </c>
      <c r="G53" s="19">
        <f t="shared" si="2"/>
        <v>0.32500000000000001</v>
      </c>
      <c r="H53" s="19">
        <f t="shared" si="2"/>
        <v>0.32200000000000001</v>
      </c>
      <c r="I53" s="19">
        <f t="shared" si="2"/>
        <v>0.31900000000000001</v>
      </c>
      <c r="J53" s="19">
        <f t="shared" si="2"/>
        <v>0.317</v>
      </c>
      <c r="K53" s="19">
        <f t="shared" si="2"/>
        <v>0.314</v>
      </c>
      <c r="L53" s="19">
        <f t="shared" si="2"/>
        <v>0.311</v>
      </c>
      <c r="M53" s="19">
        <f t="shared" si="2"/>
        <v>0.309</v>
      </c>
      <c r="N53" s="19">
        <f t="shared" si="2"/>
        <v>0.30599999999999999</v>
      </c>
      <c r="O53" s="19">
        <f t="shared" si="2"/>
        <v>0.30299999999999999</v>
      </c>
      <c r="P53" s="19">
        <f t="shared" si="2"/>
        <v>0.30099999999999999</v>
      </c>
      <c r="Q53" s="19">
        <f t="shared" si="2"/>
        <v>0.29799999999999999</v>
      </c>
      <c r="R53" s="19">
        <f t="shared" si="2"/>
        <v>0.29499999999999998</v>
      </c>
      <c r="S53" s="19">
        <f t="shared" si="2"/>
        <v>0.29299999999999998</v>
      </c>
      <c r="T53" s="19">
        <f t="shared" si="2"/>
        <v>0.28999999999999998</v>
      </c>
      <c r="U53" s="19">
        <f t="shared" si="2"/>
        <v>0.28699999999999998</v>
      </c>
      <c r="V53" s="19">
        <f t="shared" si="2"/>
        <v>0.28499999999999998</v>
      </c>
      <c r="W53" s="19">
        <f t="shared" si="2"/>
        <v>0.28199999999999997</v>
      </c>
      <c r="X53" s="19">
        <f t="shared" si="2"/>
        <v>0.27900000000000003</v>
      </c>
      <c r="Y53" s="19">
        <f t="shared" si="2"/>
        <v>0.27700000000000002</v>
      </c>
      <c r="Z53" s="19">
        <f t="shared" si="2"/>
        <v>0.27400000000000002</v>
      </c>
      <c r="AA53" s="19">
        <f t="shared" si="2"/>
        <v>0.27100000000000002</v>
      </c>
      <c r="AB53" s="19">
        <f t="shared" si="2"/>
        <v>0.26900000000000002</v>
      </c>
      <c r="AC53" s="19">
        <f t="shared" si="2"/>
        <v>0.26600000000000001</v>
      </c>
      <c r="AD53" s="19">
        <f t="shared" si="2"/>
        <v>0.26300000000000001</v>
      </c>
      <c r="AE53" s="19">
        <f t="shared" si="2"/>
        <v>0.26100000000000001</v>
      </c>
      <c r="AF53" s="19">
        <f t="shared" si="2"/>
        <v>0.25800000000000001</v>
      </c>
      <c r="AG53" s="19">
        <f t="shared" si="2"/>
        <v>0.255</v>
      </c>
      <c r="AH53" s="19">
        <f t="shared" si="2"/>
        <v>0.253</v>
      </c>
      <c r="AI53" s="1">
        <v>0.25</v>
      </c>
      <c r="AJ53" s="3" t="s">
        <v>133</v>
      </c>
      <c r="AK53" s="8" t="s">
        <v>134</v>
      </c>
    </row>
    <row r="54" spans="1:38" ht="15.75" customHeight="1" x14ac:dyDescent="0.2">
      <c r="A54" s="1"/>
      <c r="B54" s="3"/>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row>
    <row r="55" spans="1:38" ht="15.75" customHeight="1" x14ac:dyDescent="0.2">
      <c r="A55" s="7" t="s">
        <v>135</v>
      </c>
      <c r="B55" s="7" t="s">
        <v>75</v>
      </c>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t="s">
        <v>75</v>
      </c>
      <c r="AK55" s="7"/>
      <c r="AL55" s="7"/>
    </row>
    <row r="56" spans="1:38" ht="15.75" customHeight="1" x14ac:dyDescent="0.2">
      <c r="A56" s="3" t="s">
        <v>48</v>
      </c>
      <c r="B56" s="8" t="s">
        <v>136</v>
      </c>
      <c r="C56" s="9">
        <v>10000000</v>
      </c>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1" t="s">
        <v>93</v>
      </c>
    </row>
    <row r="57" spans="1:38" ht="15.75" customHeight="1" x14ac:dyDescent="0.2">
      <c r="A57" s="3" t="s">
        <v>50</v>
      </c>
      <c r="B57" s="8" t="s">
        <v>137</v>
      </c>
      <c r="C57" s="10">
        <v>0</v>
      </c>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t="s">
        <v>93</v>
      </c>
    </row>
    <row r="58" spans="1:38" ht="15.75" customHeight="1" x14ac:dyDescent="0.2">
      <c r="A58" s="3" t="s">
        <v>138</v>
      </c>
      <c r="B58" s="8" t="s">
        <v>139</v>
      </c>
      <c r="C58" s="19">
        <v>21.495668999999999</v>
      </c>
      <c r="D58" s="15">
        <f>C58*0.8</f>
        <v>17.1965352</v>
      </c>
      <c r="E58" s="14">
        <f>C58*1.2</f>
        <v>25.794802799999999</v>
      </c>
      <c r="F58" s="3">
        <v>19.772965317761251</v>
      </c>
      <c r="G58" s="3">
        <v>18.773033136795011</v>
      </c>
      <c r="H58" s="3">
        <v>18.042857709098019</v>
      </c>
      <c r="I58" s="3">
        <v>17.45313473587991</v>
      </c>
      <c r="J58" s="3">
        <v>16.949655131065789</v>
      </c>
      <c r="K58" s="3">
        <v>16.50477784513</v>
      </c>
      <c r="L58" s="3">
        <v>16.102579378107539</v>
      </c>
      <c r="M58" s="3">
        <v>15.73307911846053</v>
      </c>
      <c r="N58" s="3">
        <v>15.389619722225939</v>
      </c>
      <c r="O58" s="3">
        <v>15.06754198643331</v>
      </c>
      <c r="P58" s="3">
        <v>14.763457530992239</v>
      </c>
      <c r="Q58" s="3">
        <v>14.47482335021334</v>
      </c>
      <c r="R58" s="3">
        <v>14.199679874388011</v>
      </c>
      <c r="S58" s="3">
        <v>13.93648276527408</v>
      </c>
      <c r="T58" s="3">
        <v>13.68399102394897</v>
      </c>
      <c r="U58" s="3">
        <v>13.44119029009765</v>
      </c>
      <c r="V58" s="3">
        <v>13.207238886614061</v>
      </c>
      <c r="W58" s="3">
        <v>12.981428999265789</v>
      </c>
      <c r="X58" s="3">
        <v>12.76315818666602</v>
      </c>
      <c r="Y58" s="3">
        <v>12.551908100788751</v>
      </c>
      <c r="Z58" s="3">
        <v>12.34722834154217</v>
      </c>
      <c r="AA58" s="3">
        <v>12.148724032506079</v>
      </c>
      <c r="AB58" s="3">
        <v>11.956046137286339</v>
      </c>
      <c r="AC58" s="3">
        <v>11.768883823763881</v>
      </c>
      <c r="AD58" s="3">
        <v>11.586958378896091</v>
      </c>
      <c r="AE58" s="3">
        <v>11.410018311718179</v>
      </c>
      <c r="AF58" s="3">
        <v>11.23783537697321</v>
      </c>
      <c r="AG58" s="3">
        <v>11.070201319337301</v>
      </c>
      <c r="AH58" s="3">
        <v>10.906925186988101</v>
      </c>
      <c r="AI58" s="3">
        <v>10.74783109894277</v>
      </c>
      <c r="AJ58" s="3" t="s">
        <v>140</v>
      </c>
      <c r="AK58" s="8" t="s">
        <v>141</v>
      </c>
    </row>
    <row r="59" spans="1:38" ht="15.75" customHeight="1" x14ac:dyDescent="0.2">
      <c r="A59" s="3" t="s">
        <v>142</v>
      </c>
      <c r="B59" s="8" t="s">
        <v>143</v>
      </c>
      <c r="C59" s="1">
        <v>0.01</v>
      </c>
      <c r="D59" s="1">
        <v>5.0000000000000001E-3</v>
      </c>
      <c r="E59" s="1">
        <v>1.4999999999999999E-2</v>
      </c>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3" t="s">
        <v>58</v>
      </c>
      <c r="AK59" s="8" t="s">
        <v>144</v>
      </c>
    </row>
    <row r="60" spans="1:38" ht="15.75" customHeight="1" x14ac:dyDescent="0.2">
      <c r="A60" s="3" t="s">
        <v>102</v>
      </c>
      <c r="B60" s="8" t="s">
        <v>145</v>
      </c>
      <c r="C60" s="1">
        <v>30</v>
      </c>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K60" s="8"/>
    </row>
    <row r="61" spans="1:38" ht="15.75" customHeight="1" x14ac:dyDescent="0.2">
      <c r="B61" s="3"/>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row>
    <row r="62" spans="1:38" ht="15.75" customHeight="1" x14ac:dyDescent="0.2">
      <c r="A62" s="7" t="s">
        <v>146</v>
      </c>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row>
    <row r="63" spans="1:38" ht="15.75" customHeight="1" x14ac:dyDescent="0.2">
      <c r="A63" s="3" t="s">
        <v>48</v>
      </c>
      <c r="B63" s="8" t="s">
        <v>147</v>
      </c>
      <c r="C63" s="9">
        <v>100000</v>
      </c>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1" t="s">
        <v>148</v>
      </c>
    </row>
    <row r="64" spans="1:38" ht="15.75" customHeight="1" x14ac:dyDescent="0.2">
      <c r="A64" s="3" t="s">
        <v>50</v>
      </c>
      <c r="B64" s="8" t="s">
        <v>149</v>
      </c>
      <c r="C64" s="10">
        <v>0</v>
      </c>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t="s">
        <v>148</v>
      </c>
    </row>
    <row r="65" spans="1:57" ht="15.75" customHeight="1" x14ac:dyDescent="0.2">
      <c r="A65" s="8" t="s">
        <v>138</v>
      </c>
      <c r="B65" s="8" t="s">
        <v>150</v>
      </c>
      <c r="C65" s="3">
        <v>730</v>
      </c>
      <c r="D65" s="8">
        <f>C65*0.8</f>
        <v>584</v>
      </c>
      <c r="E65" s="1">
        <f>C65*1.2</f>
        <v>876</v>
      </c>
      <c r="F65" s="3">
        <v>626.12362693232558</v>
      </c>
      <c r="G65" s="3">
        <v>570.44369284945992</v>
      </c>
      <c r="H65" s="3">
        <v>531.34406566364214</v>
      </c>
      <c r="I65" s="3">
        <v>500.51480117005048</v>
      </c>
      <c r="J65" s="3">
        <v>474.64804605141558</v>
      </c>
      <c r="K65" s="3">
        <v>452.11815723621748</v>
      </c>
      <c r="L65" s="3">
        <v>432.01351402056378</v>
      </c>
      <c r="M65" s="3">
        <v>413.77365606546459</v>
      </c>
      <c r="N65" s="3">
        <v>397.02955890623281</v>
      </c>
      <c r="O65" s="3">
        <v>381.52487592776589</v>
      </c>
      <c r="P65" s="3">
        <v>367.07365862815311</v>
      </c>
      <c r="Q65" s="3">
        <v>353.5361031918319</v>
      </c>
      <c r="R65" s="3">
        <v>340.80387523607158</v>
      </c>
      <c r="S65" s="3">
        <v>328.7908310691929</v>
      </c>
      <c r="T65" s="3">
        <v>317.42693033814089</v>
      </c>
      <c r="U65" s="3">
        <v>306.6541145173274</v>
      </c>
      <c r="V65" s="3">
        <v>296.42343922240849</v>
      </c>
      <c r="W65" s="3">
        <v>286.69303066741833</v>
      </c>
      <c r="X65" s="3">
        <v>277.42659828489298</v>
      </c>
      <c r="Y65" s="3">
        <v>268.59233148824399</v>
      </c>
      <c r="Z65" s="3">
        <v>260.16206730488449</v>
      </c>
      <c r="AA65" s="3">
        <v>252.1106525828769</v>
      </c>
      <c r="AB65" s="3">
        <v>244.41544832358889</v>
      </c>
      <c r="AC65" s="3">
        <v>237.05593942032601</v>
      </c>
      <c r="AD65" s="3">
        <v>230.0134236631591</v>
      </c>
      <c r="AE65" s="3">
        <v>223.27076111774821</v>
      </c>
      <c r="AF65" s="3">
        <v>216.8121700332587</v>
      </c>
      <c r="AG65" s="3">
        <v>210.62305900299839</v>
      </c>
      <c r="AH65" s="3">
        <v>204.6898876597235</v>
      </c>
      <c r="AI65" s="3">
        <v>199.0000500453433</v>
      </c>
      <c r="AJ65" s="8" t="s">
        <v>151</v>
      </c>
      <c r="AK65" s="8" t="s">
        <v>152</v>
      </c>
      <c r="AL65" s="8"/>
      <c r="AM65" s="8"/>
      <c r="AN65" s="8"/>
      <c r="AO65" s="8"/>
      <c r="AP65" s="8"/>
      <c r="AQ65" s="8"/>
      <c r="AR65" s="8"/>
      <c r="AS65" s="8"/>
      <c r="AT65" s="8"/>
      <c r="AU65" s="8"/>
      <c r="AV65" s="8"/>
      <c r="AW65" s="8"/>
      <c r="AX65" s="8"/>
      <c r="AY65" s="8"/>
      <c r="AZ65" s="8"/>
      <c r="BA65" s="8"/>
      <c r="BB65" s="8"/>
      <c r="BC65" s="8"/>
      <c r="BD65" s="8"/>
      <c r="BE65" s="8"/>
    </row>
    <row r="66" spans="1:57" ht="15.75" customHeight="1" x14ac:dyDescent="0.2">
      <c r="A66" s="8" t="s">
        <v>142</v>
      </c>
      <c r="B66" s="8" t="s">
        <v>153</v>
      </c>
      <c r="C66" s="8">
        <v>0.04</v>
      </c>
      <c r="D66" s="8">
        <v>3.5000000000000003E-2</v>
      </c>
      <c r="E66" s="8">
        <v>4.4999999999999998E-2</v>
      </c>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3" t="s">
        <v>58</v>
      </c>
      <c r="AK66" s="8" t="s">
        <v>152</v>
      </c>
      <c r="AL66" s="8"/>
      <c r="AM66" s="8"/>
      <c r="AN66" s="8"/>
      <c r="AO66" s="8"/>
      <c r="AP66" s="8"/>
      <c r="AQ66" s="8"/>
      <c r="AR66" s="8"/>
      <c r="AS66" s="8"/>
      <c r="AT66" s="8"/>
      <c r="AU66" s="8"/>
      <c r="AV66" s="8"/>
      <c r="AW66" s="8"/>
      <c r="AX66" s="8"/>
      <c r="AY66" s="8"/>
      <c r="AZ66" s="8"/>
      <c r="BA66" s="8"/>
      <c r="BB66" s="8"/>
      <c r="BC66" s="8"/>
      <c r="BD66" s="8"/>
      <c r="BE66" s="8"/>
    </row>
    <row r="67" spans="1:57" ht="15.75" customHeight="1" x14ac:dyDescent="0.2">
      <c r="A67" s="8" t="s">
        <v>154</v>
      </c>
      <c r="B67" s="8" t="s">
        <v>155</v>
      </c>
      <c r="C67" s="18">
        <v>0.4</v>
      </c>
      <c r="D67" s="18">
        <v>0.3</v>
      </c>
      <c r="E67" s="18">
        <v>0.5</v>
      </c>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t="s">
        <v>156</v>
      </c>
      <c r="AK67" s="3" t="s">
        <v>157</v>
      </c>
      <c r="AL67" s="8"/>
      <c r="AM67" s="8"/>
      <c r="AN67" s="8"/>
      <c r="AO67" s="8"/>
      <c r="AP67" s="8"/>
      <c r="AQ67" s="8"/>
      <c r="AR67" s="8"/>
      <c r="AS67" s="8"/>
      <c r="AT67" s="8"/>
      <c r="AU67" s="8"/>
      <c r="AV67" s="8"/>
      <c r="AW67" s="8"/>
      <c r="AX67" s="8"/>
      <c r="AY67" s="8"/>
      <c r="AZ67" s="8"/>
      <c r="BA67" s="8"/>
      <c r="BB67" s="8"/>
      <c r="BC67" s="8"/>
      <c r="BD67" s="8"/>
      <c r="BE67" s="8"/>
    </row>
    <row r="68" spans="1:57" ht="15.75" customHeight="1" x14ac:dyDescent="0.2">
      <c r="A68" s="8" t="s">
        <v>158</v>
      </c>
      <c r="B68" s="8" t="s">
        <v>159</v>
      </c>
      <c r="C68" s="18">
        <v>1.6</v>
      </c>
      <c r="D68" s="1">
        <f>C68*0.8</f>
        <v>1.2800000000000002</v>
      </c>
      <c r="E68" s="1">
        <f>C68*1.2</f>
        <v>1.92</v>
      </c>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t="s">
        <v>160</v>
      </c>
      <c r="AK68" s="3" t="s">
        <v>157</v>
      </c>
      <c r="AL68" s="8"/>
      <c r="AM68" s="8"/>
      <c r="AN68" s="8"/>
      <c r="AO68" s="8"/>
      <c r="AP68" s="8"/>
      <c r="AQ68" s="8"/>
      <c r="AR68" s="8"/>
      <c r="AS68" s="8"/>
      <c r="AT68" s="8"/>
      <c r="AU68" s="8"/>
      <c r="AV68" s="8"/>
      <c r="AW68" s="8"/>
      <c r="AX68" s="8"/>
      <c r="AY68" s="8"/>
      <c r="AZ68" s="8"/>
      <c r="BA68" s="8"/>
      <c r="BB68" s="8"/>
      <c r="BC68" s="8"/>
      <c r="BD68" s="8"/>
      <c r="BE68" s="8"/>
    </row>
    <row r="69" spans="1:57" ht="15.75" customHeight="1" x14ac:dyDescent="0.2">
      <c r="A69" s="8" t="s">
        <v>102</v>
      </c>
      <c r="B69" s="8" t="s">
        <v>161</v>
      </c>
      <c r="C69" s="8">
        <v>12</v>
      </c>
      <c r="D69" s="8">
        <v>10</v>
      </c>
      <c r="E69" s="8">
        <v>14</v>
      </c>
      <c r="F69" s="8">
        <f t="shared" ref="F69:AI69" si="3">ROUND($C$69+8*(F1-$C$1)/($AI$1-$C$1),0)</f>
        <v>12</v>
      </c>
      <c r="G69" s="8">
        <f t="shared" si="3"/>
        <v>13</v>
      </c>
      <c r="H69" s="8">
        <f t="shared" si="3"/>
        <v>13</v>
      </c>
      <c r="I69" s="8">
        <f t="shared" si="3"/>
        <v>13</v>
      </c>
      <c r="J69" s="8">
        <f t="shared" si="3"/>
        <v>13</v>
      </c>
      <c r="K69" s="8">
        <f t="shared" si="3"/>
        <v>14</v>
      </c>
      <c r="L69" s="8">
        <f t="shared" si="3"/>
        <v>14</v>
      </c>
      <c r="M69" s="8">
        <f t="shared" si="3"/>
        <v>14</v>
      </c>
      <c r="N69" s="8">
        <f t="shared" si="3"/>
        <v>14</v>
      </c>
      <c r="O69" s="8">
        <f t="shared" si="3"/>
        <v>15</v>
      </c>
      <c r="P69" s="8">
        <f t="shared" si="3"/>
        <v>15</v>
      </c>
      <c r="Q69" s="8">
        <f t="shared" si="3"/>
        <v>15</v>
      </c>
      <c r="R69" s="8">
        <f t="shared" si="3"/>
        <v>15</v>
      </c>
      <c r="S69" s="8">
        <f t="shared" si="3"/>
        <v>16</v>
      </c>
      <c r="T69" s="8">
        <f t="shared" si="3"/>
        <v>16</v>
      </c>
      <c r="U69" s="8">
        <f t="shared" si="3"/>
        <v>16</v>
      </c>
      <c r="V69" s="8">
        <f t="shared" si="3"/>
        <v>17</v>
      </c>
      <c r="W69" s="8">
        <f t="shared" si="3"/>
        <v>17</v>
      </c>
      <c r="X69" s="8">
        <f t="shared" si="3"/>
        <v>17</v>
      </c>
      <c r="Y69" s="8">
        <f t="shared" si="3"/>
        <v>17</v>
      </c>
      <c r="Z69" s="8">
        <f t="shared" si="3"/>
        <v>18</v>
      </c>
      <c r="AA69" s="8">
        <f t="shared" si="3"/>
        <v>18</v>
      </c>
      <c r="AB69" s="8">
        <f t="shared" si="3"/>
        <v>18</v>
      </c>
      <c r="AC69" s="8">
        <f t="shared" si="3"/>
        <v>18</v>
      </c>
      <c r="AD69" s="8">
        <f t="shared" si="3"/>
        <v>19</v>
      </c>
      <c r="AE69" s="8">
        <f t="shared" si="3"/>
        <v>19</v>
      </c>
      <c r="AF69" s="8">
        <f t="shared" si="3"/>
        <v>19</v>
      </c>
      <c r="AG69" s="8">
        <f t="shared" si="3"/>
        <v>19</v>
      </c>
      <c r="AH69" s="8">
        <f t="shared" si="3"/>
        <v>20</v>
      </c>
      <c r="AI69" s="8">
        <f t="shared" si="3"/>
        <v>20</v>
      </c>
      <c r="AJ69" s="8" t="s">
        <v>66</v>
      </c>
      <c r="AK69" s="3" t="s">
        <v>157</v>
      </c>
      <c r="AL69" s="8"/>
      <c r="AM69" s="8"/>
      <c r="AN69" s="8"/>
      <c r="AO69" s="8"/>
      <c r="AP69" s="8"/>
      <c r="AQ69" s="8"/>
      <c r="AR69" s="8"/>
      <c r="AS69" s="8"/>
      <c r="AT69" s="8"/>
      <c r="AU69" s="8"/>
      <c r="AV69" s="8"/>
      <c r="AW69" s="8"/>
      <c r="AX69" s="8"/>
      <c r="AY69" s="8"/>
      <c r="AZ69" s="8"/>
      <c r="BA69" s="8"/>
      <c r="BB69" s="8"/>
      <c r="BC69" s="8"/>
      <c r="BD69" s="8"/>
      <c r="BE69" s="8"/>
    </row>
    <row r="70" spans="1:57" ht="15.75" customHeight="1" x14ac:dyDescent="0.2">
      <c r="A70" s="8"/>
      <c r="B70" s="8"/>
      <c r="C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row>
    <row r="71" spans="1:57" ht="15.75" customHeight="1" x14ac:dyDescent="0.2">
      <c r="A71" s="7" t="s">
        <v>162</v>
      </c>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row>
    <row r="72" spans="1:57" ht="15.75" customHeight="1" x14ac:dyDescent="0.2">
      <c r="A72" s="3" t="s">
        <v>163</v>
      </c>
      <c r="B72" s="8" t="s">
        <v>164</v>
      </c>
      <c r="C72" s="9">
        <v>1000000</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1" t="s">
        <v>78</v>
      </c>
    </row>
    <row r="73" spans="1:57" ht="15.75" customHeight="1" x14ac:dyDescent="0.2">
      <c r="A73" s="3" t="s">
        <v>165</v>
      </c>
      <c r="B73" s="8" t="s">
        <v>166</v>
      </c>
      <c r="C73" s="10">
        <v>0</v>
      </c>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t="s">
        <v>78</v>
      </c>
    </row>
    <row r="74" spans="1:57" ht="15.75" customHeight="1" x14ac:dyDescent="0.2">
      <c r="A74" s="8" t="s">
        <v>138</v>
      </c>
      <c r="B74" s="8" t="s">
        <v>167</v>
      </c>
      <c r="C74" s="8">
        <v>100</v>
      </c>
      <c r="D74" s="8">
        <f>C74*0.8</f>
        <v>80</v>
      </c>
      <c r="E74" s="1">
        <f>C74*1.2</f>
        <v>120</v>
      </c>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t="s">
        <v>168</v>
      </c>
      <c r="AK74" s="8" t="s">
        <v>169</v>
      </c>
      <c r="AL74" s="8"/>
      <c r="AM74" s="8"/>
      <c r="AN74" s="8"/>
      <c r="AO74" s="8"/>
      <c r="AP74" s="8"/>
      <c r="AQ74" s="8"/>
      <c r="AR74" s="8"/>
      <c r="AS74" s="8"/>
      <c r="AT74" s="8"/>
      <c r="AU74" s="8"/>
      <c r="AV74" s="8"/>
      <c r="AW74" s="8"/>
      <c r="AX74" s="8"/>
      <c r="AY74" s="8"/>
      <c r="AZ74" s="8"/>
      <c r="BA74" s="8"/>
      <c r="BB74" s="8"/>
      <c r="BC74" s="8"/>
      <c r="BD74" s="8"/>
      <c r="BE74" s="8"/>
    </row>
    <row r="75" spans="1:57" ht="15.75" customHeight="1" x14ac:dyDescent="0.2">
      <c r="A75" s="8" t="s">
        <v>142</v>
      </c>
      <c r="B75" s="8" t="s">
        <v>170</v>
      </c>
      <c r="C75" s="8">
        <v>0</v>
      </c>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3" t="s">
        <v>58</v>
      </c>
      <c r="AK75" s="8" t="s">
        <v>169</v>
      </c>
      <c r="AL75" s="8"/>
      <c r="AM75" s="8"/>
      <c r="AN75" s="8"/>
      <c r="AO75" s="8"/>
      <c r="AP75" s="8"/>
      <c r="AQ75" s="8"/>
      <c r="AR75" s="8"/>
      <c r="AS75" s="8"/>
      <c r="AT75" s="8"/>
      <c r="AU75" s="8"/>
      <c r="AV75" s="8"/>
      <c r="AW75" s="8"/>
      <c r="AX75" s="8"/>
      <c r="AY75" s="8"/>
      <c r="AZ75" s="8"/>
      <c r="BA75" s="8"/>
      <c r="BB75" s="8"/>
      <c r="BC75" s="8"/>
      <c r="BD75" s="8"/>
      <c r="BE75" s="8"/>
    </row>
    <row r="76" spans="1:57" ht="15.75" customHeight="1" x14ac:dyDescent="0.2">
      <c r="A76" s="8" t="s">
        <v>154</v>
      </c>
      <c r="B76" s="8" t="s">
        <v>171</v>
      </c>
      <c r="C76" s="1">
        <v>1</v>
      </c>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t="s">
        <v>172</v>
      </c>
      <c r="AK76" s="3" t="s">
        <v>173</v>
      </c>
      <c r="AL76" s="8"/>
      <c r="AM76" s="8"/>
      <c r="AN76" s="8"/>
      <c r="AO76" s="8"/>
      <c r="AP76" s="8"/>
      <c r="AQ76" s="8"/>
      <c r="AR76" s="8"/>
      <c r="AS76" s="8"/>
      <c r="AT76" s="8"/>
      <c r="AU76" s="8"/>
      <c r="AV76" s="8"/>
      <c r="AW76" s="8"/>
      <c r="AX76" s="8"/>
      <c r="AY76" s="8"/>
      <c r="AZ76" s="8"/>
      <c r="BA76" s="8"/>
      <c r="BB76" s="8"/>
      <c r="BC76" s="8"/>
      <c r="BD76" s="8"/>
      <c r="BE76" s="8"/>
    </row>
    <row r="77" spans="1:57" ht="15.75" customHeight="1" x14ac:dyDescent="0.2">
      <c r="A77" s="8" t="s">
        <v>102</v>
      </c>
      <c r="B77" s="8" t="s">
        <v>174</v>
      </c>
      <c r="C77" s="8">
        <v>20</v>
      </c>
      <c r="D77" s="8">
        <v>15</v>
      </c>
      <c r="E77" s="8">
        <v>25</v>
      </c>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t="s">
        <v>66</v>
      </c>
      <c r="AK77" s="8" t="s">
        <v>169</v>
      </c>
      <c r="AL77" s="8"/>
      <c r="AM77" s="8"/>
      <c r="AN77" s="8"/>
      <c r="AO77" s="8"/>
      <c r="AP77" s="8"/>
      <c r="AQ77" s="8"/>
      <c r="AR77" s="8"/>
      <c r="AS77" s="8"/>
      <c r="AT77" s="8"/>
      <c r="AU77" s="8"/>
      <c r="AV77" s="8"/>
      <c r="AW77" s="8"/>
      <c r="AX77" s="8"/>
      <c r="AY77" s="8"/>
      <c r="AZ77" s="8"/>
      <c r="BA77" s="8"/>
      <c r="BB77" s="8"/>
      <c r="BC77" s="8"/>
      <c r="BD77" s="8"/>
      <c r="BE77" s="8"/>
    </row>
    <row r="78" spans="1:57" ht="15.75" customHeight="1" x14ac:dyDescent="0.2">
      <c r="A78" s="8"/>
      <c r="B78" s="8"/>
      <c r="C78" s="8"/>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8"/>
      <c r="AO78" s="8"/>
      <c r="AP78" s="8"/>
      <c r="AQ78" s="8"/>
      <c r="AR78" s="8"/>
      <c r="AS78" s="8"/>
      <c r="AT78" s="8"/>
      <c r="AU78" s="8"/>
      <c r="AV78" s="8"/>
      <c r="AW78" s="8"/>
      <c r="AX78" s="8"/>
      <c r="AY78" s="8"/>
      <c r="AZ78" s="8"/>
      <c r="BA78" s="8"/>
      <c r="BB78" s="8"/>
      <c r="BC78" s="8"/>
      <c r="BD78" s="8"/>
      <c r="BE78" s="8"/>
    </row>
    <row r="79" spans="1:57" ht="15.75" customHeight="1" x14ac:dyDescent="0.2">
      <c r="A79" s="21" t="s">
        <v>175</v>
      </c>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c r="AG79" s="21"/>
      <c r="AH79" s="21"/>
      <c r="AI79" s="21"/>
      <c r="AJ79" s="21"/>
      <c r="AK79" s="21"/>
      <c r="AL79" s="21"/>
      <c r="AM79" s="8"/>
      <c r="AN79" s="8"/>
      <c r="AO79" s="8"/>
      <c r="AP79" s="8"/>
      <c r="AQ79" s="8"/>
      <c r="AR79" s="8"/>
      <c r="AS79" s="8"/>
      <c r="AT79" s="8"/>
      <c r="AU79" s="8"/>
      <c r="AV79" s="8"/>
      <c r="AW79" s="8"/>
      <c r="AX79" s="8"/>
      <c r="AY79" s="8"/>
      <c r="AZ79" s="8"/>
      <c r="BA79" s="8"/>
      <c r="BB79" s="8"/>
      <c r="BC79" s="8"/>
      <c r="BD79" s="8"/>
      <c r="BE79" s="8"/>
    </row>
    <row r="80" spans="1:57" ht="15.75" customHeight="1" x14ac:dyDescent="0.2">
      <c r="A80" s="3" t="s">
        <v>48</v>
      </c>
      <c r="B80" s="8" t="s">
        <v>176</v>
      </c>
      <c r="C80" s="9">
        <v>10000000</v>
      </c>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8" t="s">
        <v>177</v>
      </c>
    </row>
    <row r="81" spans="1:57" ht="15.75" customHeight="1" x14ac:dyDescent="0.2">
      <c r="A81" s="3" t="s">
        <v>50</v>
      </c>
      <c r="B81" s="8" t="s">
        <v>178</v>
      </c>
      <c r="C81" s="10">
        <v>0</v>
      </c>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8" t="s">
        <v>177</v>
      </c>
    </row>
    <row r="82" spans="1:57" ht="15.75" customHeight="1" x14ac:dyDescent="0.2">
      <c r="A82" s="8" t="s">
        <v>138</v>
      </c>
      <c r="B82" s="8" t="s">
        <v>179</v>
      </c>
      <c r="C82" s="14">
        <v>1500</v>
      </c>
      <c r="D82" s="8">
        <f>C82*0.8</f>
        <v>1200</v>
      </c>
      <c r="E82" s="1">
        <f>C82*1.2</f>
        <v>1800</v>
      </c>
      <c r="F82" s="14">
        <f t="shared" ref="F82:AH82" si="4">ROUND($C$82-(F1-$C$1)/(2050-2020)*($AI$82-$C$91),0)</f>
        <v>1475</v>
      </c>
      <c r="G82" s="14">
        <f t="shared" si="4"/>
        <v>1450</v>
      </c>
      <c r="H82" s="14">
        <f t="shared" si="4"/>
        <v>1425</v>
      </c>
      <c r="I82" s="14">
        <f t="shared" si="4"/>
        <v>1400</v>
      </c>
      <c r="J82" s="14">
        <f t="shared" si="4"/>
        <v>1375</v>
      </c>
      <c r="K82" s="14">
        <f t="shared" si="4"/>
        <v>1350</v>
      </c>
      <c r="L82" s="14">
        <f t="shared" si="4"/>
        <v>1325</v>
      </c>
      <c r="M82" s="14">
        <f t="shared" si="4"/>
        <v>1300</v>
      </c>
      <c r="N82" s="14">
        <f t="shared" si="4"/>
        <v>1275</v>
      </c>
      <c r="O82" s="14">
        <f t="shared" si="4"/>
        <v>1250</v>
      </c>
      <c r="P82" s="14">
        <f t="shared" si="4"/>
        <v>1225</v>
      </c>
      <c r="Q82" s="14">
        <f t="shared" si="4"/>
        <v>1200</v>
      </c>
      <c r="R82" s="14">
        <f t="shared" si="4"/>
        <v>1175</v>
      </c>
      <c r="S82" s="14">
        <f t="shared" si="4"/>
        <v>1150</v>
      </c>
      <c r="T82" s="14">
        <f t="shared" si="4"/>
        <v>1125</v>
      </c>
      <c r="U82" s="14">
        <f t="shared" si="4"/>
        <v>1100</v>
      </c>
      <c r="V82" s="14">
        <f t="shared" si="4"/>
        <v>1075</v>
      </c>
      <c r="W82" s="14">
        <f t="shared" si="4"/>
        <v>1050</v>
      </c>
      <c r="X82" s="14">
        <f t="shared" si="4"/>
        <v>1025</v>
      </c>
      <c r="Y82" s="14">
        <f t="shared" si="4"/>
        <v>1000</v>
      </c>
      <c r="Z82" s="14">
        <f t="shared" si="4"/>
        <v>975</v>
      </c>
      <c r="AA82" s="14">
        <f t="shared" si="4"/>
        <v>950</v>
      </c>
      <c r="AB82" s="14">
        <f t="shared" si="4"/>
        <v>926</v>
      </c>
      <c r="AC82" s="14">
        <f t="shared" si="4"/>
        <v>901</v>
      </c>
      <c r="AD82" s="14">
        <f t="shared" si="4"/>
        <v>876</v>
      </c>
      <c r="AE82" s="14">
        <f t="shared" si="4"/>
        <v>851</v>
      </c>
      <c r="AF82" s="14">
        <f t="shared" si="4"/>
        <v>826</v>
      </c>
      <c r="AG82" s="14">
        <f t="shared" si="4"/>
        <v>801</v>
      </c>
      <c r="AH82" s="14">
        <f t="shared" si="4"/>
        <v>776</v>
      </c>
      <c r="AI82" s="3">
        <v>750</v>
      </c>
      <c r="AJ82" s="8" t="s">
        <v>180</v>
      </c>
      <c r="AK82" s="8" t="s">
        <v>181</v>
      </c>
      <c r="AL82" s="8"/>
      <c r="AM82" s="8"/>
      <c r="AN82" s="8"/>
      <c r="AO82" s="8"/>
      <c r="AP82" s="8"/>
      <c r="AQ82" s="8"/>
      <c r="AR82" s="8"/>
      <c r="AS82" s="8"/>
      <c r="AT82" s="8"/>
      <c r="AU82" s="8"/>
      <c r="AV82" s="8"/>
      <c r="AW82" s="8"/>
      <c r="AX82" s="8"/>
      <c r="AY82" s="8"/>
      <c r="AZ82" s="8"/>
      <c r="BA82" s="8"/>
      <c r="BB82" s="8"/>
      <c r="BC82" s="8"/>
      <c r="BD82" s="8"/>
      <c r="BE82" s="8"/>
    </row>
    <row r="83" spans="1:57" ht="15.75" customHeight="1" x14ac:dyDescent="0.2">
      <c r="A83" s="8" t="s">
        <v>142</v>
      </c>
      <c r="B83" s="8" t="s">
        <v>182</v>
      </c>
      <c r="C83" s="8">
        <v>2.5000000000000001E-2</v>
      </c>
      <c r="D83" s="8">
        <v>0.02</v>
      </c>
      <c r="E83" s="8">
        <v>0.03</v>
      </c>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3" t="s">
        <v>58</v>
      </c>
      <c r="AK83" s="8" t="s">
        <v>183</v>
      </c>
    </row>
    <row r="84" spans="1:57" ht="15.75" customHeight="1" x14ac:dyDescent="0.2">
      <c r="A84" s="8" t="s">
        <v>102</v>
      </c>
      <c r="B84" s="8" t="s">
        <v>184</v>
      </c>
      <c r="C84" s="8">
        <v>30</v>
      </c>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K84" s="8"/>
    </row>
    <row r="85" spans="1:57" ht="15.75" customHeight="1" x14ac:dyDescent="0.2">
      <c r="A85" s="8"/>
      <c r="B85" s="8"/>
      <c r="C85" s="8"/>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row>
    <row r="86" spans="1:57" ht="15.75" customHeight="1" x14ac:dyDescent="0.2">
      <c r="A86" s="7" t="s">
        <v>185</v>
      </c>
      <c r="B86" s="7" t="s">
        <v>75</v>
      </c>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t="s">
        <v>75</v>
      </c>
      <c r="AK86" s="7"/>
      <c r="AL86" s="7"/>
    </row>
    <row r="87" spans="1:57" ht="15.75" customHeight="1" x14ac:dyDescent="0.2">
      <c r="A87" s="3" t="s">
        <v>48</v>
      </c>
      <c r="B87" s="8" t="s">
        <v>186</v>
      </c>
      <c r="C87" s="9">
        <v>100000</v>
      </c>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1" t="s">
        <v>187</v>
      </c>
    </row>
    <row r="88" spans="1:57" ht="15.75" customHeight="1" x14ac:dyDescent="0.2">
      <c r="A88" s="3" t="s">
        <v>50</v>
      </c>
      <c r="B88" s="8" t="s">
        <v>188</v>
      </c>
      <c r="C88" s="10">
        <v>0</v>
      </c>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t="s">
        <v>187</v>
      </c>
    </row>
    <row r="89" spans="1:57" ht="15.75" customHeight="1" x14ac:dyDescent="0.2">
      <c r="A89" s="3" t="s">
        <v>138</v>
      </c>
      <c r="B89" s="3" t="s">
        <v>189</v>
      </c>
      <c r="C89" s="3">
        <v>799</v>
      </c>
      <c r="D89" s="8">
        <f>C89*0.8</f>
        <v>639.20000000000005</v>
      </c>
      <c r="E89" s="1">
        <f>C89*1.2</f>
        <v>958.8</v>
      </c>
      <c r="F89" s="3">
        <v>745.87355730923559</v>
      </c>
      <c r="G89" s="3">
        <v>714.52019991744601</v>
      </c>
      <c r="H89" s="3">
        <v>691.42997148645998</v>
      </c>
      <c r="I89" s="3">
        <v>672.68117692128908</v>
      </c>
      <c r="J89" s="3">
        <v>656.61186781632227</v>
      </c>
      <c r="K89" s="3">
        <v>642.36791495500881</v>
      </c>
      <c r="L89" s="3">
        <v>629.45429505375057</v>
      </c>
      <c r="M89" s="3">
        <v>617.55928681013597</v>
      </c>
      <c r="N89" s="3">
        <v>606.47422496808986</v>
      </c>
      <c r="O89" s="3">
        <v>596.05269430011754</v>
      </c>
      <c r="P89" s="3">
        <v>586.18802968129626</v>
      </c>
      <c r="Q89" s="3">
        <v>576.80010105025553</v>
      </c>
      <c r="R89" s="3">
        <v>567.82714748374917</v>
      </c>
      <c r="S89" s="3">
        <v>559.22051605497757</v>
      </c>
      <c r="T89" s="3">
        <v>550.94115146891863</v>
      </c>
      <c r="U89" s="3">
        <v>542.95718308525613</v>
      </c>
      <c r="V89" s="3">
        <v>535.24222317804652</v>
      </c>
      <c r="W89" s="3">
        <v>527.77413967997438</v>
      </c>
      <c r="X89" s="3">
        <v>520.53415356030905</v>
      </c>
      <c r="Y89" s="3">
        <v>513.50616330756634</v>
      </c>
      <c r="Z89" s="3">
        <v>506.67623145832772</v>
      </c>
      <c r="AA89" s="3">
        <v>500.03218881187388</v>
      </c>
      <c r="AB89" s="3">
        <v>493.56332548345461</v>
      </c>
      <c r="AC89" s="3">
        <v>487.26014696264713</v>
      </c>
      <c r="AD89" s="3">
        <v>481.11417947317858</v>
      </c>
      <c r="AE89" s="3">
        <v>475.11781317331952</v>
      </c>
      <c r="AF89" s="3">
        <v>469.26417471994591</v>
      </c>
      <c r="AG89" s="3">
        <v>463.5470228490957</v>
      </c>
      <c r="AH89" s="3">
        <v>457.96066216650979</v>
      </c>
      <c r="AI89" s="3">
        <v>452.49987147014122</v>
      </c>
      <c r="AJ89" s="3" t="s">
        <v>190</v>
      </c>
      <c r="AK89" s="3" t="s">
        <v>191</v>
      </c>
    </row>
    <row r="90" spans="1:57" ht="15.75" customHeight="1" x14ac:dyDescent="0.2">
      <c r="A90" s="3" t="s">
        <v>142</v>
      </c>
      <c r="B90" s="8" t="s">
        <v>192</v>
      </c>
      <c r="C90" s="1">
        <v>2.5000000000000001E-2</v>
      </c>
      <c r="D90" s="1">
        <v>0.02</v>
      </c>
      <c r="E90" s="1">
        <v>0.03</v>
      </c>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3" t="s">
        <v>58</v>
      </c>
      <c r="AK90" s="3" t="s">
        <v>191</v>
      </c>
    </row>
    <row r="91" spans="1:57" ht="15.75" customHeight="1" x14ac:dyDescent="0.2">
      <c r="A91" s="3" t="s">
        <v>193</v>
      </c>
      <c r="B91" s="8" t="s">
        <v>194</v>
      </c>
      <c r="C91" s="19">
        <f>67.07/100.42</f>
        <v>0.6678948416650069</v>
      </c>
      <c r="D91" s="19">
        <v>0.6</v>
      </c>
      <c r="E91" s="19">
        <v>0.7</v>
      </c>
      <c r="F91" s="19">
        <f t="shared" ref="F91:AH91" si="5">$C$91+(F1-$C$1)/(2050-2020)*($AI$91-$C$91)</f>
        <v>0.67229834694283996</v>
      </c>
      <c r="G91" s="19">
        <f t="shared" si="5"/>
        <v>0.67670185222067314</v>
      </c>
      <c r="H91" s="19">
        <f t="shared" si="5"/>
        <v>0.6811053574985062</v>
      </c>
      <c r="I91" s="19">
        <f t="shared" si="5"/>
        <v>0.68550886277633927</v>
      </c>
      <c r="J91" s="19">
        <f t="shared" si="5"/>
        <v>0.68991236805417244</v>
      </c>
      <c r="K91" s="19">
        <f t="shared" si="5"/>
        <v>0.69431587333200551</v>
      </c>
      <c r="L91" s="19">
        <f t="shared" si="5"/>
        <v>0.69871937860983868</v>
      </c>
      <c r="M91" s="19">
        <f t="shared" si="5"/>
        <v>0.70312288388767175</v>
      </c>
      <c r="N91" s="19">
        <f t="shared" si="5"/>
        <v>0.70752638916550481</v>
      </c>
      <c r="O91" s="19">
        <f t="shared" si="5"/>
        <v>0.71192989444333798</v>
      </c>
      <c r="P91" s="19">
        <f t="shared" si="5"/>
        <v>0.71633339972117105</v>
      </c>
      <c r="Q91" s="19">
        <f t="shared" si="5"/>
        <v>0.72073690499900411</v>
      </c>
      <c r="R91" s="19">
        <f t="shared" si="5"/>
        <v>0.72514041027683729</v>
      </c>
      <c r="S91" s="19">
        <f t="shared" si="5"/>
        <v>0.72954391555467035</v>
      </c>
      <c r="T91" s="19">
        <f t="shared" si="5"/>
        <v>0.73394742083250342</v>
      </c>
      <c r="U91" s="19">
        <f t="shared" si="5"/>
        <v>0.73835092611033659</v>
      </c>
      <c r="V91" s="19">
        <f t="shared" si="5"/>
        <v>0.74275443138816966</v>
      </c>
      <c r="W91" s="19">
        <f t="shared" si="5"/>
        <v>0.74715793666600283</v>
      </c>
      <c r="X91" s="19">
        <f t="shared" si="5"/>
        <v>0.7515614419438359</v>
      </c>
      <c r="Y91" s="19">
        <f t="shared" si="5"/>
        <v>0.75596494722166896</v>
      </c>
      <c r="Z91" s="19">
        <f t="shared" si="5"/>
        <v>0.76036845249950213</v>
      </c>
      <c r="AA91" s="19">
        <f t="shared" si="5"/>
        <v>0.7647719577773352</v>
      </c>
      <c r="AB91" s="19">
        <f t="shared" si="5"/>
        <v>0.76917546305516837</v>
      </c>
      <c r="AC91" s="19">
        <f t="shared" si="5"/>
        <v>0.77357896833300144</v>
      </c>
      <c r="AD91" s="19">
        <f t="shared" si="5"/>
        <v>0.7779824736108345</v>
      </c>
      <c r="AE91" s="19">
        <f t="shared" si="5"/>
        <v>0.78238597888866768</v>
      </c>
      <c r="AF91" s="19">
        <f t="shared" si="5"/>
        <v>0.78678948416650074</v>
      </c>
      <c r="AG91" s="19">
        <f t="shared" si="5"/>
        <v>0.79119298944433381</v>
      </c>
      <c r="AH91" s="19">
        <f t="shared" si="5"/>
        <v>0.79559649472216698</v>
      </c>
      <c r="AI91" s="19">
        <v>0.8</v>
      </c>
      <c r="AJ91" s="13" t="s">
        <v>195</v>
      </c>
      <c r="AK91" s="13" t="s">
        <v>196</v>
      </c>
    </row>
    <row r="92" spans="1:57" ht="15.75" customHeight="1" x14ac:dyDescent="0.2">
      <c r="A92" s="13" t="s">
        <v>197</v>
      </c>
      <c r="B92" s="22" t="s">
        <v>198</v>
      </c>
      <c r="C92" s="23">
        <f>(1.97+0.87+0.19+0.01+1.1+0.5)/67.07</f>
        <v>6.9181452214104669E-2</v>
      </c>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3" t="s">
        <v>199</v>
      </c>
      <c r="AK92" s="3" t="s">
        <v>200</v>
      </c>
      <c r="AL92" s="13" t="s">
        <v>201</v>
      </c>
    </row>
    <row r="93" spans="1:57" ht="15.75" customHeight="1" x14ac:dyDescent="0.2">
      <c r="A93" s="3" t="s">
        <v>202</v>
      </c>
      <c r="B93" s="8" t="s">
        <v>203</v>
      </c>
      <c r="C93" s="16">
        <f>21.86/67.07</f>
        <v>0.32592813478455346</v>
      </c>
      <c r="D93" s="16"/>
      <c r="E93" s="16"/>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c r="AE93" s="16"/>
      <c r="AF93" s="16"/>
      <c r="AG93" s="16"/>
      <c r="AH93" s="16"/>
      <c r="AI93" s="16"/>
      <c r="AJ93" s="13" t="s">
        <v>204</v>
      </c>
      <c r="AK93" s="3" t="s">
        <v>200</v>
      </c>
    </row>
    <row r="94" spans="1:57" ht="15.75" customHeight="1" x14ac:dyDescent="0.2">
      <c r="A94" s="3" t="s">
        <v>205</v>
      </c>
      <c r="B94" s="8" t="s">
        <v>206</v>
      </c>
      <c r="C94" s="1">
        <v>0.8</v>
      </c>
      <c r="D94" s="1">
        <v>0.6</v>
      </c>
      <c r="E94" s="1">
        <v>1</v>
      </c>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3" t="s">
        <v>207</v>
      </c>
      <c r="AK94" s="3" t="s">
        <v>173</v>
      </c>
      <c r="AO94" s="24"/>
      <c r="AP94" s="24"/>
    </row>
    <row r="95" spans="1:57" ht="15.75" customHeight="1" x14ac:dyDescent="0.2">
      <c r="A95" s="3" t="s">
        <v>208</v>
      </c>
      <c r="B95" s="3" t="s">
        <v>209</v>
      </c>
      <c r="C95" s="16">
        <f>22.85/100.42</f>
        <v>0.22754431388169688</v>
      </c>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3" t="s">
        <v>210</v>
      </c>
      <c r="AK95" s="3" t="s">
        <v>200</v>
      </c>
      <c r="AN95" s="25" t="s">
        <v>211</v>
      </c>
      <c r="AO95" s="8" t="s">
        <v>212</v>
      </c>
      <c r="AP95" s="24"/>
    </row>
    <row r="96" spans="1:57" ht="15.75" customHeight="1" x14ac:dyDescent="0.2">
      <c r="A96" s="3" t="s">
        <v>102</v>
      </c>
      <c r="B96" s="8" t="s">
        <v>213</v>
      </c>
      <c r="C96" s="1">
        <v>30</v>
      </c>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3" t="s">
        <v>66</v>
      </c>
      <c r="AK96" s="3" t="s">
        <v>214</v>
      </c>
      <c r="AN96" s="24"/>
      <c r="AO96" s="24"/>
      <c r="AP96" s="24"/>
    </row>
    <row r="97" spans="1:42" ht="15.75" customHeight="1" x14ac:dyDescent="0.2">
      <c r="A97" s="1"/>
      <c r="B97" s="3"/>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N97" s="24"/>
      <c r="AO97" s="24"/>
      <c r="AP97" s="24"/>
    </row>
    <row r="98" spans="1:42" ht="15.75" customHeight="1" x14ac:dyDescent="0.2">
      <c r="A98" s="7" t="s">
        <v>215</v>
      </c>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c r="AN98" s="24"/>
      <c r="AO98" s="24"/>
      <c r="AP98" s="24"/>
    </row>
    <row r="99" spans="1:42" ht="15.75" customHeight="1" x14ac:dyDescent="0.2">
      <c r="A99" s="3" t="s">
        <v>216</v>
      </c>
      <c r="B99" s="3" t="s">
        <v>217</v>
      </c>
      <c r="C99" s="6">
        <v>44100000</v>
      </c>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3" t="s">
        <v>218</v>
      </c>
      <c r="AK99" s="3" t="s">
        <v>219</v>
      </c>
      <c r="AN99" s="24"/>
      <c r="AO99" s="24"/>
      <c r="AP99" s="24"/>
    </row>
    <row r="100" spans="1:42" ht="15.75" customHeight="1" x14ac:dyDescent="0.2">
      <c r="A100" s="3" t="s">
        <v>220</v>
      </c>
      <c r="B100" s="3" t="s">
        <v>221</v>
      </c>
      <c r="C100" s="6">
        <v>44300000</v>
      </c>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3" t="s">
        <v>218</v>
      </c>
      <c r="AK100" s="3" t="s">
        <v>219</v>
      </c>
      <c r="AN100" s="24"/>
      <c r="AO100" s="24"/>
      <c r="AP100" s="24"/>
    </row>
    <row r="101" spans="1:42" ht="15.75" customHeight="1" x14ac:dyDescent="0.2">
      <c r="A101" s="3" t="s">
        <v>222</v>
      </c>
      <c r="B101" s="3" t="s">
        <v>223</v>
      </c>
      <c r="C101" s="6">
        <v>43000000</v>
      </c>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3" t="s">
        <v>218</v>
      </c>
      <c r="AK101" s="3" t="s">
        <v>219</v>
      </c>
      <c r="AN101" s="24"/>
      <c r="AO101" s="24"/>
      <c r="AP101" s="24"/>
    </row>
    <row r="102" spans="1:42" ht="15.75" customHeight="1" x14ac:dyDescent="0.2">
      <c r="A102" s="3" t="s">
        <v>224</v>
      </c>
      <c r="B102" s="3" t="s">
        <v>225</v>
      </c>
      <c r="C102" s="16">
        <f>29.44/(20.95+29.44+16.67)</f>
        <v>0.43900984193259768</v>
      </c>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c r="AD102" s="16"/>
      <c r="AE102" s="16"/>
      <c r="AF102" s="16"/>
      <c r="AG102" s="16"/>
      <c r="AH102" s="16"/>
      <c r="AI102" s="16"/>
      <c r="AJ102" s="3" t="str">
        <f t="shared" ref="AJ102:AJ104" si="6">""</f>
        <v/>
      </c>
      <c r="AK102" s="3" t="s">
        <v>196</v>
      </c>
    </row>
    <row r="103" spans="1:42" ht="15.75" customHeight="1" x14ac:dyDescent="0.2">
      <c r="A103" s="3" t="s">
        <v>226</v>
      </c>
      <c r="B103" s="3" t="s">
        <v>227</v>
      </c>
      <c r="C103" s="16">
        <f>20.95/(20.95+29.44+16.67)</f>
        <v>0.3124067998807038</v>
      </c>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c r="AD103" s="16"/>
      <c r="AE103" s="16"/>
      <c r="AF103" s="16"/>
      <c r="AG103" s="16"/>
      <c r="AH103" s="16"/>
      <c r="AI103" s="16"/>
      <c r="AJ103" s="3" t="str">
        <f t="shared" si="6"/>
        <v/>
      </c>
      <c r="AK103" s="3" t="s">
        <v>196</v>
      </c>
    </row>
    <row r="104" spans="1:42" ht="15.75" customHeight="1" x14ac:dyDescent="0.2">
      <c r="A104" s="3" t="s">
        <v>228</v>
      </c>
      <c r="B104" s="3" t="s">
        <v>229</v>
      </c>
      <c r="C104" s="16">
        <f>16.67/(20.95+29.44+16.67)</f>
        <v>0.24858335818669849</v>
      </c>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c r="AB104" s="16"/>
      <c r="AC104" s="16"/>
      <c r="AD104" s="16"/>
      <c r="AE104" s="16"/>
      <c r="AF104" s="16"/>
      <c r="AG104" s="16"/>
      <c r="AH104" s="16"/>
      <c r="AI104" s="16"/>
      <c r="AJ104" s="3" t="str">
        <f t="shared" si="6"/>
        <v/>
      </c>
      <c r="AK104" s="3" t="s">
        <v>196</v>
      </c>
    </row>
    <row r="105" spans="1:42" ht="15.75" customHeight="1" x14ac:dyDescent="0.2">
      <c r="B105" s="3"/>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row>
    <row r="106" spans="1:42" ht="15.75" customHeight="1" x14ac:dyDescent="0.2">
      <c r="A106" s="7" t="s">
        <v>230</v>
      </c>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row>
    <row r="107" spans="1:42" ht="15.75" customHeight="1" x14ac:dyDescent="0.2">
      <c r="A107" s="1" t="s">
        <v>231</v>
      </c>
      <c r="B107" s="1" t="s">
        <v>232</v>
      </c>
      <c r="C107" s="1">
        <v>0.05</v>
      </c>
      <c r="D107" s="1">
        <v>0.03</v>
      </c>
      <c r="E107" s="1">
        <v>7.0000000000000007E-2</v>
      </c>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K107" s="3" t="s">
        <v>233</v>
      </c>
      <c r="AL107" s="26" t="s">
        <v>234</v>
      </c>
    </row>
    <row r="108" spans="1:42" ht="15.75" customHeight="1" x14ac:dyDescent="0.2">
      <c r="A108" s="1" t="s">
        <v>235</v>
      </c>
      <c r="B108" s="1" t="s">
        <v>102</v>
      </c>
      <c r="C108" s="1">
        <v>30</v>
      </c>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t="s">
        <v>66</v>
      </c>
      <c r="AK108" s="1" t="s">
        <v>173</v>
      </c>
      <c r="AL108" s="5"/>
    </row>
    <row r="109" spans="1:42" ht="15.75" customHeight="1" x14ac:dyDescent="0.2">
      <c r="B109" s="3"/>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row>
    <row r="110" spans="1:42" ht="15.75" customHeight="1" x14ac:dyDescent="0.2">
      <c r="B110" s="3"/>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row>
    <row r="111" spans="1:42" ht="15.75" customHeight="1" x14ac:dyDescent="0.2">
      <c r="B111" s="3"/>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row>
    <row r="112" spans="1:42" ht="15.75" customHeight="1" x14ac:dyDescent="0.2">
      <c r="B112" s="3"/>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row>
    <row r="113" spans="2:35" ht="15.75" customHeight="1" x14ac:dyDescent="0.2">
      <c r="B113" s="3"/>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row>
    <row r="114" spans="2:35" ht="15.75" customHeight="1" x14ac:dyDescent="0.2">
      <c r="B114" s="3"/>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row>
    <row r="115" spans="2:35" ht="15.75" customHeight="1" x14ac:dyDescent="0.2">
      <c r="B115" s="3"/>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row>
    <row r="116" spans="2:35" ht="15.75" customHeight="1" x14ac:dyDescent="0.2">
      <c r="B116" s="3"/>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row>
    <row r="117" spans="2:35" ht="15.75" customHeight="1" x14ac:dyDescent="0.2">
      <c r="B117" s="3"/>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row>
    <row r="118" spans="2:35" ht="15.75" customHeight="1" x14ac:dyDescent="0.2">
      <c r="B118" s="3"/>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row>
    <row r="119" spans="2:35" ht="15.75" customHeight="1" x14ac:dyDescent="0.2">
      <c r="B119" s="3"/>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row>
    <row r="120" spans="2:35" ht="15.75" customHeight="1" x14ac:dyDescent="0.2">
      <c r="B120" s="3"/>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row>
    <row r="121" spans="2:35" ht="15.75" customHeight="1" x14ac:dyDescent="0.2">
      <c r="B121" s="3"/>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row>
    <row r="122" spans="2:35" ht="15.75" customHeight="1" x14ac:dyDescent="0.2">
      <c r="B122" s="3"/>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row>
    <row r="123" spans="2:35" ht="15.75" customHeight="1" x14ac:dyDescent="0.2">
      <c r="B123" s="3"/>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row>
    <row r="124" spans="2:35" ht="15.75" customHeight="1" x14ac:dyDescent="0.2">
      <c r="B124" s="3"/>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row>
    <row r="125" spans="2:35" ht="15.75" customHeight="1" x14ac:dyDescent="0.2">
      <c r="B125" s="3"/>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row>
    <row r="126" spans="2:35" ht="15.75" customHeight="1" x14ac:dyDescent="0.2">
      <c r="B126" s="3"/>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row>
    <row r="127" spans="2:35" ht="15.75" customHeight="1" x14ac:dyDescent="0.2">
      <c r="B127" s="3"/>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row>
    <row r="128" spans="2:35" ht="15.75" customHeight="1" x14ac:dyDescent="0.2">
      <c r="B128" s="3"/>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row>
    <row r="129" spans="2:35" ht="15.75" customHeight="1" x14ac:dyDescent="0.2">
      <c r="B129" s="3"/>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row>
    <row r="130" spans="2:35" ht="15.75" customHeight="1" x14ac:dyDescent="0.2">
      <c r="B130" s="3"/>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row>
    <row r="131" spans="2:35" ht="15.75" customHeight="1" x14ac:dyDescent="0.2">
      <c r="B131" s="3"/>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row>
    <row r="132" spans="2:35" ht="15.75" customHeight="1" x14ac:dyDescent="0.2">
      <c r="B132" s="3"/>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row>
    <row r="133" spans="2:35" ht="15.75" customHeight="1" x14ac:dyDescent="0.2">
      <c r="B133" s="3"/>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row>
    <row r="134" spans="2:35" ht="15.75" customHeight="1" x14ac:dyDescent="0.2">
      <c r="B134" s="3"/>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row>
    <row r="135" spans="2:35" ht="15.75" customHeight="1" x14ac:dyDescent="0.2">
      <c r="B135" s="3"/>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row>
    <row r="136" spans="2:35" ht="15.75" customHeight="1" x14ac:dyDescent="0.2">
      <c r="B136" s="3"/>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row>
    <row r="137" spans="2:35" ht="15.75" customHeight="1" x14ac:dyDescent="0.2">
      <c r="B137" s="3"/>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row>
    <row r="138" spans="2:35" ht="15.75" customHeight="1" x14ac:dyDescent="0.2">
      <c r="B138" s="3"/>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row>
    <row r="139" spans="2:35" ht="15.75" customHeight="1" x14ac:dyDescent="0.2">
      <c r="B139" s="3"/>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row>
    <row r="140" spans="2:35" ht="15.75" customHeight="1" x14ac:dyDescent="0.2">
      <c r="B140" s="3"/>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row>
    <row r="141" spans="2:35" ht="15.75" customHeight="1" x14ac:dyDescent="0.2">
      <c r="B141" s="3"/>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row>
    <row r="142" spans="2:35" ht="15.75" customHeight="1" x14ac:dyDescent="0.2">
      <c r="B142" s="3"/>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row>
    <row r="143" spans="2:35" ht="15.75" customHeight="1" x14ac:dyDescent="0.2">
      <c r="B143" s="3"/>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row>
    <row r="144" spans="2:35" ht="15.75" customHeight="1" x14ac:dyDescent="0.2">
      <c r="B144" s="3"/>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row>
    <row r="145" spans="2:35" ht="15.75" customHeight="1" x14ac:dyDescent="0.2">
      <c r="B145" s="3"/>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row>
    <row r="146" spans="2:35" ht="15.75" customHeight="1" x14ac:dyDescent="0.2">
      <c r="B146" s="3"/>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row>
    <row r="147" spans="2:35" ht="15.75" customHeight="1" x14ac:dyDescent="0.2">
      <c r="B147" s="3"/>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row>
    <row r="148" spans="2:35" ht="15.75" customHeight="1" x14ac:dyDescent="0.2">
      <c r="B148" s="3"/>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row>
    <row r="149" spans="2:35" ht="15.75" customHeight="1" x14ac:dyDescent="0.2">
      <c r="B149" s="3"/>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row>
    <row r="150" spans="2:35" ht="15.75" customHeight="1" x14ac:dyDescent="0.2">
      <c r="B150" s="3"/>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row>
    <row r="151" spans="2:35" ht="15.75" customHeight="1" x14ac:dyDescent="0.2">
      <c r="B151" s="3"/>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row>
    <row r="152" spans="2:35" ht="15.75" customHeight="1" x14ac:dyDescent="0.2">
      <c r="B152" s="3"/>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row>
    <row r="153" spans="2:35" ht="15.75" customHeight="1" x14ac:dyDescent="0.2">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row>
    <row r="154" spans="2:35" ht="15.75" customHeight="1" x14ac:dyDescent="0.2">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row>
    <row r="155" spans="2:35" ht="15.75" customHeight="1" x14ac:dyDescent="0.2">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row>
    <row r="156" spans="2:35" ht="15.75" customHeight="1" x14ac:dyDescent="0.2">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row>
    <row r="157" spans="2:35" ht="15.75" customHeight="1" x14ac:dyDescent="0.2">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row>
    <row r="158" spans="2:35" ht="15.75" customHeight="1" x14ac:dyDescent="0.2">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row>
    <row r="159" spans="2:35" ht="15.75" customHeight="1" x14ac:dyDescent="0.2">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row>
    <row r="160" spans="2:35" ht="15.75" customHeight="1" x14ac:dyDescent="0.2">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row>
    <row r="161" spans="3:35" ht="15.75" customHeight="1" x14ac:dyDescent="0.2">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row>
    <row r="162" spans="3:35" ht="15.75" customHeight="1" x14ac:dyDescent="0.2">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row>
    <row r="163" spans="3:35" ht="15.75" customHeight="1" x14ac:dyDescent="0.2">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row>
    <row r="164" spans="3:35" ht="15.75" customHeight="1" x14ac:dyDescent="0.2">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row>
    <row r="165" spans="3:35" ht="15.75" customHeight="1" x14ac:dyDescent="0.2">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row>
    <row r="166" spans="3:35" ht="15.75" customHeight="1" x14ac:dyDescent="0.2">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row>
    <row r="167" spans="3:35" ht="15.75" customHeight="1" x14ac:dyDescent="0.2">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row>
    <row r="168" spans="3:35" ht="15.75" customHeight="1" x14ac:dyDescent="0.2">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row>
    <row r="169" spans="3:35" ht="15.75" customHeight="1" x14ac:dyDescent="0.2">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row>
    <row r="170" spans="3:35" ht="15.75" customHeight="1" x14ac:dyDescent="0.2">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row>
    <row r="171" spans="3:35" ht="15.75" customHeight="1" x14ac:dyDescent="0.2">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row>
    <row r="172" spans="3:35" ht="15.75" customHeight="1" x14ac:dyDescent="0.2">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row>
    <row r="173" spans="3:35" ht="15.75" customHeight="1" x14ac:dyDescent="0.2">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row>
    <row r="174" spans="3:35" ht="15.75" customHeight="1" x14ac:dyDescent="0.2">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row>
    <row r="175" spans="3:35" ht="15.75" customHeight="1" x14ac:dyDescent="0.2">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row>
    <row r="176" spans="3:35" ht="15.75" customHeight="1" x14ac:dyDescent="0.2">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row>
    <row r="177" spans="3:35" ht="15.75" customHeight="1" x14ac:dyDescent="0.2">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row>
    <row r="178" spans="3:35" ht="15.75" customHeight="1" x14ac:dyDescent="0.2">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row>
    <row r="179" spans="3:35" ht="15.75" customHeight="1" x14ac:dyDescent="0.2">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row>
    <row r="180" spans="3:35" ht="15.75" customHeight="1" x14ac:dyDescent="0.2">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row>
    <row r="181" spans="3:35" ht="15.75" customHeight="1" x14ac:dyDescent="0.2">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row>
    <row r="182" spans="3:35" ht="15.75" customHeight="1" x14ac:dyDescent="0.2">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row>
    <row r="183" spans="3:35" ht="15.75" customHeight="1" x14ac:dyDescent="0.2">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row>
    <row r="184" spans="3:35" ht="15.75" customHeight="1" x14ac:dyDescent="0.2">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row>
    <row r="185" spans="3:35" ht="15.75" customHeight="1" x14ac:dyDescent="0.2">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row>
    <row r="186" spans="3:35" ht="15.75" customHeight="1" x14ac:dyDescent="0.2">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row>
    <row r="187" spans="3:35" ht="15.75" customHeight="1" x14ac:dyDescent="0.2">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row>
    <row r="188" spans="3:35" ht="15.75" customHeight="1" x14ac:dyDescent="0.2">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row>
    <row r="189" spans="3:35" ht="15.75" customHeight="1" x14ac:dyDescent="0.2">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row>
    <row r="190" spans="3:35" ht="15.75" customHeight="1" x14ac:dyDescent="0.2">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row>
    <row r="191" spans="3:35" ht="15.75" customHeight="1" x14ac:dyDescent="0.2">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row>
    <row r="192" spans="3:35" ht="15.75" customHeight="1" x14ac:dyDescent="0.2">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row>
    <row r="193" spans="3:35" ht="15.75" customHeight="1" x14ac:dyDescent="0.2">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row>
    <row r="194" spans="3:35" ht="15.75" customHeight="1" x14ac:dyDescent="0.2">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row>
    <row r="195" spans="3:35" ht="15.75" customHeight="1" x14ac:dyDescent="0.2">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row>
    <row r="196" spans="3:35" ht="15.75" customHeight="1" x14ac:dyDescent="0.2">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row>
    <row r="197" spans="3:35" ht="15.75" customHeight="1" x14ac:dyDescent="0.2">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row>
    <row r="198" spans="3:35" ht="15.75" customHeight="1" x14ac:dyDescent="0.2">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row>
    <row r="199" spans="3:35" ht="15.75" customHeight="1" x14ac:dyDescent="0.2">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row>
    <row r="200" spans="3:35" ht="15.75" customHeight="1" x14ac:dyDescent="0.2">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row>
    <row r="201" spans="3:35" ht="15.75" customHeight="1" x14ac:dyDescent="0.2">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row>
    <row r="202" spans="3:35" ht="15.75" customHeight="1" x14ac:dyDescent="0.2">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row>
    <row r="203" spans="3:35" ht="15.75" customHeight="1" x14ac:dyDescent="0.2">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row>
    <row r="204" spans="3:35" ht="15.75" customHeight="1" x14ac:dyDescent="0.2">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row>
    <row r="205" spans="3:35" ht="15.75" customHeight="1" x14ac:dyDescent="0.2">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row>
    <row r="206" spans="3:35" ht="15.75" customHeight="1" x14ac:dyDescent="0.2">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row>
    <row r="207" spans="3:35" ht="15.75" customHeight="1" x14ac:dyDescent="0.2">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row>
    <row r="208" spans="3:35" ht="15.75" customHeight="1" x14ac:dyDescent="0.2">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row>
    <row r="209" spans="3:35" ht="15.75" customHeight="1" x14ac:dyDescent="0.2">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row>
    <row r="210" spans="3:35" ht="15.75" customHeight="1" x14ac:dyDescent="0.2">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row>
    <row r="211" spans="3:35" ht="15.75" customHeight="1" x14ac:dyDescent="0.2">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row>
    <row r="212" spans="3:35" ht="15.75" customHeight="1" x14ac:dyDescent="0.2">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row>
    <row r="213" spans="3:35" ht="15.75" customHeight="1" x14ac:dyDescent="0.2">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row>
    <row r="214" spans="3:35" ht="15.75" customHeight="1" x14ac:dyDescent="0.2">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row>
    <row r="215" spans="3:35" ht="15.75" customHeight="1" x14ac:dyDescent="0.2">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row>
    <row r="216" spans="3:35" ht="15.75" customHeight="1" x14ac:dyDescent="0.2">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row>
    <row r="217" spans="3:35" ht="15.75" customHeight="1" x14ac:dyDescent="0.2">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row>
    <row r="218" spans="3:35" ht="15.75" customHeight="1" x14ac:dyDescent="0.2">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row>
    <row r="219" spans="3:35" ht="15.75" customHeight="1" x14ac:dyDescent="0.2">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row>
    <row r="220" spans="3:35" ht="15.75" customHeight="1" x14ac:dyDescent="0.2">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row>
    <row r="221" spans="3:35" ht="15.75" customHeight="1" x14ac:dyDescent="0.2">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row>
    <row r="222" spans="3:35" ht="15.75" customHeight="1" x14ac:dyDescent="0.2">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row>
    <row r="223" spans="3:35" ht="15.75" customHeight="1" x14ac:dyDescent="0.2">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row>
    <row r="224" spans="3:35" ht="15.75" customHeight="1" x14ac:dyDescent="0.2">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row>
    <row r="225" spans="3:35" ht="15.75" customHeight="1" x14ac:dyDescent="0.2">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row>
    <row r="226" spans="3:35" ht="15.75" customHeight="1" x14ac:dyDescent="0.2">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row>
    <row r="227" spans="3:35" ht="15.75" customHeight="1" x14ac:dyDescent="0.2">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row>
    <row r="228" spans="3:35" ht="15.75" customHeight="1" x14ac:dyDescent="0.2">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row>
    <row r="229" spans="3:35" ht="15.75" customHeight="1" x14ac:dyDescent="0.2">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row>
    <row r="230" spans="3:35" ht="15.75" customHeight="1" x14ac:dyDescent="0.2">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row>
    <row r="231" spans="3:35" ht="15.75" customHeight="1" x14ac:dyDescent="0.2">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row>
    <row r="232" spans="3:35" ht="15.75" customHeight="1" x14ac:dyDescent="0.2">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row>
    <row r="233" spans="3:35" ht="15.75" customHeight="1" x14ac:dyDescent="0.2">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row>
    <row r="234" spans="3:35" ht="15.75" customHeight="1" x14ac:dyDescent="0.2">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row>
    <row r="235" spans="3:35" ht="15.75" customHeight="1" x14ac:dyDescent="0.2">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row>
    <row r="236" spans="3:35" ht="15.75" customHeight="1" x14ac:dyDescent="0.2">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row>
    <row r="237" spans="3:35" ht="15.75" customHeight="1" x14ac:dyDescent="0.2">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row>
    <row r="238" spans="3:35" ht="15.75" customHeight="1" x14ac:dyDescent="0.2">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row>
    <row r="239" spans="3:35" ht="15.75" customHeight="1" x14ac:dyDescent="0.2">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row>
    <row r="240" spans="3:35" ht="15.75" customHeight="1" x14ac:dyDescent="0.2">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row>
    <row r="241" spans="3:35" ht="15.75" customHeight="1" x14ac:dyDescent="0.2">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row>
    <row r="242" spans="3:35" ht="15.75" customHeight="1" x14ac:dyDescent="0.2">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row>
    <row r="243" spans="3:35" ht="15.75" customHeight="1" x14ac:dyDescent="0.2">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row>
    <row r="244" spans="3:35" ht="15.75" customHeight="1" x14ac:dyDescent="0.2">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row>
    <row r="245" spans="3:35" ht="15.75" customHeight="1" x14ac:dyDescent="0.2">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row>
    <row r="246" spans="3:35" ht="15.75" customHeight="1" x14ac:dyDescent="0.2">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row>
    <row r="247" spans="3:35" ht="15.75" customHeight="1" x14ac:dyDescent="0.2">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row>
    <row r="248" spans="3:35" ht="15.75" customHeight="1" x14ac:dyDescent="0.2">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row>
    <row r="249" spans="3:35" ht="15.75" customHeight="1" x14ac:dyDescent="0.2">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row>
    <row r="250" spans="3:35" ht="15.75" customHeight="1" x14ac:dyDescent="0.2">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row>
    <row r="251" spans="3:35" ht="15.75" customHeight="1" x14ac:dyDescent="0.2">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row>
    <row r="252" spans="3:35" ht="15.75" customHeight="1" x14ac:dyDescent="0.2">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row>
    <row r="253" spans="3:35" ht="15.75" customHeight="1" x14ac:dyDescent="0.2">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row>
    <row r="254" spans="3:35" ht="15.75" customHeight="1" x14ac:dyDescent="0.2">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row>
    <row r="255" spans="3:35" ht="15.75" customHeight="1" x14ac:dyDescent="0.2">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row>
    <row r="256" spans="3:35" ht="15.75" customHeight="1" x14ac:dyDescent="0.2">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row>
    <row r="257" spans="3:35" ht="15.75" customHeight="1" x14ac:dyDescent="0.2">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row>
    <row r="258" spans="3:35" ht="15.75" customHeight="1" x14ac:dyDescent="0.2">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row>
    <row r="259" spans="3:35" ht="15.75" customHeight="1" x14ac:dyDescent="0.2">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row>
    <row r="260" spans="3:35" ht="15.75" customHeight="1" x14ac:dyDescent="0.2">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row>
    <row r="261" spans="3:35" ht="15.75" customHeight="1" x14ac:dyDescent="0.2">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row>
    <row r="262" spans="3:35" ht="15.75" customHeight="1" x14ac:dyDescent="0.2">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row>
    <row r="263" spans="3:35" ht="15.75" customHeight="1" x14ac:dyDescent="0.2">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row>
    <row r="264" spans="3:35" ht="15.75" customHeight="1" x14ac:dyDescent="0.2">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row>
    <row r="265" spans="3:35" ht="15.75" customHeight="1" x14ac:dyDescent="0.2">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row>
    <row r="266" spans="3:35" ht="15.75" customHeight="1" x14ac:dyDescent="0.2">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row>
    <row r="267" spans="3:35" ht="15.75" customHeight="1" x14ac:dyDescent="0.2">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row>
    <row r="268" spans="3:35" ht="15.75" customHeight="1" x14ac:dyDescent="0.2">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row>
    <row r="269" spans="3:35" ht="15.75" customHeight="1" x14ac:dyDescent="0.2">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row>
    <row r="270" spans="3:35" ht="15.75" customHeight="1" x14ac:dyDescent="0.2">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row>
    <row r="271" spans="3:35" ht="15.75" customHeight="1" x14ac:dyDescent="0.2">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row>
    <row r="272" spans="3:35" ht="15.75" customHeight="1" x14ac:dyDescent="0.2">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row>
    <row r="273" spans="3:35" ht="15.75" customHeight="1" x14ac:dyDescent="0.2">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row>
    <row r="274" spans="3:35" ht="15.75" customHeight="1" x14ac:dyDescent="0.2">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row>
    <row r="275" spans="3:35" ht="15.75" customHeight="1" x14ac:dyDescent="0.2">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row>
    <row r="276" spans="3:35" ht="15.75" customHeight="1" x14ac:dyDescent="0.2">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row>
    <row r="277" spans="3:35" ht="15.75" customHeight="1" x14ac:dyDescent="0.2">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row>
    <row r="278" spans="3:35" ht="15.75" customHeight="1" x14ac:dyDescent="0.2">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row>
    <row r="279" spans="3:35" ht="15.75" customHeight="1" x14ac:dyDescent="0.2">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row>
    <row r="280" spans="3:35" ht="15.75" customHeight="1" x14ac:dyDescent="0.2">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row>
    <row r="281" spans="3:35" ht="15.75" customHeight="1" x14ac:dyDescent="0.2">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row>
    <row r="282" spans="3:35" ht="15.75" customHeight="1" x14ac:dyDescent="0.2">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row>
    <row r="283" spans="3:35" ht="15.75" customHeight="1" x14ac:dyDescent="0.2">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row>
    <row r="284" spans="3:35" ht="15.75" customHeight="1" x14ac:dyDescent="0.2">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row>
    <row r="285" spans="3:35" ht="15.75" customHeight="1" x14ac:dyDescent="0.2">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row>
    <row r="286" spans="3:35" ht="15.75" customHeight="1" x14ac:dyDescent="0.2">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row>
    <row r="287" spans="3:35" ht="15.75" customHeight="1" x14ac:dyDescent="0.2">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row>
    <row r="288" spans="3:35" ht="15.75" customHeight="1" x14ac:dyDescent="0.2">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row>
    <row r="289" spans="3:35" ht="15.75" customHeight="1" x14ac:dyDescent="0.2">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row>
    <row r="290" spans="3:35" ht="15.75" customHeight="1" x14ac:dyDescent="0.2">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row>
    <row r="291" spans="3:35" ht="15.75" customHeight="1" x14ac:dyDescent="0.2">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row>
    <row r="292" spans="3:35" ht="15.75" customHeight="1" x14ac:dyDescent="0.2">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row>
    <row r="293" spans="3:35" ht="15.75" customHeight="1" x14ac:dyDescent="0.2">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row>
    <row r="294" spans="3:35" ht="15.75" customHeight="1" x14ac:dyDescent="0.2">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row>
    <row r="295" spans="3:35" ht="15.75" customHeight="1" x14ac:dyDescent="0.2">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row>
    <row r="296" spans="3:35" ht="15.75" customHeight="1" x14ac:dyDescent="0.2">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row>
    <row r="297" spans="3:35" ht="15.75" customHeight="1" x14ac:dyDescent="0.2">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row>
    <row r="298" spans="3:35" ht="15.75" customHeight="1" x14ac:dyDescent="0.2">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row>
    <row r="299" spans="3:35" ht="15.75" customHeight="1" x14ac:dyDescent="0.2">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row>
    <row r="300" spans="3:35" ht="15.75" customHeight="1" x14ac:dyDescent="0.2">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row>
    <row r="301" spans="3:35" ht="15.75" customHeight="1" x14ac:dyDescent="0.2">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row>
    <row r="302" spans="3:35" ht="15.75" customHeight="1" x14ac:dyDescent="0.2">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row>
    <row r="303" spans="3:35" ht="15.75" customHeight="1" x14ac:dyDescent="0.2">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row>
    <row r="304" spans="3:35" ht="15.75" customHeight="1" x14ac:dyDescent="0.2">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row>
    <row r="305" spans="3:35" ht="15.75" customHeight="1" x14ac:dyDescent="0.2">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row>
    <row r="306" spans="3:35" ht="15.75" customHeight="1" x14ac:dyDescent="0.2">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row>
    <row r="307" spans="3:35" ht="15.75" customHeight="1" x14ac:dyDescent="0.2">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row>
    <row r="308" spans="3:35" ht="15.75" customHeight="1" x14ac:dyDescent="0.2">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row>
    <row r="309" spans="3:35" ht="15.75" customHeight="1" x14ac:dyDescent="0.2">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row>
    <row r="310" spans="3:35" ht="15.75" customHeight="1" x14ac:dyDescent="0.2">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row>
    <row r="311" spans="3:35" ht="15.75" customHeight="1" x14ac:dyDescent="0.2">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row>
    <row r="312" spans="3:35" ht="15.75" customHeight="1" x14ac:dyDescent="0.2">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row>
    <row r="313" spans="3:35" ht="15.75" customHeight="1" x14ac:dyDescent="0.2">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row>
    <row r="314" spans="3:35" ht="15.75" customHeight="1" x14ac:dyDescent="0.2">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row>
    <row r="315" spans="3:35" ht="15.75" customHeight="1" x14ac:dyDescent="0.2">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row>
    <row r="316" spans="3:35" ht="15.75" customHeight="1" x14ac:dyDescent="0.2">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row>
    <row r="317" spans="3:35" ht="15.75" customHeight="1" x14ac:dyDescent="0.2">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row>
    <row r="318" spans="3:35" ht="15.75" customHeight="1" x14ac:dyDescent="0.2">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row>
    <row r="319" spans="3:35" ht="15.75" customHeight="1" x14ac:dyDescent="0.2">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row>
    <row r="320" spans="3:35" ht="15.75" customHeight="1" x14ac:dyDescent="0.2">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row>
    <row r="321" spans="3:35" ht="15.75" customHeight="1" x14ac:dyDescent="0.2">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row>
    <row r="322" spans="3:35" ht="15.75" customHeight="1" x14ac:dyDescent="0.2">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row>
    <row r="323" spans="3:35" ht="15.75" customHeight="1" x14ac:dyDescent="0.2">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row>
    <row r="324" spans="3:35" ht="15.75" customHeight="1" x14ac:dyDescent="0.2">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row>
    <row r="325" spans="3:35" ht="15.75" customHeight="1" x14ac:dyDescent="0.2">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row>
    <row r="326" spans="3:35" ht="15.75" customHeight="1" x14ac:dyDescent="0.2">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row>
    <row r="327" spans="3:35" ht="15.75" customHeight="1" x14ac:dyDescent="0.2">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row>
    <row r="328" spans="3:35" ht="15.75" customHeight="1" x14ac:dyDescent="0.2">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row>
    <row r="329" spans="3:35" ht="15.75" customHeight="1" x14ac:dyDescent="0.2">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row>
    <row r="330" spans="3:35" ht="15.75" customHeight="1" x14ac:dyDescent="0.2">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row>
    <row r="331" spans="3:35" ht="15.75" customHeight="1" x14ac:dyDescent="0.2">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row>
    <row r="332" spans="3:35" ht="15.75" customHeight="1" x14ac:dyDescent="0.2">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row>
    <row r="333" spans="3:35" ht="15.75" customHeight="1" x14ac:dyDescent="0.2">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row>
    <row r="334" spans="3:35" ht="15.75" customHeight="1" x14ac:dyDescent="0.2">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row>
    <row r="335" spans="3:35" ht="15.75" customHeight="1" x14ac:dyDescent="0.2">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row>
    <row r="336" spans="3:35" ht="15.75" customHeight="1" x14ac:dyDescent="0.2">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row>
    <row r="337" spans="3:35" ht="15.75" customHeight="1" x14ac:dyDescent="0.2">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row>
    <row r="338" spans="3:35" ht="15.75" customHeight="1" x14ac:dyDescent="0.2">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row>
    <row r="339" spans="3:35" ht="15.75" customHeight="1" x14ac:dyDescent="0.2">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row>
    <row r="340" spans="3:35" ht="15.75" customHeight="1" x14ac:dyDescent="0.2">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row>
    <row r="341" spans="3:35" ht="15.75" customHeight="1" x14ac:dyDescent="0.2">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row>
    <row r="342" spans="3:35" ht="15.75" customHeight="1" x14ac:dyDescent="0.2">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row>
    <row r="343" spans="3:35" ht="15.75" customHeight="1" x14ac:dyDescent="0.2">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row>
    <row r="344" spans="3:35" ht="15.75" customHeight="1" x14ac:dyDescent="0.2">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row>
    <row r="345" spans="3:35" ht="15.75" customHeight="1" x14ac:dyDescent="0.2">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row>
    <row r="346" spans="3:35" ht="15.75" customHeight="1" x14ac:dyDescent="0.2">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row>
    <row r="347" spans="3:35" ht="15.75" customHeight="1" x14ac:dyDescent="0.2">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row>
    <row r="348" spans="3:35" ht="15.75" customHeight="1" x14ac:dyDescent="0.2">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row>
    <row r="349" spans="3:35" ht="15.75" customHeight="1" x14ac:dyDescent="0.2">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row>
    <row r="350" spans="3:35" ht="15.75" customHeight="1" x14ac:dyDescent="0.2">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row>
    <row r="351" spans="3:35" ht="15.75" customHeight="1" x14ac:dyDescent="0.2">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row>
    <row r="352" spans="3:35" ht="15.75" customHeight="1" x14ac:dyDescent="0.2">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row>
    <row r="353" spans="3:35" ht="15.75" customHeight="1" x14ac:dyDescent="0.2">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row>
    <row r="354" spans="3:35" ht="15.75" customHeight="1" x14ac:dyDescent="0.2">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row>
    <row r="355" spans="3:35" ht="15.75" customHeight="1" x14ac:dyDescent="0.2">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row>
    <row r="356" spans="3:35" ht="15.75" customHeight="1" x14ac:dyDescent="0.2">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row>
    <row r="357" spans="3:35" ht="15.75" customHeight="1" x14ac:dyDescent="0.2">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row>
    <row r="358" spans="3:35" ht="15.75" customHeight="1" x14ac:dyDescent="0.2">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row>
    <row r="359" spans="3:35" ht="15.75" customHeight="1" x14ac:dyDescent="0.2">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row>
    <row r="360" spans="3:35" ht="15.75" customHeight="1" x14ac:dyDescent="0.2">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row>
    <row r="361" spans="3:35" ht="15.75" customHeight="1" x14ac:dyDescent="0.2">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row>
    <row r="362" spans="3:35" ht="15.75" customHeight="1" x14ac:dyDescent="0.2">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row>
    <row r="363" spans="3:35" ht="15.75" customHeight="1" x14ac:dyDescent="0.2">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row>
    <row r="364" spans="3:35" ht="15.75" customHeight="1" x14ac:dyDescent="0.2">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row>
    <row r="365" spans="3:35" ht="15.75" customHeight="1" x14ac:dyDescent="0.2">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row>
    <row r="366" spans="3:35" ht="15.75" customHeight="1" x14ac:dyDescent="0.2">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row>
    <row r="367" spans="3:35" ht="15.75" customHeight="1" x14ac:dyDescent="0.2">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row>
    <row r="368" spans="3:35" ht="15.75" customHeight="1" x14ac:dyDescent="0.2">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row>
    <row r="369" spans="3:35" ht="15.75" customHeight="1" x14ac:dyDescent="0.2">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row>
    <row r="370" spans="3:35" ht="15.75" customHeight="1" x14ac:dyDescent="0.2">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row>
    <row r="371" spans="3:35" ht="15.75" customHeight="1" x14ac:dyDescent="0.2">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row>
    <row r="372" spans="3:35" ht="15.75" customHeight="1" x14ac:dyDescent="0.2">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row>
    <row r="373" spans="3:35" ht="15.75" customHeight="1" x14ac:dyDescent="0.2">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row>
    <row r="374" spans="3:35" ht="15.75" customHeight="1" x14ac:dyDescent="0.2">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row>
    <row r="375" spans="3:35" ht="15.75" customHeight="1" x14ac:dyDescent="0.2">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row>
    <row r="376" spans="3:35" ht="15.75" customHeight="1" x14ac:dyDescent="0.2">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row>
    <row r="377" spans="3:35" ht="15.75" customHeight="1" x14ac:dyDescent="0.2">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row>
    <row r="378" spans="3:35" ht="15.75" customHeight="1" x14ac:dyDescent="0.2">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row>
    <row r="379" spans="3:35" ht="15.75" customHeight="1" x14ac:dyDescent="0.2">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row>
    <row r="380" spans="3:35" ht="15.75" customHeight="1" x14ac:dyDescent="0.2">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row>
    <row r="381" spans="3:35" ht="15.75" customHeight="1" x14ac:dyDescent="0.2">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row>
    <row r="382" spans="3:35" ht="15.75" customHeight="1" x14ac:dyDescent="0.2">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row>
    <row r="383" spans="3:35" ht="15.75" customHeight="1" x14ac:dyDescent="0.2">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row>
    <row r="384" spans="3:35" ht="15.75" customHeight="1" x14ac:dyDescent="0.2">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row>
    <row r="385" spans="3:35" ht="15.75" customHeight="1" x14ac:dyDescent="0.2">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row>
    <row r="386" spans="3:35" ht="15.75" customHeight="1" x14ac:dyDescent="0.2">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row>
    <row r="387" spans="3:35" ht="15.75" customHeight="1" x14ac:dyDescent="0.2">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row>
    <row r="388" spans="3:35" ht="15.75" customHeight="1" x14ac:dyDescent="0.2">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row>
    <row r="389" spans="3:35" ht="15.75" customHeight="1" x14ac:dyDescent="0.2">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row>
    <row r="390" spans="3:35" ht="15.75" customHeight="1" x14ac:dyDescent="0.2">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row>
    <row r="391" spans="3:35" ht="15.75" customHeight="1" x14ac:dyDescent="0.2">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row>
    <row r="392" spans="3:35" ht="15.75" customHeight="1" x14ac:dyDescent="0.2">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row>
    <row r="393" spans="3:35" ht="15.75" customHeight="1" x14ac:dyDescent="0.2">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row>
    <row r="394" spans="3:35" ht="15.75" customHeight="1" x14ac:dyDescent="0.2">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row>
    <row r="395" spans="3:35" ht="15.75" customHeight="1" x14ac:dyDescent="0.2">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row>
    <row r="396" spans="3:35" ht="15.75" customHeight="1" x14ac:dyDescent="0.2">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row>
    <row r="397" spans="3:35" ht="15.75" customHeight="1" x14ac:dyDescent="0.2">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row>
    <row r="398" spans="3:35" ht="15.75" customHeight="1" x14ac:dyDescent="0.2">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row>
    <row r="399" spans="3:35" ht="15.75" customHeight="1" x14ac:dyDescent="0.2">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row>
    <row r="400" spans="3:35" ht="15.75" customHeight="1" x14ac:dyDescent="0.2">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row>
    <row r="401" spans="3:35" ht="15.75" customHeight="1" x14ac:dyDescent="0.2">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row>
    <row r="402" spans="3:35" ht="15.75" customHeight="1" x14ac:dyDescent="0.2">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row>
    <row r="403" spans="3:35" ht="15.75" customHeight="1" x14ac:dyDescent="0.2">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row>
    <row r="404" spans="3:35" ht="15.75" customHeight="1" x14ac:dyDescent="0.2">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row>
    <row r="405" spans="3:35" ht="15.75" customHeight="1" x14ac:dyDescent="0.2">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row>
    <row r="406" spans="3:35" ht="15.75" customHeight="1" x14ac:dyDescent="0.2">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row>
    <row r="407" spans="3:35" ht="15.75" customHeight="1" x14ac:dyDescent="0.2">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row>
    <row r="408" spans="3:35" ht="15.75" customHeight="1" x14ac:dyDescent="0.2">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row>
    <row r="409" spans="3:35" ht="15.75" customHeight="1" x14ac:dyDescent="0.2">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row>
    <row r="410" spans="3:35" ht="15.75" customHeight="1" x14ac:dyDescent="0.2">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row>
    <row r="411" spans="3:35" ht="15.75" customHeight="1" x14ac:dyDescent="0.2">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row>
    <row r="412" spans="3:35" ht="15.75" customHeight="1" x14ac:dyDescent="0.2">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row>
    <row r="413" spans="3:35" ht="15.75" customHeight="1" x14ac:dyDescent="0.2">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row>
    <row r="414" spans="3:35" ht="15.75" customHeight="1" x14ac:dyDescent="0.2">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row>
    <row r="415" spans="3:35" ht="15.75" customHeight="1" x14ac:dyDescent="0.2">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row>
    <row r="416" spans="3:35" ht="15.75" customHeight="1" x14ac:dyDescent="0.2">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row>
    <row r="417" spans="3:35" ht="15.75" customHeight="1" x14ac:dyDescent="0.2">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row>
    <row r="418" spans="3:35" ht="15.75" customHeight="1" x14ac:dyDescent="0.2">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row>
    <row r="419" spans="3:35" ht="15.75" customHeight="1" x14ac:dyDescent="0.2">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row>
    <row r="420" spans="3:35" ht="15.75" customHeight="1" x14ac:dyDescent="0.2">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row>
    <row r="421" spans="3:35" ht="15.75" customHeight="1" x14ac:dyDescent="0.2">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row>
    <row r="422" spans="3:35" ht="15.75" customHeight="1" x14ac:dyDescent="0.2">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row>
    <row r="423" spans="3:35" ht="15.75" customHeight="1" x14ac:dyDescent="0.2">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row>
    <row r="424" spans="3:35" ht="15.75" customHeight="1" x14ac:dyDescent="0.2">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row>
    <row r="425" spans="3:35" ht="15.75" customHeight="1" x14ac:dyDescent="0.2">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row>
    <row r="426" spans="3:35" ht="15.75" customHeight="1" x14ac:dyDescent="0.2">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row>
    <row r="427" spans="3:35" ht="15.75" customHeight="1" x14ac:dyDescent="0.2">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row>
    <row r="428" spans="3:35" ht="15.75" customHeight="1" x14ac:dyDescent="0.2">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row>
    <row r="429" spans="3:35" ht="15.75" customHeight="1" x14ac:dyDescent="0.2">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row>
    <row r="430" spans="3:35" ht="15.75" customHeight="1" x14ac:dyDescent="0.2">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row>
    <row r="431" spans="3:35" ht="15.75" customHeight="1" x14ac:dyDescent="0.2">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row>
    <row r="432" spans="3:35" ht="15.75" customHeight="1" x14ac:dyDescent="0.2">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row>
    <row r="433" spans="3:35" ht="15.75" customHeight="1" x14ac:dyDescent="0.2">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row>
    <row r="434" spans="3:35" ht="15.75" customHeight="1" x14ac:dyDescent="0.2">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row>
    <row r="435" spans="3:35" ht="15.75" customHeight="1" x14ac:dyDescent="0.2">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row>
    <row r="436" spans="3:35" ht="15.75" customHeight="1" x14ac:dyDescent="0.2">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row>
    <row r="437" spans="3:35" ht="15.75" customHeight="1" x14ac:dyDescent="0.2">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row>
    <row r="438" spans="3:35" ht="15.75" customHeight="1" x14ac:dyDescent="0.2">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row>
    <row r="439" spans="3:35" ht="15.75" customHeight="1" x14ac:dyDescent="0.2">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row>
    <row r="440" spans="3:35" ht="15.75" customHeight="1" x14ac:dyDescent="0.2">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row>
    <row r="441" spans="3:35" ht="15.75" customHeight="1" x14ac:dyDescent="0.2">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row>
    <row r="442" spans="3:35" ht="15.75" customHeight="1" x14ac:dyDescent="0.2">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row>
    <row r="443" spans="3:35" ht="15.75" customHeight="1" x14ac:dyDescent="0.2">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row>
    <row r="444" spans="3:35" ht="15.75" customHeight="1" x14ac:dyDescent="0.2">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row>
    <row r="445" spans="3:35" ht="15.75" customHeight="1" x14ac:dyDescent="0.2">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row>
    <row r="446" spans="3:35" ht="15.75" customHeight="1" x14ac:dyDescent="0.2">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row>
    <row r="447" spans="3:35" ht="15.75" customHeight="1" x14ac:dyDescent="0.2">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row>
    <row r="448" spans="3:35" ht="15.75" customHeight="1" x14ac:dyDescent="0.2">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row>
    <row r="449" spans="3:35" ht="15.75" customHeight="1" x14ac:dyDescent="0.2">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row>
    <row r="450" spans="3:35" ht="15.75" customHeight="1" x14ac:dyDescent="0.2">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row>
    <row r="451" spans="3:35" ht="15.75" customHeight="1" x14ac:dyDescent="0.2">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row>
    <row r="452" spans="3:35" ht="15.75" customHeight="1" x14ac:dyDescent="0.2">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row>
    <row r="453" spans="3:35" ht="15.75" customHeight="1" x14ac:dyDescent="0.2">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row>
    <row r="454" spans="3:35" ht="15.75" customHeight="1" x14ac:dyDescent="0.2">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row>
    <row r="455" spans="3:35" ht="15.75" customHeight="1" x14ac:dyDescent="0.2">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row>
    <row r="456" spans="3:35" ht="15.75" customHeight="1" x14ac:dyDescent="0.2">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row>
    <row r="457" spans="3:35" ht="15.75" customHeight="1" x14ac:dyDescent="0.2">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row>
    <row r="458" spans="3:35" ht="15.75" customHeight="1" x14ac:dyDescent="0.2">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row>
    <row r="459" spans="3:35" ht="15.75" customHeight="1" x14ac:dyDescent="0.2">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row>
    <row r="460" spans="3:35" ht="15.75" customHeight="1" x14ac:dyDescent="0.2">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row>
    <row r="461" spans="3:35" ht="15.75" customHeight="1" x14ac:dyDescent="0.2">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row>
    <row r="462" spans="3:35" ht="15.75" customHeight="1" x14ac:dyDescent="0.2">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row>
    <row r="463" spans="3:35" ht="15.75" customHeight="1" x14ac:dyDescent="0.2">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row>
    <row r="464" spans="3:35" ht="15.75" customHeight="1" x14ac:dyDescent="0.2">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row>
    <row r="465" spans="3:35" ht="15.75" customHeight="1" x14ac:dyDescent="0.2">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row>
    <row r="466" spans="3:35" ht="15.75" customHeight="1" x14ac:dyDescent="0.2">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row>
    <row r="467" spans="3:35" ht="15.75" customHeight="1" x14ac:dyDescent="0.2">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row>
    <row r="468" spans="3:35" ht="15.75" customHeight="1" x14ac:dyDescent="0.2">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row>
    <row r="469" spans="3:35" ht="15.75" customHeight="1" x14ac:dyDescent="0.2">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row>
    <row r="470" spans="3:35" ht="15.75" customHeight="1" x14ac:dyDescent="0.2">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row>
    <row r="471" spans="3:35" ht="15.75" customHeight="1" x14ac:dyDescent="0.2">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row>
    <row r="472" spans="3:35" ht="15.75" customHeight="1" x14ac:dyDescent="0.2">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row>
    <row r="473" spans="3:35" ht="15.75" customHeight="1" x14ac:dyDescent="0.2">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row>
    <row r="474" spans="3:35" ht="15.75" customHeight="1" x14ac:dyDescent="0.2">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row>
    <row r="475" spans="3:35" ht="15.75" customHeight="1" x14ac:dyDescent="0.2">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row>
    <row r="476" spans="3:35" ht="15.75" customHeight="1" x14ac:dyDescent="0.2">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row>
    <row r="477" spans="3:35" ht="15.75" customHeight="1" x14ac:dyDescent="0.2">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row>
    <row r="478" spans="3:35" ht="15.75" customHeight="1" x14ac:dyDescent="0.2">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row>
    <row r="479" spans="3:35" ht="15.75" customHeight="1" x14ac:dyDescent="0.2">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row>
    <row r="480" spans="3:35" ht="15.75" customHeight="1" x14ac:dyDescent="0.2">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row>
    <row r="481" spans="3:35" ht="15.75" customHeight="1" x14ac:dyDescent="0.2">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row>
    <row r="482" spans="3:35" ht="15.75" customHeight="1" x14ac:dyDescent="0.2">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row>
    <row r="483" spans="3:35" ht="15.75" customHeight="1" x14ac:dyDescent="0.2">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row>
    <row r="484" spans="3:35" ht="15.75" customHeight="1" x14ac:dyDescent="0.2">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row>
    <row r="485" spans="3:35" ht="15.75" customHeight="1" x14ac:dyDescent="0.2">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row>
    <row r="486" spans="3:35" ht="15.75" customHeight="1" x14ac:dyDescent="0.2">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row>
    <row r="487" spans="3:35" ht="15.75" customHeight="1" x14ac:dyDescent="0.2">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row>
    <row r="488" spans="3:35" ht="15.75" customHeight="1" x14ac:dyDescent="0.2">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row>
    <row r="489" spans="3:35" ht="15.75" customHeight="1" x14ac:dyDescent="0.2">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row>
    <row r="490" spans="3:35" ht="15.75" customHeight="1" x14ac:dyDescent="0.2">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row>
    <row r="491" spans="3:35" ht="15.75" customHeight="1" x14ac:dyDescent="0.2">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row>
    <row r="492" spans="3:35" ht="15.75" customHeight="1" x14ac:dyDescent="0.2">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row>
    <row r="493" spans="3:35" ht="15.75" customHeight="1" x14ac:dyDescent="0.2">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row>
    <row r="494" spans="3:35" ht="15.75" customHeight="1" x14ac:dyDescent="0.2">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row>
    <row r="495" spans="3:35" ht="15.75" customHeight="1" x14ac:dyDescent="0.2">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row>
    <row r="496" spans="3:35" ht="15.75" customHeight="1" x14ac:dyDescent="0.2">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row>
    <row r="497" spans="3:35" ht="15.75" customHeight="1" x14ac:dyDescent="0.2">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row>
    <row r="498" spans="3:35" ht="15.75" customHeight="1" x14ac:dyDescent="0.2">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row>
    <row r="499" spans="3:35" ht="15.75" customHeight="1" x14ac:dyDescent="0.2">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row>
    <row r="500" spans="3:35" ht="15.75" customHeight="1" x14ac:dyDescent="0.2">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row>
    <row r="501" spans="3:35" ht="15.75" customHeight="1" x14ac:dyDescent="0.2">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row>
    <row r="502" spans="3:35" ht="15.75" customHeight="1" x14ac:dyDescent="0.2">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row>
    <row r="503" spans="3:35" ht="15.75" customHeight="1" x14ac:dyDescent="0.2">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row>
    <row r="504" spans="3:35" ht="15.75" customHeight="1" x14ac:dyDescent="0.2">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row>
    <row r="505" spans="3:35" ht="15.75" customHeight="1" x14ac:dyDescent="0.2">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row>
    <row r="506" spans="3:35" ht="15.75" customHeight="1" x14ac:dyDescent="0.2">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row>
    <row r="507" spans="3:35" ht="15.75" customHeight="1" x14ac:dyDescent="0.2">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row>
    <row r="508" spans="3:35" ht="15.75" customHeight="1" x14ac:dyDescent="0.2">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row>
    <row r="509" spans="3:35" ht="15.75" customHeight="1" x14ac:dyDescent="0.2">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row>
    <row r="510" spans="3:35" ht="15.75" customHeight="1" x14ac:dyDescent="0.2">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row>
    <row r="511" spans="3:35" ht="15.75" customHeight="1" x14ac:dyDescent="0.2">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row>
    <row r="512" spans="3:35" ht="15.75" customHeight="1" x14ac:dyDescent="0.2">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row>
    <row r="513" spans="3:35" ht="15.75" customHeight="1" x14ac:dyDescent="0.2">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row>
    <row r="514" spans="3:35" ht="15.75" customHeight="1" x14ac:dyDescent="0.2">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row>
    <row r="515" spans="3:35" ht="15.75" customHeight="1" x14ac:dyDescent="0.2">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row>
    <row r="516" spans="3:35" ht="15.75" customHeight="1" x14ac:dyDescent="0.2">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row>
    <row r="517" spans="3:35" ht="15.75" customHeight="1" x14ac:dyDescent="0.2">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row>
    <row r="518" spans="3:35" ht="15.75" customHeight="1" x14ac:dyDescent="0.2">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row>
    <row r="519" spans="3:35" ht="15.75" customHeight="1" x14ac:dyDescent="0.2">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row>
    <row r="520" spans="3:35" ht="15.75" customHeight="1" x14ac:dyDescent="0.2">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row>
    <row r="521" spans="3:35" ht="15.75" customHeight="1" x14ac:dyDescent="0.2">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row>
    <row r="522" spans="3:35" ht="15.75" customHeight="1" x14ac:dyDescent="0.2">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row>
    <row r="523" spans="3:35" ht="15.75" customHeight="1" x14ac:dyDescent="0.2">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row>
    <row r="524" spans="3:35" ht="15.75" customHeight="1" x14ac:dyDescent="0.2">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row>
    <row r="525" spans="3:35" ht="15.75" customHeight="1" x14ac:dyDescent="0.2">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row>
    <row r="526" spans="3:35" ht="15.75" customHeight="1" x14ac:dyDescent="0.2">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row>
    <row r="527" spans="3:35" ht="15.75" customHeight="1" x14ac:dyDescent="0.2">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row>
    <row r="528" spans="3:35" ht="15.75" customHeight="1" x14ac:dyDescent="0.2">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row>
    <row r="529" spans="3:35" ht="15.75" customHeight="1" x14ac:dyDescent="0.2">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row>
    <row r="530" spans="3:35" ht="15.75" customHeight="1" x14ac:dyDescent="0.2">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row>
    <row r="531" spans="3:35" ht="15.75" customHeight="1" x14ac:dyDescent="0.2">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row>
    <row r="532" spans="3:35" ht="15.75" customHeight="1" x14ac:dyDescent="0.2">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row>
    <row r="533" spans="3:35" ht="15.75" customHeight="1" x14ac:dyDescent="0.2">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row>
    <row r="534" spans="3:35" ht="15.75" customHeight="1" x14ac:dyDescent="0.2">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row>
    <row r="535" spans="3:35" ht="15.75" customHeight="1" x14ac:dyDescent="0.2">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row>
    <row r="536" spans="3:35" ht="15.75" customHeight="1" x14ac:dyDescent="0.2">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row>
    <row r="537" spans="3:35" ht="15.75" customHeight="1" x14ac:dyDescent="0.2">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row>
    <row r="538" spans="3:35" ht="15.75" customHeight="1" x14ac:dyDescent="0.2">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row>
    <row r="539" spans="3:35" ht="15.75" customHeight="1" x14ac:dyDescent="0.2">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row>
    <row r="540" spans="3:35" ht="15.75" customHeight="1" x14ac:dyDescent="0.2">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row>
    <row r="541" spans="3:35" ht="15.75" customHeight="1" x14ac:dyDescent="0.2">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row>
    <row r="542" spans="3:35" ht="15.75" customHeight="1" x14ac:dyDescent="0.2">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row>
    <row r="543" spans="3:35" ht="15.75" customHeight="1" x14ac:dyDescent="0.2">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row>
    <row r="544" spans="3:35" ht="15.75" customHeight="1" x14ac:dyDescent="0.2">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row>
    <row r="545" spans="3:35" ht="15.75" customHeight="1" x14ac:dyDescent="0.2">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row>
    <row r="546" spans="3:35" ht="15.75" customHeight="1" x14ac:dyDescent="0.2">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row>
    <row r="547" spans="3:35" ht="15.75" customHeight="1" x14ac:dyDescent="0.2">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row>
    <row r="548" spans="3:35" ht="15.75" customHeight="1" x14ac:dyDescent="0.2">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row>
    <row r="549" spans="3:35" ht="15.75" customHeight="1" x14ac:dyDescent="0.2">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row>
    <row r="550" spans="3:35" ht="15.75" customHeight="1" x14ac:dyDescent="0.2">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row>
    <row r="551" spans="3:35" ht="15.75" customHeight="1" x14ac:dyDescent="0.2">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row>
    <row r="552" spans="3:35" ht="15.75" customHeight="1" x14ac:dyDescent="0.2">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row>
    <row r="553" spans="3:35" ht="15.75" customHeight="1" x14ac:dyDescent="0.2">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row>
    <row r="554" spans="3:35" ht="15.75" customHeight="1" x14ac:dyDescent="0.2">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row>
    <row r="555" spans="3:35" ht="15.75" customHeight="1" x14ac:dyDescent="0.2">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row>
    <row r="556" spans="3:35" ht="15.75" customHeight="1" x14ac:dyDescent="0.2">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row>
    <row r="557" spans="3:35" ht="15.75" customHeight="1" x14ac:dyDescent="0.2">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row>
    <row r="558" spans="3:35" ht="15.75" customHeight="1" x14ac:dyDescent="0.2">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row>
    <row r="559" spans="3:35" ht="15.75" customHeight="1" x14ac:dyDescent="0.2">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row>
    <row r="560" spans="3:35" ht="15.75" customHeight="1" x14ac:dyDescent="0.2">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row>
    <row r="561" spans="3:35" ht="15.75" customHeight="1" x14ac:dyDescent="0.2">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row>
    <row r="562" spans="3:35" ht="15.75" customHeight="1" x14ac:dyDescent="0.2">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row>
    <row r="563" spans="3:35" ht="15.75" customHeight="1" x14ac:dyDescent="0.2">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row>
    <row r="564" spans="3:35" ht="15.75" customHeight="1" x14ac:dyDescent="0.2">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row>
    <row r="565" spans="3:35" ht="15.75" customHeight="1" x14ac:dyDescent="0.2">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row>
    <row r="566" spans="3:35" ht="15.75" customHeight="1" x14ac:dyDescent="0.2">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row>
    <row r="567" spans="3:35" ht="15.75" customHeight="1" x14ac:dyDescent="0.2">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row>
    <row r="568" spans="3:35" ht="15.75" customHeight="1" x14ac:dyDescent="0.2">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row>
    <row r="569" spans="3:35" ht="15.75" customHeight="1" x14ac:dyDescent="0.2">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row>
    <row r="570" spans="3:35" ht="15.75" customHeight="1" x14ac:dyDescent="0.2">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row>
    <row r="571" spans="3:35" ht="15.75" customHeight="1" x14ac:dyDescent="0.2">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row>
    <row r="572" spans="3:35" ht="15.75" customHeight="1" x14ac:dyDescent="0.2">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row>
    <row r="573" spans="3:35" ht="15.75" customHeight="1" x14ac:dyDescent="0.2">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row>
    <row r="574" spans="3:35" ht="15.75" customHeight="1" x14ac:dyDescent="0.2">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row>
    <row r="575" spans="3:35" ht="15.75" customHeight="1" x14ac:dyDescent="0.2">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row>
    <row r="576" spans="3:35" ht="15.75" customHeight="1" x14ac:dyDescent="0.2">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row>
    <row r="577" spans="3:35" ht="15.75" customHeight="1" x14ac:dyDescent="0.2">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row>
    <row r="578" spans="3:35" ht="15.75" customHeight="1" x14ac:dyDescent="0.2">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row>
    <row r="579" spans="3:35" ht="15.75" customHeight="1" x14ac:dyDescent="0.2">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row>
    <row r="580" spans="3:35" ht="15.75" customHeight="1" x14ac:dyDescent="0.2">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row>
    <row r="581" spans="3:35" ht="15.75" customHeight="1" x14ac:dyDescent="0.2">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row>
    <row r="582" spans="3:35" ht="15.75" customHeight="1" x14ac:dyDescent="0.2">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row>
    <row r="583" spans="3:35" ht="15.75" customHeight="1" x14ac:dyDescent="0.2">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row>
    <row r="584" spans="3:35" ht="15.75" customHeight="1" x14ac:dyDescent="0.2">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row>
    <row r="585" spans="3:35" ht="15.75" customHeight="1" x14ac:dyDescent="0.2">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row>
    <row r="586" spans="3:35" ht="15.75" customHeight="1" x14ac:dyDescent="0.2">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row>
    <row r="587" spans="3:35" ht="15.75" customHeight="1" x14ac:dyDescent="0.2">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row>
    <row r="588" spans="3:35" ht="15.75" customHeight="1" x14ac:dyDescent="0.2">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row>
    <row r="589" spans="3:35" ht="15.75" customHeight="1" x14ac:dyDescent="0.2">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row>
    <row r="590" spans="3:35" ht="15.75" customHeight="1" x14ac:dyDescent="0.2">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row>
    <row r="591" spans="3:35" ht="15.75" customHeight="1" x14ac:dyDescent="0.2">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row>
    <row r="592" spans="3:35" ht="15.75" customHeight="1" x14ac:dyDescent="0.2">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row>
    <row r="593" spans="3:35" ht="15.75" customHeight="1" x14ac:dyDescent="0.2">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row>
    <row r="594" spans="3:35" ht="15.75" customHeight="1" x14ac:dyDescent="0.2">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row>
    <row r="595" spans="3:35" ht="15.75" customHeight="1" x14ac:dyDescent="0.2">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row>
    <row r="596" spans="3:35" ht="15.75" customHeight="1" x14ac:dyDescent="0.2">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row>
    <row r="597" spans="3:35" ht="15.75" customHeight="1" x14ac:dyDescent="0.2">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row>
    <row r="598" spans="3:35" ht="15.75" customHeight="1" x14ac:dyDescent="0.2">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row>
    <row r="599" spans="3:35" ht="15.75" customHeight="1" x14ac:dyDescent="0.2">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row>
    <row r="600" spans="3:35" ht="15.75" customHeight="1" x14ac:dyDescent="0.2">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row>
    <row r="601" spans="3:35" ht="15.75" customHeight="1" x14ac:dyDescent="0.2">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row>
    <row r="602" spans="3:35" ht="15.75" customHeight="1" x14ac:dyDescent="0.2">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row>
    <row r="603" spans="3:35" ht="15.75" customHeight="1" x14ac:dyDescent="0.2">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row>
    <row r="604" spans="3:35" ht="15.75" customHeight="1" x14ac:dyDescent="0.2">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row>
    <row r="605" spans="3:35" ht="15.75" customHeight="1" x14ac:dyDescent="0.2">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row>
    <row r="606" spans="3:35" ht="15.75" customHeight="1" x14ac:dyDescent="0.2">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row>
    <row r="607" spans="3:35" ht="15.75" customHeight="1" x14ac:dyDescent="0.2">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row>
    <row r="608" spans="3:35" ht="15.75" customHeight="1" x14ac:dyDescent="0.2">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row>
    <row r="609" spans="3:35" ht="15.75" customHeight="1" x14ac:dyDescent="0.2">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row>
    <row r="610" spans="3:35" ht="15.75" customHeight="1" x14ac:dyDescent="0.2">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row>
    <row r="611" spans="3:35" ht="15.75" customHeight="1" x14ac:dyDescent="0.2">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row>
    <row r="612" spans="3:35" ht="15.75" customHeight="1" x14ac:dyDescent="0.2">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row>
    <row r="613" spans="3:35" ht="15.75" customHeight="1" x14ac:dyDescent="0.2">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row>
    <row r="614" spans="3:35" ht="15.75" customHeight="1" x14ac:dyDescent="0.2">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row>
    <row r="615" spans="3:35" ht="15.75" customHeight="1" x14ac:dyDescent="0.2">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row>
    <row r="616" spans="3:35" ht="15.75" customHeight="1" x14ac:dyDescent="0.2">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row>
    <row r="617" spans="3:35" ht="15.75" customHeight="1" x14ac:dyDescent="0.2">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row>
    <row r="618" spans="3:35" ht="15.75" customHeight="1" x14ac:dyDescent="0.2">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row>
    <row r="619" spans="3:35" ht="15.75" customHeight="1" x14ac:dyDescent="0.2">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row>
    <row r="620" spans="3:35" ht="15.75" customHeight="1" x14ac:dyDescent="0.2">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row>
    <row r="621" spans="3:35" ht="15.75" customHeight="1" x14ac:dyDescent="0.2">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row>
    <row r="622" spans="3:35" ht="15.75" customHeight="1" x14ac:dyDescent="0.2">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row>
    <row r="623" spans="3:35" ht="15.75" customHeight="1" x14ac:dyDescent="0.2">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row>
    <row r="624" spans="3:35" ht="15.75" customHeight="1" x14ac:dyDescent="0.2">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row>
    <row r="625" spans="3:35" ht="15.75" customHeight="1" x14ac:dyDescent="0.2">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row>
    <row r="626" spans="3:35" ht="15.75" customHeight="1" x14ac:dyDescent="0.2">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row>
    <row r="627" spans="3:35" ht="15.75" customHeight="1" x14ac:dyDescent="0.2">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row>
    <row r="628" spans="3:35" ht="15.75" customHeight="1" x14ac:dyDescent="0.2">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row>
    <row r="629" spans="3:35" ht="15.75" customHeight="1" x14ac:dyDescent="0.2">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row>
    <row r="630" spans="3:35" ht="15.75" customHeight="1" x14ac:dyDescent="0.2">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row>
    <row r="631" spans="3:35" ht="15.75" customHeight="1" x14ac:dyDescent="0.2">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row>
    <row r="632" spans="3:35" ht="15.75" customHeight="1" x14ac:dyDescent="0.2">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row>
    <row r="633" spans="3:35" ht="15.75" customHeight="1" x14ac:dyDescent="0.2">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row>
    <row r="634" spans="3:35" ht="15.75" customHeight="1" x14ac:dyDescent="0.2">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row>
    <row r="635" spans="3:35" ht="15.75" customHeight="1" x14ac:dyDescent="0.2">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row>
    <row r="636" spans="3:35" ht="15.75" customHeight="1" x14ac:dyDescent="0.2">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row>
    <row r="637" spans="3:35" ht="15.75" customHeight="1" x14ac:dyDescent="0.2">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row>
    <row r="638" spans="3:35" ht="15.75" customHeight="1" x14ac:dyDescent="0.2">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row>
    <row r="639" spans="3:35" ht="15.75" customHeight="1" x14ac:dyDescent="0.2">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row>
    <row r="640" spans="3:35" ht="15.75" customHeight="1" x14ac:dyDescent="0.2">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row>
    <row r="641" spans="3:35" ht="15.75" customHeight="1" x14ac:dyDescent="0.2">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row>
    <row r="642" spans="3:35" ht="15.75" customHeight="1" x14ac:dyDescent="0.2">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row>
    <row r="643" spans="3:35" ht="15.75" customHeight="1" x14ac:dyDescent="0.2">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row>
    <row r="644" spans="3:35" ht="15.75" customHeight="1" x14ac:dyDescent="0.2">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row>
    <row r="645" spans="3:35" ht="15.75" customHeight="1" x14ac:dyDescent="0.2">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row>
    <row r="646" spans="3:35" ht="15.75" customHeight="1" x14ac:dyDescent="0.2">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row>
    <row r="647" spans="3:35" ht="15.75" customHeight="1" x14ac:dyDescent="0.2">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row>
    <row r="648" spans="3:35" ht="15.75" customHeight="1" x14ac:dyDescent="0.2">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row>
    <row r="649" spans="3:35" ht="15.75" customHeight="1" x14ac:dyDescent="0.2">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row>
    <row r="650" spans="3:35" ht="15.75" customHeight="1" x14ac:dyDescent="0.2">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row>
    <row r="651" spans="3:35" ht="15.75" customHeight="1" x14ac:dyDescent="0.2">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row>
    <row r="652" spans="3:35" ht="15.75" customHeight="1" x14ac:dyDescent="0.2">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row>
    <row r="653" spans="3:35" ht="15.75" customHeight="1" x14ac:dyDescent="0.2">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row>
    <row r="654" spans="3:35" ht="15.75" customHeight="1" x14ac:dyDescent="0.2">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row>
    <row r="655" spans="3:35" ht="15.75" customHeight="1" x14ac:dyDescent="0.2">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row>
    <row r="656" spans="3:35" ht="15.75" customHeight="1" x14ac:dyDescent="0.2">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row>
    <row r="657" spans="3:35" ht="15.75" customHeight="1" x14ac:dyDescent="0.2">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row>
    <row r="658" spans="3:35" ht="15.75" customHeight="1" x14ac:dyDescent="0.2">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row>
    <row r="659" spans="3:35" ht="15.75" customHeight="1" x14ac:dyDescent="0.2">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row>
    <row r="660" spans="3:35" ht="15.75" customHeight="1" x14ac:dyDescent="0.2">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row>
    <row r="661" spans="3:35" ht="15.75" customHeight="1" x14ac:dyDescent="0.2">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row>
    <row r="662" spans="3:35" ht="15.75" customHeight="1" x14ac:dyDescent="0.2">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row>
    <row r="663" spans="3:35" ht="15.75" customHeight="1" x14ac:dyDescent="0.2">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row>
    <row r="664" spans="3:35" ht="15.75" customHeight="1" x14ac:dyDescent="0.2">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row>
    <row r="665" spans="3:35" ht="15.75" customHeight="1" x14ac:dyDescent="0.2">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row>
    <row r="666" spans="3:35" ht="15.75" customHeight="1" x14ac:dyDescent="0.2">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row>
    <row r="667" spans="3:35" ht="15.75" customHeight="1" x14ac:dyDescent="0.2">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row>
    <row r="668" spans="3:35" ht="15.75" customHeight="1" x14ac:dyDescent="0.2">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row>
    <row r="669" spans="3:35" ht="15.75" customHeight="1" x14ac:dyDescent="0.2">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row>
    <row r="670" spans="3:35" ht="15.75" customHeight="1" x14ac:dyDescent="0.2">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row>
    <row r="671" spans="3:35" ht="15.75" customHeight="1" x14ac:dyDescent="0.2">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row>
    <row r="672" spans="3:35" ht="15.75" customHeight="1" x14ac:dyDescent="0.2">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row>
    <row r="673" spans="3:35" ht="15.75" customHeight="1" x14ac:dyDescent="0.2">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row>
    <row r="674" spans="3:35" ht="15.75" customHeight="1" x14ac:dyDescent="0.2">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row>
    <row r="675" spans="3:35" ht="15.75" customHeight="1" x14ac:dyDescent="0.2">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row>
    <row r="676" spans="3:35" ht="15.75" customHeight="1" x14ac:dyDescent="0.2">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row>
    <row r="677" spans="3:35" ht="15.75" customHeight="1" x14ac:dyDescent="0.2">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row>
    <row r="678" spans="3:35" ht="15.75" customHeight="1" x14ac:dyDescent="0.2">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row>
    <row r="679" spans="3:35" ht="15.75" customHeight="1" x14ac:dyDescent="0.2">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row>
    <row r="680" spans="3:35" ht="15.75" customHeight="1" x14ac:dyDescent="0.2">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row>
    <row r="681" spans="3:35" ht="15.75" customHeight="1" x14ac:dyDescent="0.2">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row>
    <row r="682" spans="3:35" ht="15.75" customHeight="1" x14ac:dyDescent="0.2">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row>
    <row r="683" spans="3:35" ht="15.75" customHeight="1" x14ac:dyDescent="0.2">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row>
    <row r="684" spans="3:35" ht="15.75" customHeight="1" x14ac:dyDescent="0.2">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row>
    <row r="685" spans="3:35" ht="15.75" customHeight="1" x14ac:dyDescent="0.2">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row>
    <row r="686" spans="3:35" ht="15.75" customHeight="1" x14ac:dyDescent="0.2">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row>
    <row r="687" spans="3:35" ht="15.75" customHeight="1" x14ac:dyDescent="0.2">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row>
    <row r="688" spans="3:35" ht="15.75" customHeight="1" x14ac:dyDescent="0.2">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row>
    <row r="689" spans="3:35" ht="15.75" customHeight="1" x14ac:dyDescent="0.2">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row>
    <row r="690" spans="3:35" ht="15.75" customHeight="1" x14ac:dyDescent="0.2">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row>
    <row r="691" spans="3:35" ht="15.75" customHeight="1" x14ac:dyDescent="0.2">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row>
    <row r="692" spans="3:35" ht="15.75" customHeight="1" x14ac:dyDescent="0.2">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row>
    <row r="693" spans="3:35" ht="15.75" customHeight="1" x14ac:dyDescent="0.2">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row>
    <row r="694" spans="3:35" ht="15.75" customHeight="1" x14ac:dyDescent="0.2">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row>
    <row r="695" spans="3:35" ht="15.75" customHeight="1" x14ac:dyDescent="0.2">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row>
    <row r="696" spans="3:35" ht="15.75" customHeight="1" x14ac:dyDescent="0.2">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row>
    <row r="697" spans="3:35" ht="15.75" customHeight="1" x14ac:dyDescent="0.2">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row>
    <row r="698" spans="3:35" ht="15.75" customHeight="1" x14ac:dyDescent="0.2">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row>
    <row r="699" spans="3:35" ht="15.75" customHeight="1" x14ac:dyDescent="0.2">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row>
    <row r="700" spans="3:35" ht="15.75" customHeight="1" x14ac:dyDescent="0.2">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row>
    <row r="701" spans="3:35" ht="15.75" customHeight="1" x14ac:dyDescent="0.2">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row>
    <row r="702" spans="3:35" ht="15.75" customHeight="1" x14ac:dyDescent="0.2">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row>
    <row r="703" spans="3:35" ht="15.75" customHeight="1" x14ac:dyDescent="0.2">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row>
    <row r="704" spans="3:35" ht="15.75" customHeight="1" x14ac:dyDescent="0.2">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row>
    <row r="705" spans="3:35" ht="15.75" customHeight="1" x14ac:dyDescent="0.2">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row>
    <row r="706" spans="3:35" ht="15.75" customHeight="1" x14ac:dyDescent="0.2">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row>
    <row r="707" spans="3:35" ht="15.75" customHeight="1" x14ac:dyDescent="0.2">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row>
    <row r="708" spans="3:35" ht="15.75" customHeight="1" x14ac:dyDescent="0.2">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row>
    <row r="709" spans="3:35" ht="15.75" customHeight="1" x14ac:dyDescent="0.2">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row>
    <row r="710" spans="3:35" ht="15.75" customHeight="1" x14ac:dyDescent="0.2">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row>
    <row r="711" spans="3:35" ht="15.75" customHeight="1" x14ac:dyDescent="0.2">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row>
    <row r="712" spans="3:35" ht="15.75" customHeight="1" x14ac:dyDescent="0.2">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row>
    <row r="713" spans="3:35" ht="15.75" customHeight="1" x14ac:dyDescent="0.2">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row>
    <row r="714" spans="3:35" ht="15.75" customHeight="1" x14ac:dyDescent="0.2">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row>
    <row r="715" spans="3:35" ht="15.75" customHeight="1" x14ac:dyDescent="0.2">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row>
    <row r="716" spans="3:35" ht="15.75" customHeight="1" x14ac:dyDescent="0.2">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row>
    <row r="717" spans="3:35" ht="15.75" customHeight="1" x14ac:dyDescent="0.2">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row>
    <row r="718" spans="3:35" ht="15.75" customHeight="1" x14ac:dyDescent="0.2">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row>
    <row r="719" spans="3:35" ht="15.75" customHeight="1" x14ac:dyDescent="0.2">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row>
    <row r="720" spans="3:35" ht="15.75" customHeight="1" x14ac:dyDescent="0.2">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row>
    <row r="721" spans="3:35" ht="15.75" customHeight="1" x14ac:dyDescent="0.2">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row>
    <row r="722" spans="3:35" ht="15.75" customHeight="1" x14ac:dyDescent="0.2">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row>
    <row r="723" spans="3:35" ht="15.75" customHeight="1" x14ac:dyDescent="0.2">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row>
    <row r="724" spans="3:35" ht="15.75" customHeight="1" x14ac:dyDescent="0.2">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row>
    <row r="725" spans="3:35" ht="15.75" customHeight="1" x14ac:dyDescent="0.2">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row>
    <row r="726" spans="3:35" ht="15.75" customHeight="1" x14ac:dyDescent="0.2">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row>
    <row r="727" spans="3:35" ht="15.75" customHeight="1" x14ac:dyDescent="0.2">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row>
    <row r="728" spans="3:35" ht="15.75" customHeight="1" x14ac:dyDescent="0.2">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row>
    <row r="729" spans="3:35" ht="15.75" customHeight="1" x14ac:dyDescent="0.2">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row>
    <row r="730" spans="3:35" ht="15.75" customHeight="1" x14ac:dyDescent="0.2">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row>
    <row r="731" spans="3:35" ht="15.75" customHeight="1" x14ac:dyDescent="0.2">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row>
    <row r="732" spans="3:35" ht="15.75" customHeight="1" x14ac:dyDescent="0.2">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row>
    <row r="733" spans="3:35" ht="15.75" customHeight="1" x14ac:dyDescent="0.2">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row>
    <row r="734" spans="3:35" ht="15.75" customHeight="1" x14ac:dyDescent="0.2">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row>
    <row r="735" spans="3:35" ht="15.75" customHeight="1" x14ac:dyDescent="0.2">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row>
    <row r="736" spans="3:35" ht="15.75" customHeight="1" x14ac:dyDescent="0.2">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row>
    <row r="737" spans="3:35" ht="15.75" customHeight="1" x14ac:dyDescent="0.2">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row>
    <row r="738" spans="3:35" ht="15.75" customHeight="1" x14ac:dyDescent="0.2">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row>
    <row r="739" spans="3:35" ht="15.75" customHeight="1" x14ac:dyDescent="0.2">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row>
    <row r="740" spans="3:35" ht="15.75" customHeight="1" x14ac:dyDescent="0.2">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row>
    <row r="741" spans="3:35" ht="15.75" customHeight="1" x14ac:dyDescent="0.2">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row>
    <row r="742" spans="3:35" ht="15.75" customHeight="1" x14ac:dyDescent="0.2">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row>
    <row r="743" spans="3:35" ht="15.75" customHeight="1" x14ac:dyDescent="0.2">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row>
    <row r="744" spans="3:35" ht="15.75" customHeight="1" x14ac:dyDescent="0.2">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row>
    <row r="745" spans="3:35" ht="15.75" customHeight="1" x14ac:dyDescent="0.2">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row>
    <row r="746" spans="3:35" ht="15.75" customHeight="1" x14ac:dyDescent="0.2">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row>
    <row r="747" spans="3:35" ht="15.75" customHeight="1" x14ac:dyDescent="0.2">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row>
    <row r="748" spans="3:35" ht="15.75" customHeight="1" x14ac:dyDescent="0.2">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row>
    <row r="749" spans="3:35" ht="15.75" customHeight="1" x14ac:dyDescent="0.2">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row>
    <row r="750" spans="3:35" ht="15.75" customHeight="1" x14ac:dyDescent="0.2">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row>
    <row r="751" spans="3:35" ht="15.75" customHeight="1" x14ac:dyDescent="0.2">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row>
    <row r="752" spans="3:35" ht="15.75" customHeight="1" x14ac:dyDescent="0.2">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row>
    <row r="753" spans="3:35" ht="15.75" customHeight="1" x14ac:dyDescent="0.2">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row>
    <row r="754" spans="3:35" ht="15.75" customHeight="1" x14ac:dyDescent="0.2">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row>
    <row r="755" spans="3:35" ht="15.75" customHeight="1" x14ac:dyDescent="0.2">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row>
    <row r="756" spans="3:35" ht="15.75" customHeight="1" x14ac:dyDescent="0.2">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row>
    <row r="757" spans="3:35" ht="15.75" customHeight="1" x14ac:dyDescent="0.2">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row>
    <row r="758" spans="3:35" ht="15.75" customHeight="1" x14ac:dyDescent="0.2">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row>
    <row r="759" spans="3:35" ht="15.75" customHeight="1" x14ac:dyDescent="0.2">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row>
    <row r="760" spans="3:35" ht="15.75" customHeight="1" x14ac:dyDescent="0.2">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row>
    <row r="761" spans="3:35" ht="15.75" customHeight="1" x14ac:dyDescent="0.2">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row>
    <row r="762" spans="3:35" ht="15.75" customHeight="1" x14ac:dyDescent="0.2">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row>
    <row r="763" spans="3:35" ht="15.75" customHeight="1" x14ac:dyDescent="0.2">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row>
    <row r="764" spans="3:35" ht="15.75" customHeight="1" x14ac:dyDescent="0.2">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row>
    <row r="765" spans="3:35" ht="15.75" customHeight="1" x14ac:dyDescent="0.2">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row>
    <row r="766" spans="3:35" ht="15.75" customHeight="1" x14ac:dyDescent="0.2">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row>
    <row r="767" spans="3:35" ht="15.75" customHeight="1" x14ac:dyDescent="0.2">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row>
    <row r="768" spans="3:35" ht="15.75" customHeight="1" x14ac:dyDescent="0.2">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row>
    <row r="769" spans="3:35" ht="15.75" customHeight="1" x14ac:dyDescent="0.2">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row>
    <row r="770" spans="3:35" ht="15.75" customHeight="1" x14ac:dyDescent="0.2">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row>
    <row r="771" spans="3:35" ht="15.75" customHeight="1" x14ac:dyDescent="0.2">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row>
    <row r="772" spans="3:35" ht="15.75" customHeight="1" x14ac:dyDescent="0.2">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row>
    <row r="773" spans="3:35" ht="15.75" customHeight="1" x14ac:dyDescent="0.2">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row>
    <row r="774" spans="3:35" ht="15.75" customHeight="1" x14ac:dyDescent="0.2">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row>
    <row r="775" spans="3:35" ht="15.75" customHeight="1" x14ac:dyDescent="0.2">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row>
    <row r="776" spans="3:35" ht="15.75" customHeight="1" x14ac:dyDescent="0.2">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row>
    <row r="777" spans="3:35" ht="15.75" customHeight="1" x14ac:dyDescent="0.2">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row>
    <row r="778" spans="3:35" ht="15.75" customHeight="1" x14ac:dyDescent="0.2">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row>
    <row r="779" spans="3:35" ht="15.75" customHeight="1" x14ac:dyDescent="0.2">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row>
    <row r="780" spans="3:35" ht="15.75" customHeight="1" x14ac:dyDescent="0.2">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row>
    <row r="781" spans="3:35" ht="15.75" customHeight="1" x14ac:dyDescent="0.2">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row>
    <row r="782" spans="3:35" ht="15.75" customHeight="1" x14ac:dyDescent="0.2">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row>
    <row r="783" spans="3:35" ht="15.75" customHeight="1" x14ac:dyDescent="0.2">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row>
    <row r="784" spans="3:35" ht="15.75" customHeight="1" x14ac:dyDescent="0.2">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row>
    <row r="785" spans="3:35" ht="15.75" customHeight="1" x14ac:dyDescent="0.2">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row>
    <row r="786" spans="3:35" ht="15.75" customHeight="1" x14ac:dyDescent="0.2">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row>
    <row r="787" spans="3:35" ht="15.75" customHeight="1" x14ac:dyDescent="0.2">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row>
    <row r="788" spans="3:35" ht="15.75" customHeight="1" x14ac:dyDescent="0.2">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row>
    <row r="789" spans="3:35" ht="15.75" customHeight="1" x14ac:dyDescent="0.2">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row>
    <row r="790" spans="3:35" ht="15.75" customHeight="1" x14ac:dyDescent="0.2">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row>
    <row r="791" spans="3:35" ht="15.75" customHeight="1" x14ac:dyDescent="0.2">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row>
    <row r="792" spans="3:35" ht="15.75" customHeight="1" x14ac:dyDescent="0.2">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row>
    <row r="793" spans="3:35" ht="15.75" customHeight="1" x14ac:dyDescent="0.2">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row>
    <row r="794" spans="3:35" ht="15.75" customHeight="1" x14ac:dyDescent="0.2">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row>
    <row r="795" spans="3:35" ht="15.75" customHeight="1" x14ac:dyDescent="0.2">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row>
    <row r="796" spans="3:35" ht="15.75" customHeight="1" x14ac:dyDescent="0.2">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row>
    <row r="797" spans="3:35" ht="15.75" customHeight="1" x14ac:dyDescent="0.2">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row>
    <row r="798" spans="3:35" ht="15.75" customHeight="1" x14ac:dyDescent="0.2">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row>
    <row r="799" spans="3:35" ht="15.75" customHeight="1" x14ac:dyDescent="0.2">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row>
    <row r="800" spans="3:35" ht="15.75" customHeight="1" x14ac:dyDescent="0.2">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row>
    <row r="801" spans="3:35" ht="15.75" customHeight="1" x14ac:dyDescent="0.2">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row>
    <row r="802" spans="3:35" ht="15.75" customHeight="1" x14ac:dyDescent="0.2">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row>
    <row r="803" spans="3:35" ht="15.75" customHeight="1" x14ac:dyDescent="0.2">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row>
    <row r="804" spans="3:35" ht="15.75" customHeight="1" x14ac:dyDescent="0.2">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row>
    <row r="805" spans="3:35" ht="15.75" customHeight="1" x14ac:dyDescent="0.2">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row>
    <row r="806" spans="3:35" ht="15.75" customHeight="1" x14ac:dyDescent="0.2">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row>
    <row r="807" spans="3:35" ht="15.75" customHeight="1" x14ac:dyDescent="0.2">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row>
    <row r="808" spans="3:35" ht="15.75" customHeight="1" x14ac:dyDescent="0.2">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row>
    <row r="809" spans="3:35" ht="15.75" customHeight="1" x14ac:dyDescent="0.2">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row>
    <row r="810" spans="3:35" ht="15.75" customHeight="1" x14ac:dyDescent="0.2">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row>
    <row r="811" spans="3:35" ht="15.75" customHeight="1" x14ac:dyDescent="0.2">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row>
    <row r="812" spans="3:35" ht="15.75" customHeight="1" x14ac:dyDescent="0.2">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row>
    <row r="813" spans="3:35" ht="15.75" customHeight="1" x14ac:dyDescent="0.2">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row>
    <row r="814" spans="3:35" ht="15.75" customHeight="1" x14ac:dyDescent="0.2">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row>
    <row r="815" spans="3:35" ht="15.75" customHeight="1" x14ac:dyDescent="0.2">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row>
    <row r="816" spans="3:35" ht="15.75" customHeight="1" x14ac:dyDescent="0.2">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row>
    <row r="817" spans="3:35" ht="15.75" customHeight="1" x14ac:dyDescent="0.2">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row>
    <row r="818" spans="3:35" ht="15.75" customHeight="1" x14ac:dyDescent="0.2">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row>
    <row r="819" spans="3:35" ht="15.75" customHeight="1" x14ac:dyDescent="0.2">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row>
    <row r="820" spans="3:35" ht="15.75" customHeight="1" x14ac:dyDescent="0.2">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row>
    <row r="821" spans="3:35" ht="15.75" customHeight="1" x14ac:dyDescent="0.2">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row>
    <row r="822" spans="3:35" ht="15.75" customHeight="1" x14ac:dyDescent="0.2">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row>
    <row r="823" spans="3:35" ht="15.75" customHeight="1" x14ac:dyDescent="0.2">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row>
    <row r="824" spans="3:35" ht="15.75" customHeight="1" x14ac:dyDescent="0.2">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row>
    <row r="825" spans="3:35" ht="15.75" customHeight="1" x14ac:dyDescent="0.2">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row>
    <row r="826" spans="3:35" ht="15.75" customHeight="1" x14ac:dyDescent="0.2">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row>
    <row r="827" spans="3:35" ht="15.75" customHeight="1" x14ac:dyDescent="0.2">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row>
    <row r="828" spans="3:35" ht="15.75" customHeight="1" x14ac:dyDescent="0.2">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row>
    <row r="829" spans="3:35" ht="15.75" customHeight="1" x14ac:dyDescent="0.2">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row>
    <row r="830" spans="3:35" ht="15.75" customHeight="1" x14ac:dyDescent="0.2">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row>
    <row r="831" spans="3:35" ht="15.75" customHeight="1" x14ac:dyDescent="0.2">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row>
    <row r="832" spans="3:35" ht="15.75" customHeight="1" x14ac:dyDescent="0.2">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row>
    <row r="833" spans="3:35" ht="15.75" customHeight="1" x14ac:dyDescent="0.2">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row>
    <row r="834" spans="3:35" ht="15.75" customHeight="1" x14ac:dyDescent="0.2">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row>
    <row r="835" spans="3:35" ht="15.75" customHeight="1" x14ac:dyDescent="0.2">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row>
    <row r="836" spans="3:35" ht="15.75" customHeight="1" x14ac:dyDescent="0.2">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row>
    <row r="837" spans="3:35" ht="15.75" customHeight="1" x14ac:dyDescent="0.2">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row>
    <row r="838" spans="3:35" ht="15.75" customHeight="1" x14ac:dyDescent="0.2">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row>
    <row r="839" spans="3:35" ht="15.75" customHeight="1" x14ac:dyDescent="0.2">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row>
    <row r="840" spans="3:35" ht="15.75" customHeight="1" x14ac:dyDescent="0.2">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row>
    <row r="841" spans="3:35" ht="15.75" customHeight="1" x14ac:dyDescent="0.2">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row>
    <row r="842" spans="3:35" ht="15.75" customHeight="1" x14ac:dyDescent="0.2">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row>
    <row r="843" spans="3:35" ht="15.75" customHeight="1" x14ac:dyDescent="0.2">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row>
    <row r="844" spans="3:35" ht="15.75" customHeight="1" x14ac:dyDescent="0.2">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row>
    <row r="845" spans="3:35" ht="15.75" customHeight="1" x14ac:dyDescent="0.2">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row>
    <row r="846" spans="3:35" ht="15.75" customHeight="1" x14ac:dyDescent="0.2">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row>
    <row r="847" spans="3:35" ht="15.75" customHeight="1" x14ac:dyDescent="0.2">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row>
    <row r="848" spans="3:35" ht="15.75" customHeight="1" x14ac:dyDescent="0.2">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row>
    <row r="849" spans="3:35" ht="15.75" customHeight="1" x14ac:dyDescent="0.2">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row>
    <row r="850" spans="3:35" ht="15.75" customHeight="1" x14ac:dyDescent="0.2">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row>
    <row r="851" spans="3:35" ht="15.75" customHeight="1" x14ac:dyDescent="0.2">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row>
    <row r="852" spans="3:35" ht="15.75" customHeight="1" x14ac:dyDescent="0.2">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row>
    <row r="853" spans="3:35" ht="15.75" customHeight="1" x14ac:dyDescent="0.2">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row>
    <row r="854" spans="3:35" ht="15.75" customHeight="1" x14ac:dyDescent="0.2">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row>
    <row r="855" spans="3:35" ht="15.75" customHeight="1" x14ac:dyDescent="0.2">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row>
    <row r="856" spans="3:35" ht="15.75" customHeight="1" x14ac:dyDescent="0.2">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row>
    <row r="857" spans="3:35" ht="15.75" customHeight="1" x14ac:dyDescent="0.2">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row>
    <row r="858" spans="3:35" ht="15.75" customHeight="1" x14ac:dyDescent="0.2">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row>
    <row r="859" spans="3:35" ht="15.75" customHeight="1" x14ac:dyDescent="0.2">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row>
    <row r="860" spans="3:35" ht="15.75" customHeight="1" x14ac:dyDescent="0.2">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row>
    <row r="861" spans="3:35" ht="15.75" customHeight="1" x14ac:dyDescent="0.2">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row>
    <row r="862" spans="3:35" ht="15.75" customHeight="1" x14ac:dyDescent="0.2">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row>
    <row r="863" spans="3:35" ht="15.75" customHeight="1" x14ac:dyDescent="0.2">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row>
    <row r="864" spans="3:35" ht="15.75" customHeight="1" x14ac:dyDescent="0.2">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row>
    <row r="865" spans="3:35" ht="15.75" customHeight="1" x14ac:dyDescent="0.2">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row>
    <row r="866" spans="3:35" ht="15.75" customHeight="1" x14ac:dyDescent="0.2">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row>
    <row r="867" spans="3:35" ht="15.75" customHeight="1" x14ac:dyDescent="0.2">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row>
    <row r="868" spans="3:35" ht="15.75" customHeight="1" x14ac:dyDescent="0.2">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row>
    <row r="869" spans="3:35" ht="15.75" customHeight="1" x14ac:dyDescent="0.2">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row>
    <row r="870" spans="3:35" ht="15.75" customHeight="1" x14ac:dyDescent="0.2">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row>
    <row r="871" spans="3:35" ht="15.75" customHeight="1" x14ac:dyDescent="0.2">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row>
    <row r="872" spans="3:35" ht="15.75" customHeight="1" x14ac:dyDescent="0.2">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row>
    <row r="873" spans="3:35" ht="15.75" customHeight="1" x14ac:dyDescent="0.2">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row>
    <row r="874" spans="3:35" ht="15.75" customHeight="1" x14ac:dyDescent="0.2">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row>
    <row r="875" spans="3:35" ht="15.75" customHeight="1" x14ac:dyDescent="0.2">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row>
    <row r="876" spans="3:35" ht="15.75" customHeight="1" x14ac:dyDescent="0.2">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row>
    <row r="877" spans="3:35" ht="15.75" customHeight="1" x14ac:dyDescent="0.2">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row>
    <row r="878" spans="3:35" ht="15.75" customHeight="1" x14ac:dyDescent="0.2">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row>
    <row r="879" spans="3:35" ht="15.75" customHeight="1" x14ac:dyDescent="0.2">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row>
    <row r="880" spans="3:35" ht="15.75" customHeight="1" x14ac:dyDescent="0.2">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row>
    <row r="881" spans="3:35" ht="15.75" customHeight="1" x14ac:dyDescent="0.2">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row>
    <row r="882" spans="3:35" ht="15.75" customHeight="1" x14ac:dyDescent="0.2">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row>
    <row r="883" spans="3:35" ht="15.75" customHeight="1" x14ac:dyDescent="0.2">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row>
    <row r="884" spans="3:35" ht="15.75" customHeight="1" x14ac:dyDescent="0.2">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row>
    <row r="885" spans="3:35" ht="15.75" customHeight="1" x14ac:dyDescent="0.2">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row>
    <row r="886" spans="3:35" ht="15.75" customHeight="1" x14ac:dyDescent="0.2">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row>
    <row r="887" spans="3:35" ht="15.75" customHeight="1" x14ac:dyDescent="0.2">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row>
    <row r="888" spans="3:35" ht="15.75" customHeight="1" x14ac:dyDescent="0.2">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row>
    <row r="889" spans="3:35" ht="15.75" customHeight="1" x14ac:dyDescent="0.2">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row>
    <row r="890" spans="3:35" ht="15.75" customHeight="1" x14ac:dyDescent="0.2">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row>
    <row r="891" spans="3:35" ht="15.75" customHeight="1" x14ac:dyDescent="0.2">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row>
    <row r="892" spans="3:35" ht="15.75" customHeight="1" x14ac:dyDescent="0.2">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row>
    <row r="893" spans="3:35" ht="15.75" customHeight="1" x14ac:dyDescent="0.2">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row>
    <row r="894" spans="3:35" ht="15.75" customHeight="1" x14ac:dyDescent="0.2">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row>
    <row r="895" spans="3:35" ht="15.75" customHeight="1" x14ac:dyDescent="0.2">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row>
    <row r="896" spans="3:35" ht="15.75" customHeight="1" x14ac:dyDescent="0.2">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row>
    <row r="897" spans="3:35" ht="15.75" customHeight="1" x14ac:dyDescent="0.2">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row>
    <row r="898" spans="3:35" ht="15.75" customHeight="1" x14ac:dyDescent="0.2">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row>
    <row r="899" spans="3:35" ht="15.75" customHeight="1" x14ac:dyDescent="0.2">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row>
    <row r="900" spans="3:35" ht="15.75" customHeight="1" x14ac:dyDescent="0.2">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row>
    <row r="901" spans="3:35" ht="15.75" customHeight="1" x14ac:dyDescent="0.2">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row>
    <row r="902" spans="3:35" ht="15.75" customHeight="1" x14ac:dyDescent="0.2">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row>
    <row r="903" spans="3:35" ht="15.75" customHeight="1" x14ac:dyDescent="0.2">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row>
    <row r="904" spans="3:35" ht="15.75" customHeight="1" x14ac:dyDescent="0.2">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row>
    <row r="905" spans="3:35" ht="15.75" customHeight="1" x14ac:dyDescent="0.2">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row>
    <row r="906" spans="3:35" ht="15.75" customHeight="1" x14ac:dyDescent="0.2">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row>
    <row r="907" spans="3:35" ht="15.75" customHeight="1" x14ac:dyDescent="0.2">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row>
    <row r="908" spans="3:35" ht="15.75" customHeight="1" x14ac:dyDescent="0.2">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row>
    <row r="909" spans="3:35" ht="15.75" customHeight="1" x14ac:dyDescent="0.2">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row>
    <row r="910" spans="3:35" ht="15.75" customHeight="1" x14ac:dyDescent="0.2">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row>
    <row r="911" spans="3:35" ht="15.75" customHeight="1" x14ac:dyDescent="0.2">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row>
    <row r="912" spans="3:35" ht="15.75" customHeight="1" x14ac:dyDescent="0.2">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row>
    <row r="913" spans="3:35" ht="15.75" customHeight="1" x14ac:dyDescent="0.2">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row>
    <row r="914" spans="3:35" ht="15.75" customHeight="1" x14ac:dyDescent="0.2">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row>
    <row r="915" spans="3:35" ht="15.75" customHeight="1" x14ac:dyDescent="0.2">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row>
    <row r="916" spans="3:35" ht="15.75" customHeight="1" x14ac:dyDescent="0.2">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row>
    <row r="917" spans="3:35" ht="15.75" customHeight="1" x14ac:dyDescent="0.2">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row>
    <row r="918" spans="3:35" ht="15.75" customHeight="1" x14ac:dyDescent="0.2">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row>
    <row r="919" spans="3:35" ht="15.75" customHeight="1" x14ac:dyDescent="0.2">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row>
    <row r="920" spans="3:35" ht="15.75" customHeight="1" x14ac:dyDescent="0.2">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row>
    <row r="921" spans="3:35" ht="15.75" customHeight="1" x14ac:dyDescent="0.2">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row>
    <row r="922" spans="3:35" ht="15.75" customHeight="1" x14ac:dyDescent="0.2">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row>
    <row r="923" spans="3:35" ht="15.75" customHeight="1" x14ac:dyDescent="0.2">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row>
    <row r="924" spans="3:35" ht="15.75" customHeight="1" x14ac:dyDescent="0.2">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row>
    <row r="925" spans="3:35" ht="15.75" customHeight="1" x14ac:dyDescent="0.2">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row>
    <row r="926" spans="3:35" ht="15.75" customHeight="1" x14ac:dyDescent="0.2">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row>
    <row r="927" spans="3:35" ht="15.75" customHeight="1" x14ac:dyDescent="0.2">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row>
    <row r="928" spans="3:35" ht="15.75" customHeight="1" x14ac:dyDescent="0.2">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row>
    <row r="929" spans="3:35" ht="15.75" customHeight="1" x14ac:dyDescent="0.2">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row>
    <row r="930" spans="3:35" ht="15.75" customHeight="1" x14ac:dyDescent="0.2">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row>
    <row r="931" spans="3:35" ht="15.75" customHeight="1" x14ac:dyDescent="0.2">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row>
    <row r="932" spans="3:35" ht="15.75" customHeight="1" x14ac:dyDescent="0.2">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row>
    <row r="933" spans="3:35" ht="15.75" customHeight="1" x14ac:dyDescent="0.2">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row>
    <row r="934" spans="3:35" ht="15.75" customHeight="1" x14ac:dyDescent="0.2">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row>
    <row r="935" spans="3:35" ht="15.75" customHeight="1" x14ac:dyDescent="0.2">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row>
    <row r="936" spans="3:35" ht="15.75" customHeight="1" x14ac:dyDescent="0.2">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row>
    <row r="937" spans="3:35" ht="15.75" customHeight="1" x14ac:dyDescent="0.2">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row>
    <row r="938" spans="3:35" ht="15.75" customHeight="1" x14ac:dyDescent="0.2">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row>
    <row r="939" spans="3:35" ht="15.75" customHeight="1" x14ac:dyDescent="0.2">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row>
    <row r="940" spans="3:35" ht="15.75" customHeight="1" x14ac:dyDescent="0.2">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row>
    <row r="941" spans="3:35" ht="15.75" customHeight="1" x14ac:dyDescent="0.2">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row>
    <row r="942" spans="3:35" ht="15.75" customHeight="1" x14ac:dyDescent="0.2">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row>
    <row r="943" spans="3:35" ht="15.75" customHeight="1" x14ac:dyDescent="0.2">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row>
    <row r="944" spans="3:35" ht="15.75" customHeight="1" x14ac:dyDescent="0.2">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row>
    <row r="945" spans="3:35" ht="15.75" customHeight="1" x14ac:dyDescent="0.2">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row>
    <row r="946" spans="3:35" ht="15.75" customHeight="1" x14ac:dyDescent="0.2">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row>
    <row r="947" spans="3:35" ht="15.75" customHeight="1" x14ac:dyDescent="0.2">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row>
    <row r="948" spans="3:35" ht="15.75" customHeight="1" x14ac:dyDescent="0.2">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row>
    <row r="949" spans="3:35" ht="15.75" customHeight="1" x14ac:dyDescent="0.2">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row>
    <row r="950" spans="3:35" ht="15.75" customHeight="1" x14ac:dyDescent="0.2">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row>
    <row r="951" spans="3:35" ht="15.75" customHeight="1" x14ac:dyDescent="0.2">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row>
    <row r="952" spans="3:35" ht="15.75" customHeight="1" x14ac:dyDescent="0.2">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row>
    <row r="953" spans="3:35" ht="15.75" customHeight="1" x14ac:dyDescent="0.2">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row>
    <row r="954" spans="3:35" ht="15.75" customHeight="1" x14ac:dyDescent="0.2">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row>
    <row r="955" spans="3:35" ht="15.75" customHeight="1" x14ac:dyDescent="0.2">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row>
    <row r="956" spans="3:35" ht="15.75" customHeight="1" x14ac:dyDescent="0.2">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row>
    <row r="957" spans="3:35" ht="15.75" customHeight="1" x14ac:dyDescent="0.2">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row>
    <row r="958" spans="3:35" ht="15.75" customHeight="1" x14ac:dyDescent="0.2">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row>
    <row r="959" spans="3:35" ht="15.75" customHeight="1" x14ac:dyDescent="0.2">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row>
    <row r="960" spans="3:35" ht="15.75" customHeight="1" x14ac:dyDescent="0.2">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row>
    <row r="961" spans="3:35" ht="15.75" customHeight="1" x14ac:dyDescent="0.2">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row>
    <row r="962" spans="3:35" ht="15.75" customHeight="1" x14ac:dyDescent="0.2">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row>
    <row r="963" spans="3:35" ht="15.75" customHeight="1" x14ac:dyDescent="0.2">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row>
    <row r="964" spans="3:35" ht="15.75" customHeight="1" x14ac:dyDescent="0.2">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row>
    <row r="965" spans="3:35" ht="15.75" customHeight="1" x14ac:dyDescent="0.2">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row>
    <row r="966" spans="3:35" ht="15.75" customHeight="1" x14ac:dyDescent="0.2">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row>
    <row r="967" spans="3:35" ht="15.75" customHeight="1" x14ac:dyDescent="0.2">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row>
    <row r="968" spans="3:35" ht="15.75" customHeight="1" x14ac:dyDescent="0.2">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row>
    <row r="969" spans="3:35" ht="15.75" customHeight="1" x14ac:dyDescent="0.2">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row>
    <row r="970" spans="3:35" ht="15.75" customHeight="1" x14ac:dyDescent="0.2">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row>
    <row r="971" spans="3:35" ht="15.75" customHeight="1" x14ac:dyDescent="0.2">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row>
    <row r="972" spans="3:35" ht="15.75" customHeight="1" x14ac:dyDescent="0.2">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row>
    <row r="973" spans="3:35" ht="15.75" customHeight="1" x14ac:dyDescent="0.2">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row>
    <row r="974" spans="3:35" ht="15.75" customHeight="1" x14ac:dyDescent="0.2">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row>
    <row r="975" spans="3:35" ht="15.75" customHeight="1" x14ac:dyDescent="0.2">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row>
    <row r="976" spans="3:35" ht="15.75" customHeight="1" x14ac:dyDescent="0.2">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row>
    <row r="977" spans="3:35" ht="15.75" customHeight="1" x14ac:dyDescent="0.2">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row>
    <row r="978" spans="3:35" ht="15.75" customHeight="1" x14ac:dyDescent="0.2">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row>
    <row r="979" spans="3:35" ht="15.75" customHeight="1" x14ac:dyDescent="0.2">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row>
    <row r="980" spans="3:35" ht="15.75" customHeight="1" x14ac:dyDescent="0.2">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row>
    <row r="981" spans="3:35" ht="15.75" customHeight="1" x14ac:dyDescent="0.2">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row>
    <row r="982" spans="3:35" ht="15.75" customHeight="1" x14ac:dyDescent="0.2">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row>
    <row r="983" spans="3:35" ht="15.75" customHeight="1" x14ac:dyDescent="0.2">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row>
    <row r="984" spans="3:35" ht="15.75" customHeight="1" x14ac:dyDescent="0.2">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row>
    <row r="985" spans="3:35" ht="15.75" customHeight="1" x14ac:dyDescent="0.2">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row>
    <row r="986" spans="3:35" ht="15.75" customHeight="1" x14ac:dyDescent="0.2">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row>
    <row r="987" spans="3:35" ht="15.75" customHeight="1" x14ac:dyDescent="0.2">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row>
    <row r="988" spans="3:35" ht="15.75" customHeight="1" x14ac:dyDescent="0.2">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row>
    <row r="989" spans="3:35" ht="15.75" customHeight="1" x14ac:dyDescent="0.2">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row>
    <row r="990" spans="3:35" ht="15.75" customHeight="1" x14ac:dyDescent="0.2">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row>
    <row r="991" spans="3:35" ht="15.75" customHeight="1" x14ac:dyDescent="0.2">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row>
    <row r="992" spans="3:35" ht="15.75" customHeight="1" x14ac:dyDescent="0.2">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row>
    <row r="993" spans="3:35" ht="15.75" customHeight="1" x14ac:dyDescent="0.2">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row>
    <row r="994" spans="3:35" ht="15.75" customHeight="1" x14ac:dyDescent="0.2">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row>
    <row r="995" spans="3:35" ht="15.75" customHeight="1" x14ac:dyDescent="0.2">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row>
    <row r="996" spans="3:35" ht="15.75" customHeight="1" x14ac:dyDescent="0.2">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row>
    <row r="997" spans="3:35" ht="15.75" customHeight="1" x14ac:dyDescent="0.2">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row>
    <row r="998" spans="3:35" ht="15.75" customHeight="1" x14ac:dyDescent="0.2">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row>
    <row r="999" spans="3:35" ht="15.75" customHeight="1" x14ac:dyDescent="0.2">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row>
    <row r="1000" spans="3:35" ht="15.75" customHeight="1" x14ac:dyDescent="0.2">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row>
  </sheetData>
  <hyperlinks>
    <hyperlink ref="AK30" r:id="rId1" display="https://www.nrel.gov/pv/module-efficiency.html" xr:uid="{00000000-0004-0000-0000-000000000000}"/>
  </hyperlinks>
  <pageMargins left="0.7" right="0.7" top="0.75" bottom="0.75" header="0" footer="0"/>
  <pageSetup orientation="landscape"/>
  <extLst>
    <ext xmlns:x14="http://schemas.microsoft.com/office/spreadsheetml/2009/9/main" uri="{CCE6A557-97BC-4b89-ADB6-D9C93CAAB3DF}">
      <x14:dataValidations xmlns:xm="http://schemas.microsoft.com/office/excel/2006/main" count="3">
        <x14:dataValidation type="list" allowBlank="1" showErrorMessage="1" xr:uid="{00000000-0002-0000-0000-000000000000}">
          <x14:formula1>
            <xm:f>data!$A$2:$A$70</xm:f>
          </x14:formula1>
          <xm:sqref>B122:B152</xm:sqref>
        </x14:dataValidation>
        <x14:dataValidation type="list" allowBlank="1" showErrorMessage="1" xr:uid="{00000000-0002-0000-0000-000001000000}">
          <x14:formula1>
            <xm:f>data!$A$2:$A$120</xm:f>
          </x14:formula1>
          <xm:sqref>B3:B51 B97:B108 B86:B94 B54:B81</xm:sqref>
        </x14:dataValidation>
        <x14:dataValidation type="list" allowBlank="1" showErrorMessage="1" xr:uid="{00000000-0002-0000-0000-000002000000}">
          <x14:formula1>
            <xm:f>data!$A$2:$A$127</xm:f>
          </x14:formula1>
          <xm:sqref>B109:B121</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5"/>
  </sheetPr>
  <dimension ref="A1:H1000"/>
  <sheetViews>
    <sheetView workbookViewId="0"/>
  </sheetViews>
  <sheetFormatPr baseColWidth="10" defaultColWidth="11.1640625" defaultRowHeight="15" customHeight="1" x14ac:dyDescent="0.2"/>
  <cols>
    <col min="1" max="1" width="40.6640625" customWidth="1"/>
    <col min="2" max="2" width="10.5" customWidth="1"/>
    <col min="3" max="3" width="14" customWidth="1"/>
    <col min="4" max="26" width="10.5" customWidth="1"/>
  </cols>
  <sheetData>
    <row r="1" spans="1:8" ht="15.75" customHeight="1" x14ac:dyDescent="0.2">
      <c r="D1" s="5">
        <v>2015</v>
      </c>
      <c r="E1" s="88" t="s">
        <v>473</v>
      </c>
      <c r="F1" s="5">
        <v>2030</v>
      </c>
      <c r="G1" s="5">
        <v>2040</v>
      </c>
      <c r="H1" s="5">
        <v>2050</v>
      </c>
    </row>
    <row r="2" spans="1:8" ht="15.75" customHeight="1" x14ac:dyDescent="0.2">
      <c r="A2" s="87" t="s">
        <v>474</v>
      </c>
      <c r="B2" s="87" t="s">
        <v>138</v>
      </c>
      <c r="C2" s="87" t="s">
        <v>441</v>
      </c>
      <c r="D2" s="87">
        <v>1850</v>
      </c>
      <c r="E2" s="87">
        <v>1760</v>
      </c>
      <c r="F2" s="87">
        <v>1630</v>
      </c>
      <c r="G2" s="87">
        <v>1560</v>
      </c>
      <c r="H2" s="87">
        <v>1520</v>
      </c>
    </row>
    <row r="3" spans="1:8" ht="15.75" customHeight="1" x14ac:dyDescent="0.2">
      <c r="A3" s="3" t="s">
        <v>474</v>
      </c>
      <c r="B3" s="3" t="s">
        <v>142</v>
      </c>
      <c r="C3" s="3" t="s">
        <v>422</v>
      </c>
      <c r="D3" s="3">
        <v>0.03</v>
      </c>
      <c r="E3" s="3">
        <v>0.03</v>
      </c>
      <c r="F3" s="3">
        <v>0.03</v>
      </c>
      <c r="G3" s="3">
        <v>0.03</v>
      </c>
      <c r="H3" s="3">
        <v>0.03</v>
      </c>
    </row>
    <row r="4" spans="1:8" ht="15.75" customHeight="1" x14ac:dyDescent="0.2">
      <c r="A4" s="3" t="s">
        <v>475</v>
      </c>
      <c r="B4" s="3" t="s">
        <v>138</v>
      </c>
      <c r="C4" s="3" t="s">
        <v>441</v>
      </c>
      <c r="D4" s="3">
        <v>1350</v>
      </c>
      <c r="E4" s="3">
        <v>1290</v>
      </c>
      <c r="F4" s="3">
        <v>1190</v>
      </c>
      <c r="G4" s="3">
        <v>1140</v>
      </c>
      <c r="H4" s="3">
        <v>1110</v>
      </c>
    </row>
    <row r="5" spans="1:8" ht="15.75" customHeight="1" x14ac:dyDescent="0.2">
      <c r="A5" s="3" t="s">
        <v>475</v>
      </c>
      <c r="B5" s="3" t="s">
        <v>142</v>
      </c>
      <c r="C5" s="3" t="s">
        <v>422</v>
      </c>
      <c r="D5" s="3">
        <v>0.03</v>
      </c>
      <c r="E5" s="3">
        <v>0.03</v>
      </c>
      <c r="F5" s="3">
        <v>0.03</v>
      </c>
      <c r="G5" s="3">
        <v>0.03</v>
      </c>
      <c r="H5" s="3">
        <v>0.03</v>
      </c>
    </row>
    <row r="6" spans="1:8" ht="15.75" customHeight="1" x14ac:dyDescent="0.2">
      <c r="A6" s="3" t="s">
        <v>476</v>
      </c>
      <c r="B6" s="3" t="s">
        <v>138</v>
      </c>
      <c r="C6" s="3" t="s">
        <v>441</v>
      </c>
      <c r="D6" s="3">
        <v>1090</v>
      </c>
      <c r="E6" s="3">
        <v>1040</v>
      </c>
      <c r="F6" s="3">
        <v>960</v>
      </c>
      <c r="G6" s="3">
        <v>920</v>
      </c>
      <c r="H6" s="3">
        <v>890</v>
      </c>
    </row>
    <row r="7" spans="1:8" ht="15.75" customHeight="1" x14ac:dyDescent="0.2">
      <c r="A7" s="3" t="s">
        <v>476</v>
      </c>
      <c r="B7" s="3" t="s">
        <v>142</v>
      </c>
      <c r="C7" s="3" t="s">
        <v>422</v>
      </c>
      <c r="D7" s="3">
        <v>0.03</v>
      </c>
      <c r="E7" s="3">
        <v>0.03</v>
      </c>
      <c r="F7" s="3">
        <v>0.03</v>
      </c>
      <c r="G7" s="3">
        <v>0.03</v>
      </c>
      <c r="H7" s="3">
        <v>0.03</v>
      </c>
    </row>
    <row r="8" spans="1:8" ht="15.75" customHeight="1" x14ac:dyDescent="0.2">
      <c r="A8" s="87" t="s">
        <v>477</v>
      </c>
      <c r="B8" s="87" t="s">
        <v>138</v>
      </c>
      <c r="C8" s="87" t="s">
        <v>441</v>
      </c>
      <c r="D8" s="87">
        <v>3500</v>
      </c>
      <c r="E8" s="87">
        <v>2890</v>
      </c>
      <c r="F8" s="87">
        <v>2310</v>
      </c>
      <c r="G8" s="87">
        <v>2150</v>
      </c>
      <c r="H8" s="87">
        <v>2100</v>
      </c>
    </row>
    <row r="9" spans="1:8" ht="15.75" customHeight="1" x14ac:dyDescent="0.2">
      <c r="A9" s="3" t="s">
        <v>477</v>
      </c>
      <c r="B9" s="3" t="s">
        <v>142</v>
      </c>
      <c r="C9" s="3" t="s">
        <v>422</v>
      </c>
      <c r="D9" s="3">
        <v>0.02</v>
      </c>
      <c r="E9" s="3">
        <v>0.02</v>
      </c>
      <c r="F9" s="3">
        <v>0.02</v>
      </c>
      <c r="G9" s="3">
        <v>0.02</v>
      </c>
      <c r="H9" s="3">
        <v>0.02</v>
      </c>
    </row>
    <row r="10" spans="1:8" ht="15.75" customHeight="1" x14ac:dyDescent="0.2">
      <c r="A10" s="3" t="s">
        <v>478</v>
      </c>
      <c r="B10" s="3" t="s">
        <v>138</v>
      </c>
      <c r="C10" s="3" t="s">
        <v>441</v>
      </c>
      <c r="D10" s="3">
        <v>3600</v>
      </c>
      <c r="E10" s="3">
        <v>2970</v>
      </c>
      <c r="F10" s="3">
        <v>2370</v>
      </c>
      <c r="G10" s="3">
        <v>2220</v>
      </c>
      <c r="H10" s="3">
        <v>2160</v>
      </c>
    </row>
    <row r="11" spans="1:8" ht="15.75" customHeight="1" x14ac:dyDescent="0.2">
      <c r="A11" s="3" t="s">
        <v>478</v>
      </c>
      <c r="B11" s="3" t="s">
        <v>142</v>
      </c>
      <c r="C11" s="3" t="s">
        <v>422</v>
      </c>
      <c r="D11" s="3">
        <v>0.02</v>
      </c>
      <c r="E11" s="3">
        <v>0.02</v>
      </c>
      <c r="F11" s="3">
        <v>0.02</v>
      </c>
      <c r="G11" s="3">
        <v>0.02</v>
      </c>
      <c r="H11" s="3">
        <v>0.02</v>
      </c>
    </row>
    <row r="12" spans="1:8" ht="15.75" customHeight="1" x14ac:dyDescent="0.2">
      <c r="A12" s="3" t="s">
        <v>479</v>
      </c>
      <c r="B12" s="3" t="s">
        <v>138</v>
      </c>
      <c r="C12" s="3" t="s">
        <v>441</v>
      </c>
      <c r="D12" s="3">
        <v>5500</v>
      </c>
      <c r="E12" s="3">
        <v>4540</v>
      </c>
      <c r="F12" s="3">
        <v>3620</v>
      </c>
      <c r="G12" s="3">
        <v>3390</v>
      </c>
      <c r="H12" s="3">
        <v>3300</v>
      </c>
    </row>
    <row r="13" spans="1:8" ht="15.75" customHeight="1" x14ac:dyDescent="0.2">
      <c r="A13" s="3" t="s">
        <v>479</v>
      </c>
      <c r="B13" s="3" t="s">
        <v>142</v>
      </c>
      <c r="C13" s="3" t="s">
        <v>422</v>
      </c>
      <c r="D13" s="3">
        <v>0.02</v>
      </c>
      <c r="E13" s="3">
        <v>0.02</v>
      </c>
      <c r="F13" s="3">
        <v>0.02</v>
      </c>
      <c r="G13" s="3">
        <v>0.02</v>
      </c>
      <c r="H13" s="3">
        <v>0.02</v>
      </c>
    </row>
    <row r="14" spans="1:8" ht="15.75" customHeight="1" x14ac:dyDescent="0.2">
      <c r="A14" s="87" t="s">
        <v>480</v>
      </c>
      <c r="B14" s="87" t="s">
        <v>138</v>
      </c>
      <c r="C14" s="87" t="s">
        <v>441</v>
      </c>
      <c r="D14" s="87">
        <v>1120</v>
      </c>
      <c r="E14" s="87">
        <v>760</v>
      </c>
      <c r="F14" s="87">
        <v>490</v>
      </c>
      <c r="G14" s="87">
        <v>400</v>
      </c>
      <c r="H14" s="87">
        <v>350</v>
      </c>
    </row>
    <row r="15" spans="1:8" ht="15.75" customHeight="1" x14ac:dyDescent="0.2">
      <c r="A15" s="3" t="s">
        <v>480</v>
      </c>
      <c r="B15" s="3" t="s">
        <v>142</v>
      </c>
      <c r="C15" s="3" t="s">
        <v>422</v>
      </c>
      <c r="D15" s="3">
        <v>2.3E-2</v>
      </c>
      <c r="E15" s="3">
        <v>2.3E-2</v>
      </c>
      <c r="F15" s="3">
        <v>2.3E-2</v>
      </c>
      <c r="G15" s="3">
        <v>2.3E-2</v>
      </c>
      <c r="H15" s="3">
        <v>2.3E-2</v>
      </c>
    </row>
    <row r="16" spans="1:8" ht="15.75" customHeight="1" x14ac:dyDescent="0.2">
      <c r="A16" s="3" t="s">
        <v>481</v>
      </c>
      <c r="B16" s="3" t="s">
        <v>138</v>
      </c>
      <c r="C16" s="3" t="s">
        <v>441</v>
      </c>
      <c r="D16" s="3">
        <v>1020</v>
      </c>
      <c r="E16" s="3">
        <v>690</v>
      </c>
      <c r="F16" s="3">
        <v>450</v>
      </c>
      <c r="G16" s="3">
        <v>370</v>
      </c>
      <c r="H16" s="3">
        <v>320</v>
      </c>
    </row>
    <row r="17" spans="1:8" ht="15.75" customHeight="1" x14ac:dyDescent="0.2">
      <c r="A17" s="3" t="s">
        <v>481</v>
      </c>
      <c r="B17" s="3" t="s">
        <v>142</v>
      </c>
      <c r="C17" s="3" t="s">
        <v>422</v>
      </c>
      <c r="D17" s="3">
        <v>1.7000000000000001E-2</v>
      </c>
      <c r="E17" s="3">
        <v>1.7000000000000001E-2</v>
      </c>
      <c r="F17" s="3">
        <v>1.7000000000000001E-2</v>
      </c>
      <c r="G17" s="3">
        <v>1.7000000000000001E-2</v>
      </c>
      <c r="H17" s="3">
        <v>1.7000000000000001E-2</v>
      </c>
    </row>
    <row r="18" spans="1:8" ht="15.75" customHeight="1" x14ac:dyDescent="0.2">
      <c r="A18" s="3" t="s">
        <v>482</v>
      </c>
      <c r="B18" s="3" t="s">
        <v>138</v>
      </c>
      <c r="C18" s="3" t="s">
        <v>441</v>
      </c>
      <c r="D18" s="3">
        <v>1140</v>
      </c>
      <c r="E18" s="3">
        <v>770</v>
      </c>
      <c r="F18" s="3">
        <v>500</v>
      </c>
      <c r="G18" s="3">
        <v>410</v>
      </c>
      <c r="H18" s="3">
        <v>350</v>
      </c>
    </row>
    <row r="19" spans="1:8" ht="15.75" customHeight="1" x14ac:dyDescent="0.2">
      <c r="A19" s="3" t="s">
        <v>482</v>
      </c>
      <c r="B19" s="3" t="s">
        <v>142</v>
      </c>
      <c r="C19" s="3" t="s">
        <v>422</v>
      </c>
      <c r="D19" s="3">
        <v>2.5000000000000001E-2</v>
      </c>
      <c r="E19" s="3">
        <v>2.5000000000000001E-2</v>
      </c>
      <c r="F19" s="3">
        <v>2.5000000000000001E-2</v>
      </c>
      <c r="G19" s="3">
        <v>2.5000000000000001E-2</v>
      </c>
      <c r="H19" s="3">
        <v>2.5000000000000001E-2</v>
      </c>
    </row>
    <row r="20" spans="1:8" ht="15.75" customHeight="1" x14ac:dyDescent="0.2">
      <c r="A20" s="87" t="s">
        <v>483</v>
      </c>
      <c r="B20" s="87" t="s">
        <v>138</v>
      </c>
      <c r="C20" s="87" t="s">
        <v>441</v>
      </c>
      <c r="D20" s="87">
        <v>6000</v>
      </c>
      <c r="E20" s="87">
        <v>4920</v>
      </c>
      <c r="F20" s="87">
        <v>3760</v>
      </c>
      <c r="G20" s="87">
        <v>3430</v>
      </c>
      <c r="H20" s="87">
        <v>3280</v>
      </c>
    </row>
    <row r="21" spans="1:8" ht="15.75" customHeight="1" x14ac:dyDescent="0.2">
      <c r="A21" s="3" t="s">
        <v>483</v>
      </c>
      <c r="B21" s="3" t="s">
        <v>142</v>
      </c>
      <c r="C21" s="3" t="s">
        <v>422</v>
      </c>
      <c r="D21" s="3">
        <v>1.7000000000000001E-2</v>
      </c>
      <c r="E21" s="3">
        <v>1.7000000000000001E-2</v>
      </c>
      <c r="F21" s="3">
        <v>1.7000000000000001E-2</v>
      </c>
      <c r="G21" s="3">
        <v>1.7000000000000001E-2</v>
      </c>
      <c r="H21" s="3">
        <v>1.7000000000000001E-2</v>
      </c>
    </row>
    <row r="22" spans="1:8" ht="15.75" customHeight="1" x14ac:dyDescent="0.2">
      <c r="A22" s="3" t="s">
        <v>484</v>
      </c>
      <c r="B22" s="3" t="s">
        <v>138</v>
      </c>
      <c r="C22" s="3" t="s">
        <v>441</v>
      </c>
      <c r="D22" s="3">
        <v>5280</v>
      </c>
      <c r="E22" s="3">
        <v>4330</v>
      </c>
      <c r="F22" s="3">
        <v>3310</v>
      </c>
      <c r="G22" s="3">
        <v>3010</v>
      </c>
      <c r="H22" s="3">
        <v>2880</v>
      </c>
    </row>
    <row r="23" spans="1:8" ht="15.75" customHeight="1" x14ac:dyDescent="0.2">
      <c r="A23" s="3" t="s">
        <v>484</v>
      </c>
      <c r="B23" s="3" t="s">
        <v>142</v>
      </c>
      <c r="C23" s="3" t="s">
        <v>422</v>
      </c>
      <c r="D23" s="3">
        <v>1.7000000000000001E-2</v>
      </c>
      <c r="E23" s="3">
        <v>1.7000000000000001E-2</v>
      </c>
      <c r="F23" s="3">
        <v>1.7000000000000001E-2</v>
      </c>
      <c r="G23" s="3">
        <v>1.7000000000000001E-2</v>
      </c>
      <c r="H23" s="3">
        <v>1.7000000000000001E-2</v>
      </c>
    </row>
    <row r="24" spans="1:8" ht="15.75" customHeight="1" x14ac:dyDescent="0.2"/>
    <row r="25" spans="1:8" ht="15.75" customHeight="1" x14ac:dyDescent="0.2">
      <c r="A25" s="3" t="s">
        <v>456</v>
      </c>
      <c r="B25" s="3" t="s">
        <v>102</v>
      </c>
      <c r="C25" s="3" t="s">
        <v>66</v>
      </c>
      <c r="D25" s="3">
        <v>25</v>
      </c>
    </row>
    <row r="26" spans="1:8" ht="15.75" customHeight="1" x14ac:dyDescent="0.2">
      <c r="A26" s="3" t="s">
        <v>457</v>
      </c>
      <c r="B26" s="3" t="s">
        <v>102</v>
      </c>
      <c r="C26" s="3" t="s">
        <v>66</v>
      </c>
      <c r="D26" s="3">
        <v>30</v>
      </c>
    </row>
    <row r="27" spans="1:8" ht="15.75" customHeight="1" x14ac:dyDescent="0.2">
      <c r="A27" s="3" t="s">
        <v>455</v>
      </c>
      <c r="B27" s="3" t="s">
        <v>102</v>
      </c>
      <c r="C27" s="3" t="s">
        <v>66</v>
      </c>
      <c r="D27" s="3">
        <v>25</v>
      </c>
    </row>
    <row r="28" spans="1:8" ht="15.75" customHeight="1" x14ac:dyDescent="0.2">
      <c r="A28" s="3" t="s">
        <v>485</v>
      </c>
      <c r="B28" s="3" t="s">
        <v>102</v>
      </c>
      <c r="C28" s="3" t="s">
        <v>66</v>
      </c>
      <c r="D28" s="3">
        <v>30</v>
      </c>
    </row>
    <row r="29" spans="1:8" ht="15.75" customHeight="1" x14ac:dyDescent="0.2"/>
    <row r="30" spans="1:8" ht="15.75" customHeight="1" x14ac:dyDescent="0.2"/>
    <row r="31" spans="1:8" ht="15.75" customHeight="1" x14ac:dyDescent="0.2"/>
    <row r="32" spans="1:8" ht="15.75" customHeight="1" x14ac:dyDescent="0.2">
      <c r="A32" s="5" t="s">
        <v>426</v>
      </c>
      <c r="B32" s="3" t="s">
        <v>486</v>
      </c>
    </row>
    <row r="33" spans="1:7" ht="15.75" customHeight="1" x14ac:dyDescent="0.2">
      <c r="A33" s="5" t="s">
        <v>487</v>
      </c>
    </row>
    <row r="34" spans="1:7" ht="132" customHeight="1" x14ac:dyDescent="0.2">
      <c r="A34" s="136" t="s">
        <v>488</v>
      </c>
      <c r="B34" s="135"/>
      <c r="C34" s="135"/>
      <c r="D34" s="135"/>
      <c r="E34" s="135"/>
      <c r="F34" s="135"/>
      <c r="G34" s="135"/>
    </row>
    <row r="35" spans="1:7" ht="15.75" customHeight="1" x14ac:dyDescent="0.2"/>
    <row r="36" spans="1:7" ht="15.75" customHeight="1" x14ac:dyDescent="0.2"/>
    <row r="37" spans="1:7" ht="15.75" customHeight="1" x14ac:dyDescent="0.2"/>
    <row r="38" spans="1:7" ht="15.75" customHeight="1" x14ac:dyDescent="0.2"/>
    <row r="39" spans="1:7" ht="15.75" customHeight="1" x14ac:dyDescent="0.2"/>
    <row r="40" spans="1:7" ht="15.75" customHeight="1" x14ac:dyDescent="0.2"/>
    <row r="41" spans="1:7" ht="15.75" customHeight="1" x14ac:dyDescent="0.2"/>
    <row r="42" spans="1:7" ht="15.75" customHeight="1" x14ac:dyDescent="0.2"/>
    <row r="43" spans="1:7" ht="15.75" customHeight="1" x14ac:dyDescent="0.2"/>
    <row r="44" spans="1:7" ht="15.75" customHeight="1" x14ac:dyDescent="0.2"/>
    <row r="45" spans="1:7" ht="15.75" customHeight="1" x14ac:dyDescent="0.2"/>
    <row r="46" spans="1:7" ht="15.75" customHeight="1" x14ac:dyDescent="0.2"/>
    <row r="47" spans="1:7" ht="15.75" customHeight="1" x14ac:dyDescent="0.2"/>
    <row r="48" spans="1:7"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34:G34"/>
  </mergeCells>
  <pageMargins left="0.7" right="0.7" top="0.78740157499999996" bottom="0.78740157499999996" header="0" footer="0"/>
  <pageSetup orientation="landscape"/>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5"/>
  </sheetPr>
  <dimension ref="A1:AM1000"/>
  <sheetViews>
    <sheetView workbookViewId="0"/>
  </sheetViews>
  <sheetFormatPr baseColWidth="10" defaultColWidth="11.1640625" defaultRowHeight="15" customHeight="1" x14ac:dyDescent="0.2"/>
  <cols>
    <col min="1" max="1" width="29.1640625" customWidth="1"/>
    <col min="2" max="3" width="10.5" customWidth="1"/>
    <col min="4" max="4" width="12.6640625" customWidth="1"/>
    <col min="5" max="39" width="10.5" customWidth="1"/>
  </cols>
  <sheetData>
    <row r="1" spans="1:39" ht="15.75" customHeight="1" x14ac:dyDescent="0.2">
      <c r="A1" s="7"/>
      <c r="B1" s="7"/>
      <c r="C1" s="7"/>
      <c r="D1" s="2" t="s">
        <v>489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2">
        <v>2041</v>
      </c>
      <c r="AA1" s="2">
        <v>2042</v>
      </c>
      <c r="AB1" s="2">
        <v>2043</v>
      </c>
      <c r="AC1" s="2">
        <v>2044</v>
      </c>
      <c r="AD1" s="2">
        <v>2045</v>
      </c>
      <c r="AE1" s="2">
        <v>2046</v>
      </c>
      <c r="AF1" s="2">
        <v>2047</v>
      </c>
      <c r="AG1" s="2">
        <v>2048</v>
      </c>
      <c r="AH1" s="2">
        <v>2049</v>
      </c>
      <c r="AI1" s="2">
        <v>2050</v>
      </c>
      <c r="AJ1" s="5"/>
      <c r="AK1" s="5"/>
      <c r="AL1" s="5"/>
      <c r="AM1" s="5"/>
    </row>
    <row r="2" spans="1:39" ht="15.75" customHeight="1" x14ac:dyDescent="0.2">
      <c r="A2" s="48" t="s">
        <v>490</v>
      </c>
      <c r="B2" s="48" t="s">
        <v>138</v>
      </c>
      <c r="C2" s="48" t="s">
        <v>491</v>
      </c>
      <c r="D2" s="48">
        <v>0.46200000000000002</v>
      </c>
      <c r="E2" s="48">
        <v>0.43099999999999999</v>
      </c>
      <c r="F2" s="48">
        <v>0.40600000000000003</v>
      </c>
      <c r="G2" s="48">
        <v>0.38400000000000001</v>
      </c>
      <c r="H2" s="48">
        <v>0.36499999999999999</v>
      </c>
      <c r="I2" s="48">
        <v>0.34799999999999998</v>
      </c>
      <c r="J2" s="48">
        <v>0.33300000000000002</v>
      </c>
      <c r="K2" s="48">
        <v>0.31900000000000001</v>
      </c>
      <c r="L2" s="48">
        <v>0.307</v>
      </c>
      <c r="M2" s="48">
        <v>0.29599999999999999</v>
      </c>
      <c r="N2" s="48">
        <v>0.28499999999999998</v>
      </c>
      <c r="O2" s="48">
        <v>0.27500000000000002</v>
      </c>
      <c r="P2" s="48">
        <v>0.26600000000000001</v>
      </c>
      <c r="Q2" s="48">
        <v>0.25700000000000001</v>
      </c>
      <c r="R2" s="48">
        <v>0.249</v>
      </c>
      <c r="S2" s="48">
        <v>0.24199999999999999</v>
      </c>
      <c r="T2" s="48">
        <v>0.23499999999999999</v>
      </c>
      <c r="U2" s="48">
        <v>0.22800000000000001</v>
      </c>
      <c r="V2" s="48">
        <v>0.221</v>
      </c>
      <c r="W2" s="48">
        <v>0.215</v>
      </c>
      <c r="X2" s="48">
        <v>0.20899999999999999</v>
      </c>
      <c r="Y2" s="48">
        <v>0.20399999999999999</v>
      </c>
      <c r="Z2" s="48">
        <v>0.19900000000000001</v>
      </c>
      <c r="AA2" s="48">
        <v>0.19400000000000001</v>
      </c>
      <c r="AB2" s="48">
        <v>0.189</v>
      </c>
      <c r="AC2" s="48">
        <v>0.185</v>
      </c>
      <c r="AD2" s="48">
        <v>0.18099999999999999</v>
      </c>
      <c r="AE2" s="48">
        <v>0.17699999999999999</v>
      </c>
      <c r="AF2" s="48">
        <v>0.17399999999999999</v>
      </c>
      <c r="AG2" s="48">
        <v>0.17</v>
      </c>
      <c r="AH2" s="48">
        <v>0.16700000000000001</v>
      </c>
      <c r="AI2" s="48">
        <v>0.16400000000000001</v>
      </c>
      <c r="AJ2" s="48"/>
      <c r="AK2" s="48"/>
      <c r="AL2" s="48"/>
      <c r="AM2" s="48"/>
    </row>
    <row r="3" spans="1:39" ht="15.75" customHeight="1" x14ac:dyDescent="0.2">
      <c r="A3" s="1" t="s">
        <v>490</v>
      </c>
      <c r="B3" s="1" t="s">
        <v>138</v>
      </c>
      <c r="C3" s="1" t="s">
        <v>492</v>
      </c>
      <c r="D3" s="1">
        <f t="shared" ref="D3:AI3" si="0">D2*1000</f>
        <v>462</v>
      </c>
      <c r="E3" s="1">
        <f t="shared" si="0"/>
        <v>431</v>
      </c>
      <c r="F3" s="1">
        <f t="shared" si="0"/>
        <v>406</v>
      </c>
      <c r="G3" s="1">
        <f t="shared" si="0"/>
        <v>384</v>
      </c>
      <c r="H3" s="1">
        <f t="shared" si="0"/>
        <v>365</v>
      </c>
      <c r="I3" s="1">
        <f t="shared" si="0"/>
        <v>348</v>
      </c>
      <c r="J3" s="1">
        <f t="shared" si="0"/>
        <v>333</v>
      </c>
      <c r="K3" s="1">
        <f t="shared" si="0"/>
        <v>319</v>
      </c>
      <c r="L3" s="1">
        <f t="shared" si="0"/>
        <v>307</v>
      </c>
      <c r="M3" s="1">
        <f t="shared" si="0"/>
        <v>296</v>
      </c>
      <c r="N3" s="1">
        <f t="shared" si="0"/>
        <v>285</v>
      </c>
      <c r="O3" s="1">
        <f t="shared" si="0"/>
        <v>275</v>
      </c>
      <c r="P3" s="1">
        <f t="shared" si="0"/>
        <v>266</v>
      </c>
      <c r="Q3" s="1">
        <f t="shared" si="0"/>
        <v>257</v>
      </c>
      <c r="R3" s="1">
        <f t="shared" si="0"/>
        <v>249</v>
      </c>
      <c r="S3" s="1">
        <f t="shared" si="0"/>
        <v>242</v>
      </c>
      <c r="T3" s="1">
        <f t="shared" si="0"/>
        <v>235</v>
      </c>
      <c r="U3" s="1">
        <f t="shared" si="0"/>
        <v>228</v>
      </c>
      <c r="V3" s="1">
        <f t="shared" si="0"/>
        <v>221</v>
      </c>
      <c r="W3" s="1">
        <f t="shared" si="0"/>
        <v>215</v>
      </c>
      <c r="X3" s="1">
        <f t="shared" si="0"/>
        <v>209</v>
      </c>
      <c r="Y3" s="1">
        <f t="shared" si="0"/>
        <v>204</v>
      </c>
      <c r="Z3" s="1">
        <f t="shared" si="0"/>
        <v>199</v>
      </c>
      <c r="AA3" s="1">
        <f t="shared" si="0"/>
        <v>194</v>
      </c>
      <c r="AB3" s="1">
        <f t="shared" si="0"/>
        <v>189</v>
      </c>
      <c r="AC3" s="1">
        <f t="shared" si="0"/>
        <v>185</v>
      </c>
      <c r="AD3" s="1">
        <f t="shared" si="0"/>
        <v>181</v>
      </c>
      <c r="AE3" s="1">
        <f t="shared" si="0"/>
        <v>177</v>
      </c>
      <c r="AF3" s="1">
        <f t="shared" si="0"/>
        <v>174</v>
      </c>
      <c r="AG3" s="1">
        <f t="shared" si="0"/>
        <v>170</v>
      </c>
      <c r="AH3" s="1">
        <f t="shared" si="0"/>
        <v>167</v>
      </c>
      <c r="AI3" s="1">
        <f t="shared" si="0"/>
        <v>164</v>
      </c>
      <c r="AJ3" s="1"/>
      <c r="AK3" s="1"/>
      <c r="AL3" s="1"/>
      <c r="AM3" s="1"/>
    </row>
    <row r="4" spans="1:39" ht="15.75" customHeight="1" x14ac:dyDescent="0.2">
      <c r="A4" s="48" t="s">
        <v>490</v>
      </c>
      <c r="B4" s="48" t="s">
        <v>142</v>
      </c>
      <c r="C4" s="48" t="s">
        <v>493</v>
      </c>
      <c r="D4" s="48">
        <v>9.1999999999999993</v>
      </c>
      <c r="E4" s="48">
        <v>8.8000000000000007</v>
      </c>
      <c r="F4" s="48">
        <v>8.4</v>
      </c>
      <c r="G4" s="48">
        <v>8.1</v>
      </c>
      <c r="H4" s="48">
        <v>7.8</v>
      </c>
      <c r="I4" s="48">
        <v>7.6</v>
      </c>
      <c r="J4" s="48">
        <v>7.4</v>
      </c>
      <c r="K4" s="48">
        <v>7.1</v>
      </c>
      <c r="L4" s="48">
        <v>6.9</v>
      </c>
      <c r="M4" s="48">
        <v>6.7</v>
      </c>
      <c r="N4" s="48">
        <v>6.6</v>
      </c>
      <c r="O4" s="48">
        <v>6.4</v>
      </c>
      <c r="P4" s="48">
        <v>6.2</v>
      </c>
      <c r="Q4" s="48">
        <v>6.1</v>
      </c>
      <c r="R4" s="48">
        <v>5.9</v>
      </c>
      <c r="S4" s="48">
        <v>5.8</v>
      </c>
      <c r="T4" s="48">
        <v>5.6</v>
      </c>
      <c r="U4" s="48">
        <v>5.5</v>
      </c>
      <c r="V4" s="48">
        <v>5.4</v>
      </c>
      <c r="W4" s="48">
        <v>5.3</v>
      </c>
      <c r="X4" s="48">
        <v>5.0999999999999996</v>
      </c>
      <c r="Y4" s="48">
        <v>5</v>
      </c>
      <c r="Z4" s="48">
        <v>4.9000000000000004</v>
      </c>
      <c r="AA4" s="48">
        <v>4.8</v>
      </c>
      <c r="AB4" s="48">
        <v>4.7</v>
      </c>
      <c r="AC4" s="48">
        <v>4.5999999999999996</v>
      </c>
      <c r="AD4" s="48">
        <v>4.5999999999999996</v>
      </c>
      <c r="AE4" s="48">
        <v>4.5</v>
      </c>
      <c r="AF4" s="48">
        <v>4.4000000000000004</v>
      </c>
      <c r="AG4" s="48">
        <v>4.3</v>
      </c>
      <c r="AH4" s="48">
        <v>4.2</v>
      </c>
      <c r="AI4" s="48">
        <v>4.2</v>
      </c>
      <c r="AJ4" s="48"/>
      <c r="AK4" s="48"/>
      <c r="AL4" s="48"/>
      <c r="AM4" s="48"/>
    </row>
    <row r="5" spans="1:39" ht="15.75" customHeight="1" x14ac:dyDescent="0.2">
      <c r="A5" s="7" t="s">
        <v>490</v>
      </c>
      <c r="B5" s="7" t="s">
        <v>142</v>
      </c>
      <c r="C5" s="89" t="s">
        <v>422</v>
      </c>
      <c r="D5" s="89">
        <f t="shared" ref="D5:AI5" si="1">D4/D3</f>
        <v>1.9913419913419911E-2</v>
      </c>
      <c r="E5" s="89">
        <f t="shared" si="1"/>
        <v>2.0417633410672854E-2</v>
      </c>
      <c r="F5" s="89">
        <f t="shared" si="1"/>
        <v>2.0689655172413793E-2</v>
      </c>
      <c r="G5" s="89">
        <f t="shared" si="1"/>
        <v>2.1093749999999998E-2</v>
      </c>
      <c r="H5" s="89">
        <f t="shared" si="1"/>
        <v>2.1369863013698628E-2</v>
      </c>
      <c r="I5" s="89">
        <f t="shared" si="1"/>
        <v>2.1839080459770115E-2</v>
      </c>
      <c r="J5" s="89">
        <f t="shared" si="1"/>
        <v>2.2222222222222223E-2</v>
      </c>
      <c r="K5" s="89">
        <f t="shared" si="1"/>
        <v>2.2257053291536048E-2</v>
      </c>
      <c r="L5" s="89">
        <f t="shared" si="1"/>
        <v>2.2475570032573292E-2</v>
      </c>
      <c r="M5" s="89">
        <f t="shared" si="1"/>
        <v>2.2635135135135136E-2</v>
      </c>
      <c r="N5" s="89">
        <f t="shared" si="1"/>
        <v>2.3157894736842103E-2</v>
      </c>
      <c r="O5" s="89">
        <f t="shared" si="1"/>
        <v>2.3272727272727275E-2</v>
      </c>
      <c r="P5" s="89">
        <f t="shared" si="1"/>
        <v>2.3308270676691729E-2</v>
      </c>
      <c r="Q5" s="89">
        <f t="shared" si="1"/>
        <v>2.3735408560311283E-2</v>
      </c>
      <c r="R5" s="89">
        <f t="shared" si="1"/>
        <v>2.3694779116465864E-2</v>
      </c>
      <c r="S5" s="89">
        <f t="shared" si="1"/>
        <v>2.3966942148760328E-2</v>
      </c>
      <c r="T5" s="89">
        <f t="shared" si="1"/>
        <v>2.3829787234042551E-2</v>
      </c>
      <c r="U5" s="89">
        <f t="shared" si="1"/>
        <v>2.4122807017543858E-2</v>
      </c>
      <c r="V5" s="89">
        <f t="shared" si="1"/>
        <v>2.4434389140271493E-2</v>
      </c>
      <c r="W5" s="89">
        <f t="shared" si="1"/>
        <v>2.4651162790697675E-2</v>
      </c>
      <c r="X5" s="89">
        <f t="shared" si="1"/>
        <v>2.4401913875598084E-2</v>
      </c>
      <c r="Y5" s="89">
        <f t="shared" si="1"/>
        <v>2.4509803921568627E-2</v>
      </c>
      <c r="Z5" s="89">
        <f t="shared" si="1"/>
        <v>2.4623115577889449E-2</v>
      </c>
      <c r="AA5" s="89">
        <f t="shared" si="1"/>
        <v>2.4742268041237112E-2</v>
      </c>
      <c r="AB5" s="89">
        <f t="shared" si="1"/>
        <v>2.4867724867724868E-2</v>
      </c>
      <c r="AC5" s="89">
        <f t="shared" si="1"/>
        <v>2.4864864864864864E-2</v>
      </c>
      <c r="AD5" s="89">
        <f t="shared" si="1"/>
        <v>2.5414364640883976E-2</v>
      </c>
      <c r="AE5" s="89">
        <f t="shared" si="1"/>
        <v>2.5423728813559324E-2</v>
      </c>
      <c r="AF5" s="89">
        <f t="shared" si="1"/>
        <v>2.5287356321839084E-2</v>
      </c>
      <c r="AG5" s="89">
        <f t="shared" si="1"/>
        <v>2.5294117647058821E-2</v>
      </c>
      <c r="AH5" s="89">
        <f t="shared" si="1"/>
        <v>2.5149700598802397E-2</v>
      </c>
      <c r="AI5" s="89">
        <f t="shared" si="1"/>
        <v>2.5609756097560978E-2</v>
      </c>
    </row>
    <row r="6" spans="1:39" ht="15.75" customHeight="1" x14ac:dyDescent="0.2">
      <c r="A6" s="48" t="s">
        <v>494</v>
      </c>
      <c r="B6" s="48" t="s">
        <v>138</v>
      </c>
      <c r="C6" s="48" t="s">
        <v>495</v>
      </c>
      <c r="D6" s="48">
        <v>0.27500000000000002</v>
      </c>
      <c r="E6" s="48">
        <v>0.251</v>
      </c>
      <c r="F6" s="48">
        <v>0.22900000000000001</v>
      </c>
      <c r="G6" s="48">
        <v>0.20899999999999999</v>
      </c>
      <c r="H6" s="48">
        <v>0.192</v>
      </c>
      <c r="I6" s="48">
        <v>0.17599999999999999</v>
      </c>
      <c r="J6" s="48">
        <v>0.16300000000000001</v>
      </c>
      <c r="K6" s="48">
        <v>0.151</v>
      </c>
      <c r="L6" s="48">
        <v>0.14099999999999999</v>
      </c>
      <c r="M6" s="48">
        <v>0.13200000000000001</v>
      </c>
      <c r="N6" s="48">
        <v>0.124</v>
      </c>
      <c r="O6" s="48">
        <v>0.11700000000000001</v>
      </c>
      <c r="P6" s="48">
        <v>0.112</v>
      </c>
      <c r="Q6" s="48">
        <v>0.106</v>
      </c>
      <c r="R6" s="48">
        <v>0.10199999999999999</v>
      </c>
      <c r="S6" s="48">
        <v>9.8000000000000004E-2</v>
      </c>
      <c r="T6" s="48">
        <v>9.4E-2</v>
      </c>
      <c r="U6" s="48">
        <v>9.0999999999999998E-2</v>
      </c>
      <c r="V6" s="48">
        <v>8.7999999999999995E-2</v>
      </c>
      <c r="W6" s="48">
        <v>8.5000000000000006E-2</v>
      </c>
      <c r="X6" s="48">
        <v>8.2000000000000003E-2</v>
      </c>
      <c r="Y6" s="48">
        <v>0.08</v>
      </c>
      <c r="Z6" s="48">
        <v>7.8E-2</v>
      </c>
      <c r="AA6" s="48">
        <v>7.5999999999999998E-2</v>
      </c>
      <c r="AB6" s="48">
        <v>7.3999999999999996E-2</v>
      </c>
      <c r="AC6" s="48">
        <v>7.2999999999999995E-2</v>
      </c>
      <c r="AD6" s="48">
        <v>7.0999999999999994E-2</v>
      </c>
      <c r="AE6" s="48">
        <v>7.0000000000000007E-2</v>
      </c>
      <c r="AF6" s="48">
        <v>6.9000000000000006E-2</v>
      </c>
      <c r="AG6" s="48">
        <v>6.7000000000000004E-2</v>
      </c>
      <c r="AH6" s="48">
        <v>6.6000000000000003E-2</v>
      </c>
      <c r="AI6" s="48">
        <v>6.5000000000000002E-2</v>
      </c>
      <c r="AJ6" s="48"/>
      <c r="AK6" s="48"/>
      <c r="AL6" s="48"/>
      <c r="AM6" s="48"/>
    </row>
    <row r="7" spans="1:39" ht="15.75" customHeight="1" x14ac:dyDescent="0.2">
      <c r="A7" s="1" t="s">
        <v>494</v>
      </c>
      <c r="B7" s="1" t="s">
        <v>138</v>
      </c>
      <c r="C7" s="1" t="s">
        <v>434</v>
      </c>
      <c r="D7" s="1">
        <f t="shared" ref="D7:AI7" si="2">D6*1000</f>
        <v>275</v>
      </c>
      <c r="E7" s="1">
        <f t="shared" si="2"/>
        <v>251</v>
      </c>
      <c r="F7" s="1">
        <f t="shared" si="2"/>
        <v>229</v>
      </c>
      <c r="G7" s="1">
        <f t="shared" si="2"/>
        <v>209</v>
      </c>
      <c r="H7" s="1">
        <f t="shared" si="2"/>
        <v>192</v>
      </c>
      <c r="I7" s="1">
        <f t="shared" si="2"/>
        <v>176</v>
      </c>
      <c r="J7" s="1">
        <f t="shared" si="2"/>
        <v>163</v>
      </c>
      <c r="K7" s="1">
        <f t="shared" si="2"/>
        <v>151</v>
      </c>
      <c r="L7" s="1">
        <f t="shared" si="2"/>
        <v>141</v>
      </c>
      <c r="M7" s="1">
        <f t="shared" si="2"/>
        <v>132</v>
      </c>
      <c r="N7" s="1">
        <f t="shared" si="2"/>
        <v>124</v>
      </c>
      <c r="O7" s="1">
        <f t="shared" si="2"/>
        <v>117</v>
      </c>
      <c r="P7" s="1">
        <f t="shared" si="2"/>
        <v>112</v>
      </c>
      <c r="Q7" s="1">
        <f t="shared" si="2"/>
        <v>106</v>
      </c>
      <c r="R7" s="1">
        <f t="shared" si="2"/>
        <v>102</v>
      </c>
      <c r="S7" s="1">
        <f t="shared" si="2"/>
        <v>98</v>
      </c>
      <c r="T7" s="1">
        <f t="shared" si="2"/>
        <v>94</v>
      </c>
      <c r="U7" s="1">
        <f t="shared" si="2"/>
        <v>91</v>
      </c>
      <c r="V7" s="1">
        <f t="shared" si="2"/>
        <v>88</v>
      </c>
      <c r="W7" s="1">
        <f t="shared" si="2"/>
        <v>85</v>
      </c>
      <c r="X7" s="1">
        <f t="shared" si="2"/>
        <v>82</v>
      </c>
      <c r="Y7" s="1">
        <f t="shared" si="2"/>
        <v>80</v>
      </c>
      <c r="Z7" s="1">
        <f t="shared" si="2"/>
        <v>78</v>
      </c>
      <c r="AA7" s="1">
        <f t="shared" si="2"/>
        <v>76</v>
      </c>
      <c r="AB7" s="1">
        <f t="shared" si="2"/>
        <v>74</v>
      </c>
      <c r="AC7" s="1">
        <f t="shared" si="2"/>
        <v>73</v>
      </c>
      <c r="AD7" s="1">
        <f t="shared" si="2"/>
        <v>71</v>
      </c>
      <c r="AE7" s="1">
        <f t="shared" si="2"/>
        <v>70</v>
      </c>
      <c r="AF7" s="1">
        <f t="shared" si="2"/>
        <v>69</v>
      </c>
      <c r="AG7" s="1">
        <f t="shared" si="2"/>
        <v>67</v>
      </c>
      <c r="AH7" s="1">
        <f t="shared" si="2"/>
        <v>66</v>
      </c>
      <c r="AI7" s="1">
        <f t="shared" si="2"/>
        <v>65</v>
      </c>
      <c r="AJ7" s="1"/>
      <c r="AK7" s="1"/>
      <c r="AL7" s="1"/>
      <c r="AM7" s="1"/>
    </row>
    <row r="8" spans="1:39" ht="15.75" customHeight="1" x14ac:dyDescent="0.2">
      <c r="A8" s="48" t="s">
        <v>494</v>
      </c>
      <c r="B8" s="48" t="s">
        <v>142</v>
      </c>
      <c r="C8" s="48" t="s">
        <v>496</v>
      </c>
      <c r="D8" s="48">
        <v>4.0999999999999996</v>
      </c>
      <c r="E8" s="48">
        <v>3.9</v>
      </c>
      <c r="F8" s="48">
        <v>3.7</v>
      </c>
      <c r="G8" s="48">
        <v>3.6</v>
      </c>
      <c r="H8" s="48">
        <v>3.4</v>
      </c>
      <c r="I8" s="48">
        <v>3.3</v>
      </c>
      <c r="J8" s="48">
        <v>3.2</v>
      </c>
      <c r="K8" s="48">
        <v>3</v>
      </c>
      <c r="L8" s="48">
        <v>2.9</v>
      </c>
      <c r="M8" s="48">
        <v>2.9</v>
      </c>
      <c r="N8" s="48">
        <v>2.8</v>
      </c>
      <c r="O8" s="48">
        <v>2.7</v>
      </c>
      <c r="P8" s="48">
        <v>2.6</v>
      </c>
      <c r="Q8" s="48">
        <v>2.6</v>
      </c>
      <c r="R8" s="48">
        <v>2.5</v>
      </c>
      <c r="S8" s="48">
        <v>2.5</v>
      </c>
      <c r="T8" s="48">
        <v>2.4</v>
      </c>
      <c r="U8" s="48">
        <v>2.4</v>
      </c>
      <c r="V8" s="48">
        <v>2.2999999999999998</v>
      </c>
      <c r="W8" s="48">
        <v>2.2999999999999998</v>
      </c>
      <c r="X8" s="48">
        <v>2.2999999999999998</v>
      </c>
      <c r="Y8" s="48">
        <v>2.2000000000000002</v>
      </c>
      <c r="Z8" s="48">
        <v>2.2000000000000002</v>
      </c>
      <c r="AA8" s="48">
        <v>2.2000000000000002</v>
      </c>
      <c r="AB8" s="48">
        <v>2.2000000000000002</v>
      </c>
      <c r="AC8" s="48">
        <v>2.1</v>
      </c>
      <c r="AD8" s="48">
        <v>2.1</v>
      </c>
      <c r="AE8" s="48">
        <v>2.1</v>
      </c>
      <c r="AF8" s="48">
        <v>2.1</v>
      </c>
      <c r="AG8" s="48">
        <v>2.1</v>
      </c>
      <c r="AH8" s="90">
        <v>2</v>
      </c>
      <c r="AI8" s="90">
        <v>2</v>
      </c>
      <c r="AJ8" s="48"/>
      <c r="AK8" s="48"/>
      <c r="AL8" s="48"/>
      <c r="AM8" s="48"/>
    </row>
    <row r="9" spans="1:39" ht="15.75" customHeight="1" x14ac:dyDescent="0.2">
      <c r="A9" s="3" t="s">
        <v>494</v>
      </c>
      <c r="B9" s="3" t="s">
        <v>142</v>
      </c>
      <c r="C9" s="3" t="s">
        <v>422</v>
      </c>
      <c r="D9" s="16">
        <f t="shared" ref="D9:AI9" si="3">D8/D7</f>
        <v>1.4909090909090908E-2</v>
      </c>
      <c r="E9" s="16">
        <f t="shared" si="3"/>
        <v>1.5537848605577689E-2</v>
      </c>
      <c r="F9" s="16">
        <f t="shared" si="3"/>
        <v>1.6157205240174673E-2</v>
      </c>
      <c r="G9" s="16">
        <f t="shared" si="3"/>
        <v>1.7224880382775119E-2</v>
      </c>
      <c r="H9" s="16">
        <f t="shared" si="3"/>
        <v>1.7708333333333333E-2</v>
      </c>
      <c r="I9" s="16">
        <f t="shared" si="3"/>
        <v>1.8749999999999999E-2</v>
      </c>
      <c r="J9" s="16">
        <f t="shared" si="3"/>
        <v>1.9631901840490799E-2</v>
      </c>
      <c r="K9" s="16">
        <f t="shared" si="3"/>
        <v>1.9867549668874173E-2</v>
      </c>
      <c r="L9" s="16">
        <f t="shared" si="3"/>
        <v>2.0567375886524821E-2</v>
      </c>
      <c r="M9" s="16">
        <f t="shared" si="3"/>
        <v>2.1969696969696969E-2</v>
      </c>
      <c r="N9" s="16">
        <f t="shared" si="3"/>
        <v>2.2580645161290321E-2</v>
      </c>
      <c r="O9" s="16">
        <f t="shared" si="3"/>
        <v>2.3076923076923078E-2</v>
      </c>
      <c r="P9" s="16">
        <f t="shared" si="3"/>
        <v>2.3214285714285715E-2</v>
      </c>
      <c r="Q9" s="16">
        <f t="shared" si="3"/>
        <v>2.4528301886792454E-2</v>
      </c>
      <c r="R9" s="16">
        <f t="shared" si="3"/>
        <v>2.4509803921568627E-2</v>
      </c>
      <c r="S9" s="16">
        <f t="shared" si="3"/>
        <v>2.5510204081632654E-2</v>
      </c>
      <c r="T9" s="16">
        <f t="shared" si="3"/>
        <v>2.553191489361702E-2</v>
      </c>
      <c r="U9" s="16">
        <f t="shared" si="3"/>
        <v>2.6373626373626374E-2</v>
      </c>
      <c r="V9" s="16">
        <f t="shared" si="3"/>
        <v>2.6136363636363635E-2</v>
      </c>
      <c r="W9" s="16">
        <f t="shared" si="3"/>
        <v>2.7058823529411764E-2</v>
      </c>
      <c r="X9" s="16">
        <f t="shared" si="3"/>
        <v>2.8048780487804875E-2</v>
      </c>
      <c r="Y9" s="16">
        <f t="shared" si="3"/>
        <v>2.7500000000000004E-2</v>
      </c>
      <c r="Z9" s="16">
        <f t="shared" si="3"/>
        <v>2.8205128205128209E-2</v>
      </c>
      <c r="AA9" s="16">
        <f t="shared" si="3"/>
        <v>2.8947368421052635E-2</v>
      </c>
      <c r="AB9" s="16">
        <f t="shared" si="3"/>
        <v>2.9729729729729731E-2</v>
      </c>
      <c r="AC9" s="16">
        <f t="shared" si="3"/>
        <v>2.8767123287671233E-2</v>
      </c>
      <c r="AD9" s="16">
        <f t="shared" si="3"/>
        <v>2.9577464788732397E-2</v>
      </c>
      <c r="AE9" s="16">
        <f t="shared" si="3"/>
        <v>3.0000000000000002E-2</v>
      </c>
      <c r="AF9" s="16">
        <f t="shared" si="3"/>
        <v>3.0434782608695653E-2</v>
      </c>
      <c r="AG9" s="16">
        <f t="shared" si="3"/>
        <v>3.1343283582089557E-2</v>
      </c>
      <c r="AH9" s="16">
        <f t="shared" si="3"/>
        <v>3.0303030303030304E-2</v>
      </c>
      <c r="AI9" s="16">
        <f t="shared" si="3"/>
        <v>3.0769230769230771E-2</v>
      </c>
    </row>
    <row r="10" spans="1:39" ht="15.75" customHeight="1" x14ac:dyDescent="0.2"/>
    <row r="11" spans="1:39" ht="15.75" customHeight="1" x14ac:dyDescent="0.2">
      <c r="A11" s="3" t="s">
        <v>490</v>
      </c>
      <c r="B11" s="3" t="s">
        <v>102</v>
      </c>
      <c r="C11" s="3" t="s">
        <v>66</v>
      </c>
      <c r="D11" s="3">
        <v>30</v>
      </c>
    </row>
    <row r="12" spans="1:39" ht="15.75" customHeight="1" x14ac:dyDescent="0.2">
      <c r="A12" s="3" t="s">
        <v>494</v>
      </c>
      <c r="B12" s="3" t="s">
        <v>102</v>
      </c>
      <c r="C12" s="3" t="s">
        <v>66</v>
      </c>
      <c r="D12" s="3">
        <v>15</v>
      </c>
    </row>
    <row r="13" spans="1:39" ht="15.75" customHeight="1" x14ac:dyDescent="0.2"/>
    <row r="14" spans="1:39" ht="15.75" customHeight="1" x14ac:dyDescent="0.2"/>
    <row r="15" spans="1:39" ht="15.75" customHeight="1" x14ac:dyDescent="0.2">
      <c r="A15" s="3" t="s">
        <v>426</v>
      </c>
      <c r="B15" s="3" t="s">
        <v>497</v>
      </c>
    </row>
    <row r="16" spans="1:39"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8740157499999996" bottom="0.78740157499999996"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sheetPr>
  <dimension ref="A1:Z1000"/>
  <sheetViews>
    <sheetView workbookViewId="0"/>
  </sheetViews>
  <sheetFormatPr baseColWidth="10" defaultColWidth="11.1640625" defaultRowHeight="15" customHeight="1" x14ac:dyDescent="0.2"/>
  <cols>
    <col min="1" max="1" width="10.5" customWidth="1"/>
    <col min="2" max="2" width="17" customWidth="1"/>
    <col min="3" max="3" width="35.1640625" customWidth="1"/>
    <col min="4" max="4" width="28.5" customWidth="1"/>
    <col min="5" max="5" width="21" customWidth="1"/>
    <col min="6" max="6" width="31" customWidth="1"/>
    <col min="7" max="7" width="28.5" customWidth="1"/>
    <col min="8" max="8" width="14.6640625" customWidth="1"/>
    <col min="9" max="9" width="31" customWidth="1"/>
    <col min="10" max="10" width="28.5" customWidth="1"/>
    <col min="11" max="26" width="10.5" customWidth="1"/>
  </cols>
  <sheetData>
    <row r="1" spans="1:26" ht="15.75" customHeight="1" x14ac:dyDescent="0.2"/>
    <row r="2" spans="1:26" ht="15.75" customHeight="1" x14ac:dyDescent="0.2">
      <c r="A2" s="5"/>
      <c r="B2" s="130" t="s">
        <v>498</v>
      </c>
      <c r="C2" s="131"/>
      <c r="D2" s="132"/>
      <c r="E2" s="130" t="s">
        <v>499</v>
      </c>
      <c r="F2" s="131"/>
      <c r="G2" s="131"/>
      <c r="H2" s="140" t="s">
        <v>500</v>
      </c>
      <c r="I2" s="131"/>
      <c r="J2" s="132"/>
      <c r="K2" s="140" t="s">
        <v>124</v>
      </c>
      <c r="L2" s="131"/>
      <c r="M2" s="132"/>
      <c r="N2" s="5"/>
      <c r="O2" s="5"/>
      <c r="P2" s="5"/>
      <c r="Q2" s="5"/>
      <c r="R2" s="5"/>
      <c r="S2" s="5"/>
      <c r="T2" s="5"/>
      <c r="U2" s="5"/>
      <c r="V2" s="5"/>
      <c r="W2" s="5"/>
      <c r="X2" s="5"/>
      <c r="Y2" s="5"/>
      <c r="Z2" s="5"/>
    </row>
    <row r="3" spans="1:26" ht="15.75" customHeight="1" x14ac:dyDescent="0.2">
      <c r="A3" s="5" t="s">
        <v>501</v>
      </c>
      <c r="B3" s="92" t="str">
        <f>Vartiainen2020!B15</f>
        <v>Vartiainen, 2020</v>
      </c>
      <c r="C3" s="93" t="str">
        <f>'Tsiropoulos2018 (JRC)'!B32</f>
        <v>Tsiropoulos, 2018 (ProRES scenario)</v>
      </c>
      <c r="D3" s="93" t="str">
        <f>Agora2019!B19</f>
        <v>Agora, 2019 (reference scenario)</v>
      </c>
      <c r="E3" s="92" t="str">
        <f>Vartiainen2020!B15</f>
        <v>Vartiainen, 2020</v>
      </c>
      <c r="F3" s="5" t="str">
        <f>'Tsiropoulos2018 (JRC)'!B32</f>
        <v>Tsiropoulos, 2018 (ProRES scenario)</v>
      </c>
      <c r="G3" s="5" t="str">
        <f>Agora2019!B19</f>
        <v>Agora, 2019 (reference scenario)</v>
      </c>
      <c r="H3" s="92" t="str">
        <f>Vartiainen2020!B15</f>
        <v>Vartiainen, 2020</v>
      </c>
      <c r="I3" s="5" t="str">
        <f>'Tsiropoulos2018 (JRC)'!B32</f>
        <v>Tsiropoulos, 2018 (ProRES scenario)</v>
      </c>
      <c r="J3" s="5" t="str">
        <f>Agora2019!B19</f>
        <v>Agora, 2019 (reference scenario)</v>
      </c>
      <c r="K3" s="92" t="s">
        <v>497</v>
      </c>
      <c r="L3" s="5" t="s">
        <v>486</v>
      </c>
      <c r="M3" s="5" t="s">
        <v>464</v>
      </c>
      <c r="N3" s="1"/>
      <c r="O3" s="1"/>
      <c r="P3" s="1"/>
      <c r="Q3" s="1"/>
      <c r="R3" s="1"/>
      <c r="S3" s="1"/>
      <c r="T3" s="1"/>
      <c r="U3" s="1"/>
      <c r="V3" s="1"/>
      <c r="W3" s="1"/>
      <c r="X3" s="1"/>
      <c r="Y3" s="1"/>
      <c r="Z3" s="1"/>
    </row>
    <row r="4" spans="1:26" ht="15.75" customHeight="1" x14ac:dyDescent="0.2">
      <c r="A4" s="7" t="s">
        <v>502</v>
      </c>
      <c r="B4" s="94"/>
      <c r="C4" s="7" t="str">
        <f>'Tsiropoulos2018 (JRC)'!A16</f>
        <v>utility-scale PV without tracking</v>
      </c>
      <c r="D4" s="7"/>
      <c r="E4" s="94"/>
      <c r="F4" s="7" t="str">
        <f>C4</f>
        <v>utility-scale PV without tracking</v>
      </c>
      <c r="G4" s="7"/>
      <c r="H4" s="94"/>
      <c r="I4" s="7" t="str">
        <f>C4</f>
        <v>utility-scale PV without tracking</v>
      </c>
      <c r="J4" s="7"/>
      <c r="K4" s="94"/>
      <c r="L4" s="7" t="str">
        <f>F4</f>
        <v>utility-scale PV without tracking</v>
      </c>
      <c r="M4" s="7"/>
      <c r="N4" s="1"/>
      <c r="O4" s="1"/>
      <c r="P4" s="1"/>
      <c r="Q4" s="1"/>
      <c r="R4" s="1"/>
      <c r="S4" s="1"/>
      <c r="T4" s="1"/>
      <c r="U4" s="1"/>
      <c r="V4" s="1"/>
      <c r="W4" s="1"/>
      <c r="X4" s="1"/>
      <c r="Y4" s="1"/>
      <c r="Z4" s="1"/>
    </row>
    <row r="5" spans="1:26" ht="15.75" customHeight="1" x14ac:dyDescent="0.2">
      <c r="A5" s="3">
        <v>2015</v>
      </c>
      <c r="B5" s="95"/>
      <c r="C5" s="3">
        <f>'Tsiropoulos2018 (JRC)'!D16</f>
        <v>1020</v>
      </c>
      <c r="E5" s="96"/>
      <c r="F5" s="97">
        <f>'Tsiropoulos2018 (JRC)'!D17</f>
        <v>1.7000000000000001E-2</v>
      </c>
      <c r="H5" s="98">
        <f>Vartiainen2020!D11</f>
        <v>30</v>
      </c>
      <c r="I5" s="14">
        <f>'Tsiropoulos2018 (JRC)'!D27</f>
        <v>25</v>
      </c>
      <c r="J5" s="14">
        <f>Agora2019!D4</f>
        <v>25</v>
      </c>
      <c r="K5" s="98">
        <f>Vartiainen2020!G11</f>
        <v>0</v>
      </c>
      <c r="L5" s="14">
        <f>'Tsiropoulos2018 (JRC)'!G27</f>
        <v>0</v>
      </c>
      <c r="M5" s="14">
        <f>Agora2019!G4</f>
        <v>0</v>
      </c>
    </row>
    <row r="6" spans="1:26" ht="15.75" customHeight="1" x14ac:dyDescent="0.2">
      <c r="A6" s="3">
        <v>2016</v>
      </c>
      <c r="B6" s="95"/>
      <c r="E6" s="96"/>
      <c r="F6" s="97"/>
      <c r="H6" s="96"/>
      <c r="I6" s="97"/>
      <c r="J6" s="1"/>
      <c r="K6" s="96"/>
      <c r="L6" s="97"/>
      <c r="M6" s="1"/>
    </row>
    <row r="7" spans="1:26" ht="15.75" customHeight="1" x14ac:dyDescent="0.2">
      <c r="A7" s="3">
        <v>2017</v>
      </c>
      <c r="B7" s="95"/>
      <c r="E7" s="96"/>
      <c r="F7" s="97"/>
      <c r="H7" s="95"/>
      <c r="I7" s="1"/>
      <c r="J7" s="1"/>
      <c r="K7" s="95"/>
      <c r="L7" s="1"/>
      <c r="M7" s="1"/>
    </row>
    <row r="8" spans="1:26" ht="15.75" customHeight="1" x14ac:dyDescent="0.2">
      <c r="A8" s="3">
        <v>2018</v>
      </c>
      <c r="B8" s="95"/>
      <c r="E8" s="96"/>
      <c r="F8" s="97"/>
      <c r="H8" s="95"/>
      <c r="I8" s="1"/>
      <c r="J8" s="1"/>
      <c r="K8" s="99">
        <v>0.17199999999999999</v>
      </c>
      <c r="L8" s="18">
        <v>0.15</v>
      </c>
      <c r="M8" s="1"/>
    </row>
    <row r="9" spans="1:26" ht="15.75" customHeight="1" x14ac:dyDescent="0.2">
      <c r="A9" s="3">
        <v>2019</v>
      </c>
      <c r="B9" s="95">
        <f>Vartiainen2020!D3</f>
        <v>462</v>
      </c>
      <c r="E9" s="96">
        <f>Vartiainen2020!D5</f>
        <v>1.9913419913419911E-2</v>
      </c>
      <c r="F9" s="97"/>
      <c r="H9" s="95"/>
      <c r="I9" s="1"/>
      <c r="J9" s="1"/>
      <c r="K9" s="100">
        <f t="shared" ref="K9:K40" si="0">K8+0.004</f>
        <v>0.17599999999999999</v>
      </c>
      <c r="L9" s="16">
        <f t="shared" ref="L9:L39" si="1">L8+($L$40-$L$8)/32</f>
        <v>0.15625</v>
      </c>
      <c r="M9" s="1"/>
    </row>
    <row r="10" spans="1:26" ht="15.75" customHeight="1" x14ac:dyDescent="0.2">
      <c r="A10" s="3">
        <v>2020</v>
      </c>
      <c r="B10" s="95">
        <f>HLOOKUP(A10,Vartiainen2020!$D$1:$AI$5,3,FALSE)</f>
        <v>431</v>
      </c>
      <c r="C10" s="3">
        <f>'Tsiropoulos2018 (JRC)'!E16</f>
        <v>690</v>
      </c>
      <c r="D10" s="3">
        <f>Agora2019!D2</f>
        <v>908</v>
      </c>
      <c r="E10" s="96">
        <f>HLOOKUP(A10,Vartiainen2020!$D$1:$AI$5,5,FALSE)</f>
        <v>2.0417633410672854E-2</v>
      </c>
      <c r="F10" s="97">
        <f>'Tsiropoulos2018 (JRC)'!E17</f>
        <v>1.7000000000000001E-2</v>
      </c>
      <c r="G10" s="97">
        <f>Agora2019!D3</f>
        <v>1.4999999999999999E-2</v>
      </c>
      <c r="H10" s="95"/>
      <c r="I10" s="1"/>
      <c r="J10" s="1"/>
      <c r="K10" s="100">
        <f t="shared" si="0"/>
        <v>0.18</v>
      </c>
      <c r="L10" s="16">
        <f t="shared" si="1"/>
        <v>0.16250000000000001</v>
      </c>
      <c r="M10" s="1"/>
    </row>
    <row r="11" spans="1:26" ht="15.75" customHeight="1" x14ac:dyDescent="0.2">
      <c r="A11" s="3">
        <v>2021</v>
      </c>
      <c r="B11" s="95">
        <f>HLOOKUP(A11,Vartiainen2020!$D$1:$AI$5,3,FALSE)</f>
        <v>406</v>
      </c>
      <c r="E11" s="96">
        <f>HLOOKUP(A11,Vartiainen2020!$D$1:$AI$5,5,FALSE)</f>
        <v>2.0689655172413793E-2</v>
      </c>
      <c r="F11" s="97"/>
      <c r="G11" s="97"/>
      <c r="H11" s="95"/>
      <c r="I11" s="1"/>
      <c r="J11" s="1"/>
      <c r="K11" s="100">
        <f t="shared" si="0"/>
        <v>0.184</v>
      </c>
      <c r="L11" s="16">
        <f t="shared" si="1"/>
        <v>0.16875000000000001</v>
      </c>
      <c r="M11" s="1"/>
    </row>
    <row r="12" spans="1:26" ht="15.75" customHeight="1" x14ac:dyDescent="0.2">
      <c r="A12" s="3">
        <v>2022</v>
      </c>
      <c r="B12" s="95">
        <f>HLOOKUP(A12,Vartiainen2020!$D$1:$AI$5,3,FALSE)</f>
        <v>384</v>
      </c>
      <c r="E12" s="96">
        <f>HLOOKUP(A12,Vartiainen2020!$D$1:$AI$5,5,FALSE)</f>
        <v>2.1093749999999998E-2</v>
      </c>
      <c r="F12" s="97"/>
      <c r="G12" s="97"/>
      <c r="H12" s="95"/>
      <c r="I12" s="1"/>
      <c r="J12" s="1"/>
      <c r="K12" s="100">
        <f t="shared" si="0"/>
        <v>0.188</v>
      </c>
      <c r="L12" s="16">
        <f t="shared" si="1"/>
        <v>0.17500000000000002</v>
      </c>
      <c r="M12" s="1"/>
    </row>
    <row r="13" spans="1:26" ht="15.75" customHeight="1" x14ac:dyDescent="0.2">
      <c r="A13" s="3">
        <v>2023</v>
      </c>
      <c r="B13" s="95">
        <f>HLOOKUP(A13,Vartiainen2020!$D$1:$AI$5,3,FALSE)</f>
        <v>365</v>
      </c>
      <c r="E13" s="96">
        <f>HLOOKUP(A13,Vartiainen2020!$D$1:$AI$5,5,FALSE)</f>
        <v>2.1369863013698628E-2</v>
      </c>
      <c r="F13" s="97"/>
      <c r="G13" s="97"/>
      <c r="H13" s="95"/>
      <c r="I13" s="1"/>
      <c r="J13" s="1"/>
      <c r="K13" s="100">
        <f t="shared" si="0"/>
        <v>0.192</v>
      </c>
      <c r="L13" s="16">
        <f t="shared" si="1"/>
        <v>0.18125000000000002</v>
      </c>
      <c r="M13" s="1"/>
    </row>
    <row r="14" spans="1:26" ht="15.75" customHeight="1" x14ac:dyDescent="0.2">
      <c r="A14" s="3">
        <v>2024</v>
      </c>
      <c r="B14" s="95">
        <f>HLOOKUP(A14,Vartiainen2020!$D$1:$AI$5,3,FALSE)</f>
        <v>348</v>
      </c>
      <c r="E14" s="96">
        <f>HLOOKUP(A14,Vartiainen2020!$D$1:$AI$5,5,FALSE)</f>
        <v>2.1839080459770115E-2</v>
      </c>
      <c r="F14" s="97"/>
      <c r="G14" s="97"/>
      <c r="H14" s="95"/>
      <c r="I14" s="1"/>
      <c r="J14" s="1"/>
      <c r="K14" s="100">
        <f t="shared" si="0"/>
        <v>0.19600000000000001</v>
      </c>
      <c r="L14" s="16">
        <f t="shared" si="1"/>
        <v>0.18750000000000003</v>
      </c>
      <c r="M14" s="1"/>
    </row>
    <row r="15" spans="1:26" ht="15.75" customHeight="1" x14ac:dyDescent="0.2">
      <c r="A15" s="3">
        <v>2025</v>
      </c>
      <c r="B15" s="95">
        <f>HLOOKUP(A15,Vartiainen2020!$D$1:$AI$5,3,FALSE)</f>
        <v>333</v>
      </c>
      <c r="E15" s="96">
        <f>HLOOKUP(A15,Vartiainen2020!$D$1:$AI$5,5,FALSE)</f>
        <v>2.2222222222222223E-2</v>
      </c>
      <c r="F15" s="97"/>
      <c r="G15" s="97"/>
      <c r="H15" s="95"/>
      <c r="I15" s="1"/>
      <c r="J15" s="1"/>
      <c r="K15" s="100">
        <f t="shared" si="0"/>
        <v>0.2</v>
      </c>
      <c r="L15" s="16">
        <f t="shared" si="1"/>
        <v>0.19375000000000003</v>
      </c>
      <c r="M15" s="1"/>
    </row>
    <row r="16" spans="1:26" ht="15.75" customHeight="1" x14ac:dyDescent="0.2">
      <c r="A16" s="3">
        <v>2026</v>
      </c>
      <c r="B16" s="95">
        <f>HLOOKUP(A16,Vartiainen2020!$D$1:$AI$5,3,FALSE)</f>
        <v>319</v>
      </c>
      <c r="E16" s="96">
        <f>HLOOKUP(A16,Vartiainen2020!$D$1:$AI$5,5,FALSE)</f>
        <v>2.2257053291536048E-2</v>
      </c>
      <c r="F16" s="97"/>
      <c r="G16" s="97"/>
      <c r="H16" s="95"/>
      <c r="I16" s="1"/>
      <c r="J16" s="1"/>
      <c r="K16" s="100">
        <f t="shared" si="0"/>
        <v>0.20400000000000001</v>
      </c>
      <c r="L16" s="16">
        <f t="shared" si="1"/>
        <v>0.20000000000000004</v>
      </c>
      <c r="M16" s="1"/>
    </row>
    <row r="17" spans="1:13" ht="15.75" customHeight="1" x14ac:dyDescent="0.2">
      <c r="A17" s="3">
        <v>2027</v>
      </c>
      <c r="B17" s="95">
        <f>HLOOKUP(A17,Vartiainen2020!$D$1:$AI$5,3,FALSE)</f>
        <v>307</v>
      </c>
      <c r="E17" s="96">
        <f>HLOOKUP(A17,Vartiainen2020!$D$1:$AI$5,5,FALSE)</f>
        <v>2.2475570032573292E-2</v>
      </c>
      <c r="F17" s="97"/>
      <c r="G17" s="97"/>
      <c r="H17" s="95"/>
      <c r="I17" s="1"/>
      <c r="J17" s="1"/>
      <c r="K17" s="100">
        <f t="shared" si="0"/>
        <v>0.20800000000000002</v>
      </c>
      <c r="L17" s="16">
        <f t="shared" si="1"/>
        <v>0.20625000000000004</v>
      </c>
      <c r="M17" s="1"/>
    </row>
    <row r="18" spans="1:13" ht="15.75" customHeight="1" x14ac:dyDescent="0.2">
      <c r="A18" s="3">
        <v>2028</v>
      </c>
      <c r="B18" s="95">
        <f>HLOOKUP(A18,Vartiainen2020!$D$1:$AI$5,3,FALSE)</f>
        <v>296</v>
      </c>
      <c r="E18" s="96">
        <f>HLOOKUP(A18,Vartiainen2020!$D$1:$AI$5,5,FALSE)</f>
        <v>2.2635135135135136E-2</v>
      </c>
      <c r="F18" s="97"/>
      <c r="G18" s="97"/>
      <c r="H18" s="95"/>
      <c r="I18" s="1"/>
      <c r="J18" s="1"/>
      <c r="K18" s="100">
        <f t="shared" si="0"/>
        <v>0.21200000000000002</v>
      </c>
      <c r="L18" s="16">
        <f t="shared" si="1"/>
        <v>0.21250000000000005</v>
      </c>
      <c r="M18" s="1"/>
    </row>
    <row r="19" spans="1:13" ht="15.75" customHeight="1" x14ac:dyDescent="0.2">
      <c r="A19" s="3">
        <v>2029</v>
      </c>
      <c r="B19" s="95">
        <f>HLOOKUP(A19,Vartiainen2020!$D$1:$AI$5,3,FALSE)</f>
        <v>285</v>
      </c>
      <c r="E19" s="96">
        <f>HLOOKUP(A19,Vartiainen2020!$D$1:$AI$5,5,FALSE)</f>
        <v>2.3157894736842103E-2</v>
      </c>
      <c r="F19" s="97"/>
      <c r="G19" s="97"/>
      <c r="H19" s="95"/>
      <c r="I19" s="1"/>
      <c r="J19" s="1"/>
      <c r="K19" s="100">
        <f t="shared" si="0"/>
        <v>0.21600000000000003</v>
      </c>
      <c r="L19" s="16">
        <f t="shared" si="1"/>
        <v>0.21875000000000006</v>
      </c>
      <c r="M19" s="1"/>
    </row>
    <row r="20" spans="1:13" ht="15.75" customHeight="1" x14ac:dyDescent="0.2">
      <c r="A20" s="3">
        <v>2030</v>
      </c>
      <c r="B20" s="95">
        <f>HLOOKUP(A20,Vartiainen2020!$D$1:$AI$5,3,FALSE)</f>
        <v>275</v>
      </c>
      <c r="C20" s="3">
        <f>'Tsiropoulos2018 (JRC)'!F16</f>
        <v>450</v>
      </c>
      <c r="D20" s="3">
        <f>Agora2019!E2</f>
        <v>718</v>
      </c>
      <c r="E20" s="96">
        <f>HLOOKUP(A20,Vartiainen2020!$D$1:$AI$5,5,FALSE)</f>
        <v>2.3272727272727275E-2</v>
      </c>
      <c r="F20" s="97"/>
      <c r="G20" s="97"/>
      <c r="H20" s="95"/>
      <c r="I20" s="1"/>
      <c r="J20" s="1"/>
      <c r="K20" s="100">
        <f t="shared" si="0"/>
        <v>0.22000000000000003</v>
      </c>
      <c r="L20" s="16">
        <f t="shared" si="1"/>
        <v>0.22500000000000006</v>
      </c>
      <c r="M20" s="1"/>
    </row>
    <row r="21" spans="1:13" ht="15.75" customHeight="1" x14ac:dyDescent="0.2">
      <c r="A21" s="3">
        <v>2031</v>
      </c>
      <c r="B21" s="95">
        <f>HLOOKUP(A21,Vartiainen2020!$D$1:$AI$5,3,FALSE)</f>
        <v>266</v>
      </c>
      <c r="E21" s="96">
        <f>HLOOKUP(A21,Vartiainen2020!$D$1:$AI$5,5,FALSE)</f>
        <v>2.3308270676691729E-2</v>
      </c>
      <c r="F21" s="97">
        <f>'Tsiropoulos2018 (JRC)'!F17</f>
        <v>1.7000000000000001E-2</v>
      </c>
      <c r="G21" s="97">
        <f>Agora2019!E3</f>
        <v>1.4999999999999999E-2</v>
      </c>
      <c r="H21" s="95"/>
      <c r="I21" s="1"/>
      <c r="J21" s="1"/>
      <c r="K21" s="100">
        <f t="shared" si="0"/>
        <v>0.22400000000000003</v>
      </c>
      <c r="L21" s="16">
        <f t="shared" si="1"/>
        <v>0.23125000000000007</v>
      </c>
      <c r="M21" s="1"/>
    </row>
    <row r="22" spans="1:13" ht="15.75" customHeight="1" x14ac:dyDescent="0.2">
      <c r="A22" s="3">
        <v>2032</v>
      </c>
      <c r="B22" s="95">
        <f>HLOOKUP(A22,Vartiainen2020!$D$1:$AI$5,3,FALSE)</f>
        <v>257</v>
      </c>
      <c r="E22" s="96">
        <f>HLOOKUP(A22,Vartiainen2020!$D$1:$AI$5,5,FALSE)</f>
        <v>2.3735408560311283E-2</v>
      </c>
      <c r="F22" s="97"/>
      <c r="G22" s="97"/>
      <c r="H22" s="95"/>
      <c r="I22" s="1"/>
      <c r="J22" s="1"/>
      <c r="K22" s="100">
        <f t="shared" si="0"/>
        <v>0.22800000000000004</v>
      </c>
      <c r="L22" s="16">
        <f t="shared" si="1"/>
        <v>0.23750000000000007</v>
      </c>
      <c r="M22" s="1"/>
    </row>
    <row r="23" spans="1:13" ht="15.75" customHeight="1" x14ac:dyDescent="0.2">
      <c r="A23" s="3">
        <v>2033</v>
      </c>
      <c r="B23" s="95">
        <f>HLOOKUP(A23,Vartiainen2020!$D$1:$AI$5,3,FALSE)</f>
        <v>249</v>
      </c>
      <c r="E23" s="96">
        <f>HLOOKUP(A23,Vartiainen2020!$D$1:$AI$5,5,FALSE)</f>
        <v>2.3694779116465864E-2</v>
      </c>
      <c r="F23" s="97"/>
      <c r="G23" s="97"/>
      <c r="H23" s="95"/>
      <c r="I23" s="1"/>
      <c r="J23" s="1"/>
      <c r="K23" s="100">
        <f t="shared" si="0"/>
        <v>0.23200000000000004</v>
      </c>
      <c r="L23" s="16">
        <f t="shared" si="1"/>
        <v>0.24375000000000008</v>
      </c>
      <c r="M23" s="1"/>
    </row>
    <row r="24" spans="1:13" ht="15.75" customHeight="1" x14ac:dyDescent="0.2">
      <c r="A24" s="3">
        <v>2034</v>
      </c>
      <c r="B24" s="95">
        <f>HLOOKUP(A24,Vartiainen2020!$D$1:$AI$5,3,FALSE)</f>
        <v>242</v>
      </c>
      <c r="E24" s="96">
        <f>HLOOKUP(A24,Vartiainen2020!$D$1:$AI$5,5,FALSE)</f>
        <v>2.3966942148760328E-2</v>
      </c>
      <c r="F24" s="97"/>
      <c r="G24" s="97"/>
      <c r="H24" s="95"/>
      <c r="I24" s="1"/>
      <c r="J24" s="1"/>
      <c r="K24" s="100">
        <f t="shared" si="0"/>
        <v>0.23600000000000004</v>
      </c>
      <c r="L24" s="16">
        <f t="shared" si="1"/>
        <v>0.25000000000000006</v>
      </c>
      <c r="M24" s="1"/>
    </row>
    <row r="25" spans="1:13" ht="15.75" customHeight="1" x14ac:dyDescent="0.2">
      <c r="A25" s="3">
        <v>2035</v>
      </c>
      <c r="B25" s="95">
        <f>HLOOKUP(A25,Vartiainen2020!$D$1:$AI$5,3,FALSE)</f>
        <v>235</v>
      </c>
      <c r="E25" s="96">
        <f>HLOOKUP(A25,Vartiainen2020!$D$1:$AI$5,5,FALSE)</f>
        <v>2.3829787234042551E-2</v>
      </c>
      <c r="F25" s="97"/>
      <c r="G25" s="97"/>
      <c r="H25" s="95"/>
      <c r="I25" s="1"/>
      <c r="J25" s="1"/>
      <c r="K25" s="100">
        <f t="shared" si="0"/>
        <v>0.24000000000000005</v>
      </c>
      <c r="L25" s="16">
        <f t="shared" si="1"/>
        <v>0.25625000000000003</v>
      </c>
      <c r="M25" s="1"/>
    </row>
    <row r="26" spans="1:13" ht="15.75" customHeight="1" x14ac:dyDescent="0.2">
      <c r="A26" s="3">
        <v>2036</v>
      </c>
      <c r="B26" s="95">
        <f>HLOOKUP(A26,Vartiainen2020!$D$1:$AI$5,3,FALSE)</f>
        <v>228</v>
      </c>
      <c r="E26" s="96">
        <f>HLOOKUP(A26,Vartiainen2020!$D$1:$AI$5,5,FALSE)</f>
        <v>2.4122807017543858E-2</v>
      </c>
      <c r="F26" s="97"/>
      <c r="G26" s="97"/>
      <c r="H26" s="95"/>
      <c r="I26" s="1"/>
      <c r="J26" s="1"/>
      <c r="K26" s="100">
        <f t="shared" si="0"/>
        <v>0.24400000000000005</v>
      </c>
      <c r="L26" s="16">
        <f t="shared" si="1"/>
        <v>0.26250000000000001</v>
      </c>
      <c r="M26" s="1"/>
    </row>
    <row r="27" spans="1:13" ht="15.75" customHeight="1" x14ac:dyDescent="0.2">
      <c r="A27" s="3">
        <v>2037</v>
      </c>
      <c r="B27" s="95">
        <f>HLOOKUP(A27,Vartiainen2020!$D$1:$AI$5,3,FALSE)</f>
        <v>221</v>
      </c>
      <c r="E27" s="96">
        <f>HLOOKUP(A27,Vartiainen2020!$D$1:$AI$5,5,FALSE)</f>
        <v>2.4434389140271493E-2</v>
      </c>
      <c r="F27" s="97"/>
      <c r="G27" s="97"/>
      <c r="H27" s="95"/>
      <c r="I27" s="1"/>
      <c r="J27" s="1"/>
      <c r="K27" s="100">
        <f t="shared" si="0"/>
        <v>0.24800000000000005</v>
      </c>
      <c r="L27" s="16">
        <f t="shared" si="1"/>
        <v>0.26874999999999999</v>
      </c>
      <c r="M27" s="1"/>
    </row>
    <row r="28" spans="1:13" ht="15.75" customHeight="1" x14ac:dyDescent="0.2">
      <c r="A28" s="3">
        <v>2038</v>
      </c>
      <c r="B28" s="95">
        <f>HLOOKUP(A28,Vartiainen2020!$D$1:$AI$5,3,FALSE)</f>
        <v>215</v>
      </c>
      <c r="E28" s="96">
        <f>HLOOKUP(A28,Vartiainen2020!$D$1:$AI$5,5,FALSE)</f>
        <v>2.4651162790697675E-2</v>
      </c>
      <c r="F28" s="97"/>
      <c r="G28" s="97"/>
      <c r="H28" s="95"/>
      <c r="I28" s="1"/>
      <c r="J28" s="1"/>
      <c r="K28" s="100">
        <f t="shared" si="0"/>
        <v>0.25200000000000006</v>
      </c>
      <c r="L28" s="16">
        <f t="shared" si="1"/>
        <v>0.27499999999999997</v>
      </c>
      <c r="M28" s="1"/>
    </row>
    <row r="29" spans="1:13" ht="15.75" customHeight="1" x14ac:dyDescent="0.2">
      <c r="A29" s="3">
        <v>2039</v>
      </c>
      <c r="B29" s="95">
        <f>HLOOKUP(A29,Vartiainen2020!$D$1:$AI$5,3,FALSE)</f>
        <v>209</v>
      </c>
      <c r="E29" s="96">
        <f>HLOOKUP(A29,Vartiainen2020!$D$1:$AI$5,5,FALSE)</f>
        <v>2.4401913875598084E-2</v>
      </c>
      <c r="F29" s="97"/>
      <c r="G29" s="97"/>
      <c r="H29" s="95"/>
      <c r="I29" s="1"/>
      <c r="J29" s="1"/>
      <c r="K29" s="100">
        <f t="shared" si="0"/>
        <v>0.25600000000000006</v>
      </c>
      <c r="L29" s="16">
        <f t="shared" si="1"/>
        <v>0.28124999999999994</v>
      </c>
      <c r="M29" s="1"/>
    </row>
    <row r="30" spans="1:13" ht="15.75" customHeight="1" x14ac:dyDescent="0.2">
      <c r="A30" s="3">
        <v>2040</v>
      </c>
      <c r="B30" s="95">
        <f>HLOOKUP(A30,Vartiainen2020!$D$1:$AI$5,3,FALSE)</f>
        <v>204</v>
      </c>
      <c r="C30" s="3">
        <f>'Tsiropoulos2018 (JRC)'!G16</f>
        <v>370</v>
      </c>
      <c r="E30" s="96">
        <f>HLOOKUP(A30,Vartiainen2020!$D$1:$AI$5,5,FALSE)</f>
        <v>2.4509803921568627E-2</v>
      </c>
      <c r="F30" s="97">
        <f>'Tsiropoulos2018 (JRC)'!G17</f>
        <v>1.7000000000000001E-2</v>
      </c>
      <c r="G30" s="97"/>
      <c r="H30" s="95"/>
      <c r="I30" s="1"/>
      <c r="J30" s="1"/>
      <c r="K30" s="100">
        <f t="shared" si="0"/>
        <v>0.26000000000000006</v>
      </c>
      <c r="L30" s="16">
        <f t="shared" si="1"/>
        <v>0.28749999999999992</v>
      </c>
      <c r="M30" s="1"/>
    </row>
    <row r="31" spans="1:13" ht="15.75" customHeight="1" x14ac:dyDescent="0.2">
      <c r="A31" s="3">
        <v>2041</v>
      </c>
      <c r="B31" s="95">
        <f>HLOOKUP(A31,Vartiainen2020!$D$1:$AI$5,3,FALSE)</f>
        <v>199</v>
      </c>
      <c r="E31" s="96">
        <f>HLOOKUP(A31,Vartiainen2020!$D$1:$AI$5,5,FALSE)</f>
        <v>2.4623115577889449E-2</v>
      </c>
      <c r="F31" s="97"/>
      <c r="G31" s="97"/>
      <c r="H31" s="95"/>
      <c r="I31" s="1"/>
      <c r="J31" s="1"/>
      <c r="K31" s="100">
        <f t="shared" si="0"/>
        <v>0.26400000000000007</v>
      </c>
      <c r="L31" s="16">
        <f t="shared" si="1"/>
        <v>0.2937499999999999</v>
      </c>
      <c r="M31" s="1"/>
    </row>
    <row r="32" spans="1:13" ht="15.75" customHeight="1" x14ac:dyDescent="0.2">
      <c r="A32" s="3">
        <v>2042</v>
      </c>
      <c r="B32" s="95">
        <f>HLOOKUP(A32,Vartiainen2020!$D$1:$AI$5,3,FALSE)</f>
        <v>194</v>
      </c>
      <c r="E32" s="96">
        <f>HLOOKUP(A32,Vartiainen2020!$D$1:$AI$5,5,FALSE)</f>
        <v>2.4742268041237112E-2</v>
      </c>
      <c r="F32" s="97"/>
      <c r="G32" s="97"/>
      <c r="H32" s="95"/>
      <c r="I32" s="1"/>
      <c r="J32" s="1"/>
      <c r="K32" s="100">
        <f t="shared" si="0"/>
        <v>0.26800000000000007</v>
      </c>
      <c r="L32" s="16">
        <f t="shared" si="1"/>
        <v>0.29999999999999988</v>
      </c>
      <c r="M32" s="1"/>
    </row>
    <row r="33" spans="1:13" ht="15.75" customHeight="1" x14ac:dyDescent="0.2">
      <c r="A33" s="3">
        <v>2043</v>
      </c>
      <c r="B33" s="95">
        <f>HLOOKUP(A33,Vartiainen2020!$D$1:$AI$5,3,FALSE)</f>
        <v>189</v>
      </c>
      <c r="E33" s="96">
        <f>HLOOKUP(A33,Vartiainen2020!$D$1:$AI$5,5,FALSE)</f>
        <v>2.4867724867724868E-2</v>
      </c>
      <c r="F33" s="97"/>
      <c r="G33" s="97"/>
      <c r="H33" s="95"/>
      <c r="I33" s="1"/>
      <c r="J33" s="1"/>
      <c r="K33" s="100">
        <f t="shared" si="0"/>
        <v>0.27200000000000008</v>
      </c>
      <c r="L33" s="16">
        <f t="shared" si="1"/>
        <v>0.30624999999999986</v>
      </c>
      <c r="M33" s="1"/>
    </row>
    <row r="34" spans="1:13" ht="15.75" customHeight="1" x14ac:dyDescent="0.2">
      <c r="A34" s="3">
        <v>2044</v>
      </c>
      <c r="B34" s="95">
        <f>HLOOKUP(A34,Vartiainen2020!$D$1:$AI$5,3,FALSE)</f>
        <v>185</v>
      </c>
      <c r="E34" s="96">
        <f>HLOOKUP(A34,Vartiainen2020!$D$1:$AI$5,5,FALSE)</f>
        <v>2.4864864864864864E-2</v>
      </c>
      <c r="F34" s="97"/>
      <c r="G34" s="97"/>
      <c r="H34" s="95"/>
      <c r="I34" s="1"/>
      <c r="J34" s="1"/>
      <c r="K34" s="100">
        <f t="shared" si="0"/>
        <v>0.27600000000000008</v>
      </c>
      <c r="L34" s="16">
        <f t="shared" si="1"/>
        <v>0.31249999999999983</v>
      </c>
      <c r="M34" s="1"/>
    </row>
    <row r="35" spans="1:13" ht="15.75" customHeight="1" x14ac:dyDescent="0.2">
      <c r="A35" s="3">
        <v>2045</v>
      </c>
      <c r="B35" s="95">
        <f>HLOOKUP(A35,Vartiainen2020!$D$1:$AI$5,3,FALSE)</f>
        <v>181</v>
      </c>
      <c r="E35" s="96">
        <f>HLOOKUP(A35,Vartiainen2020!$D$1:$AI$5,5,FALSE)</f>
        <v>2.5414364640883976E-2</v>
      </c>
      <c r="F35" s="97"/>
      <c r="G35" s="97"/>
      <c r="H35" s="95"/>
      <c r="I35" s="1"/>
      <c r="J35" s="1"/>
      <c r="K35" s="100">
        <f t="shared" si="0"/>
        <v>0.28000000000000008</v>
      </c>
      <c r="L35" s="16">
        <f t="shared" si="1"/>
        <v>0.31874999999999981</v>
      </c>
      <c r="M35" s="1"/>
    </row>
    <row r="36" spans="1:13" ht="15.75" customHeight="1" x14ac:dyDescent="0.2">
      <c r="A36" s="3">
        <v>2046</v>
      </c>
      <c r="B36" s="95">
        <f>HLOOKUP(A36,Vartiainen2020!$D$1:$AI$5,3,FALSE)</f>
        <v>177</v>
      </c>
      <c r="E36" s="96">
        <f>HLOOKUP(A36,Vartiainen2020!$D$1:$AI$5,5,FALSE)</f>
        <v>2.5423728813559324E-2</v>
      </c>
      <c r="F36" s="97"/>
      <c r="G36" s="97"/>
      <c r="H36" s="95"/>
      <c r="I36" s="1"/>
      <c r="J36" s="1"/>
      <c r="K36" s="100">
        <f t="shared" si="0"/>
        <v>0.28400000000000009</v>
      </c>
      <c r="L36" s="16">
        <f t="shared" si="1"/>
        <v>0.32499999999999979</v>
      </c>
      <c r="M36" s="1"/>
    </row>
    <row r="37" spans="1:13" ht="15.75" customHeight="1" x14ac:dyDescent="0.2">
      <c r="A37" s="3">
        <v>2047</v>
      </c>
      <c r="B37" s="95">
        <f>HLOOKUP(A37,Vartiainen2020!$D$1:$AI$5,3,FALSE)</f>
        <v>174</v>
      </c>
      <c r="E37" s="96">
        <f>HLOOKUP(A37,Vartiainen2020!$D$1:$AI$5,5,FALSE)</f>
        <v>2.5287356321839084E-2</v>
      </c>
      <c r="F37" s="97"/>
      <c r="G37" s="97"/>
      <c r="H37" s="95"/>
      <c r="I37" s="1"/>
      <c r="J37" s="1"/>
      <c r="K37" s="100">
        <f t="shared" si="0"/>
        <v>0.28800000000000009</v>
      </c>
      <c r="L37" s="16">
        <f t="shared" si="1"/>
        <v>0.33124999999999977</v>
      </c>
      <c r="M37" s="1"/>
    </row>
    <row r="38" spans="1:13" ht="15.75" customHeight="1" x14ac:dyDescent="0.2">
      <c r="A38" s="3">
        <v>2048</v>
      </c>
      <c r="B38" s="95">
        <f>HLOOKUP(A38,Vartiainen2020!$D$1:$AI$5,3,FALSE)</f>
        <v>170</v>
      </c>
      <c r="E38" s="96">
        <f>HLOOKUP(A38,Vartiainen2020!$D$1:$AI$5,5,FALSE)</f>
        <v>2.5294117647058821E-2</v>
      </c>
      <c r="F38" s="97"/>
      <c r="G38" s="97"/>
      <c r="H38" s="95"/>
      <c r="I38" s="1"/>
      <c r="J38" s="1"/>
      <c r="K38" s="100">
        <f t="shared" si="0"/>
        <v>0.29200000000000009</v>
      </c>
      <c r="L38" s="16">
        <f t="shared" si="1"/>
        <v>0.33749999999999974</v>
      </c>
      <c r="M38" s="1"/>
    </row>
    <row r="39" spans="1:13" ht="15.75" customHeight="1" x14ac:dyDescent="0.2">
      <c r="A39" s="3">
        <v>2049</v>
      </c>
      <c r="B39" s="95">
        <f>HLOOKUP(A39,Vartiainen2020!$D$1:$AI$5,3,FALSE)</f>
        <v>167</v>
      </c>
      <c r="E39" s="96">
        <f>HLOOKUP(A39,Vartiainen2020!$D$1:$AI$5,5,FALSE)</f>
        <v>2.5149700598802397E-2</v>
      </c>
      <c r="F39" s="97"/>
      <c r="G39" s="97"/>
      <c r="H39" s="95"/>
      <c r="I39" s="1"/>
      <c r="J39" s="1"/>
      <c r="K39" s="100">
        <f t="shared" si="0"/>
        <v>0.2960000000000001</v>
      </c>
      <c r="L39" s="16">
        <f t="shared" si="1"/>
        <v>0.34374999999999972</v>
      </c>
      <c r="M39" s="1"/>
    </row>
    <row r="40" spans="1:13" ht="15.75" customHeight="1" x14ac:dyDescent="0.2">
      <c r="A40" s="3">
        <v>2050</v>
      </c>
      <c r="B40" s="95">
        <f>HLOOKUP(A40,Vartiainen2020!$D$1:$AI$5,3,FALSE)</f>
        <v>164</v>
      </c>
      <c r="C40" s="3">
        <f>'Tsiropoulos2018 (JRC)'!H16</f>
        <v>320</v>
      </c>
      <c r="D40" s="3">
        <f>Agora2019!F2</f>
        <v>486</v>
      </c>
      <c r="E40" s="96">
        <f>HLOOKUP(A40,Vartiainen2020!$D$1:$AI$5,5,FALSE)</f>
        <v>2.5609756097560978E-2</v>
      </c>
      <c r="F40" s="97">
        <f>'Tsiropoulos2018 (JRC)'!H17</f>
        <v>1.7000000000000001E-2</v>
      </c>
      <c r="G40" s="97">
        <f>Agora2019!F3</f>
        <v>1.4999999999999999E-2</v>
      </c>
      <c r="H40" s="95"/>
      <c r="I40" s="1"/>
      <c r="J40" s="1"/>
      <c r="K40" s="100">
        <f t="shared" si="0"/>
        <v>0.3000000000000001</v>
      </c>
      <c r="L40" s="18">
        <v>0.35</v>
      </c>
      <c r="M40" s="1"/>
    </row>
    <row r="41" spans="1:13" ht="15.75" customHeight="1" x14ac:dyDescent="0.2">
      <c r="G41" s="97"/>
    </row>
    <row r="42" spans="1:13" ht="15.75" customHeight="1" x14ac:dyDescent="0.2">
      <c r="G42" s="97"/>
    </row>
    <row r="43" spans="1:13" ht="15.75" customHeight="1" x14ac:dyDescent="0.2">
      <c r="G43" s="97"/>
    </row>
    <row r="44" spans="1:13" ht="15.75" customHeight="1" x14ac:dyDescent="0.2">
      <c r="G44" s="97"/>
    </row>
    <row r="45" spans="1:13" ht="15.75" customHeight="1" x14ac:dyDescent="0.2"/>
    <row r="46" spans="1:13" ht="15.75" customHeight="1" x14ac:dyDescent="0.2"/>
    <row r="47" spans="1:13" ht="15.75" customHeight="1" x14ac:dyDescent="0.2"/>
    <row r="48" spans="1:13" ht="15.75" customHeight="1" x14ac:dyDescent="0.2"/>
    <row r="49" spans="2:7" ht="15.75" customHeight="1" x14ac:dyDescent="0.2"/>
    <row r="50" spans="2:7" ht="15.75" customHeight="1" x14ac:dyDescent="0.2"/>
    <row r="51" spans="2:7" ht="15.75" customHeight="1" x14ac:dyDescent="0.2"/>
    <row r="52" spans="2:7" ht="15.75" customHeight="1" x14ac:dyDescent="0.2"/>
    <row r="53" spans="2:7" ht="15.75" customHeight="1" x14ac:dyDescent="0.2"/>
    <row r="54" spans="2:7" ht="15.75" customHeight="1" x14ac:dyDescent="0.2"/>
    <row r="55" spans="2:7" ht="15.75" customHeight="1" x14ac:dyDescent="0.2"/>
    <row r="56" spans="2:7" ht="15.75" customHeight="1" x14ac:dyDescent="0.2"/>
    <row r="57" spans="2:7" ht="15.75" customHeight="1" x14ac:dyDescent="0.2"/>
    <row r="58" spans="2:7" ht="15.75" customHeight="1" x14ac:dyDescent="0.2"/>
    <row r="59" spans="2:7" ht="15.75" customHeight="1" x14ac:dyDescent="0.2"/>
    <row r="60" spans="2:7" ht="15.75" customHeight="1" x14ac:dyDescent="0.2"/>
    <row r="61" spans="2:7" ht="15.75" customHeight="1" x14ac:dyDescent="0.2"/>
    <row r="62" spans="2:7" ht="15.75" customHeight="1" x14ac:dyDescent="0.2"/>
    <row r="63" spans="2:7" ht="15.75" customHeight="1" x14ac:dyDescent="0.2"/>
    <row r="64" spans="2:7" ht="15.75" customHeight="1" x14ac:dyDescent="0.25">
      <c r="B64" s="141" t="s">
        <v>503</v>
      </c>
      <c r="C64" s="131"/>
      <c r="D64" s="131"/>
      <c r="E64" s="131"/>
      <c r="F64" s="131"/>
      <c r="G64" s="132"/>
    </row>
    <row r="65" spans="2:7" ht="6.75" customHeight="1" x14ac:dyDescent="0.2"/>
    <row r="66" spans="2:7" ht="15.75" customHeight="1" x14ac:dyDescent="0.2">
      <c r="B66" s="101" t="s">
        <v>504</v>
      </c>
      <c r="C66" s="34"/>
      <c r="D66" s="34"/>
      <c r="E66" s="35"/>
      <c r="G66" s="102" t="s">
        <v>505</v>
      </c>
    </row>
    <row r="67" spans="2:7" ht="51" customHeight="1" x14ac:dyDescent="0.2">
      <c r="B67" s="137" t="s">
        <v>506</v>
      </c>
      <c r="C67" s="138"/>
      <c r="D67" s="138"/>
      <c r="E67" s="139"/>
      <c r="G67" s="103" t="str">
        <f>C3</f>
        <v>Tsiropoulos, 2018 (ProRES scenario)</v>
      </c>
    </row>
    <row r="68" spans="2:7" ht="15.75" customHeight="1" x14ac:dyDescent="0.2"/>
    <row r="69" spans="2:7" ht="15.75" customHeight="1" x14ac:dyDescent="0.2"/>
    <row r="70" spans="2:7" ht="15.75" customHeight="1" x14ac:dyDescent="0.2"/>
    <row r="71" spans="2:7" ht="15.75" customHeight="1" x14ac:dyDescent="0.2"/>
    <row r="72" spans="2:7" ht="15.75" customHeight="1" x14ac:dyDescent="0.2"/>
    <row r="73" spans="2:7" ht="15.75" customHeight="1" x14ac:dyDescent="0.2"/>
    <row r="74" spans="2:7" ht="15.75" customHeight="1" x14ac:dyDescent="0.2"/>
    <row r="75" spans="2:7" ht="15.75" customHeight="1" x14ac:dyDescent="0.2"/>
    <row r="76" spans="2:7" ht="15.75" customHeight="1" x14ac:dyDescent="0.2"/>
    <row r="77" spans="2:7" ht="15.75" customHeight="1" x14ac:dyDescent="0.2"/>
    <row r="78" spans="2:7" ht="15.75" customHeight="1" x14ac:dyDescent="0.2"/>
    <row r="79" spans="2:7" ht="15.75" customHeight="1" x14ac:dyDescent="0.2"/>
    <row r="80" spans="2:7"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6">
    <mergeCell ref="B67:E67"/>
    <mergeCell ref="B2:D2"/>
    <mergeCell ref="E2:G2"/>
    <mergeCell ref="H2:J2"/>
    <mergeCell ref="K2:M2"/>
    <mergeCell ref="B64:G64"/>
  </mergeCells>
  <pageMargins left="0.7" right="0.7" top="0.78740157499999996" bottom="0.78740157499999996" header="0" footer="0"/>
  <pageSetup orientation="landscape"/>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sheetPr>
  <dimension ref="A1:Z1000"/>
  <sheetViews>
    <sheetView workbookViewId="0"/>
  </sheetViews>
  <sheetFormatPr baseColWidth="10" defaultColWidth="11.1640625" defaultRowHeight="15" customHeight="1" x14ac:dyDescent="0.2"/>
  <cols>
    <col min="1" max="1" width="10.5" customWidth="1"/>
    <col min="2" max="2" width="31" customWidth="1"/>
    <col min="3" max="3" width="35.1640625" customWidth="1"/>
    <col min="4" max="4" width="21" customWidth="1"/>
    <col min="5" max="5" width="31" customWidth="1"/>
    <col min="6" max="6" width="14.6640625" customWidth="1"/>
    <col min="7" max="7" width="31" customWidth="1"/>
    <col min="8" max="26" width="10.5" customWidth="1"/>
  </cols>
  <sheetData>
    <row r="1" spans="1:26" ht="15.75" customHeight="1" x14ac:dyDescent="0.2"/>
    <row r="2" spans="1:26" ht="15.75" customHeight="1" x14ac:dyDescent="0.2">
      <c r="A2" s="5"/>
      <c r="B2" s="130" t="s">
        <v>498</v>
      </c>
      <c r="C2" s="131"/>
      <c r="D2" s="130" t="s">
        <v>499</v>
      </c>
      <c r="E2" s="131"/>
      <c r="F2" s="140" t="s">
        <v>500</v>
      </c>
      <c r="G2" s="131"/>
      <c r="H2" s="5"/>
    </row>
    <row r="3" spans="1:26" ht="15.75" customHeight="1" x14ac:dyDescent="0.2">
      <c r="A3" s="5" t="s">
        <v>501</v>
      </c>
      <c r="B3" s="92" t="str">
        <f>'Tsiropoulos2018 (JRC)'!B32</f>
        <v>Tsiropoulos, 2018 (ProRES scenario)</v>
      </c>
      <c r="C3" s="93" t="str">
        <f>Agora2019!B19</f>
        <v>Agora, 2019 (reference scenario)</v>
      </c>
      <c r="D3" s="92" t="str">
        <f>'Tsiropoulos2018 (JRC)'!B32</f>
        <v>Tsiropoulos, 2018 (ProRES scenario)</v>
      </c>
      <c r="E3" s="5" t="str">
        <f>Agora2019!B19</f>
        <v>Agora, 2019 (reference scenario)</v>
      </c>
      <c r="F3" s="92" t="str">
        <f>'Tsiropoulos2018 (JRC)'!B32</f>
        <v>Tsiropoulos, 2018 (ProRES scenario)</v>
      </c>
      <c r="G3" s="5" t="str">
        <f>Agora2019!B19</f>
        <v>Agora, 2019 (reference scenario)</v>
      </c>
      <c r="H3" s="5"/>
      <c r="I3" s="1"/>
      <c r="J3" s="1"/>
      <c r="K3" s="1"/>
      <c r="L3" s="1"/>
      <c r="M3" s="1"/>
      <c r="N3" s="1"/>
      <c r="O3" s="1"/>
      <c r="P3" s="1"/>
      <c r="Q3" s="1"/>
      <c r="R3" s="1"/>
      <c r="S3" s="1"/>
      <c r="T3" s="1"/>
      <c r="U3" s="1"/>
      <c r="V3" s="1"/>
      <c r="W3" s="1"/>
      <c r="X3" s="1"/>
      <c r="Y3" s="1"/>
      <c r="Z3" s="1"/>
    </row>
    <row r="4" spans="1:26" ht="15.75" customHeight="1" x14ac:dyDescent="0.2">
      <c r="A4" s="7" t="s">
        <v>502</v>
      </c>
      <c r="B4" s="94" t="str">
        <f>'Tsiropoulos2018 (JRC)'!A4</f>
        <v>on-shore, medium specific capacity, medium hub height</v>
      </c>
      <c r="C4" s="7"/>
      <c r="D4" s="94" t="str">
        <f>'Tsiropoulos2018 (JRC)'!A4</f>
        <v>on-shore, medium specific capacity, medium hub height</v>
      </c>
      <c r="E4" s="7"/>
      <c r="F4" s="94" t="str">
        <f>'Tsiropoulos2018 (JRC)'!A4</f>
        <v>on-shore, medium specific capacity, medium hub height</v>
      </c>
      <c r="G4" s="7"/>
      <c r="H4" s="1"/>
      <c r="I4" s="1"/>
      <c r="J4" s="1"/>
      <c r="K4" s="1"/>
      <c r="L4" s="1"/>
      <c r="M4" s="1"/>
      <c r="N4" s="1"/>
      <c r="O4" s="1"/>
      <c r="P4" s="1"/>
      <c r="Q4" s="1"/>
      <c r="R4" s="1"/>
      <c r="S4" s="1"/>
      <c r="T4" s="1"/>
      <c r="U4" s="1"/>
      <c r="V4" s="1"/>
      <c r="W4" s="1"/>
      <c r="X4" s="1"/>
      <c r="Y4" s="1"/>
      <c r="Z4" s="1"/>
    </row>
    <row r="5" spans="1:26" ht="15.75" customHeight="1" x14ac:dyDescent="0.2">
      <c r="A5" s="3">
        <v>2015</v>
      </c>
      <c r="B5" s="95">
        <f>'Tsiropoulos2018 (JRC)'!D4</f>
        <v>1350</v>
      </c>
      <c r="D5" s="96">
        <f>'Tsiropoulos2018 (JRC)'!D5</f>
        <v>0.03</v>
      </c>
      <c r="E5" s="97"/>
      <c r="F5" s="98">
        <f>'Tsiropoulos2018 (JRC)'!D25</f>
        <v>25</v>
      </c>
      <c r="G5" s="14">
        <f>Agora2019!D7</f>
        <v>20</v>
      </c>
    </row>
    <row r="6" spans="1:26" ht="15.75" customHeight="1" x14ac:dyDescent="0.2">
      <c r="A6" s="3">
        <v>2016</v>
      </c>
      <c r="B6" s="95"/>
      <c r="D6" s="96"/>
      <c r="E6" s="97"/>
      <c r="F6" s="96"/>
      <c r="G6" s="97"/>
    </row>
    <row r="7" spans="1:26" ht="15.75" customHeight="1" x14ac:dyDescent="0.2">
      <c r="A7" s="3">
        <v>2017</v>
      </c>
      <c r="B7" s="95"/>
      <c r="D7" s="96"/>
      <c r="E7" s="97"/>
      <c r="F7" s="95"/>
      <c r="G7" s="1"/>
    </row>
    <row r="8" spans="1:26" ht="15.75" customHeight="1" x14ac:dyDescent="0.2">
      <c r="A8" s="3">
        <v>2018</v>
      </c>
      <c r="B8" s="95"/>
      <c r="D8" s="96"/>
      <c r="E8" s="97"/>
      <c r="F8" s="95"/>
      <c r="G8" s="1"/>
    </row>
    <row r="9" spans="1:26" ht="15.75" customHeight="1" x14ac:dyDescent="0.2">
      <c r="A9" s="3">
        <v>2019</v>
      </c>
      <c r="B9" s="95"/>
      <c r="D9" s="96"/>
      <c r="E9" s="97"/>
      <c r="F9" s="95"/>
      <c r="G9" s="1"/>
    </row>
    <row r="10" spans="1:26" ht="15.75" customHeight="1" x14ac:dyDescent="0.2">
      <c r="A10" s="3">
        <v>2020</v>
      </c>
      <c r="B10" s="95">
        <f>'Tsiropoulos2018 (JRC)'!E4</f>
        <v>1290</v>
      </c>
      <c r="C10" s="3">
        <f>Agora2019!D5</f>
        <v>1526</v>
      </c>
      <c r="D10" s="96">
        <f>'Tsiropoulos2018 (JRC)'!E5</f>
        <v>0.03</v>
      </c>
      <c r="E10" s="97">
        <f>Agora2019!D6</f>
        <v>2.5000000000000001E-2</v>
      </c>
      <c r="F10" s="95"/>
      <c r="G10" s="1"/>
    </row>
    <row r="11" spans="1:26" ht="15.75" customHeight="1" x14ac:dyDescent="0.2">
      <c r="A11" s="3">
        <v>2021</v>
      </c>
      <c r="B11" s="95"/>
      <c r="D11" s="96"/>
      <c r="E11" s="97"/>
      <c r="F11" s="95"/>
      <c r="G11" s="1"/>
    </row>
    <row r="12" spans="1:26" ht="15.75" customHeight="1" x14ac:dyDescent="0.2">
      <c r="A12" s="3">
        <v>2022</v>
      </c>
      <c r="B12" s="95"/>
      <c r="D12" s="96"/>
      <c r="E12" s="97"/>
      <c r="F12" s="95"/>
      <c r="G12" s="1"/>
    </row>
    <row r="13" spans="1:26" ht="15.75" customHeight="1" x14ac:dyDescent="0.2">
      <c r="A13" s="3">
        <v>2023</v>
      </c>
      <c r="B13" s="95"/>
      <c r="D13" s="96"/>
      <c r="E13" s="97"/>
      <c r="F13" s="95"/>
      <c r="G13" s="1"/>
    </row>
    <row r="14" spans="1:26" ht="15.75" customHeight="1" x14ac:dyDescent="0.2">
      <c r="A14" s="3">
        <v>2024</v>
      </c>
      <c r="B14" s="95"/>
      <c r="D14" s="96"/>
      <c r="E14" s="97"/>
      <c r="F14" s="95"/>
      <c r="G14" s="1"/>
    </row>
    <row r="15" spans="1:26" ht="15.75" customHeight="1" x14ac:dyDescent="0.2">
      <c r="A15" s="3">
        <v>2025</v>
      </c>
      <c r="B15" s="95"/>
      <c r="D15" s="96"/>
      <c r="E15" s="97"/>
      <c r="F15" s="95"/>
      <c r="G15" s="1"/>
    </row>
    <row r="16" spans="1:26" ht="15.75" customHeight="1" x14ac:dyDescent="0.2">
      <c r="A16" s="3">
        <v>2026</v>
      </c>
      <c r="B16" s="95"/>
      <c r="D16" s="96"/>
      <c r="E16" s="97"/>
      <c r="F16" s="95"/>
      <c r="G16" s="1"/>
    </row>
    <row r="17" spans="1:7" ht="15.75" customHeight="1" x14ac:dyDescent="0.2">
      <c r="A17" s="3">
        <v>2027</v>
      </c>
      <c r="B17" s="95"/>
      <c r="D17" s="96"/>
      <c r="E17" s="97"/>
      <c r="F17" s="95"/>
      <c r="G17" s="1"/>
    </row>
    <row r="18" spans="1:7" ht="15.75" customHeight="1" x14ac:dyDescent="0.2">
      <c r="A18" s="3">
        <v>2028</v>
      </c>
      <c r="B18" s="95"/>
      <c r="D18" s="96"/>
      <c r="E18" s="97"/>
      <c r="F18" s="95"/>
      <c r="G18" s="1"/>
    </row>
    <row r="19" spans="1:7" ht="15.75" customHeight="1" x14ac:dyDescent="0.2">
      <c r="A19" s="3">
        <v>2029</v>
      </c>
      <c r="B19" s="95"/>
      <c r="D19" s="96"/>
      <c r="E19" s="97"/>
      <c r="F19" s="95"/>
      <c r="G19" s="1"/>
    </row>
    <row r="20" spans="1:7" ht="15.75" customHeight="1" x14ac:dyDescent="0.2">
      <c r="A20" s="3">
        <v>2030</v>
      </c>
      <c r="B20" s="95">
        <f>'Tsiropoulos2018 (JRC)'!F4</f>
        <v>1190</v>
      </c>
      <c r="C20" s="3">
        <f>Agora2019!E5</f>
        <v>1260</v>
      </c>
      <c r="D20" s="96">
        <f>'Tsiropoulos2018 (JRC)'!F5</f>
        <v>0.03</v>
      </c>
      <c r="E20" s="97">
        <f>Agora2019!E6</f>
        <v>2.5000000000000001E-2</v>
      </c>
      <c r="F20" s="95"/>
      <c r="G20" s="1"/>
    </row>
    <row r="21" spans="1:7" ht="15.75" customHeight="1" x14ac:dyDescent="0.2">
      <c r="A21" s="3">
        <v>2031</v>
      </c>
      <c r="B21" s="95"/>
      <c r="D21" s="96"/>
      <c r="E21" s="97"/>
      <c r="F21" s="95"/>
      <c r="G21" s="1"/>
    </row>
    <row r="22" spans="1:7" ht="15.75" customHeight="1" x14ac:dyDescent="0.2">
      <c r="A22" s="3">
        <v>2032</v>
      </c>
      <c r="B22" s="95"/>
      <c r="D22" s="96"/>
      <c r="E22" s="97"/>
      <c r="F22" s="95"/>
      <c r="G22" s="1"/>
    </row>
    <row r="23" spans="1:7" ht="15.75" customHeight="1" x14ac:dyDescent="0.2">
      <c r="A23" s="3">
        <v>2033</v>
      </c>
      <c r="B23" s="95"/>
      <c r="D23" s="96"/>
      <c r="E23" s="97"/>
      <c r="F23" s="95"/>
      <c r="G23" s="1"/>
    </row>
    <row r="24" spans="1:7" ht="15.75" customHeight="1" x14ac:dyDescent="0.2">
      <c r="A24" s="3">
        <v>2034</v>
      </c>
      <c r="B24" s="95"/>
      <c r="D24" s="96"/>
      <c r="E24" s="97"/>
      <c r="F24" s="95"/>
      <c r="G24" s="1"/>
    </row>
    <row r="25" spans="1:7" ht="15.75" customHeight="1" x14ac:dyDescent="0.2">
      <c r="A25" s="3">
        <v>2035</v>
      </c>
      <c r="B25" s="95"/>
      <c r="D25" s="96"/>
      <c r="E25" s="97"/>
      <c r="F25" s="95"/>
      <c r="G25" s="1"/>
    </row>
    <row r="26" spans="1:7" ht="15.75" customHeight="1" x14ac:dyDescent="0.2">
      <c r="A26" s="3">
        <v>2036</v>
      </c>
      <c r="B26" s="95"/>
      <c r="D26" s="96"/>
      <c r="E26" s="97"/>
      <c r="F26" s="95"/>
      <c r="G26" s="1"/>
    </row>
    <row r="27" spans="1:7" ht="15.75" customHeight="1" x14ac:dyDescent="0.2">
      <c r="A27" s="3">
        <v>2037</v>
      </c>
      <c r="B27" s="95"/>
      <c r="D27" s="96"/>
      <c r="E27" s="97"/>
      <c r="F27" s="95"/>
      <c r="G27" s="1"/>
    </row>
    <row r="28" spans="1:7" ht="15.75" customHeight="1" x14ac:dyDescent="0.2">
      <c r="A28" s="3">
        <v>2038</v>
      </c>
      <c r="B28" s="95"/>
      <c r="D28" s="96"/>
      <c r="E28" s="97"/>
      <c r="F28" s="95"/>
      <c r="G28" s="1"/>
    </row>
    <row r="29" spans="1:7" ht="15.75" customHeight="1" x14ac:dyDescent="0.2">
      <c r="A29" s="3">
        <v>2039</v>
      </c>
      <c r="B29" s="95"/>
      <c r="D29" s="96"/>
      <c r="E29" s="97"/>
      <c r="F29" s="95"/>
      <c r="G29" s="1"/>
    </row>
    <row r="30" spans="1:7" ht="15.75" customHeight="1" x14ac:dyDescent="0.2">
      <c r="A30" s="3">
        <v>2040</v>
      </c>
      <c r="B30" s="95">
        <f>'Tsiropoulos2018 (JRC)'!G4</f>
        <v>1140</v>
      </c>
      <c r="D30" s="96">
        <f>'Tsiropoulos2018 (JRC)'!G5</f>
        <v>0.03</v>
      </c>
      <c r="E30" s="97"/>
      <c r="F30" s="95"/>
      <c r="G30" s="1"/>
    </row>
    <row r="31" spans="1:7" ht="15.75" customHeight="1" x14ac:dyDescent="0.2">
      <c r="A31" s="3">
        <v>2041</v>
      </c>
      <c r="B31" s="95"/>
      <c r="D31" s="96"/>
      <c r="E31" s="97"/>
      <c r="F31" s="95"/>
      <c r="G31" s="1"/>
    </row>
    <row r="32" spans="1:7" ht="15.75" customHeight="1" x14ac:dyDescent="0.2">
      <c r="A32" s="3">
        <v>2042</v>
      </c>
      <c r="B32" s="95"/>
      <c r="D32" s="96"/>
      <c r="E32" s="97"/>
      <c r="F32" s="95"/>
      <c r="G32" s="1"/>
    </row>
    <row r="33" spans="1:7" ht="15.75" customHeight="1" x14ac:dyDescent="0.2">
      <c r="A33" s="3">
        <v>2043</v>
      </c>
      <c r="B33" s="95"/>
      <c r="D33" s="96"/>
      <c r="E33" s="97"/>
      <c r="F33" s="95"/>
      <c r="G33" s="1"/>
    </row>
    <row r="34" spans="1:7" ht="15.75" customHeight="1" x14ac:dyDescent="0.2">
      <c r="A34" s="3">
        <v>2044</v>
      </c>
      <c r="B34" s="95"/>
      <c r="D34" s="96"/>
      <c r="E34" s="97"/>
      <c r="F34" s="95"/>
      <c r="G34" s="1"/>
    </row>
    <row r="35" spans="1:7" ht="15.75" customHeight="1" x14ac:dyDescent="0.2">
      <c r="A35" s="3">
        <v>2045</v>
      </c>
      <c r="B35" s="95"/>
      <c r="D35" s="96"/>
      <c r="E35" s="97"/>
      <c r="F35" s="95"/>
      <c r="G35" s="1"/>
    </row>
    <row r="36" spans="1:7" ht="15.75" customHeight="1" x14ac:dyDescent="0.2">
      <c r="A36" s="3">
        <v>2046</v>
      </c>
      <c r="B36" s="95"/>
      <c r="D36" s="96"/>
      <c r="E36" s="97"/>
      <c r="F36" s="95"/>
      <c r="G36" s="1"/>
    </row>
    <row r="37" spans="1:7" ht="15.75" customHeight="1" x14ac:dyDescent="0.2">
      <c r="A37" s="3">
        <v>2047</v>
      </c>
      <c r="B37" s="95"/>
      <c r="D37" s="96"/>
      <c r="E37" s="97"/>
      <c r="F37" s="95"/>
      <c r="G37" s="1"/>
    </row>
    <row r="38" spans="1:7" ht="15.75" customHeight="1" x14ac:dyDescent="0.2">
      <c r="A38" s="3">
        <v>2048</v>
      </c>
      <c r="B38" s="95"/>
      <c r="D38" s="96"/>
      <c r="E38" s="97"/>
      <c r="F38" s="95"/>
      <c r="G38" s="1"/>
    </row>
    <row r="39" spans="1:7" ht="15.75" customHeight="1" x14ac:dyDescent="0.2">
      <c r="A39" s="3">
        <v>2049</v>
      </c>
      <c r="B39" s="95"/>
      <c r="D39" s="96"/>
      <c r="E39" s="97"/>
      <c r="F39" s="95"/>
      <c r="G39" s="1"/>
    </row>
    <row r="40" spans="1:7" ht="15.75" customHeight="1" x14ac:dyDescent="0.2">
      <c r="A40" s="3">
        <v>2050</v>
      </c>
      <c r="B40" s="95">
        <f>'Tsiropoulos2018 (JRC)'!H4</f>
        <v>1110</v>
      </c>
      <c r="C40" s="3">
        <f>Agora2019!F5</f>
        <v>1078</v>
      </c>
      <c r="D40" s="96">
        <f>'Tsiropoulos2018 (JRC)'!H5</f>
        <v>0.03</v>
      </c>
      <c r="E40" s="97">
        <f>Agora2019!F6</f>
        <v>2.5000000000000001E-2</v>
      </c>
      <c r="F40" s="95"/>
      <c r="G40" s="1"/>
    </row>
    <row r="41" spans="1:7" ht="15.75" customHeight="1" x14ac:dyDescent="0.2"/>
    <row r="42" spans="1:7" ht="15.75" customHeight="1" x14ac:dyDescent="0.2"/>
    <row r="43" spans="1:7" ht="15.75" customHeight="1" x14ac:dyDescent="0.2"/>
    <row r="44" spans="1:7" ht="15.75" customHeight="1" x14ac:dyDescent="0.2"/>
    <row r="45" spans="1:7" ht="15.75" customHeight="1" x14ac:dyDescent="0.2"/>
    <row r="46" spans="1:7" ht="15.75" customHeight="1" x14ac:dyDescent="0.2"/>
    <row r="47" spans="1:7" ht="15.75" customHeight="1" x14ac:dyDescent="0.2"/>
    <row r="48" spans="1:7" ht="15.75" customHeight="1" x14ac:dyDescent="0.2"/>
    <row r="49" spans="2:7" ht="15.75" customHeight="1" x14ac:dyDescent="0.2"/>
    <row r="50" spans="2:7" ht="15.75" customHeight="1" x14ac:dyDescent="0.2"/>
    <row r="51" spans="2:7" ht="15.75" customHeight="1" x14ac:dyDescent="0.2"/>
    <row r="52" spans="2:7" ht="15.75" customHeight="1" x14ac:dyDescent="0.2"/>
    <row r="53" spans="2:7" ht="15.75" customHeight="1" x14ac:dyDescent="0.2"/>
    <row r="54" spans="2:7" ht="15.75" customHeight="1" x14ac:dyDescent="0.2"/>
    <row r="55" spans="2:7" ht="15.75" customHeight="1" x14ac:dyDescent="0.2"/>
    <row r="56" spans="2:7" ht="15.75" customHeight="1" x14ac:dyDescent="0.2"/>
    <row r="57" spans="2:7" ht="15.75" customHeight="1" x14ac:dyDescent="0.2"/>
    <row r="58" spans="2:7" ht="15.75" customHeight="1" x14ac:dyDescent="0.2"/>
    <row r="59" spans="2:7" ht="15.75" customHeight="1" x14ac:dyDescent="0.2"/>
    <row r="60" spans="2:7" ht="15.75" customHeight="1" x14ac:dyDescent="0.2"/>
    <row r="61" spans="2:7" ht="15.75" customHeight="1" x14ac:dyDescent="0.2"/>
    <row r="62" spans="2:7" ht="15.75" customHeight="1" x14ac:dyDescent="0.2"/>
    <row r="63" spans="2:7" ht="15.75" customHeight="1" x14ac:dyDescent="0.25">
      <c r="B63" s="141" t="s">
        <v>503</v>
      </c>
      <c r="C63" s="131"/>
      <c r="D63" s="131"/>
      <c r="E63" s="131"/>
      <c r="F63" s="131"/>
      <c r="G63" s="132"/>
    </row>
    <row r="64" spans="2:7" ht="6.75" customHeight="1" x14ac:dyDescent="0.2"/>
    <row r="65" spans="2:7" ht="15.75" customHeight="1" x14ac:dyDescent="0.2">
      <c r="B65" s="101" t="s">
        <v>504</v>
      </c>
      <c r="C65" s="34"/>
      <c r="D65" s="34"/>
      <c r="E65" s="35"/>
      <c r="G65" s="102" t="s">
        <v>505</v>
      </c>
    </row>
    <row r="66" spans="2:7" ht="36.75" customHeight="1" x14ac:dyDescent="0.2">
      <c r="B66" s="137" t="s">
        <v>507</v>
      </c>
      <c r="C66" s="138"/>
      <c r="D66" s="138"/>
      <c r="E66" s="139"/>
      <c r="G66" s="103" t="str">
        <f>B3</f>
        <v>Tsiropoulos, 2018 (ProRES scenario)</v>
      </c>
    </row>
    <row r="67" spans="2:7" ht="15.75" customHeight="1" x14ac:dyDescent="0.2"/>
    <row r="68" spans="2:7" ht="15.75" customHeight="1" x14ac:dyDescent="0.2"/>
    <row r="69" spans="2:7" ht="15.75" customHeight="1" x14ac:dyDescent="0.2"/>
    <row r="70" spans="2:7" ht="15.75" customHeight="1" x14ac:dyDescent="0.2"/>
    <row r="71" spans="2:7" ht="15.75" customHeight="1" x14ac:dyDescent="0.2"/>
    <row r="72" spans="2:7" ht="15.75" customHeight="1" x14ac:dyDescent="0.2"/>
    <row r="73" spans="2:7" ht="15.75" customHeight="1" x14ac:dyDescent="0.2"/>
    <row r="74" spans="2:7" ht="15.75" customHeight="1" x14ac:dyDescent="0.2"/>
    <row r="75" spans="2:7" ht="15.75" customHeight="1" x14ac:dyDescent="0.2"/>
    <row r="76" spans="2:7" ht="15.75" customHeight="1" x14ac:dyDescent="0.2"/>
    <row r="77" spans="2:7" ht="15.75" customHeight="1" x14ac:dyDescent="0.2"/>
    <row r="78" spans="2:7" ht="15.75" customHeight="1" x14ac:dyDescent="0.2"/>
    <row r="79" spans="2:7" ht="15.75" customHeight="1" x14ac:dyDescent="0.2"/>
    <row r="80" spans="2:7"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5">
    <mergeCell ref="B2:C2"/>
    <mergeCell ref="D2:E2"/>
    <mergeCell ref="F2:G2"/>
    <mergeCell ref="B63:G63"/>
    <mergeCell ref="B66:E66"/>
  </mergeCells>
  <pageMargins left="0.7" right="0.7" top="0.78740157499999996" bottom="0.78740157499999996" header="0" footer="0"/>
  <pageSetup orientation="landscape"/>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9"/>
  </sheetPr>
  <dimension ref="A1:H1000"/>
  <sheetViews>
    <sheetView workbookViewId="0"/>
  </sheetViews>
  <sheetFormatPr baseColWidth="10" defaultColWidth="11.1640625" defaultRowHeight="15" customHeight="1" x14ac:dyDescent="0.2"/>
  <cols>
    <col min="1" max="1" width="10.5" customWidth="1"/>
    <col min="2" max="2" width="17" customWidth="1"/>
    <col min="3" max="3" width="35.1640625" customWidth="1"/>
    <col min="4" max="4" width="28.5" customWidth="1"/>
    <col min="5" max="5" width="21" customWidth="1"/>
    <col min="6" max="6" width="31" customWidth="1"/>
    <col min="7" max="7" width="28.5" customWidth="1"/>
    <col min="8" max="8" width="14.6640625" customWidth="1"/>
    <col min="9" max="26" width="10.5" customWidth="1"/>
  </cols>
  <sheetData>
    <row r="1" spans="1:8" ht="15.75" customHeight="1" x14ac:dyDescent="0.2"/>
    <row r="2" spans="1:8" ht="15.75" customHeight="1" x14ac:dyDescent="0.2">
      <c r="A2" s="5"/>
      <c r="B2" s="130" t="s">
        <v>498</v>
      </c>
      <c r="C2" s="131"/>
      <c r="D2" s="130" t="s">
        <v>499</v>
      </c>
      <c r="E2" s="131"/>
      <c r="F2" s="140" t="s">
        <v>500</v>
      </c>
      <c r="G2" s="131"/>
      <c r="H2" s="5"/>
    </row>
    <row r="3" spans="1:8" ht="15.75" customHeight="1" x14ac:dyDescent="0.2">
      <c r="A3" s="5" t="s">
        <v>501</v>
      </c>
      <c r="B3" s="92" t="str">
        <f>'Tsiropoulos2018 (JRC)'!B32</f>
        <v>Tsiropoulos, 2018 (ProRES scenario)</v>
      </c>
      <c r="C3" s="93" t="str">
        <f>Agora2019!B19</f>
        <v>Agora, 2019 (reference scenario)</v>
      </c>
      <c r="D3" s="92" t="str">
        <f>'Tsiropoulos2018 (JRC)'!B32</f>
        <v>Tsiropoulos, 2018 (ProRES scenario)</v>
      </c>
      <c r="E3" s="5" t="str">
        <f>Agora2019!B19</f>
        <v>Agora, 2019 (reference scenario)</v>
      </c>
      <c r="F3" s="92" t="str">
        <f>'Tsiropoulos2018 (JRC)'!B32</f>
        <v>Tsiropoulos, 2018 (ProRES scenario)</v>
      </c>
      <c r="G3" s="5" t="str">
        <f>Agora2019!B19</f>
        <v>Agora, 2019 (reference scenario)</v>
      </c>
      <c r="H3" s="5"/>
    </row>
    <row r="4" spans="1:8" ht="15.75" customHeight="1" x14ac:dyDescent="0.2">
      <c r="A4" s="7" t="s">
        <v>502</v>
      </c>
      <c r="B4" s="94" t="str">
        <f>'Tsiropoulos2018 (JRC)'!A10</f>
        <v>off-shore, jacket, medium distance to shore</v>
      </c>
      <c r="C4" s="7"/>
      <c r="D4" s="94" t="str">
        <f>B4</f>
        <v>off-shore, jacket, medium distance to shore</v>
      </c>
      <c r="E4" s="7"/>
      <c r="F4" s="94" t="str">
        <f>B4</f>
        <v>off-shore, jacket, medium distance to shore</v>
      </c>
      <c r="G4" s="7"/>
      <c r="H4" s="1"/>
    </row>
    <row r="5" spans="1:8" ht="15.75" customHeight="1" x14ac:dyDescent="0.2">
      <c r="A5" s="3">
        <v>2015</v>
      </c>
      <c r="B5" s="95">
        <f>'Tsiropoulos2018 (JRC)'!D10</f>
        <v>3600</v>
      </c>
      <c r="D5" s="96">
        <f>'Tsiropoulos2018 (JRC)'!D11</f>
        <v>0.02</v>
      </c>
      <c r="E5" s="97"/>
      <c r="F5" s="98">
        <f>'Tsiropoulos2018 (JRC)'!D26</f>
        <v>30</v>
      </c>
      <c r="G5" s="14">
        <f>Agora2019!D10</f>
        <v>25</v>
      </c>
    </row>
    <row r="6" spans="1:8" ht="15.75" customHeight="1" x14ac:dyDescent="0.2">
      <c r="A6" s="3">
        <v>2016</v>
      </c>
      <c r="B6" s="95"/>
      <c r="D6" s="96"/>
      <c r="E6" s="97"/>
      <c r="F6" s="96"/>
      <c r="G6" s="97"/>
    </row>
    <row r="7" spans="1:8" ht="15.75" customHeight="1" x14ac:dyDescent="0.2">
      <c r="A7" s="3">
        <v>2017</v>
      </c>
      <c r="B7" s="95"/>
      <c r="D7" s="96"/>
      <c r="E7" s="97"/>
      <c r="F7" s="95"/>
      <c r="G7" s="1"/>
    </row>
    <row r="8" spans="1:8" ht="15.75" customHeight="1" x14ac:dyDescent="0.2">
      <c r="A8" s="3">
        <v>2018</v>
      </c>
      <c r="B8" s="95"/>
      <c r="D8" s="96"/>
      <c r="E8" s="97"/>
      <c r="F8" s="95"/>
      <c r="G8" s="1"/>
    </row>
    <row r="9" spans="1:8" ht="15.75" customHeight="1" x14ac:dyDescent="0.2">
      <c r="A9" s="3">
        <v>2019</v>
      </c>
      <c r="B9" s="95"/>
      <c r="D9" s="96"/>
      <c r="E9" s="97"/>
      <c r="F9" s="95"/>
      <c r="G9" s="1"/>
    </row>
    <row r="10" spans="1:8" ht="15.75" customHeight="1" x14ac:dyDescent="0.2">
      <c r="A10" s="3">
        <v>2020</v>
      </c>
      <c r="B10" s="95">
        <f>'Tsiropoulos2018 (JRC)'!E10</f>
        <v>2970</v>
      </c>
      <c r="C10" s="3">
        <f>Agora2019!D8</f>
        <v>2800</v>
      </c>
      <c r="D10" s="96">
        <f>'Tsiropoulos2018 (JRC)'!E11</f>
        <v>0.02</v>
      </c>
      <c r="E10" s="97">
        <f>Agora2019!D9</f>
        <v>3.2000000000000001E-2</v>
      </c>
      <c r="F10" s="95"/>
      <c r="G10" s="1"/>
    </row>
    <row r="11" spans="1:8" ht="15.75" customHeight="1" x14ac:dyDescent="0.2">
      <c r="A11" s="3">
        <v>2021</v>
      </c>
      <c r="B11" s="95"/>
      <c r="D11" s="96"/>
      <c r="E11" s="97"/>
      <c r="F11" s="95"/>
      <c r="G11" s="1"/>
    </row>
    <row r="12" spans="1:8" ht="15.75" customHeight="1" x14ac:dyDescent="0.2">
      <c r="A12" s="3">
        <v>2022</v>
      </c>
      <c r="B12" s="95"/>
      <c r="D12" s="96"/>
      <c r="E12" s="97"/>
      <c r="F12" s="95"/>
      <c r="G12" s="1"/>
    </row>
    <row r="13" spans="1:8" ht="15.75" customHeight="1" x14ac:dyDescent="0.2">
      <c r="A13" s="3">
        <v>2023</v>
      </c>
      <c r="B13" s="95"/>
      <c r="D13" s="96"/>
      <c r="E13" s="97"/>
      <c r="F13" s="95"/>
      <c r="G13" s="1"/>
    </row>
    <row r="14" spans="1:8" ht="15.75" customHeight="1" x14ac:dyDescent="0.2">
      <c r="A14" s="3">
        <v>2024</v>
      </c>
      <c r="B14" s="95"/>
      <c r="D14" s="96"/>
      <c r="E14" s="97"/>
      <c r="F14" s="95"/>
      <c r="G14" s="1"/>
    </row>
    <row r="15" spans="1:8" ht="15.75" customHeight="1" x14ac:dyDescent="0.2">
      <c r="A15" s="3">
        <v>2025</v>
      </c>
      <c r="B15" s="95"/>
      <c r="D15" s="96"/>
      <c r="E15" s="97"/>
      <c r="F15" s="95"/>
      <c r="G15" s="1"/>
    </row>
    <row r="16" spans="1:8" ht="15.75" customHeight="1" x14ac:dyDescent="0.2">
      <c r="A16" s="3">
        <v>2026</v>
      </c>
      <c r="B16" s="95"/>
      <c r="D16" s="96"/>
      <c r="E16" s="97"/>
      <c r="F16" s="95"/>
      <c r="G16" s="1"/>
    </row>
    <row r="17" spans="1:7" ht="15.75" customHeight="1" x14ac:dyDescent="0.2">
      <c r="A17" s="3">
        <v>2027</v>
      </c>
      <c r="B17" s="95"/>
      <c r="D17" s="96"/>
      <c r="E17" s="97"/>
      <c r="F17" s="95"/>
      <c r="G17" s="1"/>
    </row>
    <row r="18" spans="1:7" ht="15.75" customHeight="1" x14ac:dyDescent="0.2">
      <c r="A18" s="3">
        <v>2028</v>
      </c>
      <c r="B18" s="95"/>
      <c r="D18" s="96"/>
      <c r="E18" s="97"/>
      <c r="F18" s="95"/>
      <c r="G18" s="1"/>
    </row>
    <row r="19" spans="1:7" ht="15.75" customHeight="1" x14ac:dyDescent="0.2">
      <c r="A19" s="3">
        <v>2029</v>
      </c>
      <c r="B19" s="95"/>
      <c r="D19" s="96"/>
      <c r="E19" s="97"/>
      <c r="F19" s="95"/>
      <c r="G19" s="1"/>
    </row>
    <row r="20" spans="1:7" ht="15.75" customHeight="1" x14ac:dyDescent="0.2">
      <c r="A20" s="3">
        <v>2030</v>
      </c>
      <c r="B20" s="95">
        <f>'Tsiropoulos2018 (JRC)'!F10</f>
        <v>2370</v>
      </c>
      <c r="C20" s="3">
        <f>Agora2019!E8</f>
        <v>2200</v>
      </c>
      <c r="D20" s="96">
        <f>'Tsiropoulos2018 (JRC)'!F11</f>
        <v>0.02</v>
      </c>
      <c r="E20" s="97">
        <f>Agora2019!E9</f>
        <v>3.2000000000000001E-2</v>
      </c>
      <c r="F20" s="95"/>
      <c r="G20" s="1"/>
    </row>
    <row r="21" spans="1:7" ht="15.75" customHeight="1" x14ac:dyDescent="0.2">
      <c r="A21" s="3">
        <v>2031</v>
      </c>
      <c r="B21" s="95"/>
      <c r="D21" s="96"/>
      <c r="E21" s="97"/>
      <c r="F21" s="95"/>
      <c r="G21" s="1"/>
    </row>
    <row r="22" spans="1:7" ht="15.75" customHeight="1" x14ac:dyDescent="0.2">
      <c r="A22" s="3">
        <v>2032</v>
      </c>
      <c r="B22" s="95"/>
      <c r="D22" s="96"/>
      <c r="E22" s="97"/>
      <c r="F22" s="95"/>
      <c r="G22" s="1"/>
    </row>
    <row r="23" spans="1:7" ht="15.75" customHeight="1" x14ac:dyDescent="0.2">
      <c r="A23" s="3">
        <v>2033</v>
      </c>
      <c r="B23" s="95"/>
      <c r="D23" s="96"/>
      <c r="E23" s="97"/>
      <c r="F23" s="95"/>
      <c r="G23" s="1"/>
    </row>
    <row r="24" spans="1:7" ht="15.75" customHeight="1" x14ac:dyDescent="0.2">
      <c r="A24" s="3">
        <v>2034</v>
      </c>
      <c r="B24" s="95"/>
      <c r="D24" s="96"/>
      <c r="E24" s="97"/>
      <c r="F24" s="95"/>
      <c r="G24" s="1"/>
    </row>
    <row r="25" spans="1:7" ht="15.75" customHeight="1" x14ac:dyDescent="0.2">
      <c r="A25" s="3">
        <v>2035</v>
      </c>
      <c r="B25" s="95"/>
      <c r="D25" s="96"/>
      <c r="E25" s="97"/>
      <c r="F25" s="95"/>
      <c r="G25" s="1"/>
    </row>
    <row r="26" spans="1:7" ht="15.75" customHeight="1" x14ac:dyDescent="0.2">
      <c r="A26" s="3">
        <v>2036</v>
      </c>
      <c r="B26" s="95"/>
      <c r="D26" s="96"/>
      <c r="E26" s="97"/>
      <c r="F26" s="95"/>
      <c r="G26" s="1"/>
    </row>
    <row r="27" spans="1:7" ht="15.75" customHeight="1" x14ac:dyDescent="0.2">
      <c r="A27" s="3">
        <v>2037</v>
      </c>
      <c r="B27" s="95"/>
      <c r="D27" s="96"/>
      <c r="E27" s="97"/>
      <c r="F27" s="95"/>
      <c r="G27" s="1"/>
    </row>
    <row r="28" spans="1:7" ht="15.75" customHeight="1" x14ac:dyDescent="0.2">
      <c r="A28" s="3">
        <v>2038</v>
      </c>
      <c r="B28" s="95"/>
      <c r="D28" s="96"/>
      <c r="E28" s="97"/>
      <c r="F28" s="95"/>
      <c r="G28" s="1"/>
    </row>
    <row r="29" spans="1:7" ht="15.75" customHeight="1" x14ac:dyDescent="0.2">
      <c r="A29" s="3">
        <v>2039</v>
      </c>
      <c r="B29" s="95"/>
      <c r="D29" s="96"/>
      <c r="E29" s="97"/>
      <c r="F29" s="95"/>
      <c r="G29" s="1"/>
    </row>
    <row r="30" spans="1:7" ht="15.75" customHeight="1" x14ac:dyDescent="0.2">
      <c r="A30" s="3">
        <v>2040</v>
      </c>
      <c r="B30" s="95">
        <f>'Tsiropoulos2018 (JRC)'!G10</f>
        <v>2220</v>
      </c>
      <c r="D30" s="96">
        <f>'Tsiropoulos2018 (JRC)'!G11</f>
        <v>0.02</v>
      </c>
      <c r="E30" s="97"/>
      <c r="F30" s="95"/>
      <c r="G30" s="1"/>
    </row>
    <row r="31" spans="1:7" ht="15.75" customHeight="1" x14ac:dyDescent="0.2">
      <c r="A31" s="3">
        <v>2041</v>
      </c>
      <c r="B31" s="95"/>
      <c r="D31" s="96"/>
      <c r="E31" s="97"/>
      <c r="F31" s="95"/>
      <c r="G31" s="1"/>
    </row>
    <row r="32" spans="1:7" ht="15.75" customHeight="1" x14ac:dyDescent="0.2">
      <c r="A32" s="3">
        <v>2042</v>
      </c>
      <c r="B32" s="95"/>
      <c r="D32" s="96"/>
      <c r="E32" s="97"/>
      <c r="F32" s="95"/>
      <c r="G32" s="1"/>
    </row>
    <row r="33" spans="1:7" ht="15.75" customHeight="1" x14ac:dyDescent="0.2">
      <c r="A33" s="3">
        <v>2043</v>
      </c>
      <c r="B33" s="95"/>
      <c r="D33" s="96"/>
      <c r="E33" s="97"/>
      <c r="F33" s="95"/>
      <c r="G33" s="1"/>
    </row>
    <row r="34" spans="1:7" ht="15.75" customHeight="1" x14ac:dyDescent="0.2">
      <c r="A34" s="3">
        <v>2044</v>
      </c>
      <c r="B34" s="95"/>
      <c r="D34" s="96"/>
      <c r="E34" s="97"/>
      <c r="F34" s="95"/>
      <c r="G34" s="1"/>
    </row>
    <row r="35" spans="1:7" ht="15.75" customHeight="1" x14ac:dyDescent="0.2">
      <c r="A35" s="3">
        <v>2045</v>
      </c>
      <c r="B35" s="95"/>
      <c r="D35" s="96"/>
      <c r="E35" s="97"/>
      <c r="F35" s="95"/>
      <c r="G35" s="1"/>
    </row>
    <row r="36" spans="1:7" ht="15.75" customHeight="1" x14ac:dyDescent="0.2">
      <c r="A36" s="3">
        <v>2046</v>
      </c>
      <c r="B36" s="95"/>
      <c r="D36" s="96"/>
      <c r="E36" s="97"/>
      <c r="F36" s="95"/>
      <c r="G36" s="1"/>
    </row>
    <row r="37" spans="1:7" ht="15.75" customHeight="1" x14ac:dyDescent="0.2">
      <c r="A37" s="3">
        <v>2047</v>
      </c>
      <c r="B37" s="95"/>
      <c r="D37" s="96"/>
      <c r="E37" s="97"/>
      <c r="F37" s="95"/>
      <c r="G37" s="1"/>
    </row>
    <row r="38" spans="1:7" ht="15.75" customHeight="1" x14ac:dyDescent="0.2">
      <c r="A38" s="3">
        <v>2048</v>
      </c>
      <c r="B38" s="95"/>
      <c r="D38" s="96"/>
      <c r="E38" s="97"/>
      <c r="F38" s="95"/>
      <c r="G38" s="1"/>
    </row>
    <row r="39" spans="1:7" ht="15.75" customHeight="1" x14ac:dyDescent="0.2">
      <c r="A39" s="3">
        <v>2049</v>
      </c>
      <c r="B39" s="95"/>
      <c r="D39" s="96"/>
      <c r="E39" s="97"/>
      <c r="F39" s="95"/>
      <c r="G39" s="1"/>
    </row>
    <row r="40" spans="1:7" ht="15.75" customHeight="1" x14ac:dyDescent="0.2">
      <c r="A40" s="3">
        <v>2050</v>
      </c>
      <c r="B40" s="95">
        <f>'Tsiropoulos2018 (JRC)'!H10</f>
        <v>2160</v>
      </c>
      <c r="C40" s="3">
        <f>Agora2019!F8</f>
        <v>1600</v>
      </c>
      <c r="D40" s="96">
        <f>'Tsiropoulos2018 (JRC)'!H11</f>
        <v>0.02</v>
      </c>
      <c r="E40" s="97">
        <f>Agora2019!F9</f>
        <v>3.2000000000000001E-2</v>
      </c>
      <c r="F40" s="95"/>
      <c r="G40" s="1"/>
    </row>
    <row r="41" spans="1:7" ht="15.75" customHeight="1" x14ac:dyDescent="0.2"/>
    <row r="42" spans="1:7" ht="15.75" customHeight="1" x14ac:dyDescent="0.2"/>
    <row r="43" spans="1:7" ht="15.75" customHeight="1" x14ac:dyDescent="0.2"/>
    <row r="44" spans="1:7" ht="15.75" customHeight="1" x14ac:dyDescent="0.2"/>
    <row r="45" spans="1:7" ht="15.75" customHeight="1" x14ac:dyDescent="0.2"/>
    <row r="46" spans="1:7" ht="15.75" customHeight="1" x14ac:dyDescent="0.2"/>
    <row r="47" spans="1:7" ht="15.75" customHeight="1" x14ac:dyDescent="0.2"/>
    <row r="48" spans="1:7" ht="15.75" customHeight="1" x14ac:dyDescent="0.2"/>
    <row r="49" spans="2:7" ht="15.75" customHeight="1" x14ac:dyDescent="0.2"/>
    <row r="50" spans="2:7" ht="15.75" customHeight="1" x14ac:dyDescent="0.2"/>
    <row r="51" spans="2:7" ht="15.75" customHeight="1" x14ac:dyDescent="0.2"/>
    <row r="52" spans="2:7" ht="15.75" customHeight="1" x14ac:dyDescent="0.2"/>
    <row r="53" spans="2:7" ht="15.75" customHeight="1" x14ac:dyDescent="0.2"/>
    <row r="54" spans="2:7" ht="15.75" customHeight="1" x14ac:dyDescent="0.2"/>
    <row r="55" spans="2:7" ht="15.75" customHeight="1" x14ac:dyDescent="0.2"/>
    <row r="56" spans="2:7" ht="15.75" customHeight="1" x14ac:dyDescent="0.2"/>
    <row r="57" spans="2:7" ht="15.75" customHeight="1" x14ac:dyDescent="0.2"/>
    <row r="58" spans="2:7" ht="15.75" customHeight="1" x14ac:dyDescent="0.2"/>
    <row r="59" spans="2:7" ht="15.75" customHeight="1" x14ac:dyDescent="0.2"/>
    <row r="60" spans="2:7" ht="15.75" customHeight="1" x14ac:dyDescent="0.2"/>
    <row r="61" spans="2:7" ht="15.75" customHeight="1" x14ac:dyDescent="0.2"/>
    <row r="62" spans="2:7" ht="15.75" customHeight="1" x14ac:dyDescent="0.2"/>
    <row r="63" spans="2:7" ht="15.75" customHeight="1" x14ac:dyDescent="0.25">
      <c r="B63" s="141" t="s">
        <v>503</v>
      </c>
      <c r="C63" s="131"/>
      <c r="D63" s="131"/>
      <c r="E63" s="131"/>
      <c r="F63" s="131"/>
      <c r="G63" s="132"/>
    </row>
    <row r="64" spans="2:7" ht="15.75" customHeight="1" x14ac:dyDescent="0.2"/>
    <row r="65" spans="2:7" ht="15.75" customHeight="1" x14ac:dyDescent="0.2">
      <c r="B65" s="101" t="s">
        <v>504</v>
      </c>
      <c r="C65" s="34"/>
      <c r="D65" s="34"/>
      <c r="E65" s="35"/>
      <c r="G65" s="102" t="s">
        <v>505</v>
      </c>
    </row>
    <row r="66" spans="2:7" ht="15.75" customHeight="1" x14ac:dyDescent="0.2">
      <c r="B66" s="137" t="s">
        <v>507</v>
      </c>
      <c r="C66" s="138"/>
      <c r="D66" s="138"/>
      <c r="E66" s="139"/>
      <c r="G66" s="103" t="str">
        <f>B3</f>
        <v>Tsiropoulos, 2018 (ProRES scenario)</v>
      </c>
    </row>
    <row r="67" spans="2:7" ht="15.75" customHeight="1" x14ac:dyDescent="0.2"/>
    <row r="68" spans="2:7" ht="15.75" customHeight="1" x14ac:dyDescent="0.2"/>
    <row r="69" spans="2:7" ht="15.75" customHeight="1" x14ac:dyDescent="0.2"/>
    <row r="70" spans="2:7" ht="15.75" customHeight="1" x14ac:dyDescent="0.2"/>
    <row r="71" spans="2:7" ht="15.75" customHeight="1" x14ac:dyDescent="0.2"/>
    <row r="72" spans="2:7" ht="15.75" customHeight="1" x14ac:dyDescent="0.2"/>
    <row r="73" spans="2:7" ht="15.75" customHeight="1" x14ac:dyDescent="0.2"/>
    <row r="74" spans="2:7" ht="15.75" customHeight="1" x14ac:dyDescent="0.2"/>
    <row r="75" spans="2:7" ht="15.75" customHeight="1" x14ac:dyDescent="0.2"/>
    <row r="76" spans="2:7" ht="15.75" customHeight="1" x14ac:dyDescent="0.2"/>
    <row r="77" spans="2:7" ht="15.75" customHeight="1" x14ac:dyDescent="0.2"/>
    <row r="78" spans="2:7" ht="15.75" customHeight="1" x14ac:dyDescent="0.2"/>
    <row r="79" spans="2:7" ht="15.75" customHeight="1" x14ac:dyDescent="0.2"/>
    <row r="80" spans="2:7"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5">
    <mergeCell ref="B2:C2"/>
    <mergeCell ref="D2:E2"/>
    <mergeCell ref="F2:G2"/>
    <mergeCell ref="B63:G63"/>
    <mergeCell ref="B66:E66"/>
  </mergeCells>
  <pageMargins left="0.7" right="0.7" top="0.78740157499999996" bottom="0.78740157499999996" header="0" footer="0"/>
  <pageSetup orientation="landscape"/>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9"/>
  </sheetPr>
  <dimension ref="A1:Q1000"/>
  <sheetViews>
    <sheetView workbookViewId="0"/>
  </sheetViews>
  <sheetFormatPr baseColWidth="10" defaultColWidth="11.1640625" defaultRowHeight="15" customHeight="1" x14ac:dyDescent="0.2"/>
  <cols>
    <col min="1" max="1" width="10.5" customWidth="1"/>
    <col min="2" max="2" width="29.6640625" customWidth="1"/>
    <col min="3" max="3" width="10" customWidth="1"/>
    <col min="4" max="4" width="15.6640625" customWidth="1"/>
    <col min="5" max="8" width="11.33203125" customWidth="1"/>
    <col min="9" max="9" width="14.6640625" customWidth="1"/>
    <col min="10" max="11" width="11.33203125" customWidth="1"/>
    <col min="12" max="12" width="23.6640625" customWidth="1"/>
    <col min="13" max="17" width="14.6640625" customWidth="1"/>
    <col min="18" max="26" width="10.5" customWidth="1"/>
  </cols>
  <sheetData>
    <row r="1" spans="1:17" ht="15.75" customHeight="1" x14ac:dyDescent="0.2"/>
    <row r="2" spans="1:17" ht="15.75" customHeight="1" x14ac:dyDescent="0.2">
      <c r="A2" s="5"/>
      <c r="B2" s="130" t="s">
        <v>508</v>
      </c>
      <c r="C2" s="131"/>
      <c r="D2" s="131"/>
      <c r="E2" s="131"/>
      <c r="F2" s="131"/>
      <c r="G2" s="131"/>
      <c r="H2" s="132"/>
      <c r="I2" s="130" t="s">
        <v>499</v>
      </c>
      <c r="J2" s="131"/>
      <c r="K2" s="131"/>
      <c r="L2" s="130" t="s">
        <v>500</v>
      </c>
      <c r="M2" s="131"/>
      <c r="N2" s="31"/>
      <c r="O2" s="130" t="s">
        <v>509</v>
      </c>
      <c r="P2" s="131"/>
      <c r="Q2" s="104"/>
    </row>
    <row r="3" spans="1:17" ht="15.75" customHeight="1" x14ac:dyDescent="0.2">
      <c r="A3" s="5" t="s">
        <v>501</v>
      </c>
      <c r="B3" s="92" t="str">
        <f>Vartiainen2020!B15</f>
        <v>Vartiainen, 2020</v>
      </c>
      <c r="C3" s="93" t="str">
        <f>lit_review_raw!A43</f>
        <v>﻿IEA, 2019b</v>
      </c>
      <c r="D3" s="93" t="str">
        <f>lit_review_raw!A50</f>
        <v>BATSTROM, 2018</v>
      </c>
      <c r="E3" s="93" t="str">
        <f>lit_review_raw!A48</f>
        <v>Runge, 2020</v>
      </c>
      <c r="F3" s="93" t="str">
        <f>'Cole, 2019'!B16</f>
        <v>Cole, 2019</v>
      </c>
      <c r="G3" s="93" t="str">
        <f t="shared" ref="G3:H3" si="0">F3</f>
        <v>Cole, 2019</v>
      </c>
      <c r="H3" s="93" t="str">
        <f t="shared" si="0"/>
        <v>Cole, 2019</v>
      </c>
      <c r="I3" s="92" t="str">
        <f>B3</f>
        <v>Vartiainen, 2020</v>
      </c>
      <c r="J3" s="93" t="str">
        <f>lit_review_raw!A48</f>
        <v>Runge, 2020</v>
      </c>
      <c r="K3" s="93" t="str">
        <f>F3</f>
        <v>Cole, 2019</v>
      </c>
      <c r="L3" s="92" t="str">
        <f>B3</f>
        <v>Vartiainen, 2020</v>
      </c>
      <c r="M3" s="93" t="str">
        <f t="shared" ref="M3:N3" si="1">J3</f>
        <v>Runge, 2020</v>
      </c>
      <c r="N3" s="93" t="str">
        <f t="shared" si="1"/>
        <v>Cole, 2019</v>
      </c>
      <c r="O3" s="92" t="str">
        <f t="shared" ref="O3:P3" si="2">M3</f>
        <v>Runge, 2020</v>
      </c>
      <c r="P3" s="105" t="str">
        <f t="shared" si="2"/>
        <v>Cole, 2019</v>
      </c>
      <c r="Q3" s="5"/>
    </row>
    <row r="4" spans="1:17" ht="15.75" customHeight="1" x14ac:dyDescent="0.2">
      <c r="A4" s="7" t="s">
        <v>502</v>
      </c>
      <c r="B4" s="94"/>
      <c r="C4" s="7"/>
      <c r="D4" s="7"/>
      <c r="E4" s="7"/>
      <c r="F4" s="7" t="str">
        <f>'Cole, 2019'!A6</f>
        <v>mid cost</v>
      </c>
      <c r="G4" s="7" t="str">
        <f>'Cole, 2019'!A5</f>
        <v>high cost</v>
      </c>
      <c r="H4" s="7" t="str">
        <f>'Cole, 2019'!A7</f>
        <v>low cost</v>
      </c>
      <c r="I4" s="94"/>
      <c r="J4" s="7"/>
      <c r="K4" s="7" t="s">
        <v>510</v>
      </c>
      <c r="L4" s="94"/>
      <c r="M4" s="7"/>
      <c r="N4" s="7"/>
      <c r="O4" s="94"/>
      <c r="P4" s="106"/>
      <c r="Q4" s="1"/>
    </row>
    <row r="5" spans="1:17" ht="15.75" customHeight="1" x14ac:dyDescent="0.2">
      <c r="A5" s="3">
        <v>2015</v>
      </c>
      <c r="B5" s="95"/>
      <c r="C5" s="1"/>
      <c r="D5" s="1">
        <f>lit_review_raw!X50</f>
        <v>605</v>
      </c>
      <c r="E5" s="1"/>
      <c r="F5" s="1"/>
      <c r="G5" s="1"/>
      <c r="H5" s="1"/>
      <c r="I5" s="95"/>
      <c r="J5" s="1"/>
      <c r="K5" s="1"/>
      <c r="L5" s="95">
        <f>Vartiainen2020!D12</f>
        <v>15</v>
      </c>
      <c r="M5" s="1"/>
      <c r="N5" s="1"/>
      <c r="O5" s="95"/>
      <c r="P5" s="107"/>
      <c r="Q5" s="1"/>
    </row>
    <row r="6" spans="1:17" ht="15.75" customHeight="1" x14ac:dyDescent="0.2">
      <c r="A6" s="3">
        <v>2016</v>
      </c>
      <c r="B6" s="95"/>
      <c r="C6" s="1"/>
      <c r="D6" s="1"/>
      <c r="E6" s="1"/>
      <c r="F6" s="1"/>
      <c r="G6" s="1"/>
      <c r="H6" s="1"/>
      <c r="I6" s="95"/>
      <c r="J6" s="1"/>
      <c r="K6" s="1"/>
      <c r="L6" s="95"/>
      <c r="M6" s="1"/>
      <c r="N6" s="1"/>
      <c r="O6" s="95"/>
      <c r="P6" s="107"/>
      <c r="Q6" s="1"/>
    </row>
    <row r="7" spans="1:17" ht="15.75" customHeight="1" x14ac:dyDescent="0.2">
      <c r="A7" s="3">
        <v>2017</v>
      </c>
      <c r="B7" s="95"/>
      <c r="C7" s="1">
        <f>lit_review_raw!X43</f>
        <v>402</v>
      </c>
      <c r="D7" s="1"/>
      <c r="E7" s="1"/>
      <c r="F7" s="1"/>
      <c r="G7" s="1"/>
      <c r="H7" s="1"/>
      <c r="I7" s="95"/>
      <c r="J7" s="1"/>
      <c r="K7" s="1"/>
      <c r="L7" s="95"/>
      <c r="M7" s="1"/>
      <c r="N7" s="1"/>
      <c r="O7" s="95"/>
      <c r="P7" s="107"/>
      <c r="Q7" s="1"/>
    </row>
    <row r="8" spans="1:17" ht="15.75" customHeight="1" x14ac:dyDescent="0.2">
      <c r="A8" s="3">
        <v>2018</v>
      </c>
      <c r="B8" s="95"/>
      <c r="C8" s="1"/>
      <c r="D8" s="1"/>
      <c r="E8" s="1"/>
      <c r="F8" s="14">
        <f>'Cole, 2019'!D6</f>
        <v>342</v>
      </c>
      <c r="G8" s="14">
        <f>'Cole, 2019'!D5</f>
        <v>342</v>
      </c>
      <c r="H8" s="14">
        <f>'Cole, 2019'!D7</f>
        <v>342</v>
      </c>
      <c r="I8" s="95"/>
      <c r="J8" s="1"/>
      <c r="K8" s="108">
        <f>K9</f>
        <v>3.9473684210526314E-2</v>
      </c>
      <c r="L8" s="95"/>
      <c r="M8" s="1"/>
      <c r="N8" s="60"/>
      <c r="O8" s="95"/>
      <c r="P8" s="107"/>
      <c r="Q8" s="1"/>
    </row>
    <row r="9" spans="1:17" ht="15.75" customHeight="1" x14ac:dyDescent="0.2">
      <c r="A9" s="3">
        <v>2019</v>
      </c>
      <c r="B9" s="95">
        <f>Vartiainen2020!D7</f>
        <v>275</v>
      </c>
      <c r="C9" s="1"/>
      <c r="D9" s="1"/>
      <c r="E9" s="1"/>
      <c r="F9" s="1"/>
      <c r="G9" s="1"/>
      <c r="H9" s="1"/>
      <c r="I9" s="100">
        <f>Vartiainen2020!D9</f>
        <v>1.4909090909090908E-2</v>
      </c>
      <c r="J9" s="1"/>
      <c r="K9" s="19">
        <f>'Cole, 2019'!D13</f>
        <v>3.9473684210526314E-2</v>
      </c>
      <c r="L9" s="95"/>
      <c r="M9" s="1"/>
      <c r="N9" s="14">
        <f>'Cole, 2019'!D12</f>
        <v>15</v>
      </c>
      <c r="O9" s="95"/>
      <c r="P9" s="107">
        <f>'Cole, 2019'!D11</f>
        <v>0.85</v>
      </c>
      <c r="Q9" s="1"/>
    </row>
    <row r="10" spans="1:17" ht="15.75" customHeight="1" x14ac:dyDescent="0.2">
      <c r="A10" s="3">
        <v>2020</v>
      </c>
      <c r="B10" s="95">
        <f>HLOOKUP(A10,Vartiainen2020!$D$1:$AI$9,7,FALSE)</f>
        <v>251</v>
      </c>
      <c r="C10" s="1"/>
      <c r="D10" s="1">
        <f>lit_review_raw!X51</f>
        <v>455</v>
      </c>
      <c r="E10" s="1"/>
      <c r="F10" s="14">
        <f>'Cole, 2019'!E6</f>
        <v>297</v>
      </c>
      <c r="G10" s="14">
        <f>'Cole, 2019'!E5</f>
        <v>323.10000000000002</v>
      </c>
      <c r="H10" s="14">
        <f>'Cole, 2019'!E7</f>
        <v>267.3</v>
      </c>
      <c r="I10" s="100">
        <f>HLOOKUP(A10,Vartiainen2020!$D$1:$AI$9,9,FALSE)</f>
        <v>1.5537848605577689E-2</v>
      </c>
      <c r="J10" s="1"/>
      <c r="K10" s="1"/>
      <c r="L10" s="95"/>
      <c r="M10" s="1"/>
      <c r="N10" s="1"/>
      <c r="O10" s="95"/>
      <c r="P10" s="107"/>
      <c r="Q10" s="1"/>
    </row>
    <row r="11" spans="1:17" ht="15.75" customHeight="1" x14ac:dyDescent="0.2">
      <c r="A11" s="3">
        <v>2021</v>
      </c>
      <c r="B11" s="95">
        <f>HLOOKUP(A11,Vartiainen2020!$D$1:$AI$9,7,FALSE)</f>
        <v>229</v>
      </c>
      <c r="C11" s="1"/>
      <c r="D11" s="1"/>
      <c r="E11" s="1"/>
      <c r="F11" s="1"/>
      <c r="G11" s="1"/>
      <c r="H11" s="1"/>
      <c r="I11" s="100">
        <f>HLOOKUP(A11,Vartiainen2020!$D$1:$AI$9,9,FALSE)</f>
        <v>1.6157205240174673E-2</v>
      </c>
      <c r="J11" s="1"/>
      <c r="K11" s="1"/>
      <c r="L11" s="95"/>
      <c r="M11" s="1"/>
      <c r="N11" s="1"/>
      <c r="O11" s="95"/>
      <c r="P11" s="107"/>
      <c r="Q11" s="1"/>
    </row>
    <row r="12" spans="1:17" ht="15.75" customHeight="1" x14ac:dyDescent="0.2">
      <c r="A12" s="3">
        <v>2022</v>
      </c>
      <c r="B12" s="95">
        <f>HLOOKUP(A12,Vartiainen2020!$D$1:$AI$9,7,FALSE)</f>
        <v>209</v>
      </c>
      <c r="C12" s="1"/>
      <c r="D12" s="1"/>
      <c r="E12" s="1"/>
      <c r="F12" s="1"/>
      <c r="G12" s="1"/>
      <c r="H12" s="1"/>
      <c r="I12" s="100">
        <f>HLOOKUP(A12,Vartiainen2020!$D$1:$AI$9,9,FALSE)</f>
        <v>1.7224880382775119E-2</v>
      </c>
      <c r="J12" s="1"/>
      <c r="K12" s="1"/>
      <c r="L12" s="95"/>
      <c r="M12" s="1"/>
      <c r="N12" s="1"/>
      <c r="O12" s="95"/>
      <c r="P12" s="107"/>
      <c r="Q12" s="1"/>
    </row>
    <row r="13" spans="1:17" ht="15.75" customHeight="1" x14ac:dyDescent="0.2">
      <c r="A13" s="3">
        <v>2023</v>
      </c>
      <c r="B13" s="95">
        <f>HLOOKUP(A13,Vartiainen2020!$D$1:$AI$9,7,FALSE)</f>
        <v>192</v>
      </c>
      <c r="C13" s="1"/>
      <c r="D13" s="1"/>
      <c r="E13" s="1"/>
      <c r="F13" s="1"/>
      <c r="G13" s="1"/>
      <c r="H13" s="1"/>
      <c r="I13" s="100">
        <f>HLOOKUP(A13,Vartiainen2020!$D$1:$AI$9,9,FALSE)</f>
        <v>1.7708333333333333E-2</v>
      </c>
      <c r="J13" s="1"/>
      <c r="K13" s="1"/>
      <c r="L13" s="95"/>
      <c r="M13" s="1"/>
      <c r="N13" s="1"/>
      <c r="O13" s="95"/>
      <c r="P13" s="107"/>
      <c r="Q13" s="1"/>
    </row>
    <row r="14" spans="1:17" ht="15.75" customHeight="1" x14ac:dyDescent="0.2">
      <c r="A14" s="3">
        <v>2024</v>
      </c>
      <c r="B14" s="95">
        <f>HLOOKUP(A14,Vartiainen2020!$D$1:$AI$9,7,FALSE)</f>
        <v>176</v>
      </c>
      <c r="C14" s="1"/>
      <c r="D14" s="1"/>
      <c r="E14" s="1"/>
      <c r="F14" s="1"/>
      <c r="G14" s="1"/>
      <c r="H14" s="1"/>
      <c r="I14" s="100">
        <f>HLOOKUP(A14,Vartiainen2020!$D$1:$AI$9,9,FALSE)</f>
        <v>1.8749999999999999E-2</v>
      </c>
      <c r="J14" s="1"/>
      <c r="K14" s="1"/>
      <c r="L14" s="95"/>
      <c r="M14" s="1"/>
      <c r="N14" s="1"/>
      <c r="O14" s="95"/>
      <c r="P14" s="107"/>
      <c r="Q14" s="1"/>
    </row>
    <row r="15" spans="1:17" ht="15.75" customHeight="1" x14ac:dyDescent="0.2">
      <c r="A15" s="3">
        <v>2025</v>
      </c>
      <c r="B15" s="95">
        <f>HLOOKUP(A15,Vartiainen2020!$D$1:$AI$9,7,FALSE)</f>
        <v>163</v>
      </c>
      <c r="C15" s="1">
        <f>lit_review_raw!X44</f>
        <v>268</v>
      </c>
      <c r="D15" s="1">
        <f>lit_review_raw!X52</f>
        <v>345</v>
      </c>
      <c r="E15" s="1"/>
      <c r="F15" s="14">
        <f>'Cole, 2019'!F6</f>
        <v>223.20000000000002</v>
      </c>
      <c r="G15" s="14">
        <f>'Cole, 2019'!F5</f>
        <v>297</v>
      </c>
      <c r="H15" s="14">
        <f>'Cole, 2019'!F7</f>
        <v>165.6</v>
      </c>
      <c r="I15" s="100">
        <f>HLOOKUP(A15,Vartiainen2020!$D$1:$AI$9,9,FALSE)</f>
        <v>1.9631901840490799E-2</v>
      </c>
      <c r="J15" s="1"/>
      <c r="K15" s="1"/>
      <c r="L15" s="95"/>
      <c r="M15" s="1"/>
      <c r="N15" s="1"/>
      <c r="O15" s="95"/>
      <c r="P15" s="107"/>
      <c r="Q15" s="1"/>
    </row>
    <row r="16" spans="1:17" ht="15.75" customHeight="1" x14ac:dyDescent="0.2">
      <c r="A16" s="3">
        <v>2026</v>
      </c>
      <c r="B16" s="95">
        <f>HLOOKUP(A16,Vartiainen2020!$D$1:$AI$9,7,FALSE)</f>
        <v>151</v>
      </c>
      <c r="C16" s="1"/>
      <c r="D16" s="1"/>
      <c r="E16" s="1"/>
      <c r="F16" s="1"/>
      <c r="G16" s="1"/>
      <c r="H16" s="1"/>
      <c r="I16" s="100">
        <f>HLOOKUP(A16,Vartiainen2020!$D$1:$AI$9,9,FALSE)</f>
        <v>1.9867549668874173E-2</v>
      </c>
      <c r="J16" s="1"/>
      <c r="K16" s="1"/>
      <c r="L16" s="95"/>
      <c r="M16" s="1"/>
      <c r="N16" s="1"/>
      <c r="O16" s="95"/>
      <c r="P16" s="107"/>
      <c r="Q16" s="1"/>
    </row>
    <row r="17" spans="1:17" ht="15.75" customHeight="1" x14ac:dyDescent="0.2">
      <c r="A17" s="3">
        <v>2027</v>
      </c>
      <c r="B17" s="95">
        <f>HLOOKUP(A17,Vartiainen2020!$D$1:$AI$9,7,FALSE)</f>
        <v>141</v>
      </c>
      <c r="C17" s="1"/>
      <c r="D17" s="1"/>
      <c r="E17" s="1"/>
      <c r="F17" s="1"/>
      <c r="G17" s="1"/>
      <c r="H17" s="1"/>
      <c r="I17" s="100">
        <f>HLOOKUP(A17,Vartiainen2020!$D$1:$AI$9,9,FALSE)</f>
        <v>2.0567375886524821E-2</v>
      </c>
      <c r="J17" s="1"/>
      <c r="K17" s="1"/>
      <c r="L17" s="95"/>
      <c r="M17" s="1"/>
      <c r="N17" s="1"/>
      <c r="O17" s="95"/>
      <c r="P17" s="107"/>
      <c r="Q17" s="1"/>
    </row>
    <row r="18" spans="1:17" ht="15.75" customHeight="1" x14ac:dyDescent="0.2">
      <c r="A18" s="3">
        <v>2028</v>
      </c>
      <c r="B18" s="95">
        <f>HLOOKUP(A18,Vartiainen2020!$D$1:$AI$9,7,FALSE)</f>
        <v>132</v>
      </c>
      <c r="C18" s="1"/>
      <c r="D18" s="1"/>
      <c r="E18" s="1"/>
      <c r="F18" s="1"/>
      <c r="G18" s="1"/>
      <c r="H18" s="1"/>
      <c r="I18" s="100">
        <f>HLOOKUP(A18,Vartiainen2020!$D$1:$AI$9,9,FALSE)</f>
        <v>2.1969696969696969E-2</v>
      </c>
      <c r="J18" s="1"/>
      <c r="K18" s="1"/>
      <c r="L18" s="95"/>
      <c r="M18" s="1"/>
      <c r="N18" s="1"/>
      <c r="O18" s="95"/>
      <c r="P18" s="107"/>
      <c r="Q18" s="1"/>
    </row>
    <row r="19" spans="1:17" ht="15.75" customHeight="1" x14ac:dyDescent="0.2">
      <c r="A19" s="3">
        <v>2029</v>
      </c>
      <c r="B19" s="95">
        <f>HLOOKUP(A19,Vartiainen2020!$D$1:$AI$9,7,FALSE)</f>
        <v>124</v>
      </c>
      <c r="C19" s="1"/>
      <c r="D19" s="1"/>
      <c r="E19" s="1"/>
      <c r="F19" s="1"/>
      <c r="G19" s="1"/>
      <c r="H19" s="1"/>
      <c r="I19" s="100">
        <f>HLOOKUP(A19,Vartiainen2020!$D$1:$AI$9,9,FALSE)</f>
        <v>2.2580645161290321E-2</v>
      </c>
      <c r="J19" s="1"/>
      <c r="K19" s="1"/>
      <c r="L19" s="95"/>
      <c r="M19" s="1"/>
      <c r="N19" s="1"/>
      <c r="O19" s="95"/>
      <c r="P19" s="107"/>
      <c r="Q19" s="1"/>
    </row>
    <row r="20" spans="1:17" ht="15.75" customHeight="1" x14ac:dyDescent="0.2">
      <c r="A20" s="3">
        <v>2030</v>
      </c>
      <c r="B20" s="95">
        <f>HLOOKUP(A20,Vartiainen2020!$D$1:$AI$9,7,FALSE)</f>
        <v>117</v>
      </c>
      <c r="C20" s="1">
        <f>lit_review_raw!X45</f>
        <v>243</v>
      </c>
      <c r="D20" s="1">
        <f>lit_review_raw!X53</f>
        <v>260</v>
      </c>
      <c r="E20" s="1"/>
      <c r="F20" s="14">
        <f>'Cole, 2019'!G6</f>
        <v>186.3</v>
      </c>
      <c r="G20" s="14">
        <f>'Cole, 2019'!G5</f>
        <v>270.90000000000003</v>
      </c>
      <c r="H20" s="14">
        <f>'Cole, 2019'!G7</f>
        <v>111.60000000000001</v>
      </c>
      <c r="I20" s="100">
        <f>HLOOKUP(A20,Vartiainen2020!$D$1:$AI$9,9,FALSE)</f>
        <v>2.3076923076923078E-2</v>
      </c>
      <c r="J20" s="1"/>
      <c r="K20" s="1"/>
      <c r="L20" s="95"/>
      <c r="M20" s="1"/>
      <c r="N20" s="1"/>
      <c r="O20" s="95"/>
      <c r="P20" s="107"/>
      <c r="Q20" s="1"/>
    </row>
    <row r="21" spans="1:17" ht="15.75" customHeight="1" x14ac:dyDescent="0.2">
      <c r="A21" s="3">
        <v>2031</v>
      </c>
      <c r="B21" s="95">
        <f>HLOOKUP(A21,Vartiainen2020!$D$1:$AI$9,7,FALSE)</f>
        <v>112</v>
      </c>
      <c r="C21" s="1"/>
      <c r="D21" s="1"/>
      <c r="E21" s="1"/>
      <c r="F21" s="1"/>
      <c r="G21" s="1"/>
      <c r="H21" s="1"/>
      <c r="I21" s="100">
        <f>HLOOKUP(A21,Vartiainen2020!$D$1:$AI$9,9,FALSE)</f>
        <v>2.3214285714285715E-2</v>
      </c>
      <c r="J21" s="1"/>
      <c r="K21" s="1"/>
      <c r="L21" s="95"/>
      <c r="M21" s="1"/>
      <c r="N21" s="1"/>
      <c r="O21" s="95"/>
      <c r="P21" s="107"/>
      <c r="Q21" s="1"/>
    </row>
    <row r="22" spans="1:17" ht="15.75" customHeight="1" x14ac:dyDescent="0.2">
      <c r="A22" s="3">
        <v>2032</v>
      </c>
      <c r="B22" s="95">
        <f>HLOOKUP(A22,Vartiainen2020!$D$1:$AI$9,7,FALSE)</f>
        <v>106</v>
      </c>
      <c r="C22" s="1"/>
      <c r="D22" s="1"/>
      <c r="E22" s="1"/>
      <c r="F22" s="1"/>
      <c r="G22" s="1"/>
      <c r="H22" s="1"/>
      <c r="I22" s="100">
        <f>HLOOKUP(A22,Vartiainen2020!$D$1:$AI$9,9,FALSE)</f>
        <v>2.4528301886792454E-2</v>
      </c>
      <c r="J22" s="1"/>
      <c r="K22" s="1"/>
      <c r="L22" s="95"/>
      <c r="M22" s="1"/>
      <c r="N22" s="1"/>
      <c r="O22" s="95"/>
      <c r="P22" s="107"/>
      <c r="Q22" s="1"/>
    </row>
    <row r="23" spans="1:17" ht="15.75" customHeight="1" x14ac:dyDescent="0.2">
      <c r="A23" s="3">
        <v>2033</v>
      </c>
      <c r="B23" s="95">
        <f>HLOOKUP(A23,Vartiainen2020!$D$1:$AI$9,7,FALSE)</f>
        <v>102</v>
      </c>
      <c r="C23" s="1"/>
      <c r="D23" s="1"/>
      <c r="E23" s="1"/>
      <c r="F23" s="1"/>
      <c r="G23" s="1"/>
      <c r="H23" s="1"/>
      <c r="I23" s="100">
        <f>HLOOKUP(A23,Vartiainen2020!$D$1:$AI$9,9,FALSE)</f>
        <v>2.4509803921568627E-2</v>
      </c>
      <c r="J23" s="1"/>
      <c r="K23" s="1"/>
      <c r="L23" s="95"/>
      <c r="M23" s="1"/>
      <c r="N23" s="1"/>
      <c r="O23" s="95"/>
      <c r="P23" s="107"/>
      <c r="Q23" s="1"/>
    </row>
    <row r="24" spans="1:17" ht="15.75" customHeight="1" x14ac:dyDescent="0.2">
      <c r="A24" s="3">
        <v>2034</v>
      </c>
      <c r="B24" s="95">
        <f>HLOOKUP(A24,Vartiainen2020!$D$1:$AI$9,7,FALSE)</f>
        <v>98</v>
      </c>
      <c r="C24" s="1"/>
      <c r="D24" s="1"/>
      <c r="E24" s="48">
        <f>E25</f>
        <v>125</v>
      </c>
      <c r="F24" s="48"/>
      <c r="G24" s="48"/>
      <c r="H24" s="48"/>
      <c r="I24" s="100">
        <f>HLOOKUP(A24,Vartiainen2020!$D$1:$AI$9,9,FALSE)</f>
        <v>2.5510204081632654E-2</v>
      </c>
      <c r="J24" s="48">
        <f>J25</f>
        <v>0.03</v>
      </c>
      <c r="K24" s="48"/>
      <c r="L24" s="95"/>
      <c r="M24" s="48">
        <f>M25</f>
        <v>20</v>
      </c>
      <c r="N24" s="48"/>
      <c r="O24" s="109">
        <f>O25</f>
        <v>0.97</v>
      </c>
      <c r="P24" s="110"/>
      <c r="Q24" s="48"/>
    </row>
    <row r="25" spans="1:17" ht="15.75" customHeight="1" x14ac:dyDescent="0.2">
      <c r="A25" s="3">
        <v>2035</v>
      </c>
      <c r="B25" s="95">
        <f>HLOOKUP(A25,Vartiainen2020!$D$1:$AI$9,7,FALSE)</f>
        <v>94</v>
      </c>
      <c r="C25" s="1">
        <f>lit_review_raw!X46</f>
        <v>228</v>
      </c>
      <c r="D25" s="1"/>
      <c r="E25" s="1">
        <f>lit_review_raw!X48</f>
        <v>125</v>
      </c>
      <c r="F25" s="1"/>
      <c r="G25" s="1"/>
      <c r="H25" s="1"/>
      <c r="I25" s="100">
        <f>HLOOKUP(A25,Vartiainen2020!$D$1:$AI$9,9,FALSE)</f>
        <v>2.553191489361702E-2</v>
      </c>
      <c r="J25" s="1">
        <f>lit_review_raw!Y48</f>
        <v>0.03</v>
      </c>
      <c r="K25" s="1"/>
      <c r="L25" s="95"/>
      <c r="M25" s="1">
        <f>lit_review_raw!Z48</f>
        <v>20</v>
      </c>
      <c r="N25" s="1"/>
      <c r="O25" s="95">
        <f>lit_review_raw!AA48</f>
        <v>0.97</v>
      </c>
      <c r="P25" s="107"/>
      <c r="Q25" s="1"/>
    </row>
    <row r="26" spans="1:17" ht="15.75" customHeight="1" x14ac:dyDescent="0.2">
      <c r="A26" s="3">
        <v>2036</v>
      </c>
      <c r="B26" s="95">
        <f>HLOOKUP(A26,Vartiainen2020!$D$1:$AI$9,7,FALSE)</f>
        <v>91</v>
      </c>
      <c r="C26" s="1"/>
      <c r="D26" s="1"/>
      <c r="E26" s="1"/>
      <c r="F26" s="1"/>
      <c r="G26" s="1"/>
      <c r="H26" s="1"/>
      <c r="I26" s="100">
        <f>HLOOKUP(A26,Vartiainen2020!$D$1:$AI$9,9,FALSE)</f>
        <v>2.6373626373626374E-2</v>
      </c>
      <c r="J26" s="1"/>
      <c r="K26" s="1"/>
      <c r="L26" s="95"/>
      <c r="M26" s="1"/>
      <c r="N26" s="1"/>
      <c r="O26" s="95"/>
      <c r="P26" s="107"/>
      <c r="Q26" s="1"/>
    </row>
    <row r="27" spans="1:17" ht="15.75" customHeight="1" x14ac:dyDescent="0.2">
      <c r="A27" s="3">
        <v>2037</v>
      </c>
      <c r="B27" s="95">
        <f>HLOOKUP(A27,Vartiainen2020!$D$1:$AI$9,7,FALSE)</f>
        <v>88</v>
      </c>
      <c r="C27" s="1"/>
      <c r="D27" s="1"/>
      <c r="E27" s="1"/>
      <c r="F27" s="1"/>
      <c r="G27" s="1"/>
      <c r="H27" s="1"/>
      <c r="I27" s="100">
        <f>HLOOKUP(A27,Vartiainen2020!$D$1:$AI$9,9,FALSE)</f>
        <v>2.6136363636363635E-2</v>
      </c>
      <c r="J27" s="1"/>
      <c r="K27" s="1"/>
      <c r="L27" s="95"/>
      <c r="M27" s="1"/>
      <c r="N27" s="1"/>
      <c r="O27" s="95"/>
      <c r="P27" s="107"/>
      <c r="Q27" s="1"/>
    </row>
    <row r="28" spans="1:17" ht="15.75" customHeight="1" x14ac:dyDescent="0.2">
      <c r="A28" s="3">
        <v>2038</v>
      </c>
      <c r="B28" s="95">
        <f>HLOOKUP(A28,Vartiainen2020!$D$1:$AI$9,7,FALSE)</f>
        <v>85</v>
      </c>
      <c r="C28" s="1"/>
      <c r="D28" s="1"/>
      <c r="E28" s="1"/>
      <c r="F28" s="1"/>
      <c r="G28" s="1"/>
      <c r="H28" s="1"/>
      <c r="I28" s="100">
        <f>HLOOKUP(A28,Vartiainen2020!$D$1:$AI$9,9,FALSE)</f>
        <v>2.7058823529411764E-2</v>
      </c>
      <c r="J28" s="1"/>
      <c r="K28" s="1"/>
      <c r="L28" s="95"/>
      <c r="M28" s="1"/>
      <c r="N28" s="1"/>
      <c r="O28" s="95"/>
      <c r="P28" s="107"/>
      <c r="Q28" s="1"/>
    </row>
    <row r="29" spans="1:17" ht="15.75" customHeight="1" x14ac:dyDescent="0.2">
      <c r="A29" s="3">
        <v>2039</v>
      </c>
      <c r="B29" s="95">
        <f>HLOOKUP(A29,Vartiainen2020!$D$1:$AI$9,7,FALSE)</f>
        <v>82</v>
      </c>
      <c r="C29" s="1"/>
      <c r="D29" s="1"/>
      <c r="E29" s="1"/>
      <c r="F29" s="1"/>
      <c r="G29" s="1"/>
      <c r="H29" s="1"/>
      <c r="I29" s="100">
        <f>HLOOKUP(A29,Vartiainen2020!$D$1:$AI$9,9,FALSE)</f>
        <v>2.8048780487804875E-2</v>
      </c>
      <c r="J29" s="1"/>
      <c r="K29" s="1"/>
      <c r="L29" s="95"/>
      <c r="M29" s="1"/>
      <c r="N29" s="1"/>
      <c r="O29" s="95"/>
      <c r="P29" s="107"/>
      <c r="Q29" s="1"/>
    </row>
    <row r="30" spans="1:17" ht="15.75" customHeight="1" x14ac:dyDescent="0.2">
      <c r="A30" s="3">
        <v>2040</v>
      </c>
      <c r="B30" s="95">
        <f>HLOOKUP(A30,Vartiainen2020!$D$1:$AI$9,7,FALSE)</f>
        <v>80</v>
      </c>
      <c r="C30" s="1">
        <f>lit_review_raw!X47</f>
        <v>218</v>
      </c>
      <c r="D30" s="1"/>
      <c r="E30" s="1"/>
      <c r="F30" s="1"/>
      <c r="G30" s="1"/>
      <c r="H30" s="1"/>
      <c r="I30" s="100">
        <f>HLOOKUP(A30,Vartiainen2020!$D$1:$AI$9,9,FALSE)</f>
        <v>2.7500000000000004E-2</v>
      </c>
      <c r="J30" s="1"/>
      <c r="K30" s="1"/>
      <c r="L30" s="95"/>
      <c r="M30" s="1"/>
      <c r="N30" s="1"/>
      <c r="O30" s="95"/>
      <c r="P30" s="107"/>
      <c r="Q30" s="1"/>
    </row>
    <row r="31" spans="1:17" ht="15.75" customHeight="1" x14ac:dyDescent="0.2">
      <c r="A31" s="3">
        <v>2041</v>
      </c>
      <c r="B31" s="95">
        <f>HLOOKUP(A31,Vartiainen2020!$D$1:$AI$9,7,FALSE)</f>
        <v>78</v>
      </c>
      <c r="C31" s="1"/>
      <c r="D31" s="1"/>
      <c r="E31" s="1"/>
      <c r="F31" s="1"/>
      <c r="G31" s="1"/>
      <c r="H31" s="1"/>
      <c r="I31" s="100">
        <f>HLOOKUP(A31,Vartiainen2020!$D$1:$AI$9,9,FALSE)</f>
        <v>2.8205128205128209E-2</v>
      </c>
      <c r="J31" s="1"/>
      <c r="K31" s="1"/>
      <c r="L31" s="95"/>
      <c r="M31" s="1"/>
      <c r="N31" s="1"/>
      <c r="O31" s="95"/>
      <c r="P31" s="107"/>
      <c r="Q31" s="1"/>
    </row>
    <row r="32" spans="1:17" ht="15.75" customHeight="1" x14ac:dyDescent="0.2">
      <c r="A32" s="3">
        <v>2042</v>
      </c>
      <c r="B32" s="95">
        <f>HLOOKUP(A32,Vartiainen2020!$D$1:$AI$9,7,FALSE)</f>
        <v>76</v>
      </c>
      <c r="C32" s="1"/>
      <c r="D32" s="1"/>
      <c r="E32" s="1"/>
      <c r="F32" s="1"/>
      <c r="G32" s="1"/>
      <c r="H32" s="1"/>
      <c r="I32" s="100">
        <f>HLOOKUP(A32,Vartiainen2020!$D$1:$AI$9,9,FALSE)</f>
        <v>2.8947368421052635E-2</v>
      </c>
      <c r="J32" s="1"/>
      <c r="K32" s="1"/>
      <c r="L32" s="95"/>
      <c r="M32" s="1"/>
      <c r="N32" s="1"/>
      <c r="O32" s="95"/>
      <c r="P32" s="107"/>
      <c r="Q32" s="1"/>
    </row>
    <row r="33" spans="1:17" ht="15.75" customHeight="1" x14ac:dyDescent="0.2">
      <c r="A33" s="3">
        <v>2043</v>
      </c>
      <c r="B33" s="95">
        <f>HLOOKUP(A33,Vartiainen2020!$D$1:$AI$9,7,FALSE)</f>
        <v>74</v>
      </c>
      <c r="C33" s="1"/>
      <c r="D33" s="1"/>
      <c r="E33" s="1"/>
      <c r="F33" s="1"/>
      <c r="G33" s="1"/>
      <c r="H33" s="1"/>
      <c r="I33" s="100">
        <f>HLOOKUP(A33,Vartiainen2020!$D$1:$AI$9,9,FALSE)</f>
        <v>2.9729729729729731E-2</v>
      </c>
      <c r="J33" s="1"/>
      <c r="K33" s="1"/>
      <c r="L33" s="95"/>
      <c r="M33" s="1"/>
      <c r="N33" s="1"/>
      <c r="O33" s="95"/>
      <c r="P33" s="107"/>
      <c r="Q33" s="1"/>
    </row>
    <row r="34" spans="1:17" ht="15.75" customHeight="1" x14ac:dyDescent="0.2">
      <c r="A34" s="3">
        <v>2044</v>
      </c>
      <c r="B34" s="95">
        <f>HLOOKUP(A34,Vartiainen2020!$D$1:$AI$9,7,FALSE)</f>
        <v>73</v>
      </c>
      <c r="C34" s="1"/>
      <c r="D34" s="1"/>
      <c r="E34" s="1"/>
      <c r="F34" s="1"/>
      <c r="G34" s="1"/>
      <c r="H34" s="1"/>
      <c r="I34" s="100">
        <f>HLOOKUP(A34,Vartiainen2020!$D$1:$AI$9,9,FALSE)</f>
        <v>2.8767123287671233E-2</v>
      </c>
      <c r="J34" s="1"/>
      <c r="K34" s="1"/>
      <c r="L34" s="95"/>
      <c r="M34" s="1"/>
      <c r="N34" s="1"/>
      <c r="O34" s="95"/>
      <c r="P34" s="107"/>
      <c r="Q34" s="1"/>
    </row>
    <row r="35" spans="1:17" ht="15.75" customHeight="1" x14ac:dyDescent="0.2">
      <c r="A35" s="3">
        <v>2045</v>
      </c>
      <c r="B35" s="95">
        <f>HLOOKUP(A35,Vartiainen2020!$D$1:$AI$9,7,FALSE)</f>
        <v>71</v>
      </c>
      <c r="C35" s="1"/>
      <c r="D35" s="1"/>
      <c r="E35" s="1"/>
      <c r="F35" s="1"/>
      <c r="G35" s="1"/>
      <c r="H35" s="1"/>
      <c r="I35" s="100">
        <f>HLOOKUP(A35,Vartiainen2020!$D$1:$AI$9,9,FALSE)</f>
        <v>2.9577464788732397E-2</v>
      </c>
      <c r="J35" s="1"/>
      <c r="K35" s="1"/>
      <c r="L35" s="95"/>
      <c r="M35" s="1"/>
      <c r="N35" s="1"/>
      <c r="O35" s="95"/>
      <c r="P35" s="107"/>
      <c r="Q35" s="1"/>
    </row>
    <row r="36" spans="1:17" ht="15.75" customHeight="1" x14ac:dyDescent="0.2">
      <c r="A36" s="3">
        <v>2046</v>
      </c>
      <c r="B36" s="95">
        <f>HLOOKUP(A36,Vartiainen2020!$D$1:$AI$9,7,FALSE)</f>
        <v>70</v>
      </c>
      <c r="C36" s="1"/>
      <c r="D36" s="1"/>
      <c r="E36" s="1"/>
      <c r="F36" s="1"/>
      <c r="G36" s="1"/>
      <c r="H36" s="1"/>
      <c r="I36" s="100">
        <f>HLOOKUP(A36,Vartiainen2020!$D$1:$AI$9,9,FALSE)</f>
        <v>3.0000000000000002E-2</v>
      </c>
      <c r="J36" s="1"/>
      <c r="K36" s="1"/>
      <c r="L36" s="95"/>
      <c r="M36" s="1"/>
      <c r="N36" s="1"/>
      <c r="O36" s="95"/>
      <c r="P36" s="107"/>
      <c r="Q36" s="1"/>
    </row>
    <row r="37" spans="1:17" ht="15.75" customHeight="1" x14ac:dyDescent="0.2">
      <c r="A37" s="3">
        <v>2047</v>
      </c>
      <c r="B37" s="95">
        <f>HLOOKUP(A37,Vartiainen2020!$D$1:$AI$9,7,FALSE)</f>
        <v>69</v>
      </c>
      <c r="C37" s="1"/>
      <c r="D37" s="1"/>
      <c r="E37" s="1"/>
      <c r="F37" s="1"/>
      <c r="G37" s="1"/>
      <c r="H37" s="1"/>
      <c r="I37" s="100">
        <f>HLOOKUP(A37,Vartiainen2020!$D$1:$AI$9,9,FALSE)</f>
        <v>3.0434782608695653E-2</v>
      </c>
      <c r="J37" s="1"/>
      <c r="K37" s="1"/>
      <c r="L37" s="95"/>
      <c r="M37" s="1"/>
      <c r="N37" s="1"/>
      <c r="O37" s="95"/>
      <c r="P37" s="107"/>
      <c r="Q37" s="1"/>
    </row>
    <row r="38" spans="1:17" ht="15.75" customHeight="1" x14ac:dyDescent="0.2">
      <c r="A38" s="3">
        <v>2048</v>
      </c>
      <c r="B38" s="95">
        <f>HLOOKUP(A38,Vartiainen2020!$D$1:$AI$9,7,FALSE)</f>
        <v>67</v>
      </c>
      <c r="C38" s="1"/>
      <c r="D38" s="1"/>
      <c r="E38" s="1"/>
      <c r="F38" s="1"/>
      <c r="G38" s="1"/>
      <c r="H38" s="1"/>
      <c r="I38" s="100">
        <f>HLOOKUP(A38,Vartiainen2020!$D$1:$AI$9,9,FALSE)</f>
        <v>3.1343283582089557E-2</v>
      </c>
      <c r="J38" s="1"/>
      <c r="K38" s="1"/>
      <c r="L38" s="95"/>
      <c r="M38" s="1"/>
      <c r="N38" s="1"/>
      <c r="O38" s="95"/>
      <c r="P38" s="107"/>
      <c r="Q38" s="1"/>
    </row>
    <row r="39" spans="1:17" ht="15.75" customHeight="1" x14ac:dyDescent="0.2">
      <c r="A39" s="3">
        <v>2049</v>
      </c>
      <c r="B39" s="95">
        <f>HLOOKUP(A39,Vartiainen2020!$D$1:$AI$9,7,FALSE)</f>
        <v>66</v>
      </c>
      <c r="C39" s="1"/>
      <c r="D39" s="1"/>
      <c r="E39" s="1"/>
      <c r="F39" s="1"/>
      <c r="G39" s="1"/>
      <c r="H39" s="1"/>
      <c r="I39" s="100">
        <f>HLOOKUP(A39,Vartiainen2020!$D$1:$AI$9,9,FALSE)</f>
        <v>3.0303030303030304E-2</v>
      </c>
      <c r="J39" s="1"/>
      <c r="K39" s="1"/>
      <c r="L39" s="95"/>
      <c r="M39" s="1"/>
      <c r="N39" s="1"/>
      <c r="O39" s="95"/>
      <c r="P39" s="107"/>
      <c r="Q39" s="1"/>
    </row>
    <row r="40" spans="1:17" ht="15.75" customHeight="1" x14ac:dyDescent="0.2">
      <c r="A40" s="3">
        <v>2050</v>
      </c>
      <c r="B40" s="95">
        <f>HLOOKUP(A40,Vartiainen2020!$D$1:$AI$9,7,FALSE)</f>
        <v>65</v>
      </c>
      <c r="C40" s="1"/>
      <c r="D40" s="1"/>
      <c r="E40" s="1"/>
      <c r="F40" s="14">
        <f>'Cole, 2019'!H6</f>
        <v>142.20000000000002</v>
      </c>
      <c r="G40" s="14">
        <f>'Cole, 2019'!H5</f>
        <v>238.5</v>
      </c>
      <c r="H40" s="14">
        <f>'Cole, 2019'!H7</f>
        <v>70.2</v>
      </c>
      <c r="I40" s="100">
        <f>HLOOKUP(A40,Vartiainen2020!$D$1:$AI$9,9,FALSE)</f>
        <v>3.0769230769230771E-2</v>
      </c>
      <c r="J40" s="1"/>
      <c r="L40" s="95"/>
      <c r="M40" s="1"/>
      <c r="N40" s="1"/>
      <c r="O40" s="95"/>
      <c r="P40" s="107"/>
      <c r="Q40" s="1"/>
    </row>
    <row r="41" spans="1:17" ht="15.75" customHeight="1" x14ac:dyDescent="0.2"/>
    <row r="42" spans="1:17" ht="15.75" customHeight="1" x14ac:dyDescent="0.2"/>
    <row r="43" spans="1:17" ht="15.75" customHeight="1" x14ac:dyDescent="0.2"/>
    <row r="44" spans="1:17" ht="15.75" customHeight="1" x14ac:dyDescent="0.2"/>
    <row r="45" spans="1:17" ht="15.75" customHeight="1" x14ac:dyDescent="0.2"/>
    <row r="46" spans="1:17" ht="15.75" customHeight="1" x14ac:dyDescent="0.2"/>
    <row r="47" spans="1:17" ht="15.75" customHeight="1" x14ac:dyDescent="0.2"/>
    <row r="48" spans="1:17" ht="15.75" customHeight="1" x14ac:dyDescent="0.2"/>
    <row r="49" spans="2:12" ht="15.75" customHeight="1" x14ac:dyDescent="0.2"/>
    <row r="50" spans="2:12" ht="15.75" customHeight="1" x14ac:dyDescent="0.2"/>
    <row r="51" spans="2:12" ht="15.75" customHeight="1" x14ac:dyDescent="0.2"/>
    <row r="52" spans="2:12" ht="15.75" customHeight="1" x14ac:dyDescent="0.2"/>
    <row r="53" spans="2:12" ht="15.75" customHeight="1" x14ac:dyDescent="0.2"/>
    <row r="54" spans="2:12" ht="15.75" customHeight="1" x14ac:dyDescent="0.2"/>
    <row r="55" spans="2:12" ht="15.75" customHeight="1" x14ac:dyDescent="0.2"/>
    <row r="56" spans="2:12" ht="15.75" customHeight="1" x14ac:dyDescent="0.2"/>
    <row r="57" spans="2:12" ht="15.75" customHeight="1" x14ac:dyDescent="0.2"/>
    <row r="58" spans="2:12" ht="15.75" customHeight="1" x14ac:dyDescent="0.2"/>
    <row r="59" spans="2:12" ht="15.75" customHeight="1" x14ac:dyDescent="0.2"/>
    <row r="60" spans="2:12" ht="15.75" customHeight="1" x14ac:dyDescent="0.2"/>
    <row r="61" spans="2:12" ht="15.75" customHeight="1" x14ac:dyDescent="0.2"/>
    <row r="62" spans="2:12" ht="15.75" customHeight="1" x14ac:dyDescent="0.2"/>
    <row r="63" spans="2:12" ht="15.75" customHeight="1" x14ac:dyDescent="0.25">
      <c r="B63" s="141" t="s">
        <v>503</v>
      </c>
      <c r="C63" s="131"/>
      <c r="D63" s="131"/>
      <c r="E63" s="131"/>
      <c r="F63" s="131"/>
      <c r="G63" s="131"/>
      <c r="H63" s="131"/>
      <c r="I63" s="131"/>
      <c r="J63" s="131"/>
      <c r="K63" s="131"/>
      <c r="L63" s="131"/>
    </row>
    <row r="64" spans="2:12" ht="15.75" customHeight="1" x14ac:dyDescent="0.2"/>
    <row r="65" spans="2:12" ht="15.75" customHeight="1" x14ac:dyDescent="0.2">
      <c r="B65" s="102" t="s">
        <v>504</v>
      </c>
      <c r="C65" s="5"/>
      <c r="D65" s="5"/>
      <c r="E65" s="5"/>
      <c r="F65" s="5"/>
      <c r="G65" s="5"/>
      <c r="H65" s="5"/>
      <c r="I65" s="130" t="s">
        <v>505</v>
      </c>
      <c r="J65" s="131"/>
      <c r="K65" s="131"/>
      <c r="L65" s="132"/>
    </row>
    <row r="66" spans="2:12" ht="15.75" customHeight="1" x14ac:dyDescent="0.2">
      <c r="B66" s="103" t="s">
        <v>511</v>
      </c>
      <c r="C66" s="111"/>
      <c r="D66" s="111"/>
      <c r="E66" s="111"/>
      <c r="F66" s="111"/>
      <c r="G66" s="111"/>
      <c r="H66" s="111"/>
      <c r="I66" s="112" t="str">
        <f>F3</f>
        <v>Cole, 2019</v>
      </c>
      <c r="J66" s="113"/>
      <c r="K66" s="113"/>
      <c r="L66" s="114"/>
    </row>
    <row r="67" spans="2:12" ht="15.75" customHeight="1" x14ac:dyDescent="0.2"/>
    <row r="68" spans="2:12" ht="15.75" customHeight="1" x14ac:dyDescent="0.2"/>
    <row r="69" spans="2:12" ht="15.75" customHeight="1" x14ac:dyDescent="0.2"/>
    <row r="70" spans="2:12" ht="15.75" customHeight="1" x14ac:dyDescent="0.2"/>
    <row r="71" spans="2:12" ht="15.75" customHeight="1" x14ac:dyDescent="0.2"/>
    <row r="72" spans="2:12" ht="15.75" customHeight="1" x14ac:dyDescent="0.2"/>
    <row r="73" spans="2:12" ht="15.75" customHeight="1" x14ac:dyDescent="0.2"/>
    <row r="74" spans="2:12" ht="15.75" customHeight="1" x14ac:dyDescent="0.2"/>
    <row r="75" spans="2:12" ht="15.75" customHeight="1" x14ac:dyDescent="0.2"/>
    <row r="76" spans="2:12" ht="15.75" customHeight="1" x14ac:dyDescent="0.2"/>
    <row r="77" spans="2:12" ht="15.75" customHeight="1" x14ac:dyDescent="0.2"/>
    <row r="78" spans="2:12" ht="15.75" customHeight="1" x14ac:dyDescent="0.2"/>
    <row r="79" spans="2:12" ht="15.75" customHeight="1" x14ac:dyDescent="0.2"/>
    <row r="80" spans="2:12"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6">
    <mergeCell ref="I65:L65"/>
    <mergeCell ref="B2:H2"/>
    <mergeCell ref="I2:K2"/>
    <mergeCell ref="L2:M2"/>
    <mergeCell ref="O2:P2"/>
    <mergeCell ref="B63:L63"/>
  </mergeCells>
  <pageMargins left="0.7" right="0.7" top="0.78740157499999996" bottom="0.78740157499999996" header="0" footer="0"/>
  <pageSetup orientation="landscape"/>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9"/>
  </sheetPr>
  <dimension ref="A1:E1000"/>
  <sheetViews>
    <sheetView workbookViewId="0"/>
  </sheetViews>
  <sheetFormatPr baseColWidth="10" defaultColWidth="11.1640625" defaultRowHeight="15" customHeight="1" x14ac:dyDescent="0.2"/>
  <cols>
    <col min="1" max="1" width="10.5" customWidth="1"/>
    <col min="2" max="4" width="35.5" customWidth="1"/>
    <col min="5" max="5" width="14.6640625" customWidth="1"/>
    <col min="6" max="26" width="10.5" customWidth="1"/>
  </cols>
  <sheetData>
    <row r="1" spans="1:5" ht="15.75" customHeight="1" x14ac:dyDescent="0.2"/>
    <row r="2" spans="1:5" ht="15.75" customHeight="1" x14ac:dyDescent="0.2">
      <c r="A2" s="5"/>
      <c r="B2" s="30" t="s">
        <v>498</v>
      </c>
      <c r="C2" s="30" t="s">
        <v>499</v>
      </c>
      <c r="D2" s="91" t="s">
        <v>500</v>
      </c>
      <c r="E2" s="5"/>
    </row>
    <row r="3" spans="1:5" ht="15.75" customHeight="1" x14ac:dyDescent="0.2">
      <c r="A3" s="5" t="s">
        <v>501</v>
      </c>
      <c r="B3" s="92" t="str">
        <f>'Tsiropoulos2018 (JRC)'!B32</f>
        <v>Tsiropoulos, 2018 (ProRES scenario)</v>
      </c>
      <c r="C3" s="92" t="str">
        <f t="shared" ref="C3:C4" si="0">B3</f>
        <v>Tsiropoulos, 2018 (ProRES scenario)</v>
      </c>
      <c r="D3" s="92" t="str">
        <f t="shared" ref="D3:D4" si="1">B3</f>
        <v>Tsiropoulos, 2018 (ProRES scenario)</v>
      </c>
      <c r="E3" s="5"/>
    </row>
    <row r="4" spans="1:5" ht="15.75" customHeight="1" x14ac:dyDescent="0.2">
      <c r="A4" s="7" t="s">
        <v>502</v>
      </c>
      <c r="B4" s="94" t="str">
        <f>'Tsiropoulos2018 (JRC)'!A22</f>
        <v>CSP, solar tower with storage</v>
      </c>
      <c r="C4" s="94" t="str">
        <f t="shared" si="0"/>
        <v>CSP, solar tower with storage</v>
      </c>
      <c r="D4" s="94" t="str">
        <f t="shared" si="1"/>
        <v>CSP, solar tower with storage</v>
      </c>
      <c r="E4" s="1"/>
    </row>
    <row r="5" spans="1:5" ht="15.75" customHeight="1" x14ac:dyDescent="0.2">
      <c r="A5" s="3">
        <v>2015</v>
      </c>
      <c r="B5" s="95">
        <f>'Tsiropoulos2018 (JRC)'!D22</f>
        <v>5280</v>
      </c>
      <c r="C5" s="96">
        <f>'Tsiropoulos2018 (JRC)'!D23</f>
        <v>1.7000000000000001E-2</v>
      </c>
      <c r="D5" s="98">
        <f>'Tsiropoulos2018 (JRC)'!D28</f>
        <v>30</v>
      </c>
    </row>
    <row r="6" spans="1:5" ht="15.75" customHeight="1" x14ac:dyDescent="0.2">
      <c r="A6" s="3">
        <v>2016</v>
      </c>
      <c r="B6" s="95"/>
      <c r="C6" s="96"/>
      <c r="D6" s="96"/>
    </row>
    <row r="7" spans="1:5" ht="15.75" customHeight="1" x14ac:dyDescent="0.2">
      <c r="A7" s="3">
        <v>2017</v>
      </c>
      <c r="B7" s="95"/>
      <c r="C7" s="96"/>
      <c r="D7" s="95"/>
    </row>
    <row r="8" spans="1:5" ht="15.75" customHeight="1" x14ac:dyDescent="0.2">
      <c r="A8" s="3">
        <v>2018</v>
      </c>
      <c r="B8" s="95"/>
      <c r="C8" s="96"/>
      <c r="D8" s="95"/>
    </row>
    <row r="9" spans="1:5" ht="15.75" customHeight="1" x14ac:dyDescent="0.2">
      <c r="A9" s="3">
        <v>2019</v>
      </c>
      <c r="B9" s="95"/>
      <c r="C9" s="96"/>
      <c r="D9" s="95"/>
    </row>
    <row r="10" spans="1:5" ht="15.75" customHeight="1" x14ac:dyDescent="0.2">
      <c r="A10" s="3">
        <v>2020</v>
      </c>
      <c r="B10" s="95">
        <f>'Tsiropoulos2018 (JRC)'!E22</f>
        <v>4330</v>
      </c>
      <c r="C10" s="96">
        <f>'Tsiropoulos2018 (JRC)'!E23</f>
        <v>1.7000000000000001E-2</v>
      </c>
      <c r="D10" s="95"/>
    </row>
    <row r="11" spans="1:5" ht="15.75" customHeight="1" x14ac:dyDescent="0.2">
      <c r="A11" s="3">
        <v>2021</v>
      </c>
      <c r="B11" s="95"/>
      <c r="C11" s="96"/>
      <c r="D11" s="95"/>
    </row>
    <row r="12" spans="1:5" ht="15.75" customHeight="1" x14ac:dyDescent="0.2">
      <c r="A12" s="3">
        <v>2022</v>
      </c>
      <c r="B12" s="95"/>
      <c r="C12" s="96"/>
      <c r="D12" s="95"/>
    </row>
    <row r="13" spans="1:5" ht="15.75" customHeight="1" x14ac:dyDescent="0.2">
      <c r="A13" s="3">
        <v>2023</v>
      </c>
      <c r="B13" s="95"/>
      <c r="C13" s="96"/>
      <c r="D13" s="95"/>
    </row>
    <row r="14" spans="1:5" ht="15.75" customHeight="1" x14ac:dyDescent="0.2">
      <c r="A14" s="3">
        <v>2024</v>
      </c>
      <c r="B14" s="95"/>
      <c r="C14" s="96"/>
      <c r="D14" s="95"/>
    </row>
    <row r="15" spans="1:5" ht="15.75" customHeight="1" x14ac:dyDescent="0.2">
      <c r="A15" s="3">
        <v>2025</v>
      </c>
      <c r="B15" s="95"/>
      <c r="C15" s="96"/>
      <c r="D15" s="95"/>
    </row>
    <row r="16" spans="1:5" ht="15.75" customHeight="1" x14ac:dyDescent="0.2">
      <c r="A16" s="3">
        <v>2026</v>
      </c>
      <c r="B16" s="95"/>
      <c r="C16" s="96"/>
      <c r="D16" s="95"/>
    </row>
    <row r="17" spans="1:4" ht="15.75" customHeight="1" x14ac:dyDescent="0.2">
      <c r="A17" s="3">
        <v>2027</v>
      </c>
      <c r="B17" s="95"/>
      <c r="C17" s="96"/>
      <c r="D17" s="95"/>
    </row>
    <row r="18" spans="1:4" ht="15.75" customHeight="1" x14ac:dyDescent="0.2">
      <c r="A18" s="3">
        <v>2028</v>
      </c>
      <c r="B18" s="95"/>
      <c r="C18" s="96"/>
      <c r="D18" s="95"/>
    </row>
    <row r="19" spans="1:4" ht="15.75" customHeight="1" x14ac:dyDescent="0.2">
      <c r="A19" s="3">
        <v>2029</v>
      </c>
      <c r="B19" s="95"/>
      <c r="C19" s="96"/>
      <c r="D19" s="95"/>
    </row>
    <row r="20" spans="1:4" ht="15.75" customHeight="1" x14ac:dyDescent="0.2">
      <c r="A20" s="3">
        <v>2030</v>
      </c>
      <c r="B20" s="95">
        <f>'Tsiropoulos2018 (JRC)'!F22</f>
        <v>3310</v>
      </c>
      <c r="C20" s="96">
        <f>'Tsiropoulos2018 (JRC)'!F23</f>
        <v>1.7000000000000001E-2</v>
      </c>
      <c r="D20" s="95"/>
    </row>
    <row r="21" spans="1:4" ht="15.75" customHeight="1" x14ac:dyDescent="0.2">
      <c r="A21" s="3">
        <v>2031</v>
      </c>
      <c r="B21" s="95"/>
      <c r="C21" s="96"/>
      <c r="D21" s="95"/>
    </row>
    <row r="22" spans="1:4" ht="15.75" customHeight="1" x14ac:dyDescent="0.2">
      <c r="A22" s="3">
        <v>2032</v>
      </c>
      <c r="B22" s="95"/>
      <c r="C22" s="96"/>
      <c r="D22" s="95"/>
    </row>
    <row r="23" spans="1:4" ht="15.75" customHeight="1" x14ac:dyDescent="0.2">
      <c r="A23" s="3">
        <v>2033</v>
      </c>
      <c r="B23" s="95"/>
      <c r="C23" s="96"/>
      <c r="D23" s="95"/>
    </row>
    <row r="24" spans="1:4" ht="15.75" customHeight="1" x14ac:dyDescent="0.2">
      <c r="A24" s="3">
        <v>2034</v>
      </c>
      <c r="B24" s="95"/>
      <c r="C24" s="96"/>
      <c r="D24" s="95"/>
    </row>
    <row r="25" spans="1:4" ht="15.75" customHeight="1" x14ac:dyDescent="0.2">
      <c r="A25" s="3">
        <v>2035</v>
      </c>
      <c r="B25" s="95"/>
      <c r="C25" s="96"/>
      <c r="D25" s="95"/>
    </row>
    <row r="26" spans="1:4" ht="15.75" customHeight="1" x14ac:dyDescent="0.2">
      <c r="A26" s="3">
        <v>2036</v>
      </c>
      <c r="B26" s="95"/>
      <c r="C26" s="96"/>
      <c r="D26" s="95"/>
    </row>
    <row r="27" spans="1:4" ht="15.75" customHeight="1" x14ac:dyDescent="0.2">
      <c r="A27" s="3">
        <v>2037</v>
      </c>
      <c r="B27" s="95"/>
      <c r="C27" s="96"/>
      <c r="D27" s="95"/>
    </row>
    <row r="28" spans="1:4" ht="15.75" customHeight="1" x14ac:dyDescent="0.2">
      <c r="A28" s="3">
        <v>2038</v>
      </c>
      <c r="B28" s="95"/>
      <c r="C28" s="96"/>
      <c r="D28" s="95"/>
    </row>
    <row r="29" spans="1:4" ht="15.75" customHeight="1" x14ac:dyDescent="0.2">
      <c r="A29" s="3">
        <v>2039</v>
      </c>
      <c r="B29" s="95"/>
      <c r="C29" s="96"/>
      <c r="D29" s="95"/>
    </row>
    <row r="30" spans="1:4" ht="15.75" customHeight="1" x14ac:dyDescent="0.2">
      <c r="A30" s="3">
        <v>2040</v>
      </c>
      <c r="B30" s="95">
        <f>'Tsiropoulos2018 (JRC)'!G22</f>
        <v>3010</v>
      </c>
      <c r="C30" s="96">
        <f>'Tsiropoulos2018 (JRC)'!G23</f>
        <v>1.7000000000000001E-2</v>
      </c>
      <c r="D30" s="95"/>
    </row>
    <row r="31" spans="1:4" ht="15.75" customHeight="1" x14ac:dyDescent="0.2">
      <c r="A31" s="3">
        <v>2041</v>
      </c>
      <c r="B31" s="95"/>
      <c r="C31" s="96"/>
      <c r="D31" s="95"/>
    </row>
    <row r="32" spans="1:4" ht="15.75" customHeight="1" x14ac:dyDescent="0.2">
      <c r="A32" s="3">
        <v>2042</v>
      </c>
      <c r="B32" s="95"/>
      <c r="C32" s="96"/>
      <c r="D32" s="95"/>
    </row>
    <row r="33" spans="1:4" ht="15.75" customHeight="1" x14ac:dyDescent="0.2">
      <c r="A33" s="3">
        <v>2043</v>
      </c>
      <c r="B33" s="95"/>
      <c r="C33" s="96"/>
      <c r="D33" s="95"/>
    </row>
    <row r="34" spans="1:4" ht="15.75" customHeight="1" x14ac:dyDescent="0.2">
      <c r="A34" s="3">
        <v>2044</v>
      </c>
      <c r="B34" s="95"/>
      <c r="C34" s="96"/>
      <c r="D34" s="95"/>
    </row>
    <row r="35" spans="1:4" ht="15.75" customHeight="1" x14ac:dyDescent="0.2">
      <c r="A35" s="3">
        <v>2045</v>
      </c>
      <c r="B35" s="95"/>
      <c r="C35" s="96"/>
      <c r="D35" s="95"/>
    </row>
    <row r="36" spans="1:4" ht="15.75" customHeight="1" x14ac:dyDescent="0.2">
      <c r="A36" s="3">
        <v>2046</v>
      </c>
      <c r="B36" s="95"/>
      <c r="C36" s="96"/>
      <c r="D36" s="95"/>
    </row>
    <row r="37" spans="1:4" ht="15.75" customHeight="1" x14ac:dyDescent="0.2">
      <c r="A37" s="3">
        <v>2047</v>
      </c>
      <c r="B37" s="95"/>
      <c r="C37" s="96"/>
      <c r="D37" s="95"/>
    </row>
    <row r="38" spans="1:4" ht="15.75" customHeight="1" x14ac:dyDescent="0.2">
      <c r="A38" s="3">
        <v>2048</v>
      </c>
      <c r="B38" s="95"/>
      <c r="C38" s="96"/>
      <c r="D38" s="95"/>
    </row>
    <row r="39" spans="1:4" ht="15.75" customHeight="1" x14ac:dyDescent="0.2">
      <c r="A39" s="3">
        <v>2049</v>
      </c>
      <c r="B39" s="95"/>
      <c r="C39" s="96"/>
      <c r="D39" s="95"/>
    </row>
    <row r="40" spans="1:4" ht="15.75" customHeight="1" x14ac:dyDescent="0.2">
      <c r="A40" s="3">
        <v>2050</v>
      </c>
      <c r="B40" s="95">
        <f>'Tsiropoulos2018 (JRC)'!H22</f>
        <v>2880</v>
      </c>
      <c r="C40" s="96">
        <f>'Tsiropoulos2018 (JRC)'!H23</f>
        <v>1.7000000000000001E-2</v>
      </c>
      <c r="D40" s="95"/>
    </row>
    <row r="41" spans="1:4" ht="15.75" customHeight="1" x14ac:dyDescent="0.2"/>
    <row r="42" spans="1:4" ht="15.75" customHeight="1" x14ac:dyDescent="0.2"/>
    <row r="43" spans="1:4" ht="15.75" customHeight="1" x14ac:dyDescent="0.2"/>
    <row r="44" spans="1:4" ht="15.75" customHeight="1" x14ac:dyDescent="0.2"/>
    <row r="45" spans="1:4" ht="15.75" customHeight="1" x14ac:dyDescent="0.2"/>
    <row r="46" spans="1:4" ht="15.75" customHeight="1" x14ac:dyDescent="0.2"/>
    <row r="47" spans="1:4" ht="15.75" customHeight="1" x14ac:dyDescent="0.2"/>
    <row r="48" spans="1:4" ht="15.75" customHeight="1" x14ac:dyDescent="0.2"/>
    <row r="49" spans="2:4" ht="15.75" customHeight="1" x14ac:dyDescent="0.2"/>
    <row r="50" spans="2:4" ht="15.75" customHeight="1" x14ac:dyDescent="0.2"/>
    <row r="51" spans="2:4" ht="15.75" customHeight="1" x14ac:dyDescent="0.2"/>
    <row r="52" spans="2:4" ht="15.75" customHeight="1" x14ac:dyDescent="0.2"/>
    <row r="53" spans="2:4" ht="15.75" customHeight="1" x14ac:dyDescent="0.2"/>
    <row r="54" spans="2:4" ht="15.75" customHeight="1" x14ac:dyDescent="0.2"/>
    <row r="55" spans="2:4" ht="15.75" customHeight="1" x14ac:dyDescent="0.2"/>
    <row r="56" spans="2:4" ht="15.75" customHeight="1" x14ac:dyDescent="0.2"/>
    <row r="57" spans="2:4" ht="15.75" customHeight="1" x14ac:dyDescent="0.2"/>
    <row r="58" spans="2:4" ht="15.75" customHeight="1" x14ac:dyDescent="0.2"/>
    <row r="59" spans="2:4" ht="15.75" customHeight="1" x14ac:dyDescent="0.2"/>
    <row r="60" spans="2:4" ht="15.75" customHeight="1" x14ac:dyDescent="0.2"/>
    <row r="61" spans="2:4" ht="15.75" customHeight="1" x14ac:dyDescent="0.2"/>
    <row r="62" spans="2:4" ht="15.75" customHeight="1" x14ac:dyDescent="0.2"/>
    <row r="63" spans="2:4" ht="15.75" customHeight="1" x14ac:dyDescent="0.25">
      <c r="B63" s="141" t="s">
        <v>503</v>
      </c>
      <c r="C63" s="131"/>
      <c r="D63" s="131"/>
    </row>
    <row r="64" spans="2:4" ht="15.75" customHeight="1" x14ac:dyDescent="0.2"/>
    <row r="65" spans="2:4" ht="15.75" customHeight="1" x14ac:dyDescent="0.2">
      <c r="B65" s="102" t="s">
        <v>504</v>
      </c>
      <c r="D65" s="102" t="s">
        <v>505</v>
      </c>
    </row>
    <row r="66" spans="2:4" ht="15.75" customHeight="1" x14ac:dyDescent="0.2">
      <c r="B66" s="103" t="s">
        <v>512</v>
      </c>
      <c r="D66" s="103" t="str">
        <f>B3</f>
        <v>Tsiropoulos, 2018 (ProRES scenario)</v>
      </c>
    </row>
    <row r="67" spans="2:4" ht="15.75" customHeight="1" x14ac:dyDescent="0.2"/>
    <row r="68" spans="2:4" ht="15.75" customHeight="1" x14ac:dyDescent="0.2"/>
    <row r="69" spans="2:4" ht="15.75" customHeight="1" x14ac:dyDescent="0.2"/>
    <row r="70" spans="2:4" ht="15.75" customHeight="1" x14ac:dyDescent="0.2"/>
    <row r="71" spans="2:4" ht="15.75" customHeight="1" x14ac:dyDescent="0.2"/>
    <row r="72" spans="2:4" ht="15.75" customHeight="1" x14ac:dyDescent="0.2"/>
    <row r="73" spans="2:4" ht="15.75" customHeight="1" x14ac:dyDescent="0.2"/>
    <row r="74" spans="2:4" ht="15.75" customHeight="1" x14ac:dyDescent="0.2"/>
    <row r="75" spans="2:4" ht="15.75" customHeight="1" x14ac:dyDescent="0.2"/>
    <row r="76" spans="2:4" ht="15.75" customHeight="1" x14ac:dyDescent="0.2"/>
    <row r="77" spans="2:4" ht="15.75" customHeight="1" x14ac:dyDescent="0.2"/>
    <row r="78" spans="2:4" ht="15.75" customHeight="1" x14ac:dyDescent="0.2"/>
    <row r="79" spans="2:4" ht="15.75" customHeight="1" x14ac:dyDescent="0.2"/>
    <row r="80" spans="2:4"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B63:D63"/>
  </mergeCells>
  <pageMargins left="0.7" right="0.7" top="0.78740157499999996" bottom="0.78740157499999996" header="0" footer="0"/>
  <pageSetup orientation="landscape"/>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9"/>
  </sheetPr>
  <dimension ref="A1:AE1000"/>
  <sheetViews>
    <sheetView workbookViewId="0"/>
  </sheetViews>
  <sheetFormatPr baseColWidth="10" defaultColWidth="11.1640625" defaultRowHeight="15" customHeight="1" x14ac:dyDescent="0.2"/>
  <cols>
    <col min="1" max="1" width="13" customWidth="1"/>
    <col min="2" max="9" width="14.1640625" customWidth="1"/>
    <col min="10" max="31" width="11" customWidth="1"/>
    <col min="32" max="34" width="10.5" customWidth="1"/>
  </cols>
  <sheetData>
    <row r="1" spans="1:31" ht="15.75" customHeight="1" x14ac:dyDescent="0.2"/>
    <row r="2" spans="1:31" ht="15.75" customHeight="1" x14ac:dyDescent="0.2">
      <c r="A2" s="5"/>
      <c r="B2" s="130" t="s">
        <v>513</v>
      </c>
      <c r="C2" s="131"/>
      <c r="D2" s="131"/>
      <c r="E2" s="131"/>
      <c r="F2" s="131"/>
      <c r="G2" s="131"/>
      <c r="H2" s="131"/>
      <c r="I2" s="131"/>
      <c r="J2" s="130" t="s">
        <v>499</v>
      </c>
      <c r="K2" s="131"/>
      <c r="L2" s="131"/>
      <c r="M2" s="131"/>
      <c r="N2" s="131"/>
      <c r="O2" s="131"/>
      <c r="P2" s="131"/>
      <c r="Q2" s="131"/>
      <c r="R2" s="140" t="s">
        <v>500</v>
      </c>
      <c r="S2" s="131"/>
      <c r="T2" s="131"/>
      <c r="U2" s="131"/>
      <c r="V2" s="131"/>
      <c r="W2" s="131"/>
      <c r="X2" s="140" t="s">
        <v>514</v>
      </c>
      <c r="Y2" s="131"/>
      <c r="Z2" s="131"/>
      <c r="AA2" s="131"/>
      <c r="AB2" s="131"/>
      <c r="AC2" s="131"/>
      <c r="AD2" s="131"/>
      <c r="AE2" s="131"/>
    </row>
    <row r="3" spans="1:31" ht="15.75" customHeight="1" x14ac:dyDescent="0.2">
      <c r="A3" s="5" t="s">
        <v>501</v>
      </c>
      <c r="B3" s="92" t="str">
        <f>Agora2019!B19</f>
        <v>Agora, 2019 (reference scenario)</v>
      </c>
      <c r="C3" s="93" t="str">
        <f>lit_review_raw!A31</f>
        <v>IEA, 2019</v>
      </c>
      <c r="D3" s="93" t="str">
        <f>lit_review_raw!A12</f>
        <v>Matute, 2019</v>
      </c>
      <c r="E3" s="93" t="str">
        <f>lit_review_raw!A17</f>
        <v>Böhm, 2020</v>
      </c>
      <c r="F3" s="93" t="str">
        <f>'Gorre, 2019'!B17</f>
        <v>Gorre, 2019</v>
      </c>
      <c r="G3" s="93" t="str">
        <f>lit_review_raw!A62</f>
        <v>Michalski, 2017</v>
      </c>
      <c r="H3" s="93" t="str">
        <f>lit_review_raw!A68</f>
        <v>Brynolf, 2018</v>
      </c>
      <c r="I3" s="93" t="str">
        <f>lit_review_raw!A29</f>
        <v>Buttler, 2018</v>
      </c>
      <c r="J3" s="92" t="str">
        <f t="shared" ref="J3:M3" si="0">B3</f>
        <v>Agora, 2019 (reference scenario)</v>
      </c>
      <c r="K3" s="5" t="str">
        <f t="shared" si="0"/>
        <v>IEA, 2019</v>
      </c>
      <c r="L3" s="5" t="str">
        <f t="shared" si="0"/>
        <v>Matute, 2019</v>
      </c>
      <c r="M3" s="5" t="str">
        <f t="shared" si="0"/>
        <v>Böhm, 2020</v>
      </c>
      <c r="N3" s="5" t="s">
        <v>452</v>
      </c>
      <c r="O3" s="5" t="str">
        <f t="shared" ref="O3:Q3" si="1">G3</f>
        <v>Michalski, 2017</v>
      </c>
      <c r="P3" s="5" t="str">
        <f t="shared" si="1"/>
        <v>Brynolf, 2018</v>
      </c>
      <c r="Q3" s="5" t="str">
        <f t="shared" si="1"/>
        <v>Buttler, 2018</v>
      </c>
      <c r="R3" s="92" t="str">
        <f t="shared" ref="R3:U3" si="2">B3</f>
        <v>Agora, 2019 (reference scenario)</v>
      </c>
      <c r="S3" s="5" t="str">
        <f t="shared" si="2"/>
        <v>IEA, 2019</v>
      </c>
      <c r="T3" s="5" t="str">
        <f t="shared" si="2"/>
        <v>Matute, 2019</v>
      </c>
      <c r="U3" s="5" t="str">
        <f t="shared" si="2"/>
        <v>Böhm, 2020</v>
      </c>
      <c r="V3" s="5" t="str">
        <f>O3</f>
        <v>Michalski, 2017</v>
      </c>
      <c r="W3" s="5" t="str">
        <f t="shared" ref="W3:AB3" si="3">I3</f>
        <v>Buttler, 2018</v>
      </c>
      <c r="X3" s="92" t="str">
        <f t="shared" si="3"/>
        <v>Agora, 2019 (reference scenario)</v>
      </c>
      <c r="Y3" s="5" t="str">
        <f t="shared" si="3"/>
        <v>IEA, 2019</v>
      </c>
      <c r="Z3" s="5" t="str">
        <f t="shared" si="3"/>
        <v>Matute, 2019</v>
      </c>
      <c r="AA3" s="5" t="str">
        <f t="shared" si="3"/>
        <v>Böhm, 2020</v>
      </c>
      <c r="AB3" s="5" t="str">
        <f t="shared" si="3"/>
        <v>Gorre, 2019</v>
      </c>
      <c r="AC3" s="5" t="str">
        <f>V3</f>
        <v>Michalski, 2017</v>
      </c>
      <c r="AD3" s="5" t="str">
        <f t="shared" ref="AD3:AE3" si="4">P3</f>
        <v>Brynolf, 2018</v>
      </c>
      <c r="AE3" s="5" t="str">
        <f t="shared" si="4"/>
        <v>Buttler, 2018</v>
      </c>
    </row>
    <row r="4" spans="1:31" ht="15.75" customHeight="1" x14ac:dyDescent="0.2">
      <c r="A4" s="7" t="s">
        <v>502</v>
      </c>
      <c r="B4" s="94" t="str">
        <f>Agora2019!A11</f>
        <v>electrolysis (LT, no differentiation between AEL and PEMEL, cost estimates based on large plants)</v>
      </c>
      <c r="C4" s="7" t="str">
        <f>lit_review_raw!C31</f>
        <v>'today' assumed to be 2020, 'long-term' assumed to be 2050, unclear whether FT is with or without RWGS, FT efficeincy values LHV-based, no information on electrolysis type</v>
      </c>
      <c r="D4" s="7" t="s">
        <v>295</v>
      </c>
      <c r="E4" s="7"/>
      <c r="F4" s="7" t="str">
        <f>'Gorre, 2019'!A2</f>
        <v>electrolyser (2017 (2030 and 2050) for 1 (10) MW electrical input of electrolyser)</v>
      </c>
      <c r="G4" s="7" t="s">
        <v>295</v>
      </c>
      <c r="H4" s="7" t="str">
        <f>lit_review_raw!C68</f>
        <v>lower-end-estimates for costs, medium-estimates for efficiencies, FT costs for 5MW plant</v>
      </c>
      <c r="I4" s="7" t="str">
        <f>lit_review_raw!C29</f>
        <v>based on existing plants, data for PEMEL, lower-end estimate for costs, higher-end estimate for efficiency</v>
      </c>
      <c r="J4" s="94" t="str">
        <f t="shared" ref="J4:K4" si="5">B4</f>
        <v>electrolysis (LT, no differentiation between AEL and PEMEL, cost estimates based on large plants)</v>
      </c>
      <c r="K4" s="7" t="str">
        <f t="shared" si="5"/>
        <v>'today' assumed to be 2020, 'long-term' assumed to be 2050, unclear whether FT is with or without RWGS, FT efficeincy values LHV-based, no information on electrolysis type</v>
      </c>
      <c r="L4" s="7" t="s">
        <v>295</v>
      </c>
      <c r="M4" s="7"/>
      <c r="N4" s="7" t="str">
        <f>F4</f>
        <v>electrolyser (2017 (2030 and 2050) for 1 (10) MW electrical input of electrolyser)</v>
      </c>
      <c r="O4" s="7" t="s">
        <v>295</v>
      </c>
      <c r="P4" s="7" t="str">
        <f>H4</f>
        <v>lower-end-estimates for costs, medium-estimates for efficiencies, FT costs for 5MW plant</v>
      </c>
      <c r="Q4" s="7"/>
      <c r="R4" s="94" t="str">
        <f t="shared" ref="R4:S4" si="6">B4</f>
        <v>electrolysis (LT, no differentiation between AEL and PEMEL, cost estimates based on large plants)</v>
      </c>
      <c r="S4" s="7" t="str">
        <f t="shared" si="6"/>
        <v>'today' assumed to be 2020, 'long-term' assumed to be 2050, unclear whether FT is with or without RWGS, FT efficeincy values LHV-based, no information on electrolysis type</v>
      </c>
      <c r="T4" s="7" t="s">
        <v>295</v>
      </c>
      <c r="U4" s="7"/>
      <c r="V4" s="7"/>
      <c r="W4" s="7"/>
      <c r="X4" s="94" t="str">
        <f t="shared" ref="X4:Y4" si="7">B4</f>
        <v>electrolysis (LT, no differentiation between AEL and PEMEL, cost estimates based on large plants)</v>
      </c>
      <c r="Y4" s="7" t="str">
        <f t="shared" si="7"/>
        <v>'today' assumed to be 2020, 'long-term' assumed to be 2050, unclear whether FT is with or without RWGS, FT efficeincy values LHV-based, no information on electrolysis type</v>
      </c>
      <c r="Z4" s="7" t="str">
        <f>lit_review_raw!AI3</f>
        <v>kWh_H2/kWh_el (unclear whether HHV or LHV)</v>
      </c>
      <c r="AA4" s="7"/>
      <c r="AB4" s="7" t="str">
        <f>N4</f>
        <v>electrolyser (2017 (2030 and 2050) for 1 (10) MW electrical input of electrolyser)</v>
      </c>
      <c r="AC4" s="7" t="s">
        <v>295</v>
      </c>
      <c r="AD4" s="7" t="str">
        <f>P4</f>
        <v>lower-end-estimates for costs, medium-estimates for efficiencies, FT costs for 5MW plant</v>
      </c>
      <c r="AE4" s="7" t="s">
        <v>295</v>
      </c>
    </row>
    <row r="5" spans="1:31" ht="15.75" customHeight="1" x14ac:dyDescent="0.2">
      <c r="A5" s="3">
        <v>2015</v>
      </c>
      <c r="B5" s="95"/>
      <c r="C5" s="1"/>
      <c r="D5" s="1"/>
      <c r="E5" s="1"/>
      <c r="F5" s="1"/>
      <c r="G5" s="1"/>
      <c r="H5" s="1"/>
      <c r="I5" s="1"/>
      <c r="J5" s="96"/>
      <c r="K5" s="97"/>
      <c r="L5" s="97"/>
      <c r="M5" s="97"/>
      <c r="N5" s="97"/>
      <c r="O5" s="97"/>
      <c r="P5" s="97"/>
      <c r="Q5" s="97"/>
      <c r="R5" s="98"/>
      <c r="S5" s="14"/>
      <c r="T5" s="14"/>
      <c r="U5" s="14"/>
      <c r="V5" s="14"/>
      <c r="W5" s="14"/>
      <c r="X5" s="115"/>
      <c r="Y5" s="58"/>
      <c r="Z5" s="58"/>
      <c r="AA5" s="58"/>
      <c r="AB5" s="58"/>
      <c r="AC5" s="58"/>
      <c r="AD5" s="58"/>
      <c r="AE5" s="58"/>
    </row>
    <row r="6" spans="1:31" ht="15.75" customHeight="1" x14ac:dyDescent="0.2">
      <c r="A6" s="3">
        <v>2016</v>
      </c>
      <c r="B6" s="95"/>
      <c r="C6" s="1"/>
      <c r="D6" s="1"/>
      <c r="E6" s="1"/>
      <c r="F6" s="1"/>
      <c r="G6" s="1"/>
      <c r="H6" s="1"/>
      <c r="I6" s="1"/>
      <c r="J6" s="96"/>
      <c r="K6" s="97"/>
      <c r="L6" s="97"/>
      <c r="M6" s="97"/>
      <c r="N6" s="97"/>
      <c r="O6" s="97"/>
      <c r="P6" s="97"/>
      <c r="Q6" s="97"/>
      <c r="R6" s="96"/>
      <c r="S6" s="97"/>
      <c r="T6" s="97"/>
      <c r="U6" s="97"/>
      <c r="V6" s="97"/>
      <c r="W6" s="97"/>
      <c r="X6" s="115"/>
      <c r="Y6" s="58"/>
      <c r="Z6" s="58"/>
      <c r="AA6" s="58"/>
      <c r="AB6" s="58"/>
      <c r="AC6" s="58"/>
      <c r="AD6" s="58"/>
      <c r="AE6" s="58"/>
    </row>
    <row r="7" spans="1:31" ht="15.75" customHeight="1" x14ac:dyDescent="0.2">
      <c r="A7" s="3">
        <v>2017</v>
      </c>
      <c r="B7" s="95"/>
      <c r="C7" s="1"/>
      <c r="D7" s="1">
        <f>lit_review_raw!AD12</f>
        <v>1300</v>
      </c>
      <c r="E7" s="1"/>
      <c r="F7" s="1">
        <f>'Gorre, 2019'!D2</f>
        <v>1180</v>
      </c>
      <c r="G7" s="1"/>
      <c r="H7" s="1"/>
      <c r="I7" s="48">
        <f>I8</f>
        <v>1400</v>
      </c>
      <c r="J7" s="96"/>
      <c r="K7" s="97"/>
      <c r="L7" s="97">
        <f>lit_review_raw!AE12</f>
        <v>0.03</v>
      </c>
      <c r="M7" s="97"/>
      <c r="N7" s="97">
        <f>'Gorre, 2019'!D3</f>
        <v>0.04</v>
      </c>
      <c r="O7" s="97"/>
      <c r="P7" s="97"/>
      <c r="Q7" s="116">
        <f>Q8</f>
        <v>0.03</v>
      </c>
      <c r="R7" s="95"/>
      <c r="S7" s="1"/>
      <c r="T7" s="1">
        <f>lit_review_raw!AG12</f>
        <v>20</v>
      </c>
      <c r="U7" s="1"/>
      <c r="V7" s="1"/>
      <c r="W7" s="1"/>
      <c r="X7" s="115"/>
      <c r="Y7" s="58"/>
      <c r="Z7" s="58">
        <f>lit_review_raw!AI12</f>
        <v>4.922955742627874E-4</v>
      </c>
      <c r="AA7" s="58"/>
      <c r="AB7" s="58">
        <f>'Gorre, 2019'!D4</f>
        <v>0.64</v>
      </c>
      <c r="AC7" s="58"/>
      <c r="AD7" s="58"/>
      <c r="AE7" s="51">
        <f>AE8</f>
        <v>0.6</v>
      </c>
    </row>
    <row r="8" spans="1:31" ht="15.75" customHeight="1" x14ac:dyDescent="0.2">
      <c r="A8" s="3">
        <v>2018</v>
      </c>
      <c r="B8" s="95"/>
      <c r="C8" s="1"/>
      <c r="D8" s="1"/>
      <c r="E8" s="1"/>
      <c r="F8" s="1"/>
      <c r="G8" s="1"/>
      <c r="H8" s="1">
        <f>lit_review_raw!AD68</f>
        <v>1900</v>
      </c>
      <c r="I8" s="1">
        <f>lit_review_raw!AD29</f>
        <v>1400</v>
      </c>
      <c r="J8" s="96"/>
      <c r="K8" s="97"/>
      <c r="L8" s="97"/>
      <c r="M8" s="97"/>
      <c r="N8" s="97"/>
      <c r="O8" s="97"/>
      <c r="P8" s="97">
        <f>lit_review_raw!AE68</f>
        <v>0.02</v>
      </c>
      <c r="Q8" s="97">
        <f>lit_review_raw!AE29</f>
        <v>0.03</v>
      </c>
      <c r="R8" s="95"/>
      <c r="S8" s="1"/>
      <c r="T8" s="1"/>
      <c r="U8" s="1"/>
      <c r="V8" s="1"/>
      <c r="W8" s="1"/>
      <c r="X8" s="115"/>
      <c r="Y8" s="58"/>
      <c r="Z8" s="58"/>
      <c r="AA8" s="58"/>
      <c r="AB8" s="58"/>
      <c r="AC8" s="58"/>
      <c r="AD8" s="58">
        <f>lit_review_raw!AJ68</f>
        <v>0.62</v>
      </c>
      <c r="AE8" s="58">
        <f>lit_review_raw!AJ29</f>
        <v>0.6</v>
      </c>
    </row>
    <row r="9" spans="1:31" ht="15.75" customHeight="1" x14ac:dyDescent="0.2">
      <c r="A9" s="3">
        <v>2019</v>
      </c>
      <c r="B9" s="95"/>
      <c r="C9" s="1"/>
      <c r="D9" s="1"/>
      <c r="E9" s="1"/>
      <c r="F9" s="1"/>
      <c r="G9" s="1"/>
      <c r="H9" s="1"/>
      <c r="I9" s="1"/>
      <c r="J9" s="96"/>
      <c r="K9" s="97"/>
      <c r="L9" s="97"/>
      <c r="M9" s="97"/>
      <c r="N9" s="97"/>
      <c r="O9" s="97"/>
      <c r="P9" s="97"/>
      <c r="Q9" s="97"/>
      <c r="R9" s="95"/>
      <c r="S9" s="1"/>
      <c r="T9" s="1"/>
      <c r="U9" s="1"/>
      <c r="V9" s="1"/>
      <c r="W9" s="1"/>
      <c r="X9" s="115"/>
      <c r="Y9" s="58"/>
      <c r="Z9" s="58"/>
      <c r="AA9" s="58"/>
      <c r="AB9" s="58"/>
      <c r="AC9" s="58"/>
      <c r="AD9" s="58"/>
      <c r="AE9" s="58"/>
    </row>
    <row r="10" spans="1:31" ht="15.75" customHeight="1" x14ac:dyDescent="0.2">
      <c r="A10" s="3">
        <v>2020</v>
      </c>
      <c r="B10" s="95">
        <f>Agora2019!D11</f>
        <v>737</v>
      </c>
      <c r="C10" s="1">
        <f>lit_review_raw!AD31</f>
        <v>810</v>
      </c>
      <c r="D10" s="1"/>
      <c r="E10" s="1">
        <f>lit_review_raw!AD17</f>
        <v>1188</v>
      </c>
      <c r="F10" s="1"/>
      <c r="G10" s="1"/>
      <c r="H10" s="1"/>
      <c r="I10" s="1"/>
      <c r="J10" s="96">
        <f>Agora2019!D12</f>
        <v>0.03</v>
      </c>
      <c r="K10" s="97">
        <f>lit_review_raw!AE31</f>
        <v>1.4999999999999999E-2</v>
      </c>
      <c r="L10" s="97"/>
      <c r="M10" s="97"/>
      <c r="N10" s="97"/>
      <c r="O10" s="97"/>
      <c r="P10" s="97"/>
      <c r="Q10" s="97"/>
      <c r="R10" s="95"/>
      <c r="S10" s="1">
        <f>lit_review_raw!AG31</f>
        <v>30</v>
      </c>
      <c r="T10" s="1"/>
      <c r="U10" s="1"/>
      <c r="V10" s="1"/>
      <c r="W10" s="1"/>
      <c r="X10" s="115">
        <f>Agora2019!D13</f>
        <v>0.67</v>
      </c>
      <c r="Y10" s="58">
        <f>lit_review_raw!AJ31</f>
        <v>0.64</v>
      </c>
      <c r="Z10" s="58"/>
      <c r="AA10" s="58"/>
      <c r="AB10" s="58"/>
      <c r="AC10" s="58"/>
      <c r="AD10" s="58"/>
      <c r="AE10" s="58"/>
    </row>
    <row r="11" spans="1:31" ht="15.75" customHeight="1" x14ac:dyDescent="0.2">
      <c r="A11" s="3">
        <v>2021</v>
      </c>
      <c r="B11" s="95"/>
      <c r="C11" s="1"/>
      <c r="D11" s="1"/>
      <c r="E11" s="1"/>
      <c r="F11" s="1"/>
      <c r="G11" s="1"/>
      <c r="H11" s="1"/>
      <c r="I11" s="1"/>
      <c r="J11" s="96"/>
      <c r="K11" s="97"/>
      <c r="L11" s="97"/>
      <c r="M11" s="97"/>
      <c r="N11" s="97"/>
      <c r="O11" s="97"/>
      <c r="P11" s="97"/>
      <c r="Q11" s="97"/>
      <c r="R11" s="95"/>
      <c r="S11" s="1"/>
      <c r="T11" s="1"/>
      <c r="U11" s="1"/>
      <c r="V11" s="1"/>
      <c r="W11" s="1"/>
      <c r="X11" s="115"/>
      <c r="Y11" s="58"/>
      <c r="Z11" s="58"/>
      <c r="AA11" s="58"/>
      <c r="AB11" s="58"/>
      <c r="AC11" s="58"/>
      <c r="AD11" s="58"/>
      <c r="AE11" s="58"/>
    </row>
    <row r="12" spans="1:31" ht="15.75" customHeight="1" x14ac:dyDescent="0.2">
      <c r="A12" s="3">
        <v>2022</v>
      </c>
      <c r="B12" s="95"/>
      <c r="C12" s="1"/>
      <c r="D12" s="1"/>
      <c r="E12" s="1"/>
      <c r="F12" s="1"/>
      <c r="G12" s="1"/>
      <c r="H12" s="1"/>
      <c r="I12" s="1"/>
      <c r="J12" s="96"/>
      <c r="K12" s="97"/>
      <c r="L12" s="97"/>
      <c r="M12" s="97"/>
      <c r="N12" s="97"/>
      <c r="O12" s="97"/>
      <c r="P12" s="97"/>
      <c r="Q12" s="97"/>
      <c r="R12" s="95"/>
      <c r="S12" s="1"/>
      <c r="T12" s="1"/>
      <c r="U12" s="1"/>
      <c r="V12" s="1"/>
      <c r="W12" s="1"/>
      <c r="X12" s="115"/>
      <c r="Y12" s="58"/>
      <c r="Z12" s="58"/>
      <c r="AA12" s="58"/>
      <c r="AB12" s="58"/>
      <c r="AC12" s="58"/>
      <c r="AD12" s="58"/>
      <c r="AE12" s="58"/>
    </row>
    <row r="13" spans="1:31" ht="15.75" customHeight="1" x14ac:dyDescent="0.2">
      <c r="A13" s="3">
        <v>2023</v>
      </c>
      <c r="B13" s="95"/>
      <c r="C13" s="1"/>
      <c r="D13" s="1"/>
      <c r="E13" s="1"/>
      <c r="F13" s="1"/>
      <c r="G13" s="1"/>
      <c r="H13" s="1"/>
      <c r="I13" s="1"/>
      <c r="J13" s="96"/>
      <c r="K13" s="97"/>
      <c r="L13" s="97"/>
      <c r="M13" s="97"/>
      <c r="N13" s="97"/>
      <c r="O13" s="97"/>
      <c r="P13" s="97"/>
      <c r="Q13" s="97"/>
      <c r="R13" s="95"/>
      <c r="S13" s="1"/>
      <c r="T13" s="1"/>
      <c r="U13" s="1"/>
      <c r="V13" s="1"/>
      <c r="W13" s="1"/>
      <c r="X13" s="115"/>
      <c r="Y13" s="58"/>
      <c r="Z13" s="58"/>
      <c r="AA13" s="58"/>
      <c r="AB13" s="58"/>
      <c r="AC13" s="58"/>
      <c r="AD13" s="58"/>
      <c r="AE13" s="58"/>
    </row>
    <row r="14" spans="1:31" ht="15.75" customHeight="1" x14ac:dyDescent="0.2">
      <c r="A14" s="3">
        <v>2024</v>
      </c>
      <c r="B14" s="95"/>
      <c r="C14" s="1"/>
      <c r="D14" s="1"/>
      <c r="E14" s="1"/>
      <c r="F14" s="1"/>
      <c r="G14" s="1"/>
      <c r="H14" s="1"/>
      <c r="I14" s="1"/>
      <c r="J14" s="96"/>
      <c r="K14" s="97"/>
      <c r="L14" s="97"/>
      <c r="M14" s="97"/>
      <c r="N14" s="97"/>
      <c r="O14" s="97"/>
      <c r="P14" s="97"/>
      <c r="Q14" s="97"/>
      <c r="R14" s="95"/>
      <c r="S14" s="1"/>
      <c r="T14" s="1"/>
      <c r="U14" s="1"/>
      <c r="V14" s="1"/>
      <c r="W14" s="1"/>
      <c r="X14" s="115"/>
      <c r="Y14" s="58"/>
      <c r="Z14" s="58"/>
      <c r="AA14" s="58"/>
      <c r="AB14" s="58"/>
      <c r="AC14" s="58"/>
      <c r="AD14" s="58"/>
      <c r="AE14" s="58"/>
    </row>
    <row r="15" spans="1:31" ht="15.75" customHeight="1" x14ac:dyDescent="0.2">
      <c r="A15" s="3">
        <v>2025</v>
      </c>
      <c r="B15" s="95"/>
      <c r="C15" s="1"/>
      <c r="D15" s="1">
        <f>lit_review_raw!AD13</f>
        <v>900</v>
      </c>
      <c r="E15" s="1"/>
      <c r="F15" s="1"/>
      <c r="G15" s="1">
        <f>lit_review_raw!AD62</f>
        <v>932</v>
      </c>
      <c r="H15" s="1"/>
      <c r="I15" s="1"/>
      <c r="J15" s="96"/>
      <c r="K15" s="97"/>
      <c r="L15" s="97">
        <f>lit_review_raw!AE13</f>
        <v>0.03</v>
      </c>
      <c r="M15" s="97"/>
      <c r="N15" s="97"/>
      <c r="O15" s="97">
        <f>lit_review_raw!AE62</f>
        <v>7.0000000000000007E-2</v>
      </c>
      <c r="P15" s="97"/>
      <c r="Q15" s="97"/>
      <c r="R15" s="95"/>
      <c r="S15" s="1"/>
      <c r="T15" s="1">
        <f>lit_review_raw!AG13</f>
        <v>20</v>
      </c>
      <c r="U15" s="1"/>
      <c r="V15" s="1">
        <f>lit_review_raw!AG62</f>
        <v>30</v>
      </c>
      <c r="W15" s="1"/>
      <c r="X15" s="115"/>
      <c r="Y15" s="58"/>
      <c r="Z15" s="58">
        <f>lit_review_raw!AI13</f>
        <v>5.6660434018924587E-4</v>
      </c>
      <c r="AA15" s="58"/>
      <c r="AB15" s="58"/>
      <c r="AC15" s="58">
        <f>lit_review_raw!AJ62</f>
        <v>0.57999999999999996</v>
      </c>
      <c r="AD15" s="58"/>
      <c r="AE15" s="58"/>
    </row>
    <row r="16" spans="1:31" ht="15.75" customHeight="1" x14ac:dyDescent="0.2">
      <c r="A16" s="3">
        <v>2026</v>
      </c>
      <c r="B16" s="95"/>
      <c r="C16" s="1"/>
      <c r="D16" s="1"/>
      <c r="E16" s="1"/>
      <c r="F16" s="1"/>
      <c r="G16" s="1"/>
      <c r="H16" s="1"/>
      <c r="I16" s="1"/>
      <c r="J16" s="96"/>
      <c r="K16" s="97"/>
      <c r="L16" s="97"/>
      <c r="M16" s="97"/>
      <c r="N16" s="97"/>
      <c r="O16" s="97"/>
      <c r="P16" s="97"/>
      <c r="Q16" s="97"/>
      <c r="R16" s="95"/>
      <c r="S16" s="1"/>
      <c r="T16" s="1"/>
      <c r="U16" s="1"/>
      <c r="V16" s="1"/>
      <c r="W16" s="1"/>
      <c r="X16" s="115"/>
      <c r="Y16" s="58"/>
      <c r="Z16" s="58"/>
      <c r="AA16" s="58"/>
      <c r="AB16" s="58"/>
      <c r="AC16" s="58"/>
      <c r="AD16" s="58"/>
      <c r="AE16" s="58"/>
    </row>
    <row r="17" spans="1:31" ht="15.75" customHeight="1" x14ac:dyDescent="0.2">
      <c r="A17" s="3">
        <v>2027</v>
      </c>
      <c r="B17" s="95"/>
      <c r="C17" s="1"/>
      <c r="D17" s="1"/>
      <c r="E17" s="1"/>
      <c r="F17" s="1"/>
      <c r="G17" s="1"/>
      <c r="H17" s="1"/>
      <c r="I17" s="1"/>
      <c r="J17" s="96"/>
      <c r="K17" s="97"/>
      <c r="L17" s="97"/>
      <c r="M17" s="97"/>
      <c r="N17" s="97"/>
      <c r="O17" s="97"/>
      <c r="P17" s="97"/>
      <c r="Q17" s="97"/>
      <c r="R17" s="95"/>
      <c r="S17" s="1"/>
      <c r="T17" s="1"/>
      <c r="U17" s="1"/>
      <c r="V17" s="1"/>
      <c r="W17" s="1"/>
      <c r="X17" s="115"/>
      <c r="Y17" s="58"/>
      <c r="Z17" s="58"/>
      <c r="AA17" s="58"/>
      <c r="AB17" s="58"/>
      <c r="AC17" s="58"/>
      <c r="AD17" s="58"/>
      <c r="AE17" s="58"/>
    </row>
    <row r="18" spans="1:31" ht="15.75" customHeight="1" x14ac:dyDescent="0.2">
      <c r="A18" s="3">
        <v>2028</v>
      </c>
      <c r="B18" s="95"/>
      <c r="C18" s="1"/>
      <c r="D18" s="1"/>
      <c r="E18" s="1"/>
      <c r="F18" s="1"/>
      <c r="G18" s="1"/>
      <c r="H18" s="1"/>
      <c r="I18" s="1"/>
      <c r="J18" s="96"/>
      <c r="K18" s="97"/>
      <c r="L18" s="97"/>
      <c r="M18" s="97"/>
      <c r="N18" s="97"/>
      <c r="O18" s="97"/>
      <c r="P18" s="97"/>
      <c r="Q18" s="97"/>
      <c r="R18" s="95"/>
      <c r="S18" s="1"/>
      <c r="T18" s="1"/>
      <c r="U18" s="1"/>
      <c r="V18" s="1"/>
      <c r="W18" s="1"/>
      <c r="X18" s="115"/>
      <c r="Y18" s="58"/>
      <c r="Z18" s="58"/>
      <c r="AA18" s="58"/>
      <c r="AB18" s="58"/>
      <c r="AC18" s="58"/>
      <c r="AD18" s="58">
        <f>lit_review_raw!AJ69</f>
        <v>0.69</v>
      </c>
      <c r="AE18" s="58"/>
    </row>
    <row r="19" spans="1:31" ht="15.75" customHeight="1" x14ac:dyDescent="0.2">
      <c r="A19" s="3">
        <v>2029</v>
      </c>
      <c r="B19" s="95"/>
      <c r="C19" s="1"/>
      <c r="D19" s="1"/>
      <c r="E19" s="1"/>
      <c r="F19" s="1"/>
      <c r="G19" s="1"/>
      <c r="H19" s="1"/>
      <c r="I19" s="1"/>
      <c r="J19" s="96"/>
      <c r="K19" s="97"/>
      <c r="L19" s="97"/>
      <c r="M19" s="97"/>
      <c r="N19" s="97"/>
      <c r="O19" s="97"/>
      <c r="P19" s="97"/>
      <c r="Q19" s="97"/>
      <c r="R19" s="95"/>
      <c r="S19" s="1"/>
      <c r="T19" s="1"/>
      <c r="U19" s="1"/>
      <c r="V19" s="1"/>
      <c r="W19" s="1"/>
      <c r="X19" s="115"/>
      <c r="Y19" s="58"/>
      <c r="Z19" s="58"/>
      <c r="AA19" s="58"/>
      <c r="AB19" s="58"/>
      <c r="AC19" s="58"/>
      <c r="AD19" s="58"/>
      <c r="AE19" s="58"/>
    </row>
    <row r="20" spans="1:31" ht="15.75" customHeight="1" x14ac:dyDescent="0.2">
      <c r="A20" s="3">
        <v>2030</v>
      </c>
      <c r="B20" s="95">
        <f>Agora2019!E11</f>
        <v>625</v>
      </c>
      <c r="C20" s="1">
        <f>lit_review_raw!AD32</f>
        <v>630</v>
      </c>
      <c r="D20" s="1"/>
      <c r="E20" s="1">
        <f>lit_review_raw!AD18</f>
        <v>701</v>
      </c>
      <c r="F20" s="1">
        <f>'Gorre, 2019'!E2</f>
        <v>470</v>
      </c>
      <c r="G20" s="1"/>
      <c r="H20" s="1">
        <f>lit_review_raw!AD69</f>
        <v>300</v>
      </c>
      <c r="I20" s="1"/>
      <c r="J20" s="96">
        <f>Agora2019!E12</f>
        <v>0.03</v>
      </c>
      <c r="K20" s="97">
        <f>lit_review_raw!AE32</f>
        <v>1.4999999999999999E-2</v>
      </c>
      <c r="L20" s="97"/>
      <c r="M20" s="97"/>
      <c r="N20" s="97">
        <f>'Gorre, 2019'!E3</f>
        <v>0.03</v>
      </c>
      <c r="O20" s="97"/>
      <c r="P20" s="97">
        <f>lit_review_raw!AE69</f>
        <v>0.02</v>
      </c>
      <c r="Q20" s="97"/>
      <c r="R20" s="95"/>
      <c r="S20" s="1">
        <f>lit_review_raw!AG32</f>
        <v>30</v>
      </c>
      <c r="T20" s="1"/>
      <c r="U20" s="1"/>
      <c r="V20" s="1"/>
      <c r="W20" s="1"/>
      <c r="X20" s="115">
        <f>Agora2019!E13</f>
        <v>0.71</v>
      </c>
      <c r="Y20" s="58">
        <f>lit_review_raw!AJ32</f>
        <v>0.69</v>
      </c>
      <c r="Z20" s="58"/>
      <c r="AA20" s="58"/>
      <c r="AB20" s="58">
        <f>'Gorre, 2019'!E4</f>
        <v>0.75</v>
      </c>
      <c r="AC20" s="58"/>
      <c r="AD20" s="58"/>
      <c r="AE20" s="58"/>
    </row>
    <row r="21" spans="1:31" ht="15.75" customHeight="1" x14ac:dyDescent="0.2">
      <c r="A21" s="3">
        <v>2031</v>
      </c>
      <c r="B21" s="95"/>
      <c r="C21" s="1"/>
      <c r="D21" s="1"/>
      <c r="E21" s="1"/>
      <c r="F21" s="1"/>
      <c r="G21" s="1"/>
      <c r="H21" s="1"/>
      <c r="I21" s="1"/>
      <c r="J21" s="96"/>
      <c r="K21" s="97"/>
      <c r="L21" s="97"/>
      <c r="M21" s="97"/>
      <c r="N21" s="97"/>
      <c r="O21" s="97"/>
      <c r="P21" s="97"/>
      <c r="Q21" s="97"/>
      <c r="R21" s="95"/>
      <c r="S21" s="1"/>
      <c r="T21" s="1"/>
      <c r="U21" s="1"/>
      <c r="V21" s="1"/>
      <c r="W21" s="1"/>
      <c r="X21" s="115"/>
      <c r="Y21" s="58"/>
      <c r="Z21" s="58"/>
      <c r="AA21" s="58"/>
      <c r="AB21" s="58"/>
      <c r="AC21" s="58"/>
      <c r="AD21" s="58"/>
      <c r="AE21" s="58"/>
    </row>
    <row r="22" spans="1:31" ht="15.75" customHeight="1" x14ac:dyDescent="0.2">
      <c r="A22" s="3">
        <v>2032</v>
      </c>
      <c r="B22" s="95"/>
      <c r="C22" s="1"/>
      <c r="D22" s="1"/>
      <c r="E22" s="1"/>
      <c r="F22" s="1"/>
      <c r="G22" s="1"/>
      <c r="H22" s="1"/>
      <c r="I22" s="1"/>
      <c r="J22" s="96"/>
      <c r="K22" s="97"/>
      <c r="L22" s="97"/>
      <c r="M22" s="97"/>
      <c r="N22" s="97"/>
      <c r="O22" s="97"/>
      <c r="P22" s="97"/>
      <c r="Q22" s="97"/>
      <c r="R22" s="95"/>
      <c r="S22" s="1"/>
      <c r="T22" s="1"/>
      <c r="U22" s="1"/>
      <c r="V22" s="1"/>
      <c r="W22" s="1"/>
      <c r="X22" s="115"/>
      <c r="Y22" s="58"/>
      <c r="Z22" s="58"/>
      <c r="AA22" s="58"/>
      <c r="AB22" s="58"/>
      <c r="AC22" s="58"/>
      <c r="AD22" s="58"/>
      <c r="AE22" s="58"/>
    </row>
    <row r="23" spans="1:31" ht="15.75" customHeight="1" x14ac:dyDescent="0.2">
      <c r="A23" s="3">
        <v>2033</v>
      </c>
      <c r="B23" s="95"/>
      <c r="C23" s="1"/>
      <c r="D23" s="1"/>
      <c r="E23" s="1"/>
      <c r="F23" s="1"/>
      <c r="G23" s="1"/>
      <c r="H23" s="1"/>
      <c r="I23" s="1"/>
      <c r="J23" s="96"/>
      <c r="K23" s="97"/>
      <c r="L23" s="97"/>
      <c r="M23" s="97"/>
      <c r="N23" s="97"/>
      <c r="O23" s="97"/>
      <c r="P23" s="97"/>
      <c r="Q23" s="97"/>
      <c r="R23" s="95"/>
      <c r="S23" s="1"/>
      <c r="T23" s="1"/>
      <c r="U23" s="1"/>
      <c r="V23" s="1"/>
      <c r="W23" s="1"/>
      <c r="X23" s="115"/>
      <c r="Y23" s="58"/>
      <c r="Z23" s="58"/>
      <c r="AA23" s="58"/>
      <c r="AB23" s="58"/>
      <c r="AC23" s="58"/>
      <c r="AD23" s="58"/>
      <c r="AE23" s="58"/>
    </row>
    <row r="24" spans="1:31" ht="15.75" customHeight="1" x14ac:dyDescent="0.2">
      <c r="A24" s="3">
        <v>2034</v>
      </c>
      <c r="B24" s="95"/>
      <c r="C24" s="1"/>
      <c r="D24" s="1"/>
      <c r="E24" s="1"/>
      <c r="F24" s="1"/>
      <c r="G24" s="1"/>
      <c r="H24" s="1"/>
      <c r="I24" s="1"/>
      <c r="J24" s="96"/>
      <c r="K24" s="97"/>
      <c r="L24" s="97"/>
      <c r="M24" s="97"/>
      <c r="N24" s="97"/>
      <c r="O24" s="97"/>
      <c r="P24" s="97"/>
      <c r="Q24" s="97"/>
      <c r="R24" s="95"/>
      <c r="S24" s="1"/>
      <c r="T24" s="1"/>
      <c r="U24" s="1"/>
      <c r="V24" s="1"/>
      <c r="W24" s="1"/>
      <c r="X24" s="115"/>
      <c r="Y24" s="58"/>
      <c r="Z24" s="58"/>
      <c r="AA24" s="58"/>
      <c r="AB24" s="58"/>
      <c r="AC24" s="58"/>
      <c r="AD24" s="58"/>
      <c r="AE24" s="58"/>
    </row>
    <row r="25" spans="1:31" ht="15.75" customHeight="1" x14ac:dyDescent="0.2">
      <c r="A25" s="3">
        <v>2035</v>
      </c>
      <c r="B25" s="95"/>
      <c r="C25" s="1"/>
      <c r="D25" s="1"/>
      <c r="E25" s="1"/>
      <c r="F25" s="1"/>
      <c r="G25" s="1"/>
      <c r="H25" s="1"/>
      <c r="I25" s="1"/>
      <c r="J25" s="96"/>
      <c r="K25" s="97"/>
      <c r="L25" s="97"/>
      <c r="M25" s="97"/>
      <c r="N25" s="97"/>
      <c r="O25" s="97"/>
      <c r="P25" s="97"/>
      <c r="Q25" s="97"/>
      <c r="R25" s="95"/>
      <c r="S25" s="1"/>
      <c r="T25" s="1"/>
      <c r="U25" s="1"/>
      <c r="V25" s="1"/>
      <c r="W25" s="1"/>
      <c r="X25" s="115"/>
      <c r="Y25" s="58"/>
      <c r="Z25" s="58"/>
      <c r="AA25" s="58"/>
      <c r="AB25" s="58"/>
      <c r="AC25" s="58"/>
      <c r="AD25" s="58"/>
      <c r="AE25" s="58"/>
    </row>
    <row r="26" spans="1:31" ht="15.75" customHeight="1" x14ac:dyDescent="0.2">
      <c r="A26" s="3">
        <v>2036</v>
      </c>
      <c r="B26" s="95"/>
      <c r="C26" s="1"/>
      <c r="D26" s="1"/>
      <c r="E26" s="1"/>
      <c r="F26" s="1"/>
      <c r="G26" s="1"/>
      <c r="H26" s="1"/>
      <c r="I26" s="1"/>
      <c r="J26" s="96"/>
      <c r="K26" s="97"/>
      <c r="L26" s="97"/>
      <c r="M26" s="97"/>
      <c r="N26" s="97"/>
      <c r="O26" s="97"/>
      <c r="P26" s="97"/>
      <c r="Q26" s="97"/>
      <c r="R26" s="95"/>
      <c r="S26" s="1"/>
      <c r="T26" s="1"/>
      <c r="U26" s="1"/>
      <c r="V26" s="1"/>
      <c r="W26" s="1"/>
      <c r="X26" s="115"/>
      <c r="Y26" s="58"/>
      <c r="Z26" s="58"/>
      <c r="AA26" s="58"/>
      <c r="AB26" s="58"/>
      <c r="AC26" s="58"/>
      <c r="AD26" s="58"/>
      <c r="AE26" s="58"/>
    </row>
    <row r="27" spans="1:31" ht="15.75" customHeight="1" x14ac:dyDescent="0.2">
      <c r="A27" s="3">
        <v>2037</v>
      </c>
      <c r="B27" s="95"/>
      <c r="C27" s="1"/>
      <c r="D27" s="1"/>
      <c r="E27" s="1"/>
      <c r="F27" s="1"/>
      <c r="G27" s="1"/>
      <c r="H27" s="1"/>
      <c r="I27" s="1"/>
      <c r="J27" s="96"/>
      <c r="K27" s="97"/>
      <c r="L27" s="97"/>
      <c r="M27" s="97"/>
      <c r="N27" s="97"/>
      <c r="O27" s="97"/>
      <c r="P27" s="97"/>
      <c r="Q27" s="97"/>
      <c r="R27" s="95"/>
      <c r="S27" s="1"/>
      <c r="T27" s="1"/>
      <c r="U27" s="1"/>
      <c r="V27" s="1"/>
      <c r="W27" s="1"/>
      <c r="X27" s="115"/>
      <c r="Y27" s="58"/>
      <c r="Z27" s="58"/>
      <c r="AA27" s="58"/>
      <c r="AB27" s="58"/>
      <c r="AC27" s="58"/>
      <c r="AD27" s="58"/>
      <c r="AE27" s="58"/>
    </row>
    <row r="28" spans="1:31" ht="15.75" customHeight="1" x14ac:dyDescent="0.2">
      <c r="A28" s="3">
        <v>2038</v>
      </c>
      <c r="B28" s="95"/>
      <c r="C28" s="1"/>
      <c r="D28" s="1"/>
      <c r="E28" s="1"/>
      <c r="F28" s="1"/>
      <c r="G28" s="1"/>
      <c r="H28" s="1"/>
      <c r="I28" s="1"/>
      <c r="J28" s="96"/>
      <c r="K28" s="97"/>
      <c r="L28" s="97"/>
      <c r="M28" s="97"/>
      <c r="N28" s="97"/>
      <c r="O28" s="97"/>
      <c r="P28" s="97"/>
      <c r="Q28" s="97"/>
      <c r="R28" s="95"/>
      <c r="S28" s="1"/>
      <c r="T28" s="1"/>
      <c r="U28" s="1"/>
      <c r="V28" s="1"/>
      <c r="W28" s="1"/>
      <c r="X28" s="115"/>
      <c r="Y28" s="58"/>
      <c r="Z28" s="58"/>
      <c r="AA28" s="58"/>
      <c r="AB28" s="58"/>
      <c r="AC28" s="58"/>
      <c r="AD28" s="58"/>
      <c r="AE28" s="58"/>
    </row>
    <row r="29" spans="1:31" ht="15.75" customHeight="1" x14ac:dyDescent="0.2">
      <c r="A29" s="3">
        <v>2039</v>
      </c>
      <c r="B29" s="95"/>
      <c r="C29" s="1"/>
      <c r="D29" s="1"/>
      <c r="E29" s="1"/>
      <c r="F29" s="1"/>
      <c r="G29" s="1"/>
      <c r="H29" s="1"/>
      <c r="I29" s="1"/>
      <c r="J29" s="96"/>
      <c r="K29" s="97"/>
      <c r="L29" s="97"/>
      <c r="M29" s="97"/>
      <c r="N29" s="97"/>
      <c r="O29" s="97"/>
      <c r="P29" s="97"/>
      <c r="Q29" s="97"/>
      <c r="R29" s="95"/>
      <c r="S29" s="1"/>
      <c r="T29" s="1"/>
      <c r="U29" s="1"/>
      <c r="V29" s="1"/>
      <c r="W29" s="1"/>
      <c r="X29" s="115"/>
      <c r="Y29" s="58"/>
      <c r="Z29" s="58"/>
      <c r="AA29" s="58"/>
      <c r="AB29" s="58"/>
      <c r="AC29" s="58"/>
      <c r="AD29" s="58"/>
      <c r="AE29" s="58"/>
    </row>
    <row r="30" spans="1:31" ht="15.75" customHeight="1" x14ac:dyDescent="0.2">
      <c r="A30" s="3">
        <v>2040</v>
      </c>
      <c r="B30" s="95"/>
      <c r="C30" s="1"/>
      <c r="D30" s="1"/>
      <c r="E30" s="1"/>
      <c r="F30" s="1"/>
      <c r="G30" s="1"/>
      <c r="H30" s="1"/>
      <c r="I30" s="1"/>
      <c r="J30" s="96"/>
      <c r="K30" s="97"/>
      <c r="L30" s="97"/>
      <c r="M30" s="97"/>
      <c r="N30" s="97"/>
      <c r="O30" s="97"/>
      <c r="P30" s="97"/>
      <c r="Q30" s="97"/>
      <c r="R30" s="95"/>
      <c r="S30" s="1"/>
      <c r="T30" s="1"/>
      <c r="U30" s="1"/>
      <c r="V30" s="1"/>
      <c r="W30" s="1"/>
      <c r="X30" s="115"/>
      <c r="Y30" s="58"/>
      <c r="Z30" s="58"/>
      <c r="AA30" s="58"/>
      <c r="AB30" s="58"/>
      <c r="AC30" s="58"/>
      <c r="AD30" s="58"/>
      <c r="AE30" s="58"/>
    </row>
    <row r="31" spans="1:31" ht="15.75" customHeight="1" x14ac:dyDescent="0.2">
      <c r="A31" s="3">
        <v>2041</v>
      </c>
      <c r="B31" s="95"/>
      <c r="C31" s="1"/>
      <c r="D31" s="1"/>
      <c r="E31" s="1"/>
      <c r="F31" s="1"/>
      <c r="G31" s="1"/>
      <c r="H31" s="1"/>
      <c r="I31" s="1"/>
      <c r="J31" s="96"/>
      <c r="K31" s="97"/>
      <c r="L31" s="97"/>
      <c r="M31" s="97"/>
      <c r="N31" s="97"/>
      <c r="O31" s="97"/>
      <c r="P31" s="97"/>
      <c r="Q31" s="97"/>
      <c r="R31" s="95"/>
      <c r="S31" s="1"/>
      <c r="T31" s="1"/>
      <c r="U31" s="1"/>
      <c r="V31" s="1"/>
      <c r="W31" s="1"/>
      <c r="X31" s="115"/>
      <c r="Y31" s="58"/>
      <c r="Z31" s="58"/>
      <c r="AA31" s="58"/>
      <c r="AB31" s="58"/>
      <c r="AC31" s="58"/>
      <c r="AD31" s="58"/>
      <c r="AE31" s="58"/>
    </row>
    <row r="32" spans="1:31" ht="15.75" customHeight="1" x14ac:dyDescent="0.2">
      <c r="A32" s="3">
        <v>2042</v>
      </c>
      <c r="B32" s="95"/>
      <c r="C32" s="1"/>
      <c r="D32" s="1"/>
      <c r="E32" s="1"/>
      <c r="F32" s="1"/>
      <c r="G32" s="1"/>
      <c r="H32" s="1"/>
      <c r="I32" s="1"/>
      <c r="J32" s="96"/>
      <c r="K32" s="97"/>
      <c r="L32" s="97"/>
      <c r="M32" s="97"/>
      <c r="N32" s="97"/>
      <c r="O32" s="97"/>
      <c r="P32" s="97"/>
      <c r="Q32" s="97"/>
      <c r="R32" s="95"/>
      <c r="S32" s="1"/>
      <c r="T32" s="1"/>
      <c r="U32" s="1"/>
      <c r="V32" s="1"/>
      <c r="W32" s="1"/>
      <c r="X32" s="115"/>
      <c r="Y32" s="58"/>
      <c r="Z32" s="58"/>
      <c r="AA32" s="58"/>
      <c r="AB32" s="58"/>
      <c r="AC32" s="58"/>
      <c r="AD32" s="58"/>
      <c r="AE32" s="58"/>
    </row>
    <row r="33" spans="1:31" ht="15.75" customHeight="1" x14ac:dyDescent="0.2">
      <c r="A33" s="3">
        <v>2043</v>
      </c>
      <c r="B33" s="95"/>
      <c r="C33" s="1"/>
      <c r="D33" s="1"/>
      <c r="E33" s="1"/>
      <c r="F33" s="1"/>
      <c r="G33" s="1"/>
      <c r="H33" s="1"/>
      <c r="I33" s="1"/>
      <c r="J33" s="96"/>
      <c r="K33" s="97"/>
      <c r="L33" s="97"/>
      <c r="M33" s="97"/>
      <c r="N33" s="97"/>
      <c r="O33" s="97"/>
      <c r="P33" s="97"/>
      <c r="Q33" s="97"/>
      <c r="R33" s="95"/>
      <c r="S33" s="1"/>
      <c r="T33" s="1"/>
      <c r="U33" s="1"/>
      <c r="V33" s="1"/>
      <c r="W33" s="1"/>
      <c r="X33" s="115"/>
      <c r="Y33" s="58"/>
      <c r="Z33" s="58"/>
      <c r="AA33" s="58"/>
      <c r="AB33" s="58"/>
      <c r="AC33" s="58"/>
      <c r="AD33" s="58"/>
      <c r="AE33" s="58"/>
    </row>
    <row r="34" spans="1:31" ht="15.75" customHeight="1" x14ac:dyDescent="0.2">
      <c r="A34" s="3">
        <v>2044</v>
      </c>
      <c r="B34" s="95"/>
      <c r="C34" s="1"/>
      <c r="D34" s="1"/>
      <c r="E34" s="1"/>
      <c r="F34" s="1"/>
      <c r="G34" s="1"/>
      <c r="H34" s="1"/>
      <c r="I34" s="1"/>
      <c r="J34" s="96"/>
      <c r="K34" s="97"/>
      <c r="L34" s="97"/>
      <c r="M34" s="97"/>
      <c r="N34" s="97"/>
      <c r="O34" s="97"/>
      <c r="P34" s="97"/>
      <c r="Q34" s="97"/>
      <c r="R34" s="95"/>
      <c r="S34" s="1"/>
      <c r="T34" s="1"/>
      <c r="U34" s="1"/>
      <c r="V34" s="1"/>
      <c r="W34" s="1"/>
      <c r="X34" s="115"/>
      <c r="Y34" s="58"/>
      <c r="Z34" s="58"/>
      <c r="AA34" s="58"/>
      <c r="AB34" s="58"/>
      <c r="AC34" s="58"/>
      <c r="AD34" s="58"/>
      <c r="AE34" s="58"/>
    </row>
    <row r="35" spans="1:31" ht="15.75" customHeight="1" x14ac:dyDescent="0.2">
      <c r="A35" s="3">
        <v>2045</v>
      </c>
      <c r="B35" s="95"/>
      <c r="C35" s="1"/>
      <c r="D35" s="1"/>
      <c r="E35" s="1"/>
      <c r="F35" s="1"/>
      <c r="G35" s="1"/>
      <c r="H35" s="1"/>
      <c r="I35" s="1"/>
      <c r="J35" s="96"/>
      <c r="K35" s="97"/>
      <c r="L35" s="97"/>
      <c r="M35" s="97"/>
      <c r="N35" s="97"/>
      <c r="O35" s="97"/>
      <c r="P35" s="97"/>
      <c r="Q35" s="97"/>
      <c r="R35" s="95"/>
      <c r="S35" s="1"/>
      <c r="T35" s="1"/>
      <c r="U35" s="1"/>
      <c r="V35" s="1"/>
      <c r="W35" s="1"/>
      <c r="X35" s="115"/>
      <c r="Y35" s="58"/>
      <c r="Z35" s="58"/>
      <c r="AA35" s="58"/>
      <c r="AB35" s="58"/>
      <c r="AC35" s="58"/>
      <c r="AD35" s="58"/>
      <c r="AE35" s="58"/>
    </row>
    <row r="36" spans="1:31" ht="15.75" customHeight="1" x14ac:dyDescent="0.2">
      <c r="A36" s="3">
        <v>2046</v>
      </c>
      <c r="B36" s="95"/>
      <c r="C36" s="1"/>
      <c r="D36" s="1"/>
      <c r="E36" s="1"/>
      <c r="F36" s="1"/>
      <c r="G36" s="1"/>
      <c r="H36" s="1"/>
      <c r="I36" s="1"/>
      <c r="J36" s="96"/>
      <c r="K36" s="97"/>
      <c r="L36" s="97"/>
      <c r="M36" s="97"/>
      <c r="N36" s="97"/>
      <c r="O36" s="97"/>
      <c r="P36" s="97"/>
      <c r="Q36" s="97"/>
      <c r="R36" s="95"/>
      <c r="S36" s="1"/>
      <c r="T36" s="1"/>
      <c r="U36" s="1"/>
      <c r="V36" s="1"/>
      <c r="W36" s="1"/>
      <c r="X36" s="115"/>
      <c r="Y36" s="58"/>
      <c r="Z36" s="58"/>
      <c r="AA36" s="58"/>
      <c r="AB36" s="58"/>
      <c r="AC36" s="58"/>
      <c r="AD36" s="58"/>
      <c r="AE36" s="58"/>
    </row>
    <row r="37" spans="1:31" ht="15.75" customHeight="1" x14ac:dyDescent="0.2">
      <c r="A37" s="3">
        <v>2047</v>
      </c>
      <c r="B37" s="95"/>
      <c r="C37" s="1"/>
      <c r="D37" s="1"/>
      <c r="E37" s="1"/>
      <c r="F37" s="1"/>
      <c r="G37" s="1"/>
      <c r="H37" s="1"/>
      <c r="I37" s="1"/>
      <c r="J37" s="96"/>
      <c r="K37" s="97"/>
      <c r="L37" s="97"/>
      <c r="M37" s="97"/>
      <c r="N37" s="97"/>
      <c r="O37" s="97"/>
      <c r="P37" s="97"/>
      <c r="Q37" s="97"/>
      <c r="R37" s="95"/>
      <c r="S37" s="1"/>
      <c r="T37" s="1"/>
      <c r="U37" s="1"/>
      <c r="V37" s="1"/>
      <c r="W37" s="1"/>
      <c r="X37" s="115"/>
      <c r="Y37" s="58"/>
      <c r="Z37" s="58"/>
      <c r="AA37" s="58"/>
      <c r="AB37" s="58"/>
      <c r="AC37" s="58"/>
      <c r="AD37" s="58"/>
      <c r="AE37" s="58"/>
    </row>
    <row r="38" spans="1:31" ht="15.75" customHeight="1" x14ac:dyDescent="0.2">
      <c r="A38" s="3">
        <v>2048</v>
      </c>
      <c r="B38" s="95"/>
      <c r="C38" s="1"/>
      <c r="D38" s="1"/>
      <c r="E38" s="1"/>
      <c r="F38" s="1"/>
      <c r="G38" s="1"/>
      <c r="H38" s="1"/>
      <c r="I38" s="1"/>
      <c r="J38" s="96"/>
      <c r="K38" s="97"/>
      <c r="L38" s="97"/>
      <c r="M38" s="97"/>
      <c r="N38" s="97"/>
      <c r="O38" s="97"/>
      <c r="P38" s="97"/>
      <c r="Q38" s="97"/>
      <c r="R38" s="95"/>
      <c r="S38" s="1"/>
      <c r="T38" s="1"/>
      <c r="U38" s="1"/>
      <c r="V38" s="1"/>
      <c r="W38" s="1"/>
      <c r="X38" s="115"/>
      <c r="Y38" s="58"/>
      <c r="Z38" s="58"/>
      <c r="AA38" s="58"/>
      <c r="AB38" s="58"/>
      <c r="AC38" s="58"/>
      <c r="AD38" s="58"/>
      <c r="AE38" s="58"/>
    </row>
    <row r="39" spans="1:31" ht="15.75" customHeight="1" x14ac:dyDescent="0.2">
      <c r="A39" s="3">
        <v>2049</v>
      </c>
      <c r="B39" s="95"/>
      <c r="C39" s="1"/>
      <c r="D39" s="1"/>
      <c r="E39" s="1"/>
      <c r="F39" s="1"/>
      <c r="G39" s="1"/>
      <c r="H39" s="1"/>
      <c r="I39" s="1"/>
      <c r="J39" s="96"/>
      <c r="K39" s="97"/>
      <c r="L39" s="97"/>
      <c r="M39" s="97"/>
      <c r="N39" s="97"/>
      <c r="O39" s="97"/>
      <c r="P39" s="97"/>
      <c r="Q39" s="97"/>
      <c r="R39" s="95"/>
      <c r="S39" s="1"/>
      <c r="T39" s="1"/>
      <c r="U39" s="1"/>
      <c r="V39" s="1"/>
      <c r="W39" s="1"/>
      <c r="X39" s="115"/>
      <c r="Y39" s="58"/>
      <c r="Z39" s="58"/>
      <c r="AA39" s="58"/>
      <c r="AB39" s="58"/>
      <c r="AC39" s="58"/>
      <c r="AD39" s="58"/>
      <c r="AE39" s="58"/>
    </row>
    <row r="40" spans="1:31" ht="15.75" customHeight="1" x14ac:dyDescent="0.2">
      <c r="A40" s="3">
        <v>2050</v>
      </c>
      <c r="B40" s="95">
        <f>Agora2019!F14</f>
        <v>500</v>
      </c>
      <c r="C40" s="1">
        <f>lit_review_raw!AD33</f>
        <v>405</v>
      </c>
      <c r="D40" s="1"/>
      <c r="E40" s="1">
        <f>lit_review_raw!AD19</f>
        <v>308</v>
      </c>
      <c r="F40" s="1">
        <f>'Gorre, 2019'!F2</f>
        <v>245</v>
      </c>
      <c r="G40" s="1">
        <f>lit_review_raw!AD63</f>
        <v>334</v>
      </c>
      <c r="H40" s="1"/>
      <c r="I40" s="1"/>
      <c r="J40" s="96">
        <f>Agora2019!F12</f>
        <v>0.03</v>
      </c>
      <c r="K40" s="97">
        <f>lit_review_raw!AE33</f>
        <v>1.4999999999999999E-2</v>
      </c>
      <c r="L40" s="97"/>
      <c r="M40" s="97"/>
      <c r="N40" s="97">
        <f>'Gorre, 2019'!F3</f>
        <v>0.02</v>
      </c>
      <c r="O40" s="97">
        <f>lit_review_raw!AE63</f>
        <v>0.02</v>
      </c>
      <c r="P40" s="97"/>
      <c r="Q40" s="97"/>
      <c r="R40" s="95"/>
      <c r="S40" s="1">
        <f>lit_review_raw!AG33</f>
        <v>30</v>
      </c>
      <c r="T40" s="1"/>
      <c r="U40" s="1"/>
      <c r="V40" s="1">
        <f>lit_review_raw!AG63</f>
        <v>30</v>
      </c>
      <c r="W40" s="1"/>
      <c r="X40" s="115">
        <f>Agora2019!F13</f>
        <v>0.8</v>
      </c>
      <c r="Y40" s="58">
        <f>lit_review_raw!AJ33</f>
        <v>0.74</v>
      </c>
      <c r="Z40" s="58"/>
      <c r="AA40" s="58"/>
      <c r="AB40" s="58">
        <f>'Gorre, 2019'!F4</f>
        <v>0.78</v>
      </c>
      <c r="AC40" s="58">
        <f>lit_review_raw!AJ63</f>
        <v>0.7</v>
      </c>
      <c r="AD40" s="58"/>
      <c r="AE40" s="58"/>
    </row>
    <row r="41" spans="1:31" ht="15.75" customHeight="1" x14ac:dyDescent="0.2"/>
    <row r="42" spans="1:31" ht="15.75" customHeight="1" x14ac:dyDescent="0.2"/>
    <row r="43" spans="1:31" ht="15.75" customHeight="1" x14ac:dyDescent="0.2"/>
    <row r="44" spans="1:31" ht="15.75" customHeight="1" x14ac:dyDescent="0.2"/>
    <row r="45" spans="1:31" ht="15.75" customHeight="1" x14ac:dyDescent="0.2"/>
    <row r="46" spans="1:31" ht="15.75" customHeight="1" x14ac:dyDescent="0.2"/>
    <row r="47" spans="1:31" ht="15.75" customHeight="1" x14ac:dyDescent="0.2"/>
    <row r="48" spans="1:31" ht="15.75" customHeight="1" x14ac:dyDescent="0.2"/>
    <row r="49" spans="2:23" ht="15.75" customHeight="1" x14ac:dyDescent="0.2"/>
    <row r="50" spans="2:23" ht="15.75" customHeight="1" x14ac:dyDescent="0.2"/>
    <row r="51" spans="2:23" ht="15.75" customHeight="1" x14ac:dyDescent="0.2"/>
    <row r="52" spans="2:23" ht="15.75" customHeight="1" x14ac:dyDescent="0.2"/>
    <row r="53" spans="2:23" ht="15.75" customHeight="1" x14ac:dyDescent="0.2"/>
    <row r="54" spans="2:23" ht="15.75" customHeight="1" x14ac:dyDescent="0.2"/>
    <row r="55" spans="2:23" ht="15.75" customHeight="1" x14ac:dyDescent="0.2"/>
    <row r="56" spans="2:23" ht="15.75" customHeight="1" x14ac:dyDescent="0.2"/>
    <row r="57" spans="2:23" ht="15.75" customHeight="1" x14ac:dyDescent="0.2"/>
    <row r="58" spans="2:23" ht="15.75" customHeight="1" x14ac:dyDescent="0.2"/>
    <row r="59" spans="2:23" ht="15.75" customHeight="1" x14ac:dyDescent="0.2"/>
    <row r="60" spans="2:23" ht="15.75" customHeight="1" x14ac:dyDescent="0.2"/>
    <row r="61" spans="2:23" ht="15.75" customHeight="1" x14ac:dyDescent="0.2"/>
    <row r="62" spans="2:23" ht="15.75" customHeight="1" x14ac:dyDescent="0.2"/>
    <row r="63" spans="2:23" ht="15.75" customHeight="1" x14ac:dyDescent="0.25">
      <c r="B63" s="141" t="s">
        <v>503</v>
      </c>
      <c r="C63" s="131"/>
      <c r="D63" s="131"/>
      <c r="E63" s="131"/>
      <c r="F63" s="131"/>
      <c r="G63" s="131"/>
      <c r="H63" s="131"/>
      <c r="I63" s="131"/>
      <c r="J63" s="131"/>
      <c r="K63" s="131"/>
      <c r="L63" s="131"/>
      <c r="M63" s="131"/>
      <c r="N63" s="131"/>
      <c r="O63" s="131"/>
      <c r="P63" s="131"/>
      <c r="Q63" s="131"/>
      <c r="R63" s="131"/>
      <c r="S63" s="131"/>
      <c r="T63" s="131"/>
      <c r="U63" s="131"/>
      <c r="V63" s="131"/>
      <c r="W63" s="132"/>
    </row>
    <row r="64" spans="2:23" ht="15.75" customHeight="1" x14ac:dyDescent="0.2"/>
    <row r="65" spans="2:23" ht="15.75" customHeight="1" x14ac:dyDescent="0.2">
      <c r="B65" s="101" t="s">
        <v>504</v>
      </c>
      <c r="C65" s="93"/>
      <c r="D65" s="93"/>
      <c r="E65" s="93"/>
      <c r="F65" s="93"/>
      <c r="G65" s="93"/>
      <c r="H65" s="93"/>
      <c r="I65" s="93"/>
      <c r="J65" s="34"/>
      <c r="K65" s="34"/>
      <c r="L65" s="34"/>
      <c r="M65" s="34"/>
      <c r="N65" s="34"/>
      <c r="O65" s="34"/>
      <c r="P65" s="34"/>
      <c r="Q65" s="35"/>
      <c r="S65" s="102" t="s">
        <v>505</v>
      </c>
      <c r="T65" s="34"/>
      <c r="U65" s="34"/>
      <c r="V65" s="34"/>
      <c r="W65" s="35"/>
    </row>
    <row r="66" spans="2:23" ht="37.5" customHeight="1" x14ac:dyDescent="0.2">
      <c r="B66" s="137" t="s">
        <v>515</v>
      </c>
      <c r="C66" s="138"/>
      <c r="D66" s="138"/>
      <c r="E66" s="138"/>
      <c r="F66" s="138"/>
      <c r="G66" s="138"/>
      <c r="H66" s="138"/>
      <c r="I66" s="138"/>
      <c r="J66" s="138"/>
      <c r="K66" s="138"/>
      <c r="L66" s="138"/>
      <c r="M66" s="138"/>
      <c r="N66" s="138"/>
      <c r="O66" s="138"/>
      <c r="P66" s="138"/>
      <c r="Q66" s="139"/>
      <c r="S66" s="117" t="s">
        <v>516</v>
      </c>
      <c r="T66" s="77" t="str">
        <f>E3</f>
        <v>Böhm, 2020</v>
      </c>
      <c r="U66" s="84" t="s">
        <v>517</v>
      </c>
      <c r="V66" s="84"/>
      <c r="W66" s="78" t="str">
        <f>C3</f>
        <v>IEA, 2019</v>
      </c>
    </row>
    <row r="67" spans="2:23" ht="15.75" customHeight="1" x14ac:dyDescent="0.2"/>
    <row r="68" spans="2:23" ht="15.75" customHeight="1" x14ac:dyDescent="0.2"/>
    <row r="69" spans="2:23" ht="15.75" customHeight="1" x14ac:dyDescent="0.2"/>
    <row r="70" spans="2:23" ht="15.75" customHeight="1" x14ac:dyDescent="0.2"/>
    <row r="71" spans="2:23" ht="15.75" customHeight="1" x14ac:dyDescent="0.2"/>
    <row r="72" spans="2:23" ht="15.75" customHeight="1" x14ac:dyDescent="0.2"/>
    <row r="73" spans="2:23" ht="15.75" customHeight="1" x14ac:dyDescent="0.2"/>
    <row r="74" spans="2:23" ht="15.75" customHeight="1" x14ac:dyDescent="0.2"/>
    <row r="75" spans="2:23" ht="15.75" customHeight="1" x14ac:dyDescent="0.2"/>
    <row r="76" spans="2:23" ht="15.75" customHeight="1" x14ac:dyDescent="0.2"/>
    <row r="77" spans="2:23" ht="15.75" customHeight="1" x14ac:dyDescent="0.2"/>
    <row r="78" spans="2:23" ht="15.75" customHeight="1" x14ac:dyDescent="0.2"/>
    <row r="79" spans="2:23" ht="15.75" customHeight="1" x14ac:dyDescent="0.2"/>
    <row r="80" spans="2:23"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6">
    <mergeCell ref="B66:Q66"/>
    <mergeCell ref="B2:I2"/>
    <mergeCell ref="J2:Q2"/>
    <mergeCell ref="R2:W2"/>
    <mergeCell ref="X2:AE2"/>
    <mergeCell ref="B63:W63"/>
  </mergeCells>
  <pageMargins left="0.7" right="0.7" top="0.78740157499999996" bottom="0.78740157499999996" header="0" footer="0"/>
  <pageSetup orientation="landscape"/>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9"/>
  </sheetPr>
  <dimension ref="A1:C1000"/>
  <sheetViews>
    <sheetView workbookViewId="0"/>
  </sheetViews>
  <sheetFormatPr baseColWidth="10" defaultColWidth="11.1640625" defaultRowHeight="15" customHeight="1" x14ac:dyDescent="0.2"/>
  <cols>
    <col min="1" max="26" width="10.5" customWidth="1"/>
  </cols>
  <sheetData>
    <row r="1" spans="1:3" ht="15.75" customHeight="1" x14ac:dyDescent="0.2">
      <c r="B1" s="3" t="s">
        <v>518</v>
      </c>
      <c r="C1" s="3" t="s">
        <v>519</v>
      </c>
    </row>
    <row r="2" spans="1:3" ht="15.75" customHeight="1" x14ac:dyDescent="0.2">
      <c r="A2" s="3">
        <v>2017</v>
      </c>
      <c r="B2" s="16">
        <f>470/1300</f>
        <v>0.36153846153846153</v>
      </c>
      <c r="C2" s="16">
        <f>420/1200</f>
        <v>0.35</v>
      </c>
    </row>
    <row r="3" spans="1:3" ht="15.75" customHeight="1" x14ac:dyDescent="0.2">
      <c r="A3" s="3">
        <v>2018</v>
      </c>
      <c r="B3" s="62">
        <f t="shared" ref="B3:B9" si="0">$B$2-($B$2-$B$10)*(A3-$A$2)/($A$10-$A$2)</f>
        <v>0.35106837606837604</v>
      </c>
      <c r="C3" s="62">
        <f t="shared" ref="C3:C9" si="1">$C$2-($C$2-$C$10)*(A3-$A$2)/($A$10-$A$2)</f>
        <v>0.34375</v>
      </c>
    </row>
    <row r="4" spans="1:3" ht="15.75" customHeight="1" x14ac:dyDescent="0.2">
      <c r="A4" s="3">
        <v>2019</v>
      </c>
      <c r="B4" s="62">
        <f t="shared" si="0"/>
        <v>0.34059829059829061</v>
      </c>
      <c r="C4" s="62">
        <f t="shared" si="1"/>
        <v>0.33749999999999997</v>
      </c>
    </row>
    <row r="5" spans="1:3" ht="15.75" customHeight="1" x14ac:dyDescent="0.2">
      <c r="A5" s="3">
        <v>2020</v>
      </c>
      <c r="B5" s="118">
        <f t="shared" si="0"/>
        <v>0.33012820512820512</v>
      </c>
      <c r="C5" s="118">
        <f t="shared" si="1"/>
        <v>0.33124999999999999</v>
      </c>
    </row>
    <row r="6" spans="1:3" ht="15.75" customHeight="1" x14ac:dyDescent="0.2">
      <c r="A6" s="3">
        <v>2021</v>
      </c>
      <c r="B6" s="62">
        <f t="shared" si="0"/>
        <v>0.31965811965811963</v>
      </c>
      <c r="C6" s="62">
        <f t="shared" si="1"/>
        <v>0.32499999999999996</v>
      </c>
    </row>
    <row r="7" spans="1:3" ht="15.75" customHeight="1" x14ac:dyDescent="0.2">
      <c r="A7" s="3">
        <v>2022</v>
      </c>
      <c r="B7" s="62">
        <f t="shared" si="0"/>
        <v>0.3091880341880342</v>
      </c>
      <c r="C7" s="62">
        <f t="shared" si="1"/>
        <v>0.31874999999999998</v>
      </c>
    </row>
    <row r="8" spans="1:3" ht="15.75" customHeight="1" x14ac:dyDescent="0.2">
      <c r="A8" s="3">
        <v>2023</v>
      </c>
      <c r="B8" s="62">
        <f t="shared" si="0"/>
        <v>0.29871794871794871</v>
      </c>
      <c r="C8" s="62">
        <f t="shared" si="1"/>
        <v>0.3125</v>
      </c>
    </row>
    <row r="9" spans="1:3" ht="15.75" customHeight="1" x14ac:dyDescent="0.2">
      <c r="A9" s="3">
        <v>2024</v>
      </c>
      <c r="B9" s="62">
        <f t="shared" si="0"/>
        <v>0.28824786324786322</v>
      </c>
      <c r="C9" s="62">
        <f t="shared" si="1"/>
        <v>0.30624999999999997</v>
      </c>
    </row>
    <row r="10" spans="1:3" ht="15.75" customHeight="1" x14ac:dyDescent="0.2">
      <c r="A10" s="3">
        <v>2025</v>
      </c>
      <c r="B10" s="16">
        <f>250/900</f>
        <v>0.27777777777777779</v>
      </c>
      <c r="C10" s="16">
        <f>210/700</f>
        <v>0.3</v>
      </c>
    </row>
    <row r="11" spans="1:3" ht="15.75" customHeight="1" x14ac:dyDescent="0.2">
      <c r="A11" s="3">
        <v>2026</v>
      </c>
    </row>
    <row r="12" spans="1:3" ht="15.75" customHeight="1" x14ac:dyDescent="0.2">
      <c r="A12" s="3">
        <v>2027</v>
      </c>
    </row>
    <row r="13" spans="1:3" ht="15.75" customHeight="1" x14ac:dyDescent="0.2">
      <c r="A13" s="3">
        <v>2028</v>
      </c>
    </row>
    <row r="14" spans="1:3" ht="15.75" customHeight="1" x14ac:dyDescent="0.2">
      <c r="A14" s="3">
        <v>2029</v>
      </c>
    </row>
    <row r="15" spans="1:3" ht="15.75" customHeight="1" x14ac:dyDescent="0.2">
      <c r="A15" s="3">
        <v>2030</v>
      </c>
    </row>
    <row r="16" spans="1:3" ht="15.75" customHeight="1" x14ac:dyDescent="0.2">
      <c r="A16" s="3">
        <v>2031</v>
      </c>
    </row>
    <row r="17" spans="1:1" ht="15.75" customHeight="1" x14ac:dyDescent="0.2">
      <c r="A17" s="3">
        <v>2032</v>
      </c>
    </row>
    <row r="18" spans="1:1" ht="15.75" customHeight="1" x14ac:dyDescent="0.2">
      <c r="A18" s="3">
        <v>2033</v>
      </c>
    </row>
    <row r="19" spans="1:1" ht="15.75" customHeight="1" x14ac:dyDescent="0.2">
      <c r="A19" s="3">
        <v>2034</v>
      </c>
    </row>
    <row r="20" spans="1:1" ht="15.75" customHeight="1" x14ac:dyDescent="0.2">
      <c r="A20" s="3">
        <v>2035</v>
      </c>
    </row>
    <row r="21" spans="1:1" ht="15.75" customHeight="1" x14ac:dyDescent="0.2">
      <c r="A21" s="3">
        <v>2036</v>
      </c>
    </row>
    <row r="22" spans="1:1" ht="15.75" customHeight="1" x14ac:dyDescent="0.2">
      <c r="A22" s="3">
        <v>2037</v>
      </c>
    </row>
    <row r="23" spans="1:1" ht="15.75" customHeight="1" x14ac:dyDescent="0.2">
      <c r="A23" s="3">
        <v>2038</v>
      </c>
    </row>
    <row r="24" spans="1:1" ht="15.75" customHeight="1" x14ac:dyDescent="0.2">
      <c r="A24" s="3">
        <v>2039</v>
      </c>
    </row>
    <row r="25" spans="1:1" ht="15.75" customHeight="1" x14ac:dyDescent="0.2">
      <c r="A25" s="3">
        <v>2040</v>
      </c>
    </row>
    <row r="26" spans="1:1" ht="15.75" customHeight="1" x14ac:dyDescent="0.2">
      <c r="A26" s="3">
        <v>2041</v>
      </c>
    </row>
    <row r="27" spans="1:1" ht="15.75" customHeight="1" x14ac:dyDescent="0.2">
      <c r="A27" s="3">
        <v>2042</v>
      </c>
    </row>
    <row r="28" spans="1:1" ht="15.75" customHeight="1" x14ac:dyDescent="0.2">
      <c r="A28" s="3">
        <v>2043</v>
      </c>
    </row>
    <row r="29" spans="1:1" ht="15.75" customHeight="1" x14ac:dyDescent="0.2">
      <c r="A29" s="3">
        <v>2044</v>
      </c>
    </row>
    <row r="30" spans="1:1" ht="15.75" customHeight="1" x14ac:dyDescent="0.2">
      <c r="A30" s="3">
        <v>2045</v>
      </c>
    </row>
    <row r="31" spans="1:1" ht="15.75" customHeight="1" x14ac:dyDescent="0.2">
      <c r="A31" s="3">
        <v>2046</v>
      </c>
    </row>
    <row r="32" spans="1:1" ht="15.75" customHeight="1" x14ac:dyDescent="0.2">
      <c r="A32" s="3">
        <v>2047</v>
      </c>
    </row>
    <row r="33" spans="1:1" ht="15.75" customHeight="1" x14ac:dyDescent="0.2">
      <c r="A33" s="3">
        <v>2048</v>
      </c>
    </row>
    <row r="34" spans="1:1" ht="15.75" customHeight="1" x14ac:dyDescent="0.2">
      <c r="A34" s="3">
        <v>2049</v>
      </c>
    </row>
    <row r="35" spans="1:1" ht="15.75" customHeight="1" x14ac:dyDescent="0.2">
      <c r="A35" s="3">
        <v>2050</v>
      </c>
    </row>
    <row r="36" spans="1:1" ht="15.75" customHeight="1" x14ac:dyDescent="0.2"/>
    <row r="37" spans="1:1" ht="15.75" customHeight="1" x14ac:dyDescent="0.2"/>
    <row r="38" spans="1:1" ht="15.75" customHeight="1" x14ac:dyDescent="0.2"/>
    <row r="39" spans="1:1" ht="15.75" customHeight="1" x14ac:dyDescent="0.2"/>
    <row r="40" spans="1:1" ht="15.75" customHeight="1" x14ac:dyDescent="0.2"/>
    <row r="41" spans="1:1" ht="15.75" customHeight="1" x14ac:dyDescent="0.2"/>
    <row r="42" spans="1:1" ht="15.75" customHeight="1" x14ac:dyDescent="0.2"/>
    <row r="43" spans="1:1" ht="15.75" customHeight="1" x14ac:dyDescent="0.2"/>
    <row r="44" spans="1:1" ht="15.75" customHeight="1" x14ac:dyDescent="0.2"/>
    <row r="45" spans="1:1" ht="15.75" customHeight="1" x14ac:dyDescent="0.2"/>
    <row r="46" spans="1:1" ht="15.75" customHeight="1" x14ac:dyDescent="0.2"/>
    <row r="47" spans="1:1" ht="15.75" customHeight="1" x14ac:dyDescent="0.2"/>
    <row r="48" spans="1:1"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8740157499999996" bottom="0.78740157499999996" header="0" footer="0"/>
  <pageSetup orientation="landscape"/>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9"/>
  </sheetPr>
  <dimension ref="A1:U1000"/>
  <sheetViews>
    <sheetView workbookViewId="0"/>
  </sheetViews>
  <sheetFormatPr baseColWidth="10" defaultColWidth="11.1640625" defaultRowHeight="15" customHeight="1" x14ac:dyDescent="0.2"/>
  <cols>
    <col min="1" max="1" width="13" customWidth="1"/>
    <col min="2" max="21" width="11" customWidth="1"/>
    <col min="22" max="26" width="10.5" customWidth="1"/>
  </cols>
  <sheetData>
    <row r="1" spans="1:21" ht="15.75" customHeight="1" x14ac:dyDescent="0.2"/>
    <row r="2" spans="1:21" ht="15.75" customHeight="1" x14ac:dyDescent="0.2">
      <c r="A2" s="5"/>
      <c r="B2" s="130" t="s">
        <v>498</v>
      </c>
      <c r="C2" s="131"/>
      <c r="D2" s="131"/>
      <c r="E2" s="131"/>
      <c r="F2" s="131"/>
      <c r="G2" s="130" t="s">
        <v>499</v>
      </c>
      <c r="H2" s="131"/>
      <c r="I2" s="131"/>
      <c r="J2" s="131"/>
      <c r="K2" s="131"/>
      <c r="L2" s="140" t="s">
        <v>500</v>
      </c>
      <c r="M2" s="131"/>
      <c r="N2" s="131"/>
      <c r="O2" s="131"/>
      <c r="P2" s="131"/>
      <c r="Q2" s="140" t="s">
        <v>514</v>
      </c>
      <c r="R2" s="131"/>
      <c r="S2" s="131"/>
      <c r="T2" s="131"/>
      <c r="U2" s="131"/>
    </row>
    <row r="3" spans="1:21" ht="15.75" customHeight="1" x14ac:dyDescent="0.2">
      <c r="A3" s="5" t="s">
        <v>501</v>
      </c>
      <c r="B3" s="92"/>
      <c r="C3" s="93"/>
      <c r="D3" s="93"/>
      <c r="E3" s="93"/>
      <c r="F3" s="93"/>
      <c r="G3" s="92"/>
      <c r="H3" s="5"/>
      <c r="I3" s="5"/>
      <c r="J3" s="5"/>
      <c r="K3" s="5"/>
      <c r="L3" s="92"/>
      <c r="M3" s="5"/>
      <c r="N3" s="5"/>
      <c r="O3" s="5"/>
      <c r="P3" s="5"/>
      <c r="Q3" s="92"/>
      <c r="R3" s="5"/>
      <c r="S3" s="5"/>
      <c r="T3" s="5"/>
      <c r="U3" s="5"/>
    </row>
    <row r="4" spans="1:21" ht="15.75" customHeight="1" x14ac:dyDescent="0.2">
      <c r="A4" s="7" t="s">
        <v>502</v>
      </c>
      <c r="B4" s="94"/>
      <c r="C4" s="7"/>
      <c r="D4" s="7"/>
      <c r="E4" s="7"/>
      <c r="F4" s="7"/>
      <c r="G4" s="94"/>
      <c r="H4" s="7"/>
      <c r="I4" s="7"/>
      <c r="J4" s="7"/>
      <c r="K4" s="7"/>
      <c r="L4" s="94"/>
      <c r="M4" s="7"/>
      <c r="N4" s="7"/>
      <c r="O4" s="7"/>
      <c r="P4" s="7"/>
      <c r="Q4" s="94"/>
      <c r="R4" s="7"/>
      <c r="S4" s="7"/>
      <c r="T4" s="7"/>
      <c r="U4" s="7"/>
    </row>
    <row r="5" spans="1:21" ht="15.75" customHeight="1" x14ac:dyDescent="0.2">
      <c r="A5" s="3">
        <v>2015</v>
      </c>
      <c r="B5" s="95"/>
      <c r="C5" s="1"/>
      <c r="D5" s="1"/>
      <c r="E5" s="1"/>
      <c r="F5" s="1"/>
      <c r="G5" s="96"/>
      <c r="H5" s="97"/>
      <c r="I5" s="97"/>
      <c r="J5" s="97"/>
      <c r="K5" s="97"/>
      <c r="L5" s="98"/>
      <c r="M5" s="14"/>
      <c r="N5" s="14"/>
      <c r="O5" s="14"/>
      <c r="P5" s="14"/>
      <c r="Q5" s="115"/>
      <c r="R5" s="58"/>
      <c r="S5" s="58"/>
      <c r="T5" s="58"/>
      <c r="U5" s="58"/>
    </row>
    <row r="6" spans="1:21" ht="15.75" customHeight="1" x14ac:dyDescent="0.2">
      <c r="A6" s="3">
        <v>2016</v>
      </c>
      <c r="B6" s="95"/>
      <c r="C6" s="1"/>
      <c r="D6" s="1"/>
      <c r="E6" s="1"/>
      <c r="F6" s="1"/>
      <c r="G6" s="96"/>
      <c r="H6" s="97"/>
      <c r="I6" s="97"/>
      <c r="J6" s="97"/>
      <c r="K6" s="97"/>
      <c r="L6" s="96"/>
      <c r="M6" s="97"/>
      <c r="N6" s="97"/>
      <c r="O6" s="97"/>
      <c r="P6" s="97"/>
      <c r="Q6" s="115"/>
      <c r="R6" s="58"/>
      <c r="S6" s="58"/>
      <c r="T6" s="58"/>
      <c r="U6" s="58"/>
    </row>
    <row r="7" spans="1:21" ht="15.75" customHeight="1" x14ac:dyDescent="0.2">
      <c r="A7" s="3">
        <v>2017</v>
      </c>
      <c r="B7" s="95"/>
      <c r="C7" s="1"/>
      <c r="D7" s="1"/>
      <c r="E7" s="1"/>
      <c r="F7" s="48"/>
      <c r="G7" s="96"/>
      <c r="H7" s="97"/>
      <c r="I7" s="97"/>
      <c r="J7" s="97"/>
      <c r="K7" s="116"/>
      <c r="L7" s="95"/>
      <c r="M7" s="1"/>
      <c r="N7" s="1"/>
      <c r="O7" s="1"/>
      <c r="P7" s="1"/>
      <c r="Q7" s="115"/>
      <c r="R7" s="58"/>
      <c r="S7" s="58"/>
      <c r="T7" s="58"/>
      <c r="U7" s="51"/>
    </row>
    <row r="8" spans="1:21" ht="15.75" customHeight="1" x14ac:dyDescent="0.2">
      <c r="A8" s="3">
        <v>2018</v>
      </c>
      <c r="B8" s="95"/>
      <c r="C8" s="1"/>
      <c r="D8" s="1"/>
      <c r="E8" s="1"/>
      <c r="F8" s="1"/>
      <c r="G8" s="96"/>
      <c r="H8" s="97"/>
      <c r="I8" s="97"/>
      <c r="J8" s="97"/>
      <c r="K8" s="97"/>
      <c r="L8" s="95"/>
      <c r="M8" s="1"/>
      <c r="N8" s="1"/>
      <c r="O8" s="1"/>
      <c r="P8" s="1"/>
      <c r="Q8" s="115"/>
      <c r="R8" s="58"/>
      <c r="S8" s="58"/>
      <c r="T8" s="58"/>
      <c r="U8" s="58"/>
    </row>
    <row r="9" spans="1:21" ht="15.75" customHeight="1" x14ac:dyDescent="0.2">
      <c r="A9" s="3">
        <v>2019</v>
      </c>
      <c r="B9" s="95"/>
      <c r="C9" s="1"/>
      <c r="D9" s="1"/>
      <c r="E9" s="1"/>
      <c r="F9" s="1"/>
      <c r="G9" s="96"/>
      <c r="H9" s="97"/>
      <c r="I9" s="97"/>
      <c r="J9" s="97"/>
      <c r="K9" s="97"/>
      <c r="L9" s="95"/>
      <c r="M9" s="1"/>
      <c r="N9" s="1"/>
      <c r="O9" s="1"/>
      <c r="P9" s="1"/>
      <c r="Q9" s="115"/>
      <c r="R9" s="58"/>
      <c r="S9" s="58"/>
      <c r="T9" s="58"/>
      <c r="U9" s="58"/>
    </row>
    <row r="10" spans="1:21" ht="15.75" customHeight="1" x14ac:dyDescent="0.2">
      <c r="A10" s="3">
        <v>2020</v>
      </c>
      <c r="B10" s="95"/>
      <c r="C10" s="1"/>
      <c r="D10" s="1"/>
      <c r="E10" s="1"/>
      <c r="F10" s="1"/>
      <c r="G10" s="96"/>
      <c r="H10" s="97"/>
      <c r="I10" s="97"/>
      <c r="J10" s="97"/>
      <c r="K10" s="97"/>
      <c r="L10" s="95"/>
      <c r="M10" s="1"/>
      <c r="N10" s="1"/>
      <c r="O10" s="1"/>
      <c r="P10" s="1"/>
      <c r="Q10" s="115"/>
      <c r="R10" s="58"/>
      <c r="S10" s="58"/>
      <c r="T10" s="58"/>
      <c r="U10" s="58"/>
    </row>
    <row r="11" spans="1:21" ht="15.75" customHeight="1" x14ac:dyDescent="0.2">
      <c r="A11" s="3">
        <v>2021</v>
      </c>
      <c r="B11" s="95"/>
      <c r="C11" s="1"/>
      <c r="D11" s="1"/>
      <c r="E11" s="1"/>
      <c r="F11" s="1"/>
      <c r="G11" s="96"/>
      <c r="H11" s="97"/>
      <c r="I11" s="97"/>
      <c r="J11" s="97"/>
      <c r="K11" s="97"/>
      <c r="L11" s="95"/>
      <c r="M11" s="1"/>
      <c r="N11" s="1"/>
      <c r="O11" s="1"/>
      <c r="P11" s="1"/>
      <c r="Q11" s="115"/>
      <c r="R11" s="58"/>
      <c r="S11" s="58"/>
      <c r="T11" s="58"/>
      <c r="U11" s="58"/>
    </row>
    <row r="12" spans="1:21" ht="15.75" customHeight="1" x14ac:dyDescent="0.2">
      <c r="A12" s="3">
        <v>2022</v>
      </c>
      <c r="B12" s="95"/>
      <c r="C12" s="1"/>
      <c r="D12" s="1"/>
      <c r="E12" s="1"/>
      <c r="F12" s="1"/>
      <c r="G12" s="96"/>
      <c r="H12" s="97"/>
      <c r="I12" s="97"/>
      <c r="J12" s="97"/>
      <c r="K12" s="97"/>
      <c r="L12" s="95"/>
      <c r="M12" s="1"/>
      <c r="N12" s="1"/>
      <c r="O12" s="1"/>
      <c r="P12" s="1"/>
      <c r="Q12" s="115"/>
      <c r="R12" s="58"/>
      <c r="S12" s="58"/>
      <c r="T12" s="58"/>
      <c r="U12" s="58"/>
    </row>
    <row r="13" spans="1:21" ht="15.75" customHeight="1" x14ac:dyDescent="0.2">
      <c r="A13" s="3">
        <v>2023</v>
      </c>
      <c r="B13" s="95"/>
      <c r="C13" s="1"/>
      <c r="D13" s="1"/>
      <c r="E13" s="1"/>
      <c r="F13" s="1"/>
      <c r="G13" s="96"/>
      <c r="H13" s="97"/>
      <c r="I13" s="97"/>
      <c r="J13" s="97"/>
      <c r="K13" s="97"/>
      <c r="L13" s="95"/>
      <c r="M13" s="1"/>
      <c r="N13" s="1"/>
      <c r="O13" s="1"/>
      <c r="P13" s="1"/>
      <c r="Q13" s="115"/>
      <c r="R13" s="58"/>
      <c r="S13" s="58"/>
      <c r="T13" s="58"/>
      <c r="U13" s="58"/>
    </row>
    <row r="14" spans="1:21" ht="15.75" customHeight="1" x14ac:dyDescent="0.2">
      <c r="A14" s="3">
        <v>2024</v>
      </c>
      <c r="B14" s="95"/>
      <c r="C14" s="1"/>
      <c r="D14" s="1"/>
      <c r="E14" s="1"/>
      <c r="F14" s="1"/>
      <c r="G14" s="96"/>
      <c r="H14" s="97"/>
      <c r="I14" s="97"/>
      <c r="J14" s="97"/>
      <c r="K14" s="97"/>
      <c r="L14" s="95"/>
      <c r="M14" s="1"/>
      <c r="N14" s="1"/>
      <c r="O14" s="1"/>
      <c r="P14" s="1"/>
      <c r="Q14" s="115"/>
      <c r="R14" s="58"/>
      <c r="S14" s="58"/>
      <c r="T14" s="58"/>
      <c r="U14" s="58"/>
    </row>
    <row r="15" spans="1:21" ht="15.75" customHeight="1" x14ac:dyDescent="0.2">
      <c r="A15" s="3">
        <v>2025</v>
      </c>
      <c r="B15" s="95"/>
      <c r="C15" s="1"/>
      <c r="D15" s="1"/>
      <c r="E15" s="1"/>
      <c r="F15" s="1"/>
      <c r="G15" s="96"/>
      <c r="H15" s="97"/>
      <c r="I15" s="97"/>
      <c r="J15" s="97"/>
      <c r="K15" s="97"/>
      <c r="L15" s="95"/>
      <c r="M15" s="1"/>
      <c r="N15" s="1"/>
      <c r="O15" s="1"/>
      <c r="P15" s="1"/>
      <c r="Q15" s="115"/>
      <c r="R15" s="58"/>
      <c r="S15" s="58"/>
      <c r="T15" s="58"/>
      <c r="U15" s="58"/>
    </row>
    <row r="16" spans="1:21" ht="15.75" customHeight="1" x14ac:dyDescent="0.2">
      <c r="A16" s="3">
        <v>2026</v>
      </c>
      <c r="B16" s="95"/>
      <c r="C16" s="1"/>
      <c r="D16" s="1"/>
      <c r="E16" s="1"/>
      <c r="F16" s="1"/>
      <c r="G16" s="96"/>
      <c r="H16" s="97"/>
      <c r="I16" s="97"/>
      <c r="J16" s="97"/>
      <c r="K16" s="97"/>
      <c r="L16" s="95"/>
      <c r="M16" s="1"/>
      <c r="N16" s="1"/>
      <c r="O16" s="1"/>
      <c r="P16" s="1"/>
      <c r="Q16" s="115"/>
      <c r="R16" s="58"/>
      <c r="S16" s="58"/>
      <c r="T16" s="58"/>
      <c r="U16" s="58"/>
    </row>
    <row r="17" spans="1:21" ht="15.75" customHeight="1" x14ac:dyDescent="0.2">
      <c r="A17" s="3">
        <v>2027</v>
      </c>
      <c r="B17" s="95"/>
      <c r="C17" s="1"/>
      <c r="D17" s="1"/>
      <c r="E17" s="1"/>
      <c r="F17" s="1"/>
      <c r="G17" s="96"/>
      <c r="H17" s="97"/>
      <c r="I17" s="97"/>
      <c r="J17" s="97"/>
      <c r="K17" s="97"/>
      <c r="L17" s="95"/>
      <c r="M17" s="1"/>
      <c r="N17" s="1"/>
      <c r="O17" s="1"/>
      <c r="P17" s="1"/>
      <c r="Q17" s="115"/>
      <c r="R17" s="58"/>
      <c r="S17" s="58"/>
      <c r="T17" s="58"/>
      <c r="U17" s="58"/>
    </row>
    <row r="18" spans="1:21" ht="15.75" customHeight="1" x14ac:dyDescent="0.2">
      <c r="A18" s="3">
        <v>2028</v>
      </c>
      <c r="B18" s="95"/>
      <c r="C18" s="1"/>
      <c r="D18" s="1"/>
      <c r="E18" s="1"/>
      <c r="F18" s="1"/>
      <c r="G18" s="96"/>
      <c r="H18" s="97"/>
      <c r="I18" s="97"/>
      <c r="J18" s="97"/>
      <c r="K18" s="97"/>
      <c r="L18" s="95"/>
      <c r="M18" s="1"/>
      <c r="N18" s="1"/>
      <c r="O18" s="1"/>
      <c r="P18" s="1"/>
      <c r="Q18" s="115"/>
      <c r="R18" s="58"/>
      <c r="S18" s="58"/>
      <c r="T18" s="58"/>
      <c r="U18" s="58"/>
    </row>
    <row r="19" spans="1:21" ht="15.75" customHeight="1" x14ac:dyDescent="0.2">
      <c r="A19" s="3">
        <v>2029</v>
      </c>
      <c r="B19" s="95"/>
      <c r="C19" s="1"/>
      <c r="D19" s="1"/>
      <c r="E19" s="1"/>
      <c r="F19" s="1"/>
      <c r="G19" s="96"/>
      <c r="H19" s="97"/>
      <c r="I19" s="97"/>
      <c r="J19" s="97"/>
      <c r="K19" s="97"/>
      <c r="L19" s="95"/>
      <c r="M19" s="1"/>
      <c r="N19" s="1"/>
      <c r="O19" s="1"/>
      <c r="P19" s="1"/>
      <c r="Q19" s="115"/>
      <c r="R19" s="58"/>
      <c r="S19" s="58"/>
      <c r="T19" s="58"/>
      <c r="U19" s="58"/>
    </row>
    <row r="20" spans="1:21" ht="15.75" customHeight="1" x14ac:dyDescent="0.2">
      <c r="A20" s="3">
        <v>2030</v>
      </c>
      <c r="B20" s="95"/>
      <c r="C20" s="1"/>
      <c r="D20" s="1"/>
      <c r="E20" s="1"/>
      <c r="F20" s="1"/>
      <c r="G20" s="96"/>
      <c r="H20" s="97"/>
      <c r="I20" s="97"/>
      <c r="J20" s="97"/>
      <c r="K20" s="97"/>
      <c r="L20" s="95"/>
      <c r="M20" s="1"/>
      <c r="N20" s="1"/>
      <c r="O20" s="1"/>
      <c r="P20" s="1"/>
      <c r="Q20" s="115"/>
      <c r="R20" s="58"/>
      <c r="S20" s="58"/>
      <c r="T20" s="58"/>
      <c r="U20" s="58"/>
    </row>
    <row r="21" spans="1:21" ht="15.75" customHeight="1" x14ac:dyDescent="0.2">
      <c r="A21" s="3">
        <v>2031</v>
      </c>
      <c r="B21" s="95"/>
      <c r="C21" s="1"/>
      <c r="D21" s="1"/>
      <c r="E21" s="1"/>
      <c r="F21" s="1"/>
      <c r="G21" s="96"/>
      <c r="H21" s="97"/>
      <c r="I21" s="97"/>
      <c r="J21" s="97"/>
      <c r="K21" s="97"/>
      <c r="L21" s="95"/>
      <c r="M21" s="1"/>
      <c r="N21" s="1"/>
      <c r="O21" s="1"/>
      <c r="P21" s="1"/>
      <c r="Q21" s="115"/>
      <c r="R21" s="58"/>
      <c r="S21" s="58"/>
      <c r="T21" s="58"/>
      <c r="U21" s="58"/>
    </row>
    <row r="22" spans="1:21" ht="15.75" customHeight="1" x14ac:dyDescent="0.2">
      <c r="A22" s="3">
        <v>2032</v>
      </c>
      <c r="B22" s="95"/>
      <c r="C22" s="1"/>
      <c r="D22" s="1"/>
      <c r="E22" s="1"/>
      <c r="F22" s="1"/>
      <c r="G22" s="96"/>
      <c r="H22" s="97"/>
      <c r="I22" s="97"/>
      <c r="J22" s="97"/>
      <c r="K22" s="97"/>
      <c r="L22" s="95"/>
      <c r="M22" s="1"/>
      <c r="N22" s="1"/>
      <c r="O22" s="1"/>
      <c r="P22" s="1"/>
      <c r="Q22" s="115"/>
      <c r="R22" s="58"/>
      <c r="S22" s="58"/>
      <c r="T22" s="58"/>
      <c r="U22" s="58"/>
    </row>
    <row r="23" spans="1:21" ht="15.75" customHeight="1" x14ac:dyDescent="0.2">
      <c r="A23" s="3">
        <v>2033</v>
      </c>
      <c r="B23" s="95"/>
      <c r="C23" s="1"/>
      <c r="D23" s="1"/>
      <c r="E23" s="1"/>
      <c r="F23" s="1"/>
      <c r="G23" s="96"/>
      <c r="H23" s="97"/>
      <c r="I23" s="97"/>
      <c r="J23" s="97"/>
      <c r="K23" s="97"/>
      <c r="L23" s="95"/>
      <c r="M23" s="1"/>
      <c r="N23" s="1"/>
      <c r="O23" s="1"/>
      <c r="P23" s="1"/>
      <c r="Q23" s="115"/>
      <c r="R23" s="58"/>
      <c r="S23" s="58"/>
      <c r="T23" s="58"/>
      <c r="U23" s="58"/>
    </row>
    <row r="24" spans="1:21" ht="15.75" customHeight="1" x14ac:dyDescent="0.2">
      <c r="A24" s="3">
        <v>2034</v>
      </c>
      <c r="B24" s="95"/>
      <c r="C24" s="1"/>
      <c r="D24" s="1"/>
      <c r="E24" s="1"/>
      <c r="F24" s="1"/>
      <c r="G24" s="96"/>
      <c r="H24" s="97"/>
      <c r="I24" s="97"/>
      <c r="J24" s="97"/>
      <c r="K24" s="97"/>
      <c r="L24" s="95"/>
      <c r="M24" s="1"/>
      <c r="N24" s="1"/>
      <c r="O24" s="1"/>
      <c r="P24" s="1"/>
      <c r="Q24" s="115"/>
      <c r="R24" s="58"/>
      <c r="S24" s="58"/>
      <c r="T24" s="58"/>
      <c r="U24" s="58"/>
    </row>
    <row r="25" spans="1:21" ht="15.75" customHeight="1" x14ac:dyDescent="0.2">
      <c r="A25" s="3">
        <v>2035</v>
      </c>
      <c r="B25" s="95"/>
      <c r="C25" s="1"/>
      <c r="D25" s="1"/>
      <c r="E25" s="1"/>
      <c r="F25" s="1"/>
      <c r="G25" s="96"/>
      <c r="H25" s="97"/>
      <c r="I25" s="97"/>
      <c r="J25" s="97"/>
      <c r="K25" s="97"/>
      <c r="L25" s="95"/>
      <c r="M25" s="1"/>
      <c r="N25" s="1"/>
      <c r="O25" s="1"/>
      <c r="P25" s="1"/>
      <c r="Q25" s="115"/>
      <c r="R25" s="58"/>
      <c r="S25" s="58"/>
      <c r="T25" s="58"/>
      <c r="U25" s="58"/>
    </row>
    <row r="26" spans="1:21" ht="15.75" customHeight="1" x14ac:dyDescent="0.2">
      <c r="A26" s="3">
        <v>2036</v>
      </c>
      <c r="B26" s="95"/>
      <c r="C26" s="1"/>
      <c r="D26" s="1"/>
      <c r="E26" s="1"/>
      <c r="F26" s="1"/>
      <c r="G26" s="96"/>
      <c r="H26" s="97"/>
      <c r="I26" s="97"/>
      <c r="J26" s="97"/>
      <c r="K26" s="97"/>
      <c r="L26" s="95"/>
      <c r="M26" s="1"/>
      <c r="N26" s="1"/>
      <c r="O26" s="1"/>
      <c r="P26" s="1"/>
      <c r="Q26" s="115"/>
      <c r="R26" s="58"/>
      <c r="S26" s="58"/>
      <c r="T26" s="58"/>
      <c r="U26" s="58"/>
    </row>
    <row r="27" spans="1:21" ht="15.75" customHeight="1" x14ac:dyDescent="0.2">
      <c r="A27" s="3">
        <v>2037</v>
      </c>
      <c r="B27" s="95"/>
      <c r="C27" s="1"/>
      <c r="D27" s="1"/>
      <c r="E27" s="1"/>
      <c r="F27" s="1"/>
      <c r="G27" s="96"/>
      <c r="H27" s="97"/>
      <c r="I27" s="97"/>
      <c r="J27" s="97"/>
      <c r="K27" s="97"/>
      <c r="L27" s="95"/>
      <c r="M27" s="1"/>
      <c r="N27" s="1"/>
      <c r="O27" s="1"/>
      <c r="P27" s="1"/>
      <c r="Q27" s="115"/>
      <c r="R27" s="58"/>
      <c r="S27" s="58"/>
      <c r="T27" s="58"/>
      <c r="U27" s="58"/>
    </row>
    <row r="28" spans="1:21" ht="15.75" customHeight="1" x14ac:dyDescent="0.2">
      <c r="A28" s="3">
        <v>2038</v>
      </c>
      <c r="B28" s="95"/>
      <c r="C28" s="1"/>
      <c r="D28" s="1"/>
      <c r="E28" s="1"/>
      <c r="F28" s="1"/>
      <c r="G28" s="96"/>
      <c r="H28" s="97"/>
      <c r="I28" s="97"/>
      <c r="J28" s="97"/>
      <c r="K28" s="97"/>
      <c r="L28" s="95"/>
      <c r="M28" s="1"/>
      <c r="N28" s="1"/>
      <c r="O28" s="1"/>
      <c r="P28" s="1"/>
      <c r="Q28" s="115"/>
      <c r="R28" s="58"/>
      <c r="S28" s="58"/>
      <c r="T28" s="58"/>
      <c r="U28" s="58"/>
    </row>
    <row r="29" spans="1:21" ht="15.75" customHeight="1" x14ac:dyDescent="0.2">
      <c r="A29" s="3">
        <v>2039</v>
      </c>
      <c r="B29" s="95"/>
      <c r="C29" s="1"/>
      <c r="D29" s="1"/>
      <c r="E29" s="1"/>
      <c r="F29" s="1"/>
      <c r="G29" s="96"/>
      <c r="H29" s="97"/>
      <c r="I29" s="97"/>
      <c r="J29" s="97"/>
      <c r="K29" s="97"/>
      <c r="L29" s="95"/>
      <c r="M29" s="1"/>
      <c r="N29" s="1"/>
      <c r="O29" s="1"/>
      <c r="P29" s="1"/>
      <c r="Q29" s="115"/>
      <c r="R29" s="58"/>
      <c r="S29" s="58"/>
      <c r="T29" s="58"/>
      <c r="U29" s="58"/>
    </row>
    <row r="30" spans="1:21" ht="15.75" customHeight="1" x14ac:dyDescent="0.2">
      <c r="A30" s="3">
        <v>2040</v>
      </c>
      <c r="B30" s="95"/>
      <c r="C30" s="1"/>
      <c r="D30" s="1"/>
      <c r="E30" s="1"/>
      <c r="F30" s="1"/>
      <c r="G30" s="96"/>
      <c r="H30" s="97"/>
      <c r="I30" s="97"/>
      <c r="J30" s="97"/>
      <c r="K30" s="97"/>
      <c r="L30" s="95"/>
      <c r="M30" s="1"/>
      <c r="N30" s="1"/>
      <c r="O30" s="1"/>
      <c r="P30" s="1"/>
      <c r="Q30" s="115"/>
      <c r="R30" s="58"/>
      <c r="S30" s="58"/>
      <c r="T30" s="58"/>
      <c r="U30" s="58"/>
    </row>
    <row r="31" spans="1:21" ht="15.75" customHeight="1" x14ac:dyDescent="0.2">
      <c r="A31" s="3">
        <v>2041</v>
      </c>
      <c r="B31" s="95"/>
      <c r="C31" s="1"/>
      <c r="D31" s="1"/>
      <c r="E31" s="1"/>
      <c r="F31" s="1"/>
      <c r="G31" s="96"/>
      <c r="H31" s="97"/>
      <c r="I31" s="97"/>
      <c r="J31" s="97"/>
      <c r="K31" s="97"/>
      <c r="L31" s="95"/>
      <c r="M31" s="1"/>
      <c r="N31" s="1"/>
      <c r="O31" s="1"/>
      <c r="P31" s="1"/>
      <c r="Q31" s="115"/>
      <c r="R31" s="58"/>
      <c r="S31" s="58"/>
      <c r="T31" s="58"/>
      <c r="U31" s="58"/>
    </row>
    <row r="32" spans="1:21" ht="15.75" customHeight="1" x14ac:dyDescent="0.2">
      <c r="A32" s="3">
        <v>2042</v>
      </c>
      <c r="B32" s="95"/>
      <c r="C32" s="1"/>
      <c r="D32" s="1"/>
      <c r="E32" s="1"/>
      <c r="F32" s="1"/>
      <c r="G32" s="96"/>
      <c r="H32" s="97"/>
      <c r="I32" s="97"/>
      <c r="J32" s="97"/>
      <c r="K32" s="97"/>
      <c r="L32" s="95"/>
      <c r="M32" s="1"/>
      <c r="N32" s="1"/>
      <c r="O32" s="1"/>
      <c r="P32" s="1"/>
      <c r="Q32" s="115"/>
      <c r="R32" s="58"/>
      <c r="S32" s="58"/>
      <c r="T32" s="58"/>
      <c r="U32" s="58"/>
    </row>
    <row r="33" spans="1:21" ht="15.75" customHeight="1" x14ac:dyDescent="0.2">
      <c r="A33" s="3">
        <v>2043</v>
      </c>
      <c r="B33" s="95"/>
      <c r="C33" s="1"/>
      <c r="D33" s="1"/>
      <c r="E33" s="1"/>
      <c r="F33" s="1"/>
      <c r="G33" s="96"/>
      <c r="H33" s="97"/>
      <c r="I33" s="97"/>
      <c r="J33" s="97"/>
      <c r="K33" s="97"/>
      <c r="L33" s="95"/>
      <c r="M33" s="1"/>
      <c r="N33" s="1"/>
      <c r="O33" s="1"/>
      <c r="P33" s="1"/>
      <c r="Q33" s="115"/>
      <c r="R33" s="58"/>
      <c r="S33" s="58"/>
      <c r="T33" s="58"/>
      <c r="U33" s="58"/>
    </row>
    <row r="34" spans="1:21" ht="15.75" customHeight="1" x14ac:dyDescent="0.2">
      <c r="A34" s="3">
        <v>2044</v>
      </c>
      <c r="B34" s="95"/>
      <c r="C34" s="1"/>
      <c r="D34" s="1"/>
      <c r="E34" s="1"/>
      <c r="F34" s="1"/>
      <c r="G34" s="96"/>
      <c r="H34" s="97"/>
      <c r="I34" s="97"/>
      <c r="J34" s="97"/>
      <c r="K34" s="97"/>
      <c r="L34" s="95"/>
      <c r="M34" s="1"/>
      <c r="N34" s="1"/>
      <c r="O34" s="1"/>
      <c r="P34" s="1"/>
      <c r="Q34" s="115"/>
      <c r="R34" s="58"/>
      <c r="S34" s="58"/>
      <c r="T34" s="58"/>
      <c r="U34" s="58"/>
    </row>
    <row r="35" spans="1:21" ht="15.75" customHeight="1" x14ac:dyDescent="0.2">
      <c r="A35" s="3">
        <v>2045</v>
      </c>
      <c r="B35" s="95"/>
      <c r="C35" s="1"/>
      <c r="D35" s="1"/>
      <c r="E35" s="1"/>
      <c r="F35" s="1"/>
      <c r="G35" s="96"/>
      <c r="H35" s="97"/>
      <c r="I35" s="97"/>
      <c r="J35" s="97"/>
      <c r="K35" s="97"/>
      <c r="L35" s="95"/>
      <c r="M35" s="1"/>
      <c r="N35" s="1"/>
      <c r="O35" s="1"/>
      <c r="P35" s="1"/>
      <c r="Q35" s="115"/>
      <c r="R35" s="58"/>
      <c r="S35" s="58"/>
      <c r="T35" s="58"/>
      <c r="U35" s="58"/>
    </row>
    <row r="36" spans="1:21" ht="15.75" customHeight="1" x14ac:dyDescent="0.2">
      <c r="A36" s="3">
        <v>2046</v>
      </c>
      <c r="B36" s="95"/>
      <c r="C36" s="1"/>
      <c r="D36" s="1"/>
      <c r="E36" s="1"/>
      <c r="F36" s="1"/>
      <c r="G36" s="96"/>
      <c r="H36" s="97"/>
      <c r="I36" s="97"/>
      <c r="J36" s="97"/>
      <c r="K36" s="97"/>
      <c r="L36" s="95"/>
      <c r="M36" s="1"/>
      <c r="N36" s="1"/>
      <c r="O36" s="1"/>
      <c r="P36" s="1"/>
      <c r="Q36" s="115"/>
      <c r="R36" s="58"/>
      <c r="S36" s="58"/>
      <c r="T36" s="58"/>
      <c r="U36" s="58"/>
    </row>
    <row r="37" spans="1:21" ht="15.75" customHeight="1" x14ac:dyDescent="0.2">
      <c r="A37" s="3">
        <v>2047</v>
      </c>
      <c r="B37" s="95"/>
      <c r="C37" s="1"/>
      <c r="D37" s="1"/>
      <c r="E37" s="1"/>
      <c r="F37" s="1"/>
      <c r="G37" s="96"/>
      <c r="H37" s="97"/>
      <c r="I37" s="97"/>
      <c r="J37" s="97"/>
      <c r="K37" s="97"/>
      <c r="L37" s="95"/>
      <c r="M37" s="1"/>
      <c r="N37" s="1"/>
      <c r="O37" s="1"/>
      <c r="P37" s="1"/>
      <c r="Q37" s="115"/>
      <c r="R37" s="58"/>
      <c r="S37" s="58"/>
      <c r="T37" s="58"/>
      <c r="U37" s="58"/>
    </row>
    <row r="38" spans="1:21" ht="15.75" customHeight="1" x14ac:dyDescent="0.2">
      <c r="A38" s="3">
        <v>2048</v>
      </c>
      <c r="B38" s="95"/>
      <c r="C38" s="1"/>
      <c r="D38" s="1"/>
      <c r="E38" s="1"/>
      <c r="F38" s="1"/>
      <c r="G38" s="96"/>
      <c r="H38" s="97"/>
      <c r="I38" s="97"/>
      <c r="J38" s="97"/>
      <c r="K38" s="97"/>
      <c r="L38" s="95"/>
      <c r="M38" s="1"/>
      <c r="N38" s="1"/>
      <c r="O38" s="1"/>
      <c r="P38" s="1"/>
      <c r="Q38" s="115"/>
      <c r="R38" s="58"/>
      <c r="S38" s="58"/>
      <c r="T38" s="58"/>
      <c r="U38" s="58"/>
    </row>
    <row r="39" spans="1:21" ht="15.75" customHeight="1" x14ac:dyDescent="0.2">
      <c r="A39" s="3">
        <v>2049</v>
      </c>
      <c r="B39" s="95"/>
      <c r="C39" s="1"/>
      <c r="D39" s="1"/>
      <c r="E39" s="1"/>
      <c r="F39" s="1"/>
      <c r="G39" s="96"/>
      <c r="H39" s="97"/>
      <c r="I39" s="97"/>
      <c r="J39" s="97"/>
      <c r="K39" s="97"/>
      <c r="L39" s="95"/>
      <c r="M39" s="1"/>
      <c r="N39" s="1"/>
      <c r="O39" s="1"/>
      <c r="P39" s="1"/>
      <c r="Q39" s="115"/>
      <c r="R39" s="58"/>
      <c r="S39" s="58"/>
      <c r="T39" s="58"/>
      <c r="U39" s="58"/>
    </row>
    <row r="40" spans="1:21" ht="15.75" customHeight="1" x14ac:dyDescent="0.2">
      <c r="A40" s="3">
        <v>2050</v>
      </c>
      <c r="B40" s="95"/>
      <c r="C40" s="1"/>
      <c r="D40" s="1"/>
      <c r="E40" s="1"/>
      <c r="F40" s="1"/>
      <c r="G40" s="96"/>
      <c r="H40" s="97"/>
      <c r="I40" s="97"/>
      <c r="J40" s="97"/>
      <c r="K40" s="97"/>
      <c r="L40" s="95"/>
      <c r="M40" s="1"/>
      <c r="N40" s="1"/>
      <c r="O40" s="1"/>
      <c r="P40" s="1"/>
      <c r="Q40" s="115"/>
      <c r="R40" s="58"/>
      <c r="S40" s="58"/>
      <c r="T40" s="58"/>
      <c r="U40" s="58"/>
    </row>
    <row r="41" spans="1:21" ht="15.75" customHeight="1" x14ac:dyDescent="0.2"/>
    <row r="42" spans="1:21" ht="15.75" customHeight="1" x14ac:dyDescent="0.2"/>
    <row r="43" spans="1:21" ht="15.75" customHeight="1" x14ac:dyDescent="0.2"/>
    <row r="44" spans="1:21" ht="15.75" customHeight="1" x14ac:dyDescent="0.2"/>
    <row r="45" spans="1:21" ht="15.75" customHeight="1" x14ac:dyDescent="0.2"/>
    <row r="46" spans="1:21" ht="15.75" customHeight="1" x14ac:dyDescent="0.2"/>
    <row r="47" spans="1:21" ht="15.75" customHeight="1" x14ac:dyDescent="0.2"/>
    <row r="48" spans="1:21" ht="15.75" customHeight="1" x14ac:dyDescent="0.2"/>
    <row r="49" spans="2:16" ht="15.75" customHeight="1" x14ac:dyDescent="0.2"/>
    <row r="50" spans="2:16" ht="15.75" customHeight="1" x14ac:dyDescent="0.2"/>
    <row r="51" spans="2:16" ht="15.75" customHeight="1" x14ac:dyDescent="0.2"/>
    <row r="52" spans="2:16" ht="15.75" customHeight="1" x14ac:dyDescent="0.2"/>
    <row r="53" spans="2:16" ht="15.75" customHeight="1" x14ac:dyDescent="0.2"/>
    <row r="54" spans="2:16" ht="15.75" customHeight="1" x14ac:dyDescent="0.2"/>
    <row r="55" spans="2:16" ht="15.75" customHeight="1" x14ac:dyDescent="0.2"/>
    <row r="56" spans="2:16" ht="15.75" customHeight="1" x14ac:dyDescent="0.2"/>
    <row r="57" spans="2:16" ht="15.75" customHeight="1" x14ac:dyDescent="0.2"/>
    <row r="58" spans="2:16" ht="15.75" customHeight="1" x14ac:dyDescent="0.2"/>
    <row r="59" spans="2:16" ht="15.75" customHeight="1" x14ac:dyDescent="0.2"/>
    <row r="60" spans="2:16" ht="15.75" customHeight="1" x14ac:dyDescent="0.2"/>
    <row r="61" spans="2:16" ht="15.75" customHeight="1" x14ac:dyDescent="0.2"/>
    <row r="62" spans="2:16" ht="15.75" customHeight="1" x14ac:dyDescent="0.2"/>
    <row r="63" spans="2:16" ht="15.75" customHeight="1" x14ac:dyDescent="0.25">
      <c r="B63" s="141" t="s">
        <v>503</v>
      </c>
      <c r="C63" s="131"/>
      <c r="D63" s="131"/>
      <c r="E63" s="131"/>
      <c r="F63" s="131"/>
      <c r="G63" s="131"/>
      <c r="H63" s="131"/>
      <c r="I63" s="131"/>
      <c r="J63" s="131"/>
      <c r="K63" s="131"/>
      <c r="L63" s="131"/>
      <c r="M63" s="131"/>
      <c r="N63" s="131"/>
      <c r="O63" s="131"/>
      <c r="P63" s="131"/>
    </row>
    <row r="64" spans="2:16" ht="15.75" customHeight="1" x14ac:dyDescent="0.2"/>
    <row r="65" spans="2:16" ht="15.75" customHeight="1" x14ac:dyDescent="0.2">
      <c r="B65" s="101" t="s">
        <v>504</v>
      </c>
      <c r="C65" s="93"/>
      <c r="D65" s="93"/>
      <c r="E65" s="93"/>
      <c r="F65" s="93"/>
      <c r="G65" s="34"/>
      <c r="H65" s="34"/>
      <c r="I65" s="34"/>
      <c r="J65" s="34"/>
      <c r="K65" s="35"/>
      <c r="N65" s="102" t="s">
        <v>505</v>
      </c>
      <c r="O65" s="34"/>
      <c r="P65" s="35"/>
    </row>
    <row r="66" spans="2:16" ht="15.75" customHeight="1" x14ac:dyDescent="0.2">
      <c r="B66" s="137" t="s">
        <v>520</v>
      </c>
      <c r="C66" s="138"/>
      <c r="D66" s="138"/>
      <c r="E66" s="138"/>
      <c r="F66" s="138"/>
      <c r="G66" s="138"/>
      <c r="H66" s="138"/>
      <c r="I66" s="138"/>
      <c r="J66" s="138"/>
      <c r="K66" s="139"/>
      <c r="N66" s="76" t="s">
        <v>520</v>
      </c>
      <c r="O66" s="77"/>
      <c r="P66" s="78"/>
    </row>
    <row r="67" spans="2:16" ht="15.75" customHeight="1" x14ac:dyDescent="0.2"/>
    <row r="68" spans="2:16" ht="15.75" customHeight="1" x14ac:dyDescent="0.2"/>
    <row r="69" spans="2:16" ht="15.75" customHeight="1" x14ac:dyDescent="0.2"/>
    <row r="70" spans="2:16" ht="15.75" customHeight="1" x14ac:dyDescent="0.2"/>
    <row r="71" spans="2:16" ht="15.75" customHeight="1" x14ac:dyDescent="0.2"/>
    <row r="72" spans="2:16" ht="15.75" customHeight="1" x14ac:dyDescent="0.2"/>
    <row r="73" spans="2:16" ht="15.75" customHeight="1" x14ac:dyDescent="0.2"/>
    <row r="74" spans="2:16" ht="15.75" customHeight="1" x14ac:dyDescent="0.2"/>
    <row r="75" spans="2:16" ht="15.75" customHeight="1" x14ac:dyDescent="0.2"/>
    <row r="76" spans="2:16" ht="15.75" customHeight="1" x14ac:dyDescent="0.2"/>
    <row r="77" spans="2:16" ht="15.75" customHeight="1" x14ac:dyDescent="0.2"/>
    <row r="78" spans="2:16" ht="15.75" customHeight="1" x14ac:dyDescent="0.2"/>
    <row r="79" spans="2:16" ht="15.75" customHeight="1" x14ac:dyDescent="0.2"/>
    <row r="80" spans="2:16"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6">
    <mergeCell ref="B66:K66"/>
    <mergeCell ref="B2:F2"/>
    <mergeCell ref="G2:K2"/>
    <mergeCell ref="L2:P2"/>
    <mergeCell ref="Q2:U2"/>
    <mergeCell ref="B63:P63"/>
  </mergeCells>
  <pageMargins left="0.7" right="0.7" top="0.78740157499999996" bottom="0.78740157499999996"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1001"/>
  <sheetViews>
    <sheetView workbookViewId="0">
      <selection activeCell="A4" sqref="A4"/>
    </sheetView>
  </sheetViews>
  <sheetFormatPr baseColWidth="10" defaultColWidth="11.1640625" defaultRowHeight="15" customHeight="1" outlineLevelCol="1" x14ac:dyDescent="0.2"/>
  <cols>
    <col min="1" max="1" width="24.83203125" customWidth="1"/>
    <col min="2" max="2" width="10.5" customWidth="1"/>
    <col min="3" max="3" width="13.5" customWidth="1"/>
    <col min="4" max="4" width="13.83203125" customWidth="1"/>
    <col min="5" max="34" width="10.83203125" customWidth="1" outlineLevel="1"/>
    <col min="35" max="35" width="44.1640625" customWidth="1"/>
  </cols>
  <sheetData>
    <row r="1" spans="1:35" ht="15.75" customHeight="1" x14ac:dyDescent="0.2">
      <c r="A1" s="3" t="s">
        <v>236</v>
      </c>
      <c r="B1" s="3" t="str">
        <f>overview!C2</f>
        <v>value_2020</v>
      </c>
      <c r="C1" s="3" t="str">
        <f>overview!D2</f>
        <v>sensitivity_min</v>
      </c>
      <c r="D1" s="3" t="str">
        <f>overview!E2</f>
        <v>sensitivity_max</v>
      </c>
      <c r="E1" s="3" t="str">
        <f>overview!F2</f>
        <v>value_2021</v>
      </c>
      <c r="F1" s="3" t="str">
        <f>overview!G2</f>
        <v>value_2022</v>
      </c>
      <c r="G1" s="3" t="str">
        <f>overview!H2</f>
        <v>value_2023</v>
      </c>
      <c r="H1" s="3" t="str">
        <f>overview!I2</f>
        <v>value_2024</v>
      </c>
      <c r="I1" s="3" t="str">
        <f>overview!J2</f>
        <v>value_2025</v>
      </c>
      <c r="J1" s="3" t="str">
        <f>overview!K2</f>
        <v>value_2026</v>
      </c>
      <c r="K1" s="3" t="str">
        <f>overview!L2</f>
        <v>value_2027</v>
      </c>
      <c r="L1" s="3" t="str">
        <f>overview!M2</f>
        <v>value_2028</v>
      </c>
      <c r="M1" s="3" t="str">
        <f>overview!N2</f>
        <v>value_2029</v>
      </c>
      <c r="N1" s="3" t="str">
        <f>overview!O2</f>
        <v>value_2030</v>
      </c>
      <c r="O1" s="3" t="str">
        <f>overview!P2</f>
        <v>value_2031</v>
      </c>
      <c r="P1" s="3" t="str">
        <f>overview!Q2</f>
        <v>value_2032</v>
      </c>
      <c r="Q1" s="3" t="str">
        <f>overview!R2</f>
        <v>value_2033</v>
      </c>
      <c r="R1" s="3" t="str">
        <f>overview!S2</f>
        <v>value_2034</v>
      </c>
      <c r="S1" s="3" t="str">
        <f>overview!T2</f>
        <v>value_2035</v>
      </c>
      <c r="T1" s="3" t="str">
        <f>overview!U2</f>
        <v>value_2036</v>
      </c>
      <c r="U1" s="3" t="str">
        <f>overview!V2</f>
        <v>value_2037</v>
      </c>
      <c r="V1" s="3" t="str">
        <f>overview!W2</f>
        <v>value_2038</v>
      </c>
      <c r="W1" s="3" t="str">
        <f>overview!X2</f>
        <v>value_2039</v>
      </c>
      <c r="X1" s="3" t="str">
        <f>overview!Y2</f>
        <v>value_2040</v>
      </c>
      <c r="Y1" s="3" t="str">
        <f>overview!Z2</f>
        <v>value_2041</v>
      </c>
      <c r="Z1" s="3" t="str">
        <f>overview!AA2</f>
        <v>value_2042</v>
      </c>
      <c r="AA1" s="3" t="str">
        <f>overview!AB2</f>
        <v>value_2043</v>
      </c>
      <c r="AB1" s="3" t="str">
        <f>overview!AC2</f>
        <v>value_2044</v>
      </c>
      <c r="AC1" s="3" t="str">
        <f>overview!AD2</f>
        <v>value_2045</v>
      </c>
      <c r="AD1" s="3" t="str">
        <f>overview!AE2</f>
        <v>value_2046</v>
      </c>
      <c r="AE1" s="3" t="str">
        <f>overview!AF2</f>
        <v>value_2047</v>
      </c>
      <c r="AF1" s="3" t="str">
        <f>overview!AG2</f>
        <v>value_2048</v>
      </c>
      <c r="AG1" s="3" t="str">
        <f>overview!AH2</f>
        <v>value_2049</v>
      </c>
      <c r="AH1" s="3" t="str">
        <f>overview!AI2</f>
        <v>value_2050</v>
      </c>
      <c r="AI1" s="3" t="s">
        <v>237</v>
      </c>
    </row>
    <row r="2" spans="1:35" ht="15.75" customHeight="1" x14ac:dyDescent="0.2">
      <c r="A2" s="8" t="s">
        <v>566</v>
      </c>
      <c r="B2" s="3">
        <f>IF(VLOOKUP($A2,overview!$B$3:$AJ$154,COLUMN(),FALSE) = "","",VLOOKUP($A2,overview!$B$3:$AJ$154,COLUMN(B2),FALSE))</f>
        <v>10</v>
      </c>
      <c r="C2" s="3">
        <f>IF(VLOOKUP($A2,overview!$B$3:$AJ$154,COLUMN(),FALSE) = "","",VLOOKUP($A2,overview!$B$3:$AJ$154,COLUMN(C2),FALSE))</f>
        <v>6</v>
      </c>
      <c r="D2" s="3">
        <f>IF(VLOOKUP($A2,overview!$B$3:$AJ$154,COLUMN(),FALSE) = "","",VLOOKUP($A2,overview!$B$3:$AJ$154,COLUMN(D2),FALSE))</f>
        <v>15</v>
      </c>
      <c r="E2" s="3" t="str">
        <f>IF(VLOOKUP($A2,overview!$B$3:$AJ$154,COLUMN(),FALSE) = "","",VLOOKUP($A2,overview!$B$3:$AJ$154,COLUMN(E2),FALSE))</f>
        <v/>
      </c>
      <c r="F2" s="3" t="str">
        <f>IF(VLOOKUP($A2,overview!$B$3:$AJ$154,COLUMN(),FALSE) = "","",VLOOKUP($A2,overview!$B$3:$AJ$154,COLUMN(F2),FALSE))</f>
        <v/>
      </c>
      <c r="G2" s="3" t="str">
        <f>IF(VLOOKUP($A2,overview!$B$3:$AJ$154,COLUMN(),FALSE) = "","",VLOOKUP($A2,overview!$B$3:$AJ$154,COLUMN(G2),FALSE))</f>
        <v/>
      </c>
      <c r="H2" s="3" t="str">
        <f>IF(VLOOKUP($A2,overview!$B$3:$AJ$154,COLUMN(),FALSE) = "","",VLOOKUP($A2,overview!$B$3:$AJ$154,COLUMN(H2),FALSE))</f>
        <v/>
      </c>
      <c r="I2" s="3" t="str">
        <f>IF(VLOOKUP($A2,overview!$B$3:$AJ$154,COLUMN(),FALSE) = "","",VLOOKUP($A2,overview!$B$3:$AJ$154,COLUMN(I2),FALSE))</f>
        <v/>
      </c>
      <c r="J2" s="3" t="str">
        <f>IF(VLOOKUP($A2,overview!$B$3:$AJ$154,COLUMN(),FALSE) = "","",VLOOKUP($A2,overview!$B$3:$AJ$154,COLUMN(J2),FALSE))</f>
        <v/>
      </c>
      <c r="K2" s="3" t="str">
        <f>IF(VLOOKUP($A2,overview!$B$3:$AJ$154,COLUMN(),FALSE) = "","",VLOOKUP($A2,overview!$B$3:$AJ$154,COLUMN(K2),FALSE))</f>
        <v/>
      </c>
      <c r="L2" s="3" t="str">
        <f>IF(VLOOKUP($A2,overview!$B$3:$AJ$154,COLUMN(),FALSE) = "","",VLOOKUP($A2,overview!$B$3:$AJ$154,COLUMN(L2),FALSE))</f>
        <v/>
      </c>
      <c r="M2" s="3" t="str">
        <f>IF(VLOOKUP($A2,overview!$B$3:$AJ$154,COLUMN(),FALSE) = "","",VLOOKUP($A2,overview!$B$3:$AJ$154,COLUMN(M2),FALSE))</f>
        <v/>
      </c>
      <c r="N2" s="3" t="str">
        <f>IF(VLOOKUP($A2,overview!$B$3:$AJ$154,COLUMN(),FALSE) = "","",VLOOKUP($A2,overview!$B$3:$AJ$154,COLUMN(N2),FALSE))</f>
        <v/>
      </c>
      <c r="O2" s="3" t="str">
        <f>IF(VLOOKUP($A2,overview!$B$3:$AJ$154,COLUMN(),FALSE) = "","",VLOOKUP($A2,overview!$B$3:$AJ$154,COLUMN(O2),FALSE))</f>
        <v/>
      </c>
      <c r="P2" s="3" t="str">
        <f>IF(VLOOKUP($A2,overview!$B$3:$AJ$154,COLUMN(),FALSE) = "","",VLOOKUP($A2,overview!$B$3:$AJ$154,COLUMN(P2),FALSE))</f>
        <v/>
      </c>
      <c r="Q2" s="3" t="str">
        <f>IF(VLOOKUP($A2,overview!$B$3:$AJ$154,COLUMN(),FALSE) = "","",VLOOKUP($A2,overview!$B$3:$AJ$154,COLUMN(Q2),FALSE))</f>
        <v/>
      </c>
      <c r="R2" s="3" t="str">
        <f>IF(VLOOKUP($A2,overview!$B$3:$AJ$154,COLUMN(),FALSE) = "","",VLOOKUP($A2,overview!$B$3:$AJ$154,COLUMN(R2),FALSE))</f>
        <v/>
      </c>
      <c r="S2" s="3" t="str">
        <f>IF(VLOOKUP($A2,overview!$B$3:$AJ$154,COLUMN(),FALSE) = "","",VLOOKUP($A2,overview!$B$3:$AJ$154,COLUMN(S2),FALSE))</f>
        <v/>
      </c>
      <c r="T2" s="3" t="str">
        <f>IF(VLOOKUP($A2,overview!$B$3:$AJ$154,COLUMN(),FALSE) = "","",VLOOKUP($A2,overview!$B$3:$AJ$154,COLUMN(T2),FALSE))</f>
        <v/>
      </c>
      <c r="U2" s="3" t="str">
        <f>IF(VLOOKUP($A2,overview!$B$3:$AJ$154,COLUMN(),FALSE) = "","",VLOOKUP($A2,overview!$B$3:$AJ$154,COLUMN(U2),FALSE))</f>
        <v/>
      </c>
      <c r="V2" s="3" t="str">
        <f>IF(VLOOKUP($A2,overview!$B$3:$AJ$154,COLUMN(),FALSE) = "","",VLOOKUP($A2,overview!$B$3:$AJ$154,COLUMN(V2),FALSE))</f>
        <v/>
      </c>
      <c r="W2" s="3" t="str">
        <f>IF(VLOOKUP($A2,overview!$B$3:$AJ$154,COLUMN(),FALSE) = "","",VLOOKUP($A2,overview!$B$3:$AJ$154,COLUMN(W2),FALSE))</f>
        <v/>
      </c>
      <c r="X2" s="3" t="str">
        <f>IF(VLOOKUP($A2,overview!$B$3:$AJ$154,COLUMN(),FALSE) = "","",VLOOKUP($A2,overview!$B$3:$AJ$154,COLUMN(X2),FALSE))</f>
        <v/>
      </c>
      <c r="Y2" s="3" t="str">
        <f>IF(VLOOKUP($A2,overview!$B$3:$AJ$154,COLUMN(),FALSE) = "","",VLOOKUP($A2,overview!$B$3:$AJ$154,COLUMN(Y2),FALSE))</f>
        <v/>
      </c>
      <c r="Z2" s="3" t="str">
        <f>IF(VLOOKUP($A2,overview!$B$3:$AJ$154,COLUMN(),FALSE) = "","",VLOOKUP($A2,overview!$B$3:$AJ$154,COLUMN(Z2),FALSE))</f>
        <v/>
      </c>
      <c r="AA2" s="3" t="str">
        <f>IF(VLOOKUP($A2,overview!$B$3:$AJ$154,COLUMN(),FALSE) = "","",VLOOKUP($A2,overview!$B$3:$AJ$154,COLUMN(AA2),FALSE))</f>
        <v/>
      </c>
      <c r="AB2" s="3" t="str">
        <f>IF(VLOOKUP($A2,overview!$B$3:$AJ$154,COLUMN(),FALSE) = "","",VLOOKUP($A2,overview!$B$3:$AJ$154,COLUMN(AB2),FALSE))</f>
        <v/>
      </c>
      <c r="AC2" s="3" t="str">
        <f>IF(VLOOKUP($A2,overview!$B$3:$AJ$154,COLUMN(),FALSE) = "","",VLOOKUP($A2,overview!$B$3:$AJ$154,COLUMN(AC2),FALSE))</f>
        <v/>
      </c>
      <c r="AD2" s="3" t="str">
        <f>IF(VLOOKUP($A2,overview!$B$3:$AJ$154,COLUMN(),FALSE) = "","",VLOOKUP($A2,overview!$B$3:$AJ$154,COLUMN(AD2),FALSE))</f>
        <v/>
      </c>
      <c r="AE2" s="3" t="str">
        <f>IF(VLOOKUP($A2,overview!$B$3:$AJ$154,COLUMN(),FALSE) = "","",VLOOKUP($A2,overview!$B$3:$AJ$154,COLUMN(AE2),FALSE))</f>
        <v/>
      </c>
      <c r="AF2" s="3" t="str">
        <f>IF(VLOOKUP($A2,overview!$B$3:$AJ$154,COLUMN(),FALSE) = "","",VLOOKUP($A2,overview!$B$3:$AJ$154,COLUMN(AF2),FALSE))</f>
        <v/>
      </c>
      <c r="AG2" s="3" t="str">
        <f>IF(VLOOKUP($A2,overview!$B$3:$AJ$154,COLUMN(),FALSE) = "","",VLOOKUP($A2,overview!$B$3:$AJ$154,COLUMN(AG2),FALSE))</f>
        <v/>
      </c>
      <c r="AH2" s="3" t="str">
        <f>IF(VLOOKUP($A2,overview!$B$3:$AJ$154,COLUMN(),FALSE) = "","",VLOOKUP($A2,overview!$B$3:$AJ$154,COLUMN(AH2),FALSE))</f>
        <v/>
      </c>
      <c r="AI2" s="3" t="str">
        <f>IF(VLOOKUP($A2,overview!$B$3:$AJ$154,COLUMN(),FALSE) = "","",VLOOKUP($A2,overview!$B$3:$AJ$154,COLUMN(AI2),FALSE))</f>
        <v>meters of spacing per meter of rotor diameter</v>
      </c>
    </row>
    <row r="3" spans="1:35" s="129" customFormat="1" ht="15.75" customHeight="1" x14ac:dyDescent="0.2">
      <c r="A3" s="8" t="s">
        <v>567</v>
      </c>
      <c r="B3" s="3">
        <f>IF(VLOOKUP($A3,overview!$B$3:$AJ$154,COLUMN(),FALSE) = "","",VLOOKUP($A3,overview!$B$3:$AJ$154,COLUMN(B3),FALSE))</f>
        <v>10</v>
      </c>
      <c r="C3" s="3">
        <f>IF(VLOOKUP($A3,overview!$B$3:$AJ$154,COLUMN(),FALSE) = "","",VLOOKUP($A3,overview!$B$3:$AJ$154,COLUMN(C3),FALSE))</f>
        <v>6</v>
      </c>
      <c r="D3" s="3">
        <f>IF(VLOOKUP($A3,overview!$B$3:$AJ$154,COLUMN(),FALSE) = "","",VLOOKUP($A3,overview!$B$3:$AJ$154,COLUMN(D3),FALSE))</f>
        <v>15</v>
      </c>
      <c r="E3" s="3" t="str">
        <f>IF(VLOOKUP($A3,overview!$B$3:$AJ$154,COLUMN(),FALSE) = "","",VLOOKUP($A3,overview!$B$3:$AJ$154,COLUMN(E3),FALSE))</f>
        <v/>
      </c>
      <c r="F3" s="3" t="str">
        <f>IF(VLOOKUP($A3,overview!$B$3:$AJ$154,COLUMN(),FALSE) = "","",VLOOKUP($A3,overview!$B$3:$AJ$154,COLUMN(F3),FALSE))</f>
        <v/>
      </c>
      <c r="G3" s="3" t="str">
        <f>IF(VLOOKUP($A3,overview!$B$3:$AJ$154,COLUMN(),FALSE) = "","",VLOOKUP($A3,overview!$B$3:$AJ$154,COLUMN(G3),FALSE))</f>
        <v/>
      </c>
      <c r="H3" s="3" t="str">
        <f>IF(VLOOKUP($A3,overview!$B$3:$AJ$154,COLUMN(),FALSE) = "","",VLOOKUP($A3,overview!$B$3:$AJ$154,COLUMN(H3),FALSE))</f>
        <v/>
      </c>
      <c r="I3" s="3" t="str">
        <f>IF(VLOOKUP($A3,overview!$B$3:$AJ$154,COLUMN(),FALSE) = "","",VLOOKUP($A3,overview!$B$3:$AJ$154,COLUMN(I3),FALSE))</f>
        <v/>
      </c>
      <c r="J3" s="3" t="str">
        <f>IF(VLOOKUP($A3,overview!$B$3:$AJ$154,COLUMN(),FALSE) = "","",VLOOKUP($A3,overview!$B$3:$AJ$154,COLUMN(J3),FALSE))</f>
        <v/>
      </c>
      <c r="K3" s="3" t="str">
        <f>IF(VLOOKUP($A3,overview!$B$3:$AJ$154,COLUMN(),FALSE) = "","",VLOOKUP($A3,overview!$B$3:$AJ$154,COLUMN(K3),FALSE))</f>
        <v/>
      </c>
      <c r="L3" s="3" t="str">
        <f>IF(VLOOKUP($A3,overview!$B$3:$AJ$154,COLUMN(),FALSE) = "","",VLOOKUP($A3,overview!$B$3:$AJ$154,COLUMN(L3),FALSE))</f>
        <v/>
      </c>
      <c r="M3" s="3" t="str">
        <f>IF(VLOOKUP($A3,overview!$B$3:$AJ$154,COLUMN(),FALSE) = "","",VLOOKUP($A3,overview!$B$3:$AJ$154,COLUMN(M3),FALSE))</f>
        <v/>
      </c>
      <c r="N3" s="3" t="str">
        <f>IF(VLOOKUP($A3,overview!$B$3:$AJ$154,COLUMN(),FALSE) = "","",VLOOKUP($A3,overview!$B$3:$AJ$154,COLUMN(N3),FALSE))</f>
        <v/>
      </c>
      <c r="O3" s="3" t="str">
        <f>IF(VLOOKUP($A3,overview!$B$3:$AJ$154,COLUMN(),FALSE) = "","",VLOOKUP($A3,overview!$B$3:$AJ$154,COLUMN(O3),FALSE))</f>
        <v/>
      </c>
      <c r="P3" s="3" t="str">
        <f>IF(VLOOKUP($A3,overview!$B$3:$AJ$154,COLUMN(),FALSE) = "","",VLOOKUP($A3,overview!$B$3:$AJ$154,COLUMN(P3),FALSE))</f>
        <v/>
      </c>
      <c r="Q3" s="3" t="str">
        <f>IF(VLOOKUP($A3,overview!$B$3:$AJ$154,COLUMN(),FALSE) = "","",VLOOKUP($A3,overview!$B$3:$AJ$154,COLUMN(Q3),FALSE))</f>
        <v/>
      </c>
      <c r="R3" s="3" t="str">
        <f>IF(VLOOKUP($A3,overview!$B$3:$AJ$154,COLUMN(),FALSE) = "","",VLOOKUP($A3,overview!$B$3:$AJ$154,COLUMN(R3),FALSE))</f>
        <v/>
      </c>
      <c r="S3" s="3" t="str">
        <f>IF(VLOOKUP($A3,overview!$B$3:$AJ$154,COLUMN(),FALSE) = "","",VLOOKUP($A3,overview!$B$3:$AJ$154,COLUMN(S3),FALSE))</f>
        <v/>
      </c>
      <c r="T3" s="3" t="str">
        <f>IF(VLOOKUP($A3,overview!$B$3:$AJ$154,COLUMN(),FALSE) = "","",VLOOKUP($A3,overview!$B$3:$AJ$154,COLUMN(T3),FALSE))</f>
        <v/>
      </c>
      <c r="U3" s="3" t="str">
        <f>IF(VLOOKUP($A3,overview!$B$3:$AJ$154,COLUMN(),FALSE) = "","",VLOOKUP($A3,overview!$B$3:$AJ$154,COLUMN(U3),FALSE))</f>
        <v/>
      </c>
      <c r="V3" s="3" t="str">
        <f>IF(VLOOKUP($A3,overview!$B$3:$AJ$154,COLUMN(),FALSE) = "","",VLOOKUP($A3,overview!$B$3:$AJ$154,COLUMN(V3),FALSE))</f>
        <v/>
      </c>
      <c r="W3" s="3" t="str">
        <f>IF(VLOOKUP($A3,overview!$B$3:$AJ$154,COLUMN(),FALSE) = "","",VLOOKUP($A3,overview!$B$3:$AJ$154,COLUMN(W3),FALSE))</f>
        <v/>
      </c>
      <c r="X3" s="3" t="str">
        <f>IF(VLOOKUP($A3,overview!$B$3:$AJ$154,COLUMN(),FALSE) = "","",VLOOKUP($A3,overview!$B$3:$AJ$154,COLUMN(X3),FALSE))</f>
        <v/>
      </c>
      <c r="Y3" s="3" t="str">
        <f>IF(VLOOKUP($A3,overview!$B$3:$AJ$154,COLUMN(),FALSE) = "","",VLOOKUP($A3,overview!$B$3:$AJ$154,COLUMN(Y3),FALSE))</f>
        <v/>
      </c>
      <c r="Z3" s="3" t="str">
        <f>IF(VLOOKUP($A3,overview!$B$3:$AJ$154,COLUMN(),FALSE) = "","",VLOOKUP($A3,overview!$B$3:$AJ$154,COLUMN(Z3),FALSE))</f>
        <v/>
      </c>
      <c r="AA3" s="3" t="str">
        <f>IF(VLOOKUP($A3,overview!$B$3:$AJ$154,COLUMN(),FALSE) = "","",VLOOKUP($A3,overview!$B$3:$AJ$154,COLUMN(AA3),FALSE))</f>
        <v/>
      </c>
      <c r="AB3" s="3" t="str">
        <f>IF(VLOOKUP($A3,overview!$B$3:$AJ$154,COLUMN(),FALSE) = "","",VLOOKUP($A3,overview!$B$3:$AJ$154,COLUMN(AB3),FALSE))</f>
        <v/>
      </c>
      <c r="AC3" s="3" t="str">
        <f>IF(VLOOKUP($A3,overview!$B$3:$AJ$154,COLUMN(),FALSE) = "","",VLOOKUP($A3,overview!$B$3:$AJ$154,COLUMN(AC3),FALSE))</f>
        <v/>
      </c>
      <c r="AD3" s="3" t="str">
        <f>IF(VLOOKUP($A3,overview!$B$3:$AJ$154,COLUMN(),FALSE) = "","",VLOOKUP($A3,overview!$B$3:$AJ$154,COLUMN(AD3),FALSE))</f>
        <v/>
      </c>
      <c r="AE3" s="3" t="str">
        <f>IF(VLOOKUP($A3,overview!$B$3:$AJ$154,COLUMN(),FALSE) = "","",VLOOKUP($A3,overview!$B$3:$AJ$154,COLUMN(AE3),FALSE))</f>
        <v/>
      </c>
      <c r="AF3" s="3" t="str">
        <f>IF(VLOOKUP($A3,overview!$B$3:$AJ$154,COLUMN(),FALSE) = "","",VLOOKUP($A3,overview!$B$3:$AJ$154,COLUMN(AF3),FALSE))</f>
        <v/>
      </c>
      <c r="AG3" s="3" t="str">
        <f>IF(VLOOKUP($A3,overview!$B$3:$AJ$154,COLUMN(),FALSE) = "","",VLOOKUP($A3,overview!$B$3:$AJ$154,COLUMN(AG3),FALSE))</f>
        <v/>
      </c>
      <c r="AH3" s="3" t="str">
        <f>IF(VLOOKUP($A3,overview!$B$3:$AJ$154,COLUMN(),FALSE) = "","",VLOOKUP($A3,overview!$B$3:$AJ$154,COLUMN(AH3),FALSE))</f>
        <v/>
      </c>
      <c r="AI3" s="3" t="str">
        <f>IF(VLOOKUP($A3,overview!$B$3:$AJ$154,COLUMN(),FALSE) = "","",VLOOKUP($A3,overview!$B$3:$AJ$154,COLUMN(AI3),FALSE))</f>
        <v>meters of spacing per meter of rotor diameter</v>
      </c>
    </row>
    <row r="4" spans="1:35" ht="15.75" customHeight="1" x14ac:dyDescent="0.2">
      <c r="A4" s="8" t="s">
        <v>49</v>
      </c>
      <c r="B4" s="27">
        <f>IF(VLOOKUP($A4,overview!$B$3:$AJ$154,COLUMN(),FALSE) = "","",VLOOKUP($A4,overview!$B$3:$AJ$154,COLUMN(B4),FALSE))</f>
        <v>5000</v>
      </c>
      <c r="C4" s="3" t="str">
        <f>IF(VLOOKUP($A4,overview!$B$3:$AJ$154,COLUMN(),FALSE) = "","",VLOOKUP($A4,overview!$B$3:$AJ$154,COLUMN(C4),FALSE))</f>
        <v/>
      </c>
      <c r="D4" s="3" t="str">
        <f>IF(VLOOKUP($A4,overview!$B$3:$AJ$154,COLUMN(),FALSE) = "","",VLOOKUP($A4,overview!$B$3:$AJ$154,COLUMN(D4),FALSE))</f>
        <v/>
      </c>
      <c r="E4" s="3" t="str">
        <f>IF(VLOOKUP($A4,overview!$B$3:$AJ$154,COLUMN(),FALSE) = "","",VLOOKUP($A4,overview!$B$3:$AJ$154,COLUMN(E4),FALSE))</f>
        <v/>
      </c>
      <c r="F4" s="3" t="str">
        <f>IF(VLOOKUP($A4,overview!$B$3:$AJ$154,COLUMN(),FALSE) = "","",VLOOKUP($A4,overview!$B$3:$AJ$154,COLUMN(F4),FALSE))</f>
        <v/>
      </c>
      <c r="G4" s="3" t="str">
        <f>IF(VLOOKUP($A4,overview!$B$3:$AJ$154,COLUMN(),FALSE) = "","",VLOOKUP($A4,overview!$B$3:$AJ$154,COLUMN(G4),FALSE))</f>
        <v/>
      </c>
      <c r="H4" s="3" t="str">
        <f>IF(VLOOKUP($A4,overview!$B$3:$AJ$154,COLUMN(),FALSE) = "","",VLOOKUP($A4,overview!$B$3:$AJ$154,COLUMN(H4),FALSE))</f>
        <v/>
      </c>
      <c r="I4" s="3" t="str">
        <f>IF(VLOOKUP($A4,overview!$B$3:$AJ$154,COLUMN(),FALSE) = "","",VLOOKUP($A4,overview!$B$3:$AJ$154,COLUMN(I4),FALSE))</f>
        <v/>
      </c>
      <c r="J4" s="3" t="str">
        <f>IF(VLOOKUP($A4,overview!$B$3:$AJ$154,COLUMN(),FALSE) = "","",VLOOKUP($A4,overview!$B$3:$AJ$154,COLUMN(J4),FALSE))</f>
        <v/>
      </c>
      <c r="K4" s="3" t="str">
        <f>IF(VLOOKUP($A4,overview!$B$3:$AJ$154,COLUMN(),FALSE) = "","",VLOOKUP($A4,overview!$B$3:$AJ$154,COLUMN(K4),FALSE))</f>
        <v/>
      </c>
      <c r="L4" s="3" t="str">
        <f>IF(VLOOKUP($A4,overview!$B$3:$AJ$154,COLUMN(),FALSE) = "","",VLOOKUP($A4,overview!$B$3:$AJ$154,COLUMN(L4),FALSE))</f>
        <v/>
      </c>
      <c r="M4" s="3" t="str">
        <f>IF(VLOOKUP($A4,overview!$B$3:$AJ$154,COLUMN(),FALSE) = "","",VLOOKUP($A4,overview!$B$3:$AJ$154,COLUMN(M4),FALSE))</f>
        <v/>
      </c>
      <c r="N4" s="3" t="str">
        <f>IF(VLOOKUP($A4,overview!$B$3:$AJ$154,COLUMN(),FALSE) = "","",VLOOKUP($A4,overview!$B$3:$AJ$154,COLUMN(N4),FALSE))</f>
        <v/>
      </c>
      <c r="O4" s="3" t="str">
        <f>IF(VLOOKUP($A4,overview!$B$3:$AJ$154,COLUMN(),FALSE) = "","",VLOOKUP($A4,overview!$B$3:$AJ$154,COLUMN(O4),FALSE))</f>
        <v/>
      </c>
      <c r="P4" s="3" t="str">
        <f>IF(VLOOKUP($A4,overview!$B$3:$AJ$154,COLUMN(),FALSE) = "","",VLOOKUP($A4,overview!$B$3:$AJ$154,COLUMN(P4),FALSE))</f>
        <v/>
      </c>
      <c r="Q4" s="3" t="str">
        <f>IF(VLOOKUP($A4,overview!$B$3:$AJ$154,COLUMN(),FALSE) = "","",VLOOKUP($A4,overview!$B$3:$AJ$154,COLUMN(Q4),FALSE))</f>
        <v/>
      </c>
      <c r="R4" s="3" t="str">
        <f>IF(VLOOKUP($A4,overview!$B$3:$AJ$154,COLUMN(),FALSE) = "","",VLOOKUP($A4,overview!$B$3:$AJ$154,COLUMN(R4),FALSE))</f>
        <v/>
      </c>
      <c r="S4" s="3" t="str">
        <f>IF(VLOOKUP($A4,overview!$B$3:$AJ$154,COLUMN(),FALSE) = "","",VLOOKUP($A4,overview!$B$3:$AJ$154,COLUMN(S4),FALSE))</f>
        <v/>
      </c>
      <c r="T4" s="3" t="str">
        <f>IF(VLOOKUP($A4,overview!$B$3:$AJ$154,COLUMN(),FALSE) = "","",VLOOKUP($A4,overview!$B$3:$AJ$154,COLUMN(T4),FALSE))</f>
        <v/>
      </c>
      <c r="U4" s="3" t="str">
        <f>IF(VLOOKUP($A4,overview!$B$3:$AJ$154,COLUMN(),FALSE) = "","",VLOOKUP($A4,overview!$B$3:$AJ$154,COLUMN(U4),FALSE))</f>
        <v/>
      </c>
      <c r="V4" s="3" t="str">
        <f>IF(VLOOKUP($A4,overview!$B$3:$AJ$154,COLUMN(),FALSE) = "","",VLOOKUP($A4,overview!$B$3:$AJ$154,COLUMN(V4),FALSE))</f>
        <v/>
      </c>
      <c r="W4" s="3" t="str">
        <f>IF(VLOOKUP($A4,overview!$B$3:$AJ$154,COLUMN(),FALSE) = "","",VLOOKUP($A4,overview!$B$3:$AJ$154,COLUMN(W4),FALSE))</f>
        <v/>
      </c>
      <c r="X4" s="3" t="str">
        <f>IF(VLOOKUP($A4,overview!$B$3:$AJ$154,COLUMN(),FALSE) = "","",VLOOKUP($A4,overview!$B$3:$AJ$154,COLUMN(X4),FALSE))</f>
        <v/>
      </c>
      <c r="Y4" s="3" t="str">
        <f>IF(VLOOKUP($A4,overview!$B$3:$AJ$154,COLUMN(),FALSE) = "","",VLOOKUP($A4,overview!$B$3:$AJ$154,COLUMN(Y4),FALSE))</f>
        <v/>
      </c>
      <c r="Z4" s="3" t="str">
        <f>IF(VLOOKUP($A4,overview!$B$3:$AJ$154,COLUMN(),FALSE) = "","",VLOOKUP($A4,overview!$B$3:$AJ$154,COLUMN(Z4),FALSE))</f>
        <v/>
      </c>
      <c r="AA4" s="3" t="str">
        <f>IF(VLOOKUP($A4,overview!$B$3:$AJ$154,COLUMN(),FALSE) = "","",VLOOKUP($A4,overview!$B$3:$AJ$154,COLUMN(AA4),FALSE))</f>
        <v/>
      </c>
      <c r="AB4" s="3" t="str">
        <f>IF(VLOOKUP($A4,overview!$B$3:$AJ$154,COLUMN(),FALSE) = "","",VLOOKUP($A4,overview!$B$3:$AJ$154,COLUMN(AB4),FALSE))</f>
        <v/>
      </c>
      <c r="AC4" s="3" t="str">
        <f>IF(VLOOKUP($A4,overview!$B$3:$AJ$154,COLUMN(),FALSE) = "","",VLOOKUP($A4,overview!$B$3:$AJ$154,COLUMN(AC4),FALSE))</f>
        <v/>
      </c>
      <c r="AD4" s="3" t="str">
        <f>IF(VLOOKUP($A4,overview!$B$3:$AJ$154,COLUMN(),FALSE) = "","",VLOOKUP($A4,overview!$B$3:$AJ$154,COLUMN(AD4),FALSE))</f>
        <v/>
      </c>
      <c r="AE4" s="3" t="str">
        <f>IF(VLOOKUP($A4,overview!$B$3:$AJ$154,COLUMN(),FALSE) = "","",VLOOKUP($A4,overview!$B$3:$AJ$154,COLUMN(AE4),FALSE))</f>
        <v/>
      </c>
      <c r="AF4" s="3" t="str">
        <f>IF(VLOOKUP($A4,overview!$B$3:$AJ$154,COLUMN(),FALSE) = "","",VLOOKUP($A4,overview!$B$3:$AJ$154,COLUMN(AF4),FALSE))</f>
        <v/>
      </c>
      <c r="AG4" s="3" t="str">
        <f>IF(VLOOKUP($A4,overview!$B$3:$AJ$154,COLUMN(),FALSE) = "","",VLOOKUP($A4,overview!$B$3:$AJ$154,COLUMN(AG4),FALSE))</f>
        <v/>
      </c>
      <c r="AH4" s="3" t="str">
        <f>IF(VLOOKUP($A4,overview!$B$3:$AJ$154,COLUMN(),FALSE) = "","",VLOOKUP($A4,overview!$B$3:$AJ$154,COLUMN(AH4),FALSE))</f>
        <v/>
      </c>
      <c r="AI4" s="3" t="str">
        <f>IF(VLOOKUP($A4,overview!$B$3:$AJ$154,COLUMN(),FALSE) = "","",VLOOKUP($A4,overview!$B$3:$AJ$154,COLUMN(AI4),FALSE))</f>
        <v/>
      </c>
    </row>
    <row r="5" spans="1:35" ht="15.75" customHeight="1" x14ac:dyDescent="0.2">
      <c r="A5" s="8" t="s">
        <v>51</v>
      </c>
      <c r="B5" s="3">
        <f>IF(VLOOKUP($A5,overview!$B$3:$AJ$154,COLUMN(),FALSE) = "","",VLOOKUP($A5,overview!$B$3:$AJ$154,COLUMN(B5),FALSE))</f>
        <v>0</v>
      </c>
      <c r="C5" s="3" t="str">
        <f>IF(VLOOKUP($A5,overview!$B$3:$AJ$154,COLUMN(),FALSE) = "","",VLOOKUP($A5,overview!$B$3:$AJ$154,COLUMN(C5),FALSE))</f>
        <v/>
      </c>
      <c r="D5" s="3" t="str">
        <f>IF(VLOOKUP($A5,overview!$B$3:$AJ$154,COLUMN(),FALSE) = "","",VLOOKUP($A5,overview!$B$3:$AJ$154,COLUMN(D5),FALSE))</f>
        <v/>
      </c>
      <c r="E5" s="3" t="str">
        <f>IF(VLOOKUP($A5,overview!$B$3:$AJ$154,COLUMN(),FALSE) = "","",VLOOKUP($A5,overview!$B$3:$AJ$154,COLUMN(E5),FALSE))</f>
        <v/>
      </c>
      <c r="F5" s="3" t="str">
        <f>IF(VLOOKUP($A5,overview!$B$3:$AJ$154,COLUMN(),FALSE) = "","",VLOOKUP($A5,overview!$B$3:$AJ$154,COLUMN(F5),FALSE))</f>
        <v/>
      </c>
      <c r="G5" s="3" t="str">
        <f>IF(VLOOKUP($A5,overview!$B$3:$AJ$154,COLUMN(),FALSE) = "","",VLOOKUP($A5,overview!$B$3:$AJ$154,COLUMN(G5),FALSE))</f>
        <v/>
      </c>
      <c r="H5" s="3" t="str">
        <f>IF(VLOOKUP($A5,overview!$B$3:$AJ$154,COLUMN(),FALSE) = "","",VLOOKUP($A5,overview!$B$3:$AJ$154,COLUMN(H5),FALSE))</f>
        <v/>
      </c>
      <c r="I5" s="3" t="str">
        <f>IF(VLOOKUP($A5,overview!$B$3:$AJ$154,COLUMN(),FALSE) = "","",VLOOKUP($A5,overview!$B$3:$AJ$154,COLUMN(I5),FALSE))</f>
        <v/>
      </c>
      <c r="J5" s="3" t="str">
        <f>IF(VLOOKUP($A5,overview!$B$3:$AJ$154,COLUMN(),FALSE) = "","",VLOOKUP($A5,overview!$B$3:$AJ$154,COLUMN(J5),FALSE))</f>
        <v/>
      </c>
      <c r="K5" s="3" t="str">
        <f>IF(VLOOKUP($A5,overview!$B$3:$AJ$154,COLUMN(),FALSE) = "","",VLOOKUP($A5,overview!$B$3:$AJ$154,COLUMN(K5),FALSE))</f>
        <v/>
      </c>
      <c r="L5" s="3" t="str">
        <f>IF(VLOOKUP($A5,overview!$B$3:$AJ$154,COLUMN(),FALSE) = "","",VLOOKUP($A5,overview!$B$3:$AJ$154,COLUMN(L5),FALSE))</f>
        <v/>
      </c>
      <c r="M5" s="3" t="str">
        <f>IF(VLOOKUP($A5,overview!$B$3:$AJ$154,COLUMN(),FALSE) = "","",VLOOKUP($A5,overview!$B$3:$AJ$154,COLUMN(M5),FALSE))</f>
        <v/>
      </c>
      <c r="N5" s="3" t="str">
        <f>IF(VLOOKUP($A5,overview!$B$3:$AJ$154,COLUMN(),FALSE) = "","",VLOOKUP($A5,overview!$B$3:$AJ$154,COLUMN(N5),FALSE))</f>
        <v/>
      </c>
      <c r="O5" s="3" t="str">
        <f>IF(VLOOKUP($A5,overview!$B$3:$AJ$154,COLUMN(),FALSE) = "","",VLOOKUP($A5,overview!$B$3:$AJ$154,COLUMN(O5),FALSE))</f>
        <v/>
      </c>
      <c r="P5" s="3" t="str">
        <f>IF(VLOOKUP($A5,overview!$B$3:$AJ$154,COLUMN(),FALSE) = "","",VLOOKUP($A5,overview!$B$3:$AJ$154,COLUMN(P5),FALSE))</f>
        <v/>
      </c>
      <c r="Q5" s="3" t="str">
        <f>IF(VLOOKUP($A5,overview!$B$3:$AJ$154,COLUMN(),FALSE) = "","",VLOOKUP($A5,overview!$B$3:$AJ$154,COLUMN(Q5),FALSE))</f>
        <v/>
      </c>
      <c r="R5" s="3" t="str">
        <f>IF(VLOOKUP($A5,overview!$B$3:$AJ$154,COLUMN(),FALSE) = "","",VLOOKUP($A5,overview!$B$3:$AJ$154,COLUMN(R5),FALSE))</f>
        <v/>
      </c>
      <c r="S5" s="3" t="str">
        <f>IF(VLOOKUP($A5,overview!$B$3:$AJ$154,COLUMN(),FALSE) = "","",VLOOKUP($A5,overview!$B$3:$AJ$154,COLUMN(S5),FALSE))</f>
        <v/>
      </c>
      <c r="T5" s="3" t="str">
        <f>IF(VLOOKUP($A5,overview!$B$3:$AJ$154,COLUMN(),FALSE) = "","",VLOOKUP($A5,overview!$B$3:$AJ$154,COLUMN(T5),FALSE))</f>
        <v/>
      </c>
      <c r="U5" s="3" t="str">
        <f>IF(VLOOKUP($A5,overview!$B$3:$AJ$154,COLUMN(),FALSE) = "","",VLOOKUP($A5,overview!$B$3:$AJ$154,COLUMN(U5),FALSE))</f>
        <v/>
      </c>
      <c r="V5" s="3" t="str">
        <f>IF(VLOOKUP($A5,overview!$B$3:$AJ$154,COLUMN(),FALSE) = "","",VLOOKUP($A5,overview!$B$3:$AJ$154,COLUMN(V5),FALSE))</f>
        <v/>
      </c>
      <c r="W5" s="3" t="str">
        <f>IF(VLOOKUP($A5,overview!$B$3:$AJ$154,COLUMN(),FALSE) = "","",VLOOKUP($A5,overview!$B$3:$AJ$154,COLUMN(W5),FALSE))</f>
        <v/>
      </c>
      <c r="X5" s="3" t="str">
        <f>IF(VLOOKUP($A5,overview!$B$3:$AJ$154,COLUMN(),FALSE) = "","",VLOOKUP($A5,overview!$B$3:$AJ$154,COLUMN(X5),FALSE))</f>
        <v/>
      </c>
      <c r="Y5" s="3" t="str">
        <f>IF(VLOOKUP($A5,overview!$B$3:$AJ$154,COLUMN(),FALSE) = "","",VLOOKUP($A5,overview!$B$3:$AJ$154,COLUMN(Y5),FALSE))</f>
        <v/>
      </c>
      <c r="Z5" s="3" t="str">
        <f>IF(VLOOKUP($A5,overview!$B$3:$AJ$154,COLUMN(),FALSE) = "","",VLOOKUP($A5,overview!$B$3:$AJ$154,COLUMN(Z5),FALSE))</f>
        <v/>
      </c>
      <c r="AA5" s="3" t="str">
        <f>IF(VLOOKUP($A5,overview!$B$3:$AJ$154,COLUMN(),FALSE) = "","",VLOOKUP($A5,overview!$B$3:$AJ$154,COLUMN(AA5),FALSE))</f>
        <v/>
      </c>
      <c r="AB5" s="3" t="str">
        <f>IF(VLOOKUP($A5,overview!$B$3:$AJ$154,COLUMN(),FALSE) = "","",VLOOKUP($A5,overview!$B$3:$AJ$154,COLUMN(AB5),FALSE))</f>
        <v/>
      </c>
      <c r="AC5" s="3" t="str">
        <f>IF(VLOOKUP($A5,overview!$B$3:$AJ$154,COLUMN(),FALSE) = "","",VLOOKUP($A5,overview!$B$3:$AJ$154,COLUMN(AC5),FALSE))</f>
        <v/>
      </c>
      <c r="AD5" s="3" t="str">
        <f>IF(VLOOKUP($A5,overview!$B$3:$AJ$154,COLUMN(),FALSE) = "","",VLOOKUP($A5,overview!$B$3:$AJ$154,COLUMN(AD5),FALSE))</f>
        <v/>
      </c>
      <c r="AE5" s="3" t="str">
        <f>IF(VLOOKUP($A5,overview!$B$3:$AJ$154,COLUMN(),FALSE) = "","",VLOOKUP($A5,overview!$B$3:$AJ$154,COLUMN(AE5),FALSE))</f>
        <v/>
      </c>
      <c r="AF5" s="3" t="str">
        <f>IF(VLOOKUP($A5,overview!$B$3:$AJ$154,COLUMN(),FALSE) = "","",VLOOKUP($A5,overview!$B$3:$AJ$154,COLUMN(AF5),FALSE))</f>
        <v/>
      </c>
      <c r="AG5" s="3" t="str">
        <f>IF(VLOOKUP($A5,overview!$B$3:$AJ$154,COLUMN(),FALSE) = "","",VLOOKUP($A5,overview!$B$3:$AJ$154,COLUMN(AG5),FALSE))</f>
        <v/>
      </c>
      <c r="AH5" s="3" t="str">
        <f>IF(VLOOKUP($A5,overview!$B$3:$AJ$154,COLUMN(),FALSE) = "","",VLOOKUP($A5,overview!$B$3:$AJ$154,COLUMN(AH5),FALSE))</f>
        <v/>
      </c>
      <c r="AI5" s="3" t="str">
        <f>IF(VLOOKUP($A5,overview!$B$3:$AJ$154,COLUMN(),FALSE) = "","",VLOOKUP($A5,overview!$B$3:$AJ$154,COLUMN(AI5),FALSE))</f>
        <v/>
      </c>
    </row>
    <row r="6" spans="1:35" ht="15.75" customHeight="1" x14ac:dyDescent="0.2">
      <c r="A6" s="8" t="s">
        <v>53</v>
      </c>
      <c r="B6" s="3">
        <f>IF(VLOOKUP($A6,overview!$B$3:$AJ$154,COLUMN(),FALSE) = "","",VLOOKUP($A6,overview!$B$3:$AJ$154,COLUMN(B6),FALSE))</f>
        <v>1760</v>
      </c>
      <c r="C6" s="3">
        <f>IF(VLOOKUP($A6,overview!$B$3:$AJ$154,COLUMN(),FALSE) = "","",VLOOKUP($A6,overview!$B$3:$AJ$154,COLUMN(C6),FALSE))</f>
        <v>1408</v>
      </c>
      <c r="D6" s="3">
        <f>IF(VLOOKUP($A6,overview!$B$3:$AJ$154,COLUMN(),FALSE) = "","",VLOOKUP($A6,overview!$B$3:$AJ$154,COLUMN(D6),FALSE))</f>
        <v>2112</v>
      </c>
      <c r="E6" s="3">
        <f>IF(VLOOKUP($A6,overview!$B$3:$AJ$154,COLUMN(),FALSE) = "","",VLOOKUP($A6,overview!$B$3:$AJ$154,COLUMN(E6),FALSE))</f>
        <v>1728.625658289327</v>
      </c>
      <c r="F6" s="3">
        <f>IF(VLOOKUP($A6,overview!$B$3:$AJ$154,COLUMN(),FALSE) = "","",VLOOKUP($A6,overview!$B$3:$AJ$154,COLUMN(F6),FALSE))</f>
        <v>1709.026252801784</v>
      </c>
      <c r="G6" s="3">
        <f>IF(VLOOKUP($A6,overview!$B$3:$AJ$154,COLUMN(),FALSE) = "","",VLOOKUP($A6,overview!$B$3:$AJ$154,COLUMN(G6),FALSE))</f>
        <v>1694.15472188798</v>
      </c>
      <c r="H6" s="3">
        <f>IF(VLOOKUP($A6,overview!$B$3:$AJ$154,COLUMN(),FALSE) = "","",VLOOKUP($A6,overview!$B$3:$AJ$154,COLUMN(H6),FALSE))</f>
        <v>1681.845676282242</v>
      </c>
      <c r="I6" s="3">
        <f>IF(VLOOKUP($A6,overview!$B$3:$AJ$154,COLUMN(),FALSE) = "","",VLOOKUP($A6,overview!$B$3:$AJ$154,COLUMN(I6),FALSE))</f>
        <v>1671.1469895354669</v>
      </c>
      <c r="J6" s="3">
        <f>IF(VLOOKUP($A6,overview!$B$3:$AJ$154,COLUMN(),FALSE) = "","",VLOOKUP($A6,overview!$B$3:$AJ$154,COLUMN(J6),FALSE))</f>
        <v>1661.5557194746009</v>
      </c>
      <c r="K6" s="3">
        <f>IF(VLOOKUP($A6,overview!$B$3:$AJ$154,COLUMN(),FALSE) = "","",VLOOKUP($A6,overview!$B$3:$AJ$154,COLUMN(K6),FALSE))</f>
        <v>1652.774019216185</v>
      </c>
      <c r="L6" s="3">
        <f>IF(VLOOKUP($A6,overview!$B$3:$AJ$154,COLUMN(),FALSE) = "","",VLOOKUP($A6,overview!$B$3:$AJ$154,COLUMN(L6),FALSE))</f>
        <v>1644.6110391690181</v>
      </c>
      <c r="M6" s="3">
        <f>IF(VLOOKUP($A6,overview!$B$3:$AJ$154,COLUMN(),FALSE) = "","",VLOOKUP($A6,overview!$B$3:$AJ$154,COLUMN(M6),FALSE))</f>
        <v>1636.937205604685</v>
      </c>
      <c r="N6" s="3">
        <f>IF(VLOOKUP($A6,overview!$B$3:$AJ$154,COLUMN(),FALSE) = "","",VLOOKUP($A6,overview!$B$3:$AJ$154,COLUMN(N6),FALSE))</f>
        <v>1629.660553736451</v>
      </c>
      <c r="O6" s="3">
        <f>IF(VLOOKUP($A6,overview!$B$3:$AJ$154,COLUMN(),FALSE) = "","",VLOOKUP($A6,overview!$B$3:$AJ$154,COLUMN(O6),FALSE))</f>
        <v>1622.713473960963</v>
      </c>
      <c r="P6" s="3">
        <f>IF(VLOOKUP($A6,overview!$B$3:$AJ$154,COLUMN(),FALSE) = "","",VLOOKUP($A6,overview!$B$3:$AJ$154,COLUMN(P6),FALSE))</f>
        <v>1616.0448193452669</v>
      </c>
      <c r="Q6" s="3">
        <f>IF(VLOOKUP($A6,overview!$B$3:$AJ$154,COLUMN(),FALSE) = "","",VLOOKUP($A6,overview!$B$3:$AJ$154,COLUMN(Q6),FALSE))</f>
        <v>1609.6149677085789</v>
      </c>
      <c r="R6" s="3">
        <f>IF(VLOOKUP($A6,overview!$B$3:$AJ$154,COLUMN(),FALSE) = "","",VLOOKUP($A6,overview!$B$3:$AJ$154,COLUMN(R6),FALSE))</f>
        <v>1603.3926040962931</v>
      </c>
      <c r="S6" s="3">
        <f>IF(VLOOKUP($A6,overview!$B$3:$AJ$154,COLUMN(),FALSE) = "","",VLOOKUP($A6,overview!$B$3:$AJ$154,COLUMN(S6),FALSE))</f>
        <v>1597.3525516274451</v>
      </c>
      <c r="T6" s="3">
        <f>IF(VLOOKUP($A6,overview!$B$3:$AJ$154,COLUMN(),FALSE) = "","",VLOOKUP($A6,overview!$B$3:$AJ$154,COLUMN(T6),FALSE))</f>
        <v>1591.4742661370281</v>
      </c>
      <c r="U6" s="3">
        <f>IF(VLOOKUP($A6,overview!$B$3:$AJ$154,COLUMN(),FALSE) = "","",VLOOKUP($A6,overview!$B$3:$AJ$154,COLUMN(U6),FALSE))</f>
        <v>1585.7407650806031</v>
      </c>
      <c r="V6" s="3">
        <f>IF(VLOOKUP($A6,overview!$B$3:$AJ$154,COLUMN(),FALSE) = "","",VLOOKUP($A6,overview!$B$3:$AJ$154,COLUMN(V6),FALSE))</f>
        <v>1580.137848682599</v>
      </c>
      <c r="W6" s="3">
        <f>IF(VLOOKUP($A6,overview!$B$3:$AJ$154,COLUMN(),FALSE) = "","",VLOOKUP($A6,overview!$B$3:$AJ$154,COLUMN(W6),FALSE))</f>
        <v>1574.6535226699641</v>
      </c>
      <c r="X6" s="3">
        <f>IF(VLOOKUP($A6,overview!$B$3:$AJ$154,COLUMN(),FALSE) = "","",VLOOKUP($A6,overview!$B$3:$AJ$154,COLUMN(X6),FALSE))</f>
        <v>1569.2775631144709</v>
      </c>
      <c r="Y6" s="3">
        <f>IF(VLOOKUP($A6,overview!$B$3:$AJ$154,COLUMN(),FALSE) = "","",VLOOKUP($A6,overview!$B$3:$AJ$154,COLUMN(Y6),FALSE))</f>
        <v>1564.0011834095949</v>
      </c>
      <c r="Z6" s="3">
        <f>IF(VLOOKUP($A6,overview!$B$3:$AJ$154,COLUMN(),FALSE) = "","",VLOOKUP($A6,overview!$B$3:$AJ$154,COLUMN(Z6),FALSE))</f>
        <v>1558.8167759315741</v>
      </c>
      <c r="AA6" s="3">
        <f>IF(VLOOKUP($A6,overview!$B$3:$AJ$154,COLUMN(),FALSE) = "","",VLOOKUP($A6,overview!$B$3:$AJ$154,COLUMN(AA6),FALSE))</f>
        <v>1553.7177091675801</v>
      </c>
      <c r="AB6" s="3">
        <f>IF(VLOOKUP($A6,overview!$B$3:$AJ$154,COLUMN(),FALSE) = "","",VLOOKUP($A6,overview!$B$3:$AJ$154,COLUMN(AB6),FALSE))</f>
        <v>1548.698166622067</v>
      </c>
      <c r="AC6" s="3">
        <f>IF(VLOOKUP($A6,overview!$B$3:$AJ$154,COLUMN(),FALSE) = "","",VLOOKUP($A6,overview!$B$3:$AJ$154,COLUMN(AC6),FALSE))</f>
        <v>1543.753017595559</v>
      </c>
      <c r="AD6" s="3">
        <f>IF(VLOOKUP($A6,overview!$B$3:$AJ$154,COLUMN(),FALSE) = "","",VLOOKUP($A6,overview!$B$3:$AJ$154,COLUMN(AD6),FALSE))</f>
        <v>1538.877712564336</v>
      </c>
      <c r="AE6" s="3">
        <f>IF(VLOOKUP($A6,overview!$B$3:$AJ$154,COLUMN(),FALSE) = "","",VLOOKUP($A6,overview!$B$3:$AJ$154,COLUMN(AE6),FALSE))</f>
        <v>1534.0681977527099</v>
      </c>
      <c r="AF6" s="3">
        <f>IF(VLOOKUP($A6,overview!$B$3:$AJ$154,COLUMN(),FALSE) = "","",VLOOKUP($A6,overview!$B$3:$AJ$154,COLUMN(AF6),FALSE))</f>
        <v>1529.320844826751</v>
      </c>
      <c r="AG6" s="3">
        <f>IF(VLOOKUP($A6,overview!$B$3:$AJ$154,COLUMN(),FALSE) = "","",VLOOKUP($A6,overview!$B$3:$AJ$154,COLUMN(AG6),FALSE))</f>
        <v>1524.6323926107259</v>
      </c>
      <c r="AH6" s="3">
        <f>IF(VLOOKUP($A6,overview!$B$3:$AJ$154,COLUMN(),FALSE) = "","",VLOOKUP($A6,overview!$B$3:$AJ$154,COLUMN(AH6),FALSE))</f>
        <v>1519.9998984433171</v>
      </c>
      <c r="AI6" s="3" t="str">
        <f>IF(VLOOKUP($A6,overview!$B$3:$AJ$154,COLUMN(),FALSE) = "","",VLOOKUP($A6,overview!$B$3:$AJ$154,COLUMN(AI6),FALSE))</f>
        <v>[EUR/kW rated]</v>
      </c>
    </row>
    <row r="7" spans="1:35" ht="15.75" customHeight="1" x14ac:dyDescent="0.2">
      <c r="A7" s="8" t="s">
        <v>57</v>
      </c>
      <c r="B7" s="3">
        <f>IF(VLOOKUP($A7,overview!$B$3:$AJ$154,COLUMN(),FALSE) = "","",VLOOKUP($A7,overview!$B$3:$AJ$154,COLUMN(B7),FALSE))</f>
        <v>2.5000000000000001E-2</v>
      </c>
      <c r="C7" s="3">
        <f>IF(VLOOKUP($A7,overview!$B$3:$AJ$154,COLUMN(),FALSE) = "","",VLOOKUP($A7,overview!$B$3:$AJ$154,COLUMN(C7),FALSE))</f>
        <v>0.02</v>
      </c>
      <c r="D7" s="3">
        <f>IF(VLOOKUP($A7,overview!$B$3:$AJ$154,COLUMN(),FALSE) = "","",VLOOKUP($A7,overview!$B$3:$AJ$154,COLUMN(D7),FALSE))</f>
        <v>0.03</v>
      </c>
      <c r="E7" s="3" t="str">
        <f>IF(VLOOKUP($A7,overview!$B$3:$AJ$154,COLUMN(),FALSE) = "","",VLOOKUP($A7,overview!$B$3:$AJ$154,COLUMN(E7),FALSE))</f>
        <v/>
      </c>
      <c r="F7" s="3" t="str">
        <f>IF(VLOOKUP($A7,overview!$B$3:$AJ$154,COLUMN(),FALSE) = "","",VLOOKUP($A7,overview!$B$3:$AJ$154,COLUMN(F7),FALSE))</f>
        <v/>
      </c>
      <c r="G7" s="3" t="str">
        <f>IF(VLOOKUP($A7,overview!$B$3:$AJ$154,COLUMN(),FALSE) = "","",VLOOKUP($A7,overview!$B$3:$AJ$154,COLUMN(G7),FALSE))</f>
        <v/>
      </c>
      <c r="H7" s="3" t="str">
        <f>IF(VLOOKUP($A7,overview!$B$3:$AJ$154,COLUMN(),FALSE) = "","",VLOOKUP($A7,overview!$B$3:$AJ$154,COLUMN(H7),FALSE))</f>
        <v/>
      </c>
      <c r="I7" s="3" t="str">
        <f>IF(VLOOKUP($A7,overview!$B$3:$AJ$154,COLUMN(),FALSE) = "","",VLOOKUP($A7,overview!$B$3:$AJ$154,COLUMN(I7),FALSE))</f>
        <v/>
      </c>
      <c r="J7" s="3" t="str">
        <f>IF(VLOOKUP($A7,overview!$B$3:$AJ$154,COLUMN(),FALSE) = "","",VLOOKUP($A7,overview!$B$3:$AJ$154,COLUMN(J7),FALSE))</f>
        <v/>
      </c>
      <c r="K7" s="3" t="str">
        <f>IF(VLOOKUP($A7,overview!$B$3:$AJ$154,COLUMN(),FALSE) = "","",VLOOKUP($A7,overview!$B$3:$AJ$154,COLUMN(K7),FALSE))</f>
        <v/>
      </c>
      <c r="L7" s="3" t="str">
        <f>IF(VLOOKUP($A7,overview!$B$3:$AJ$154,COLUMN(),FALSE) = "","",VLOOKUP($A7,overview!$B$3:$AJ$154,COLUMN(L7),FALSE))</f>
        <v/>
      </c>
      <c r="M7" s="3" t="str">
        <f>IF(VLOOKUP($A7,overview!$B$3:$AJ$154,COLUMN(),FALSE) = "","",VLOOKUP($A7,overview!$B$3:$AJ$154,COLUMN(M7),FALSE))</f>
        <v/>
      </c>
      <c r="N7" s="3" t="str">
        <f>IF(VLOOKUP($A7,overview!$B$3:$AJ$154,COLUMN(),FALSE) = "","",VLOOKUP($A7,overview!$B$3:$AJ$154,COLUMN(N7),FALSE))</f>
        <v/>
      </c>
      <c r="O7" s="3" t="str">
        <f>IF(VLOOKUP($A7,overview!$B$3:$AJ$154,COLUMN(),FALSE) = "","",VLOOKUP($A7,overview!$B$3:$AJ$154,COLUMN(O7),FALSE))</f>
        <v/>
      </c>
      <c r="P7" s="3" t="str">
        <f>IF(VLOOKUP($A7,overview!$B$3:$AJ$154,COLUMN(),FALSE) = "","",VLOOKUP($A7,overview!$B$3:$AJ$154,COLUMN(P7),FALSE))</f>
        <v/>
      </c>
      <c r="Q7" s="3" t="str">
        <f>IF(VLOOKUP($A7,overview!$B$3:$AJ$154,COLUMN(),FALSE) = "","",VLOOKUP($A7,overview!$B$3:$AJ$154,COLUMN(Q7),FALSE))</f>
        <v/>
      </c>
      <c r="R7" s="3" t="str">
        <f>IF(VLOOKUP($A7,overview!$B$3:$AJ$154,COLUMN(),FALSE) = "","",VLOOKUP($A7,overview!$B$3:$AJ$154,COLUMN(R7),FALSE))</f>
        <v/>
      </c>
      <c r="S7" s="3" t="str">
        <f>IF(VLOOKUP($A7,overview!$B$3:$AJ$154,COLUMN(),FALSE) = "","",VLOOKUP($A7,overview!$B$3:$AJ$154,COLUMN(S7),FALSE))</f>
        <v/>
      </c>
      <c r="T7" s="3" t="str">
        <f>IF(VLOOKUP($A7,overview!$B$3:$AJ$154,COLUMN(),FALSE) = "","",VLOOKUP($A7,overview!$B$3:$AJ$154,COLUMN(T7),FALSE))</f>
        <v/>
      </c>
      <c r="U7" s="3" t="str">
        <f>IF(VLOOKUP($A7,overview!$B$3:$AJ$154,COLUMN(),FALSE) = "","",VLOOKUP($A7,overview!$B$3:$AJ$154,COLUMN(U7),FALSE))</f>
        <v/>
      </c>
      <c r="V7" s="3" t="str">
        <f>IF(VLOOKUP($A7,overview!$B$3:$AJ$154,COLUMN(),FALSE) = "","",VLOOKUP($A7,overview!$B$3:$AJ$154,COLUMN(V7),FALSE))</f>
        <v/>
      </c>
      <c r="W7" s="3" t="str">
        <f>IF(VLOOKUP($A7,overview!$B$3:$AJ$154,COLUMN(),FALSE) = "","",VLOOKUP($A7,overview!$B$3:$AJ$154,COLUMN(W7),FALSE))</f>
        <v/>
      </c>
      <c r="X7" s="3" t="str">
        <f>IF(VLOOKUP($A7,overview!$B$3:$AJ$154,COLUMN(),FALSE) = "","",VLOOKUP($A7,overview!$B$3:$AJ$154,COLUMN(X7),FALSE))</f>
        <v/>
      </c>
      <c r="Y7" s="3" t="str">
        <f>IF(VLOOKUP($A7,overview!$B$3:$AJ$154,COLUMN(),FALSE) = "","",VLOOKUP($A7,overview!$B$3:$AJ$154,COLUMN(Y7),FALSE))</f>
        <v/>
      </c>
      <c r="Z7" s="3" t="str">
        <f>IF(VLOOKUP($A7,overview!$B$3:$AJ$154,COLUMN(),FALSE) = "","",VLOOKUP($A7,overview!$B$3:$AJ$154,COLUMN(Z7),FALSE))</f>
        <v/>
      </c>
      <c r="AA7" s="3" t="str">
        <f>IF(VLOOKUP($A7,overview!$B$3:$AJ$154,COLUMN(),FALSE) = "","",VLOOKUP($A7,overview!$B$3:$AJ$154,COLUMN(AA7),FALSE))</f>
        <v/>
      </c>
      <c r="AB7" s="3" t="str">
        <f>IF(VLOOKUP($A7,overview!$B$3:$AJ$154,COLUMN(),FALSE) = "","",VLOOKUP($A7,overview!$B$3:$AJ$154,COLUMN(AB7),FALSE))</f>
        <v/>
      </c>
      <c r="AC7" s="3" t="str">
        <f>IF(VLOOKUP($A7,overview!$B$3:$AJ$154,COLUMN(),FALSE) = "","",VLOOKUP($A7,overview!$B$3:$AJ$154,COLUMN(AC7),FALSE))</f>
        <v/>
      </c>
      <c r="AD7" s="3" t="str">
        <f>IF(VLOOKUP($A7,overview!$B$3:$AJ$154,COLUMN(),FALSE) = "","",VLOOKUP($A7,overview!$B$3:$AJ$154,COLUMN(AD7),FALSE))</f>
        <v/>
      </c>
      <c r="AE7" s="3" t="str">
        <f>IF(VLOOKUP($A7,overview!$B$3:$AJ$154,COLUMN(),FALSE) = "","",VLOOKUP($A7,overview!$B$3:$AJ$154,COLUMN(AE7),FALSE))</f>
        <v/>
      </c>
      <c r="AF7" s="3" t="str">
        <f>IF(VLOOKUP($A7,overview!$B$3:$AJ$154,COLUMN(),FALSE) = "","",VLOOKUP($A7,overview!$B$3:$AJ$154,COLUMN(AF7),FALSE))</f>
        <v/>
      </c>
      <c r="AG7" s="3" t="str">
        <f>IF(VLOOKUP($A7,overview!$B$3:$AJ$154,COLUMN(),FALSE) = "","",VLOOKUP($A7,overview!$B$3:$AJ$154,COLUMN(AG7),FALSE))</f>
        <v/>
      </c>
      <c r="AH7" s="3" t="str">
        <f>IF(VLOOKUP($A7,overview!$B$3:$AJ$154,COLUMN(),FALSE) = "","",VLOOKUP($A7,overview!$B$3:$AJ$154,COLUMN(AH7),FALSE))</f>
        <v/>
      </c>
      <c r="AI7" s="3" t="str">
        <f>IF(VLOOKUP($A7,overview!$B$3:$AJ$154,COLUMN(),FALSE) = "","",VLOOKUP($A7,overview!$B$3:$AJ$154,COLUMN(AI7),FALSE))</f>
        <v>Fraction of CAPEX p.a.</v>
      </c>
    </row>
    <row r="8" spans="1:35" ht="15.75" customHeight="1" x14ac:dyDescent="0.2">
      <c r="A8" s="8" t="s">
        <v>60</v>
      </c>
      <c r="B8" s="3">
        <f>IF(VLOOKUP($A8,overview!$B$3:$AJ$154,COLUMN(),FALSE) = "","",VLOOKUP($A8,overview!$B$3:$AJ$154,COLUMN(B8),FALSE))</f>
        <v>1290</v>
      </c>
      <c r="C8" s="3">
        <f>IF(VLOOKUP($A8,overview!$B$3:$AJ$154,COLUMN(),FALSE) = "","",VLOOKUP($A8,overview!$B$3:$AJ$154,COLUMN(C8),FALSE))</f>
        <v>1032</v>
      </c>
      <c r="D8" s="3">
        <f>IF(VLOOKUP($A8,overview!$B$3:$AJ$154,COLUMN(),FALSE) = "","",VLOOKUP($A8,overview!$B$3:$AJ$154,COLUMN(D8),FALSE))</f>
        <v>1548</v>
      </c>
      <c r="E8" s="3">
        <f>IF(VLOOKUP($A8,overview!$B$3:$AJ$154,COLUMN(),FALSE) = "","",VLOOKUP($A8,overview!$B$3:$AJ$154,COLUMN(E8),FALSE))</f>
        <v>1266.4351021399359</v>
      </c>
      <c r="F8" s="3">
        <f>IF(VLOOKUP($A8,overview!$B$3:$AJ$154,COLUMN(),FALSE) = "","",VLOOKUP($A8,overview!$B$3:$AJ$154,COLUMN(F8),FALSE))</f>
        <v>1251.7215719568251</v>
      </c>
      <c r="G8" s="3">
        <f>IF(VLOOKUP($A8,overview!$B$3:$AJ$154,COLUMN(),FALSE) = "","",VLOOKUP($A8,overview!$B$3:$AJ$154,COLUMN(G8),FALSE))</f>
        <v>1240.5603045013179</v>
      </c>
      <c r="H8" s="3">
        <f>IF(VLOOKUP($A8,overview!$B$3:$AJ$154,COLUMN(),FALSE) = "","",VLOOKUP($A8,overview!$B$3:$AJ$154,COLUMN(H8),FALSE))</f>
        <v>1231.323820126421</v>
      </c>
      <c r="I8" s="3">
        <f>IF(VLOOKUP($A8,overview!$B$3:$AJ$154,COLUMN(),FALSE) = "","",VLOOKUP($A8,overview!$B$3:$AJ$154,COLUMN(I8),FALSE))</f>
        <v>1223.2967440579409</v>
      </c>
      <c r="J8" s="3">
        <f>IF(VLOOKUP($A8,overview!$B$3:$AJ$154,COLUMN(),FALSE) = "","",VLOOKUP($A8,overview!$B$3:$AJ$154,COLUMN(J8),FALSE))</f>
        <v>1216.1012857804151</v>
      </c>
      <c r="K8" s="3">
        <f>IF(VLOOKUP($A8,overview!$B$3:$AJ$154,COLUMN(),FALSE) = "","",VLOOKUP($A8,overview!$B$3:$AJ$154,COLUMN(K8),FALSE))</f>
        <v>1209.513758135746</v>
      </c>
      <c r="L8" s="3">
        <f>IF(VLOOKUP($A8,overview!$B$3:$AJ$154,COLUMN(),FALSE) = "","",VLOOKUP($A8,overview!$B$3:$AJ$154,COLUMN(L8),FALSE))</f>
        <v>1203.3908536894121</v>
      </c>
      <c r="M8" s="3">
        <f>IF(VLOOKUP($A8,overview!$B$3:$AJ$154,COLUMN(),FALSE) = "","",VLOOKUP($A8,overview!$B$3:$AJ$154,COLUMN(M8),FALSE))</f>
        <v>1197.6352899225101</v>
      </c>
      <c r="N8" s="3">
        <f>IF(VLOOKUP($A8,overview!$B$3:$AJ$154,COLUMN(),FALSE) = "","",VLOOKUP($A8,overview!$B$3:$AJ$154,COLUMN(N8),FALSE))</f>
        <v>1192.178028800794</v>
      </c>
      <c r="O8" s="3">
        <f>IF(VLOOKUP($A8,overview!$B$3:$AJ$154,COLUMN(),FALSE) = "","",VLOOKUP($A8,overview!$B$3:$AJ$154,COLUMN(O8),FALSE))</f>
        <v>1186.9683208669551</v>
      </c>
      <c r="P8" s="3">
        <f>IF(VLOOKUP($A8,overview!$B$3:$AJ$154,COLUMN(),FALSE) = "","",VLOOKUP($A8,overview!$B$3:$AJ$154,COLUMN(P8),FALSE))</f>
        <v>1181.967777285188</v>
      </c>
      <c r="Q8" s="3">
        <f>IF(VLOOKUP($A8,overview!$B$3:$AJ$154,COLUMN(),FALSE) = "","",VLOOKUP($A8,overview!$B$3:$AJ$154,COLUMN(Q8),FALSE))</f>
        <v>1177.1466614419051</v>
      </c>
      <c r="R8" s="3">
        <f>IF(VLOOKUP($A8,overview!$B$3:$AJ$154,COLUMN(),FALSE) = "","",VLOOKUP($A8,overview!$B$3:$AJ$154,COLUMN(R8),FALSE))</f>
        <v>1172.4814728071599</v>
      </c>
      <c r="S8" s="3">
        <f>IF(VLOOKUP($A8,overview!$B$3:$AJ$154,COLUMN(),FALSE) = "","",VLOOKUP($A8,overview!$B$3:$AJ$154,COLUMN(S8),FALSE))</f>
        <v>1167.953318199216</v>
      </c>
      <c r="T8" s="3">
        <f>IF(VLOOKUP($A8,overview!$B$3:$AJ$154,COLUMN(),FALSE) = "","",VLOOKUP($A8,overview!$B$3:$AJ$154,COLUMN(T8),FALSE))</f>
        <v>1163.546781562449</v>
      </c>
      <c r="U8" s="3">
        <f>IF(VLOOKUP($A8,overview!$B$3:$AJ$154,COLUMN(),FALSE) = "","",VLOOKUP($A8,overview!$B$3:$AJ$154,COLUMN(U8),FALSE))</f>
        <v>1159.2491198518881</v>
      </c>
      <c r="V8" s="3">
        <f>IF(VLOOKUP($A8,overview!$B$3:$AJ$154,COLUMN(),FALSE) = "","",VLOOKUP($A8,overview!$B$3:$AJ$154,COLUMN(V8),FALSE))</f>
        <v>1155.0496783596971</v>
      </c>
      <c r="W8" s="3">
        <f>IF(VLOOKUP($A8,overview!$B$3:$AJ$154,COLUMN(),FALSE) = "","",VLOOKUP($A8,overview!$B$3:$AJ$154,COLUMN(W8),FALSE))</f>
        <v>1150.939457398709</v>
      </c>
      <c r="X8" s="3">
        <f>IF(VLOOKUP($A8,overview!$B$3:$AJ$154,COLUMN(),FALSE) = "","",VLOOKUP($A8,overview!$B$3:$AJ$154,COLUMN(X8),FALSE))</f>
        <v>1146.9107856787571</v>
      </c>
      <c r="Y8" s="3">
        <f>IF(VLOOKUP($A8,overview!$B$3:$AJ$154,COLUMN(),FALSE) = "","",VLOOKUP($A8,overview!$B$3:$AJ$154,COLUMN(Y8),FALSE))</f>
        <v>1142.957070359103</v>
      </c>
      <c r="Z8" s="3">
        <f>IF(VLOOKUP($A8,overview!$B$3:$AJ$154,COLUMN(),FALSE) = "","",VLOOKUP($A8,overview!$B$3:$AJ$154,COLUMN(Z8),FALSE))</f>
        <v>1139.0726031656311</v>
      </c>
      <c r="AA8" s="3">
        <f>IF(VLOOKUP($A8,overview!$B$3:$AJ$154,COLUMN(),FALSE) = "","",VLOOKUP($A8,overview!$B$3:$AJ$154,COLUMN(AA8),FALSE))</f>
        <v>1135.25240814433</v>
      </c>
      <c r="AB8" s="3">
        <f>IF(VLOOKUP($A8,overview!$B$3:$AJ$154,COLUMN(),FALSE) = "","",VLOOKUP($A8,overview!$B$3:$AJ$154,COLUMN(AB8),FALSE))</f>
        <v>1131.492120773825</v>
      </c>
      <c r="AC8" s="3">
        <f>IF(VLOOKUP($A8,overview!$B$3:$AJ$154,COLUMN(),FALSE) = "","",VLOOKUP($A8,overview!$B$3:$AJ$154,COLUMN(AC8),FALSE))</f>
        <v>1127.787891000381</v>
      </c>
      <c r="AD8" s="3">
        <f>IF(VLOOKUP($A8,overview!$B$3:$AJ$154,COLUMN(),FALSE) = "","",VLOOKUP($A8,overview!$B$3:$AJ$154,COLUMN(AD8),FALSE))</f>
        <v>1124.1363047366719</v>
      </c>
      <c r="AE8" s="3">
        <f>IF(VLOOKUP($A8,overview!$B$3:$AJ$154,COLUMN(),FALSE) = "","",VLOOKUP($A8,overview!$B$3:$AJ$154,COLUMN(AE8),FALSE))</f>
        <v>1120.5343197645359</v>
      </c>
      <c r="AF8" s="3">
        <f>IF(VLOOKUP($A8,overview!$B$3:$AJ$154,COLUMN(),FALSE) = "","",VLOOKUP($A8,overview!$B$3:$AJ$154,COLUMN(AF8),FALSE))</f>
        <v>1116.9792129858199</v>
      </c>
      <c r="AG8" s="3">
        <f>IF(VLOOKUP($A8,overview!$B$3:$AJ$154,COLUMN(),FALSE) = "","",VLOOKUP($A8,overview!$B$3:$AJ$154,COLUMN(AG8),FALSE))</f>
        <v>1113.46853669542</v>
      </c>
      <c r="AH8" s="3">
        <f>IF(VLOOKUP($A8,overview!$B$3:$AJ$154,COLUMN(),FALSE) = "","",VLOOKUP($A8,overview!$B$3:$AJ$154,COLUMN(AH8),FALSE))</f>
        <v>1110.0000820880121</v>
      </c>
      <c r="AI8" s="3" t="str">
        <f>IF(VLOOKUP($A8,overview!$B$3:$AJ$154,COLUMN(),FALSE) = "","",VLOOKUP($A8,overview!$B$3:$AJ$154,COLUMN(AI8),FALSE))</f>
        <v>[EUR/kW rated]</v>
      </c>
    </row>
    <row r="9" spans="1:35" ht="15.75" customHeight="1" x14ac:dyDescent="0.2">
      <c r="A9" s="8" t="s">
        <v>61</v>
      </c>
      <c r="B9" s="3">
        <f>IF(VLOOKUP($A9,overview!$B$3:$AJ$154,COLUMN(),FALSE) = "","",VLOOKUP($A9,overview!$B$3:$AJ$154,COLUMN(B9),FALSE))</f>
        <v>2.5000000000000001E-2</v>
      </c>
      <c r="C9" s="3">
        <f>IF(VLOOKUP($A9,overview!$B$3:$AJ$154,COLUMN(),FALSE) = "","",VLOOKUP($A9,overview!$B$3:$AJ$154,COLUMN(C9),FALSE))</f>
        <v>0.02</v>
      </c>
      <c r="D9" s="3">
        <f>IF(VLOOKUP($A9,overview!$B$3:$AJ$154,COLUMN(),FALSE) = "","",VLOOKUP($A9,overview!$B$3:$AJ$154,COLUMN(D9),FALSE))</f>
        <v>0.03</v>
      </c>
      <c r="E9" s="3" t="str">
        <f>IF(VLOOKUP($A9,overview!$B$3:$AJ$154,COLUMN(),FALSE) = "","",VLOOKUP($A9,overview!$B$3:$AJ$154,COLUMN(E9),FALSE))</f>
        <v/>
      </c>
      <c r="F9" s="3" t="str">
        <f>IF(VLOOKUP($A9,overview!$B$3:$AJ$154,COLUMN(),FALSE) = "","",VLOOKUP($A9,overview!$B$3:$AJ$154,COLUMN(F9),FALSE))</f>
        <v/>
      </c>
      <c r="G9" s="3" t="str">
        <f>IF(VLOOKUP($A9,overview!$B$3:$AJ$154,COLUMN(),FALSE) = "","",VLOOKUP($A9,overview!$B$3:$AJ$154,COLUMN(G9),FALSE))</f>
        <v/>
      </c>
      <c r="H9" s="3" t="str">
        <f>IF(VLOOKUP($A9,overview!$B$3:$AJ$154,COLUMN(),FALSE) = "","",VLOOKUP($A9,overview!$B$3:$AJ$154,COLUMN(H9),FALSE))</f>
        <v/>
      </c>
      <c r="I9" s="3" t="str">
        <f>IF(VLOOKUP($A9,overview!$B$3:$AJ$154,COLUMN(),FALSE) = "","",VLOOKUP($A9,overview!$B$3:$AJ$154,COLUMN(I9),FALSE))</f>
        <v/>
      </c>
      <c r="J9" s="3" t="str">
        <f>IF(VLOOKUP($A9,overview!$B$3:$AJ$154,COLUMN(),FALSE) = "","",VLOOKUP($A9,overview!$B$3:$AJ$154,COLUMN(J9),FALSE))</f>
        <v/>
      </c>
      <c r="K9" s="3" t="str">
        <f>IF(VLOOKUP($A9,overview!$B$3:$AJ$154,COLUMN(),FALSE) = "","",VLOOKUP($A9,overview!$B$3:$AJ$154,COLUMN(K9),FALSE))</f>
        <v/>
      </c>
      <c r="L9" s="3" t="str">
        <f>IF(VLOOKUP($A9,overview!$B$3:$AJ$154,COLUMN(),FALSE) = "","",VLOOKUP($A9,overview!$B$3:$AJ$154,COLUMN(L9),FALSE))</f>
        <v/>
      </c>
      <c r="M9" s="3" t="str">
        <f>IF(VLOOKUP($A9,overview!$B$3:$AJ$154,COLUMN(),FALSE) = "","",VLOOKUP($A9,overview!$B$3:$AJ$154,COLUMN(M9),FALSE))</f>
        <v/>
      </c>
      <c r="N9" s="3" t="str">
        <f>IF(VLOOKUP($A9,overview!$B$3:$AJ$154,COLUMN(),FALSE) = "","",VLOOKUP($A9,overview!$B$3:$AJ$154,COLUMN(N9),FALSE))</f>
        <v/>
      </c>
      <c r="O9" s="3" t="str">
        <f>IF(VLOOKUP($A9,overview!$B$3:$AJ$154,COLUMN(),FALSE) = "","",VLOOKUP($A9,overview!$B$3:$AJ$154,COLUMN(O9),FALSE))</f>
        <v/>
      </c>
      <c r="P9" s="3" t="str">
        <f>IF(VLOOKUP($A9,overview!$B$3:$AJ$154,COLUMN(),FALSE) = "","",VLOOKUP($A9,overview!$B$3:$AJ$154,COLUMN(P9),FALSE))</f>
        <v/>
      </c>
      <c r="Q9" s="3" t="str">
        <f>IF(VLOOKUP($A9,overview!$B$3:$AJ$154,COLUMN(),FALSE) = "","",VLOOKUP($A9,overview!$B$3:$AJ$154,COLUMN(Q9),FALSE))</f>
        <v/>
      </c>
      <c r="R9" s="3" t="str">
        <f>IF(VLOOKUP($A9,overview!$B$3:$AJ$154,COLUMN(),FALSE) = "","",VLOOKUP($A9,overview!$B$3:$AJ$154,COLUMN(R9),FALSE))</f>
        <v/>
      </c>
      <c r="S9" s="3" t="str">
        <f>IF(VLOOKUP($A9,overview!$B$3:$AJ$154,COLUMN(),FALSE) = "","",VLOOKUP($A9,overview!$B$3:$AJ$154,COLUMN(S9),FALSE))</f>
        <v/>
      </c>
      <c r="T9" s="3" t="str">
        <f>IF(VLOOKUP($A9,overview!$B$3:$AJ$154,COLUMN(),FALSE) = "","",VLOOKUP($A9,overview!$B$3:$AJ$154,COLUMN(T9),FALSE))</f>
        <v/>
      </c>
      <c r="U9" s="3" t="str">
        <f>IF(VLOOKUP($A9,overview!$B$3:$AJ$154,COLUMN(),FALSE) = "","",VLOOKUP($A9,overview!$B$3:$AJ$154,COLUMN(U9),FALSE))</f>
        <v/>
      </c>
      <c r="V9" s="3" t="str">
        <f>IF(VLOOKUP($A9,overview!$B$3:$AJ$154,COLUMN(),FALSE) = "","",VLOOKUP($A9,overview!$B$3:$AJ$154,COLUMN(V9),FALSE))</f>
        <v/>
      </c>
      <c r="W9" s="3" t="str">
        <f>IF(VLOOKUP($A9,overview!$B$3:$AJ$154,COLUMN(),FALSE) = "","",VLOOKUP($A9,overview!$B$3:$AJ$154,COLUMN(W9),FALSE))</f>
        <v/>
      </c>
      <c r="X9" s="3" t="str">
        <f>IF(VLOOKUP($A9,overview!$B$3:$AJ$154,COLUMN(),FALSE) = "","",VLOOKUP($A9,overview!$B$3:$AJ$154,COLUMN(X9),FALSE))</f>
        <v/>
      </c>
      <c r="Y9" s="3" t="str">
        <f>IF(VLOOKUP($A9,overview!$B$3:$AJ$154,COLUMN(),FALSE) = "","",VLOOKUP($A9,overview!$B$3:$AJ$154,COLUMN(Y9),FALSE))</f>
        <v/>
      </c>
      <c r="Z9" s="3" t="str">
        <f>IF(VLOOKUP($A9,overview!$B$3:$AJ$154,COLUMN(),FALSE) = "","",VLOOKUP($A9,overview!$B$3:$AJ$154,COLUMN(Z9),FALSE))</f>
        <v/>
      </c>
      <c r="AA9" s="3" t="str">
        <f>IF(VLOOKUP($A9,overview!$B$3:$AJ$154,COLUMN(),FALSE) = "","",VLOOKUP($A9,overview!$B$3:$AJ$154,COLUMN(AA9),FALSE))</f>
        <v/>
      </c>
      <c r="AB9" s="3" t="str">
        <f>IF(VLOOKUP($A9,overview!$B$3:$AJ$154,COLUMN(),FALSE) = "","",VLOOKUP($A9,overview!$B$3:$AJ$154,COLUMN(AB9),FALSE))</f>
        <v/>
      </c>
      <c r="AC9" s="3" t="str">
        <f>IF(VLOOKUP($A9,overview!$B$3:$AJ$154,COLUMN(),FALSE) = "","",VLOOKUP($A9,overview!$B$3:$AJ$154,COLUMN(AC9),FALSE))</f>
        <v/>
      </c>
      <c r="AD9" s="3" t="str">
        <f>IF(VLOOKUP($A9,overview!$B$3:$AJ$154,COLUMN(),FALSE) = "","",VLOOKUP($A9,overview!$B$3:$AJ$154,COLUMN(AD9),FALSE))</f>
        <v/>
      </c>
      <c r="AE9" s="3" t="str">
        <f>IF(VLOOKUP($A9,overview!$B$3:$AJ$154,COLUMN(),FALSE) = "","",VLOOKUP($A9,overview!$B$3:$AJ$154,COLUMN(AE9),FALSE))</f>
        <v/>
      </c>
      <c r="AF9" s="3" t="str">
        <f>IF(VLOOKUP($A9,overview!$B$3:$AJ$154,COLUMN(),FALSE) = "","",VLOOKUP($A9,overview!$B$3:$AJ$154,COLUMN(AF9),FALSE))</f>
        <v/>
      </c>
      <c r="AG9" s="3" t="str">
        <f>IF(VLOOKUP($A9,overview!$B$3:$AJ$154,COLUMN(),FALSE) = "","",VLOOKUP($A9,overview!$B$3:$AJ$154,COLUMN(AG9),FALSE))</f>
        <v/>
      </c>
      <c r="AH9" s="3" t="str">
        <f>IF(VLOOKUP($A9,overview!$B$3:$AJ$154,COLUMN(),FALSE) = "","",VLOOKUP($A9,overview!$B$3:$AJ$154,COLUMN(AH9),FALSE))</f>
        <v/>
      </c>
      <c r="AI9" s="3" t="str">
        <f>IF(VLOOKUP($A9,overview!$B$3:$AJ$154,COLUMN(),FALSE) = "","",VLOOKUP($A9,overview!$B$3:$AJ$154,COLUMN(AI9),FALSE))</f>
        <v>Fraction of CAPEX p.a.</v>
      </c>
    </row>
    <row r="10" spans="1:35" ht="15.75" customHeight="1" x14ac:dyDescent="0.2">
      <c r="A10" s="8" t="s">
        <v>62</v>
      </c>
      <c r="B10" s="3">
        <f>IF(VLOOKUP($A10,overview!$B$3:$AJ$154,COLUMN(),FALSE) = "","",VLOOKUP($A10,overview!$B$3:$AJ$154,COLUMN(B10),FALSE))</f>
        <v>1040</v>
      </c>
      <c r="C10" s="3">
        <f>IF(VLOOKUP($A10,overview!$B$3:$AJ$154,COLUMN(),FALSE) = "","",VLOOKUP($A10,overview!$B$3:$AJ$154,COLUMN(C10),FALSE))</f>
        <v>832</v>
      </c>
      <c r="D10" s="3">
        <f>IF(VLOOKUP($A10,overview!$B$3:$AJ$154,COLUMN(),FALSE) = "","",VLOOKUP($A10,overview!$B$3:$AJ$154,COLUMN(D10),FALSE))</f>
        <v>1248</v>
      </c>
      <c r="E10" s="3">
        <f>IF(VLOOKUP($A10,overview!$B$3:$AJ$154,COLUMN(),FALSE) = "","",VLOOKUP($A10,overview!$B$3:$AJ$154,COLUMN(E10),FALSE))</f>
        <v>1020.320190748602</v>
      </c>
      <c r="F10" s="3">
        <f>IF(VLOOKUP($A10,overview!$B$3:$AJ$154,COLUMN(),FALSE) = "","",VLOOKUP($A10,overview!$B$3:$AJ$154,COLUMN(F10),FALSE))</f>
        <v>1008.04157200671</v>
      </c>
      <c r="G10" s="3">
        <f>IF(VLOOKUP($A10,overview!$B$3:$AJ$154,COLUMN(),FALSE) = "","",VLOOKUP($A10,overview!$B$3:$AJ$154,COLUMN(G10),FALSE))</f>
        <v>998.73106232688235</v>
      </c>
      <c r="H10" s="3">
        <f>IF(VLOOKUP($A10,overview!$B$3:$AJ$154,COLUMN(),FALSE) = "","",VLOOKUP($A10,overview!$B$3:$AJ$154,COLUMN(H10),FALSE))</f>
        <v>991.0281599676299</v>
      </c>
      <c r="I10" s="3">
        <f>IF(VLOOKUP($A10,overview!$B$3:$AJ$154,COLUMN(),FALSE) = "","",VLOOKUP($A10,overview!$B$3:$AJ$154,COLUMN(I10),FALSE))</f>
        <v>984.33513082136346</v>
      </c>
      <c r="J10" s="3">
        <f>IF(VLOOKUP($A10,overview!$B$3:$AJ$154,COLUMN(),FALSE) = "","",VLOOKUP($A10,overview!$B$3:$AJ$154,COLUMN(J10),FALSE))</f>
        <v>978.33642512896665</v>
      </c>
      <c r="K10" s="3">
        <f>IF(VLOOKUP($A10,overview!$B$3:$AJ$154,COLUMN(),FALSE) = "","",VLOOKUP($A10,overview!$B$3:$AJ$154,COLUMN(K10),FALSE))</f>
        <v>972.84526240294781</v>
      </c>
      <c r="L10" s="3">
        <f>IF(VLOOKUP($A10,overview!$B$3:$AJ$154,COLUMN(),FALSE) = "","",VLOOKUP($A10,overview!$B$3:$AJ$154,COLUMN(L10),FALSE))</f>
        <v>967.74200869431661</v>
      </c>
      <c r="M10" s="3">
        <f>IF(VLOOKUP($A10,overview!$B$3:$AJ$154,COLUMN(),FALSE) = "","",VLOOKUP($A10,overview!$B$3:$AJ$154,COLUMN(M10),FALSE))</f>
        <v>962.9454684946902</v>
      </c>
      <c r="N10" s="3">
        <f>IF(VLOOKUP($A10,overview!$B$3:$AJ$154,COLUMN(),FALSE) = "","",VLOOKUP($A10,overview!$B$3:$AJ$154,COLUMN(N10),FALSE))</f>
        <v>958.39803019668921</v>
      </c>
      <c r="O10" s="3">
        <f>IF(VLOOKUP($A10,overview!$B$3:$AJ$154,COLUMN(),FALSE) = "","",VLOOKUP($A10,overview!$B$3:$AJ$154,COLUMN(O10),FALSE))</f>
        <v>954.05735017122936</v>
      </c>
      <c r="P10" s="3">
        <f>IF(VLOOKUP($A10,overview!$B$3:$AJ$154,COLUMN(),FALSE) = "","",VLOOKUP($A10,overview!$B$3:$AJ$154,COLUMN(P10),FALSE))</f>
        <v>949.89140217859926</v>
      </c>
      <c r="Q10" s="3">
        <f>IF(VLOOKUP($A10,overview!$B$3:$AJ$154,COLUMN(),FALSE) = "","",VLOOKUP($A10,overview!$B$3:$AJ$154,COLUMN(Q10),FALSE))</f>
        <v>945.87538088714541</v>
      </c>
      <c r="R10" s="3">
        <f>IF(VLOOKUP($A10,overview!$B$3:$AJ$154,COLUMN(),FALSE) = "","",VLOOKUP($A10,overview!$B$3:$AJ$154,COLUMN(R10),FALSE))</f>
        <v>941.98968471437684</v>
      </c>
      <c r="S10" s="3">
        <f>IF(VLOOKUP($A10,overview!$B$3:$AJ$154,COLUMN(),FALSE) = "","",VLOOKUP($A10,overview!$B$3:$AJ$154,COLUMN(S10),FALSE))</f>
        <v>938.21855622958981</v>
      </c>
      <c r="T10" s="3">
        <f>IF(VLOOKUP($A10,overview!$B$3:$AJ$154,COLUMN(),FALSE) = "","",VLOOKUP($A10,overview!$B$3:$AJ$154,COLUMN(T10),FALSE))</f>
        <v>934.54913881121274</v>
      </c>
      <c r="U10" s="3">
        <f>IF(VLOOKUP($A10,overview!$B$3:$AJ$154,COLUMN(),FALSE) = "","",VLOOKUP($A10,overview!$B$3:$AJ$154,COLUMN(U10),FALSE))</f>
        <v>930.97080556760534</v>
      </c>
      <c r="V10" s="3">
        <f>IF(VLOOKUP($A10,overview!$B$3:$AJ$154,COLUMN(),FALSE) = "","",VLOOKUP($A10,overview!$B$3:$AJ$154,COLUMN(V10),FALSE))</f>
        <v>927.47467144725033</v>
      </c>
      <c r="W10" s="3">
        <f>IF(VLOOKUP($A10,overview!$B$3:$AJ$154,COLUMN(),FALSE) = "","",VLOOKUP($A10,overview!$B$3:$AJ$154,COLUMN(W10),FALSE))</f>
        <v>924.05323168792415</v>
      </c>
      <c r="X10" s="3">
        <f>IF(VLOOKUP($A10,overview!$B$3:$AJ$154,COLUMN(),FALSE) = "","",VLOOKUP($A10,overview!$B$3:$AJ$154,COLUMN(X10),FALSE))</f>
        <v>920.70008931437519</v>
      </c>
      <c r="Y10" s="3">
        <f>IF(VLOOKUP($A10,overview!$B$3:$AJ$154,COLUMN(),FALSE) = "","",VLOOKUP($A10,overview!$B$3:$AJ$154,COLUMN(Y10),FALSE))</f>
        <v>917.40974662581266</v>
      </c>
      <c r="Z10" s="3">
        <f>IF(VLOOKUP($A10,overview!$B$3:$AJ$154,COLUMN(),FALSE) = "","",VLOOKUP($A10,overview!$B$3:$AJ$154,COLUMN(Z10),FALSE))</f>
        <v>914.17744346790937</v>
      </c>
      <c r="AA10" s="3">
        <f>IF(VLOOKUP($A10,overview!$B$3:$AJ$154,COLUMN(),FALSE) = "","",VLOOKUP($A10,overview!$B$3:$AJ$154,COLUMN(AA10),FALSE))</f>
        <v>910.99903024623427</v>
      </c>
      <c r="AB10" s="3">
        <f>IF(VLOOKUP($A10,overview!$B$3:$AJ$154,COLUMN(),FALSE) = "","",VLOOKUP($A10,overview!$B$3:$AJ$154,COLUMN(AB10),FALSE))</f>
        <v>907.87086710364224</v>
      </c>
      <c r="AC10" s="3">
        <f>IF(VLOOKUP($A10,overview!$B$3:$AJ$154,COLUMN(),FALSE) = "","",VLOOKUP($A10,overview!$B$3:$AJ$154,COLUMN(AC10),FALSE))</f>
        <v>904.78974305550446</v>
      </c>
      <c r="AD10" s="3">
        <f>IF(VLOOKUP($A10,overview!$B$3:$AJ$154,COLUMN(),FALSE) = "","",VLOOKUP($A10,overview!$B$3:$AJ$154,COLUMN(AD10),FALSE))</f>
        <v>901.75281052760101</v>
      </c>
      <c r="AE10" s="3">
        <f>IF(VLOOKUP($A10,overview!$B$3:$AJ$154,COLUMN(),FALSE) = "","",VLOOKUP($A10,overview!$B$3:$AJ$154,COLUMN(AE10),FALSE))</f>
        <v>898.75753190912178</v>
      </c>
      <c r="AF10" s="3">
        <f>IF(VLOOKUP($A10,overview!$B$3:$AJ$154,COLUMN(),FALSE) = "","",VLOOKUP($A10,overview!$B$3:$AJ$154,COLUMN(AF10),FALSE))</f>
        <v>895.80163557105675</v>
      </c>
      <c r="AG10" s="3">
        <f>IF(VLOOKUP($A10,overview!$B$3:$AJ$154,COLUMN(),FALSE) = "","",VLOOKUP($A10,overview!$B$3:$AJ$154,COLUMN(AG10),FALSE))</f>
        <v>892.88307940947402</v>
      </c>
      <c r="AH10" s="3">
        <f>IF(VLOOKUP($A10,overview!$B$3:$AJ$154,COLUMN(),FALSE) = "","",VLOOKUP($A10,overview!$B$3:$AJ$154,COLUMN(AH10),FALSE))</f>
        <v>890.00002042161486</v>
      </c>
      <c r="AI10" s="3" t="str">
        <f>IF(VLOOKUP($A10,overview!$B$3:$AJ$154,COLUMN(),FALSE) = "","",VLOOKUP($A10,overview!$B$3:$AJ$154,COLUMN(AI10),FALSE))</f>
        <v>[EUR/kW rated]</v>
      </c>
    </row>
    <row r="11" spans="1:35" ht="15.75" customHeight="1" x14ac:dyDescent="0.2">
      <c r="A11" s="8" t="s">
        <v>63</v>
      </c>
      <c r="B11" s="3">
        <f>IF(VLOOKUP($A11,overview!$B$3:$AJ$154,COLUMN(),FALSE) = "","",VLOOKUP($A11,overview!$B$3:$AJ$154,COLUMN(B11),FALSE))</f>
        <v>2.5000000000000001E-2</v>
      </c>
      <c r="C11" s="3">
        <f>IF(VLOOKUP($A11,overview!$B$3:$AJ$154,COLUMN(),FALSE) = "","",VLOOKUP($A11,overview!$B$3:$AJ$154,COLUMN(C11),FALSE))</f>
        <v>0.02</v>
      </c>
      <c r="D11" s="3">
        <f>IF(VLOOKUP($A11,overview!$B$3:$AJ$154,COLUMN(),FALSE) = "","",VLOOKUP($A11,overview!$B$3:$AJ$154,COLUMN(D11),FALSE))</f>
        <v>0.03</v>
      </c>
      <c r="E11" s="3" t="str">
        <f>IF(VLOOKUP($A11,overview!$B$3:$AJ$154,COLUMN(),FALSE) = "","",VLOOKUP($A11,overview!$B$3:$AJ$154,COLUMN(E11),FALSE))</f>
        <v/>
      </c>
      <c r="F11" s="3" t="str">
        <f>IF(VLOOKUP($A11,overview!$B$3:$AJ$154,COLUMN(),FALSE) = "","",VLOOKUP($A11,overview!$B$3:$AJ$154,COLUMN(F11),FALSE))</f>
        <v/>
      </c>
      <c r="G11" s="3" t="str">
        <f>IF(VLOOKUP($A11,overview!$B$3:$AJ$154,COLUMN(),FALSE) = "","",VLOOKUP($A11,overview!$B$3:$AJ$154,COLUMN(G11),FALSE))</f>
        <v/>
      </c>
      <c r="H11" s="3" t="str">
        <f>IF(VLOOKUP($A11,overview!$B$3:$AJ$154,COLUMN(),FALSE) = "","",VLOOKUP($A11,overview!$B$3:$AJ$154,COLUMN(H11),FALSE))</f>
        <v/>
      </c>
      <c r="I11" s="3" t="str">
        <f>IF(VLOOKUP($A11,overview!$B$3:$AJ$154,COLUMN(),FALSE) = "","",VLOOKUP($A11,overview!$B$3:$AJ$154,COLUMN(I11),FALSE))</f>
        <v/>
      </c>
      <c r="J11" s="3" t="str">
        <f>IF(VLOOKUP($A11,overview!$B$3:$AJ$154,COLUMN(),FALSE) = "","",VLOOKUP($A11,overview!$B$3:$AJ$154,COLUMN(J11),FALSE))</f>
        <v/>
      </c>
      <c r="K11" s="3" t="str">
        <f>IF(VLOOKUP($A11,overview!$B$3:$AJ$154,COLUMN(),FALSE) = "","",VLOOKUP($A11,overview!$B$3:$AJ$154,COLUMN(K11),FALSE))</f>
        <v/>
      </c>
      <c r="L11" s="3" t="str">
        <f>IF(VLOOKUP($A11,overview!$B$3:$AJ$154,COLUMN(),FALSE) = "","",VLOOKUP($A11,overview!$B$3:$AJ$154,COLUMN(L11),FALSE))</f>
        <v/>
      </c>
      <c r="M11" s="3" t="str">
        <f>IF(VLOOKUP($A11,overview!$B$3:$AJ$154,COLUMN(),FALSE) = "","",VLOOKUP($A11,overview!$B$3:$AJ$154,COLUMN(M11),FALSE))</f>
        <v/>
      </c>
      <c r="N11" s="3" t="str">
        <f>IF(VLOOKUP($A11,overview!$B$3:$AJ$154,COLUMN(),FALSE) = "","",VLOOKUP($A11,overview!$B$3:$AJ$154,COLUMN(N11),FALSE))</f>
        <v/>
      </c>
      <c r="O11" s="3" t="str">
        <f>IF(VLOOKUP($A11,overview!$B$3:$AJ$154,COLUMN(),FALSE) = "","",VLOOKUP($A11,overview!$B$3:$AJ$154,COLUMN(O11),FALSE))</f>
        <v/>
      </c>
      <c r="P11" s="3" t="str">
        <f>IF(VLOOKUP($A11,overview!$B$3:$AJ$154,COLUMN(),FALSE) = "","",VLOOKUP($A11,overview!$B$3:$AJ$154,COLUMN(P11),FALSE))</f>
        <v/>
      </c>
      <c r="Q11" s="3" t="str">
        <f>IF(VLOOKUP($A11,overview!$B$3:$AJ$154,COLUMN(),FALSE) = "","",VLOOKUP($A11,overview!$B$3:$AJ$154,COLUMN(Q11),FALSE))</f>
        <v/>
      </c>
      <c r="R11" s="3" t="str">
        <f>IF(VLOOKUP($A11,overview!$B$3:$AJ$154,COLUMN(),FALSE) = "","",VLOOKUP($A11,overview!$B$3:$AJ$154,COLUMN(R11),FALSE))</f>
        <v/>
      </c>
      <c r="S11" s="3" t="str">
        <f>IF(VLOOKUP($A11,overview!$B$3:$AJ$154,COLUMN(),FALSE) = "","",VLOOKUP($A11,overview!$B$3:$AJ$154,COLUMN(S11),FALSE))</f>
        <v/>
      </c>
      <c r="T11" s="3" t="str">
        <f>IF(VLOOKUP($A11,overview!$B$3:$AJ$154,COLUMN(),FALSE) = "","",VLOOKUP($A11,overview!$B$3:$AJ$154,COLUMN(T11),FALSE))</f>
        <v/>
      </c>
      <c r="U11" s="3" t="str">
        <f>IF(VLOOKUP($A11,overview!$B$3:$AJ$154,COLUMN(),FALSE) = "","",VLOOKUP($A11,overview!$B$3:$AJ$154,COLUMN(U11),FALSE))</f>
        <v/>
      </c>
      <c r="V11" s="3" t="str">
        <f>IF(VLOOKUP($A11,overview!$B$3:$AJ$154,COLUMN(),FALSE) = "","",VLOOKUP($A11,overview!$B$3:$AJ$154,COLUMN(V11),FALSE))</f>
        <v/>
      </c>
      <c r="W11" s="3" t="str">
        <f>IF(VLOOKUP($A11,overview!$B$3:$AJ$154,COLUMN(),FALSE) = "","",VLOOKUP($A11,overview!$B$3:$AJ$154,COLUMN(W11),FALSE))</f>
        <v/>
      </c>
      <c r="X11" s="3" t="str">
        <f>IF(VLOOKUP($A11,overview!$B$3:$AJ$154,COLUMN(),FALSE) = "","",VLOOKUP($A11,overview!$B$3:$AJ$154,COLUMN(X11),FALSE))</f>
        <v/>
      </c>
      <c r="Y11" s="3" t="str">
        <f>IF(VLOOKUP($A11,overview!$B$3:$AJ$154,COLUMN(),FALSE) = "","",VLOOKUP($A11,overview!$B$3:$AJ$154,COLUMN(Y11),FALSE))</f>
        <v/>
      </c>
      <c r="Z11" s="3" t="str">
        <f>IF(VLOOKUP($A11,overview!$B$3:$AJ$154,COLUMN(),FALSE) = "","",VLOOKUP($A11,overview!$B$3:$AJ$154,COLUMN(Z11),FALSE))</f>
        <v/>
      </c>
      <c r="AA11" s="3" t="str">
        <f>IF(VLOOKUP($A11,overview!$B$3:$AJ$154,COLUMN(),FALSE) = "","",VLOOKUP($A11,overview!$B$3:$AJ$154,COLUMN(AA11),FALSE))</f>
        <v/>
      </c>
      <c r="AB11" s="3" t="str">
        <f>IF(VLOOKUP($A11,overview!$B$3:$AJ$154,COLUMN(),FALSE) = "","",VLOOKUP($A11,overview!$B$3:$AJ$154,COLUMN(AB11),FALSE))</f>
        <v/>
      </c>
      <c r="AC11" s="3" t="str">
        <f>IF(VLOOKUP($A11,overview!$B$3:$AJ$154,COLUMN(),FALSE) = "","",VLOOKUP($A11,overview!$B$3:$AJ$154,COLUMN(AC11),FALSE))</f>
        <v/>
      </c>
      <c r="AD11" s="3" t="str">
        <f>IF(VLOOKUP($A11,overview!$B$3:$AJ$154,COLUMN(),FALSE) = "","",VLOOKUP($A11,overview!$B$3:$AJ$154,COLUMN(AD11),FALSE))</f>
        <v/>
      </c>
      <c r="AE11" s="3" t="str">
        <f>IF(VLOOKUP($A11,overview!$B$3:$AJ$154,COLUMN(),FALSE) = "","",VLOOKUP($A11,overview!$B$3:$AJ$154,COLUMN(AE11),FALSE))</f>
        <v/>
      </c>
      <c r="AF11" s="3" t="str">
        <f>IF(VLOOKUP($A11,overview!$B$3:$AJ$154,COLUMN(),FALSE) = "","",VLOOKUP($A11,overview!$B$3:$AJ$154,COLUMN(AF11),FALSE))</f>
        <v/>
      </c>
      <c r="AG11" s="3" t="str">
        <f>IF(VLOOKUP($A11,overview!$B$3:$AJ$154,COLUMN(),FALSE) = "","",VLOOKUP($A11,overview!$B$3:$AJ$154,COLUMN(AG11),FALSE))</f>
        <v/>
      </c>
      <c r="AH11" s="3" t="str">
        <f>IF(VLOOKUP($A11,overview!$B$3:$AJ$154,COLUMN(),FALSE) = "","",VLOOKUP($A11,overview!$B$3:$AJ$154,COLUMN(AH11),FALSE))</f>
        <v/>
      </c>
      <c r="AI11" s="3" t="str">
        <f>IF(VLOOKUP($A11,overview!$B$3:$AJ$154,COLUMN(),FALSE) = "","",VLOOKUP($A11,overview!$B$3:$AJ$154,COLUMN(AI11),FALSE))</f>
        <v>Fraction of CAPEX p.a.</v>
      </c>
    </row>
    <row r="12" spans="1:35" ht="15.75" customHeight="1" x14ac:dyDescent="0.2">
      <c r="A12" s="8" t="s">
        <v>65</v>
      </c>
      <c r="B12" s="3">
        <f>IF(VLOOKUP($A12,overview!$B$3:$AJ$154,COLUMN(),FALSE) = "","",VLOOKUP($A12,overview!$B$3:$AJ$154,COLUMN(B12),FALSE))</f>
        <v>30</v>
      </c>
      <c r="C12" s="3">
        <f>IF(VLOOKUP($A12,overview!$B$3:$AJ$154,COLUMN(),FALSE) = "","",VLOOKUP($A12,overview!$B$3:$AJ$154,COLUMN(C12),FALSE))</f>
        <v>20</v>
      </c>
      <c r="D12" s="3">
        <f>IF(VLOOKUP($A12,overview!$B$3:$AJ$154,COLUMN(),FALSE) = "","",VLOOKUP($A12,overview!$B$3:$AJ$154,COLUMN(D12),FALSE))</f>
        <v>30</v>
      </c>
      <c r="E12" s="3" t="str">
        <f>IF(VLOOKUP($A12,overview!$B$3:$AJ$154,COLUMN(),FALSE) = "","",VLOOKUP($A12,overview!$B$3:$AJ$154,COLUMN(E12),FALSE))</f>
        <v/>
      </c>
      <c r="F12" s="3" t="str">
        <f>IF(VLOOKUP($A12,overview!$B$3:$AJ$154,COLUMN(),FALSE) = "","",VLOOKUP($A12,overview!$B$3:$AJ$154,COLUMN(F12),FALSE))</f>
        <v/>
      </c>
      <c r="G12" s="3" t="str">
        <f>IF(VLOOKUP($A12,overview!$B$3:$AJ$154,COLUMN(),FALSE) = "","",VLOOKUP($A12,overview!$B$3:$AJ$154,COLUMN(G12),FALSE))</f>
        <v/>
      </c>
      <c r="H12" s="3" t="str">
        <f>IF(VLOOKUP($A12,overview!$B$3:$AJ$154,COLUMN(),FALSE) = "","",VLOOKUP($A12,overview!$B$3:$AJ$154,COLUMN(H12),FALSE))</f>
        <v/>
      </c>
      <c r="I12" s="3" t="str">
        <f>IF(VLOOKUP($A12,overview!$B$3:$AJ$154,COLUMN(),FALSE) = "","",VLOOKUP($A12,overview!$B$3:$AJ$154,COLUMN(I12),FALSE))</f>
        <v/>
      </c>
      <c r="J12" s="3" t="str">
        <f>IF(VLOOKUP($A12,overview!$B$3:$AJ$154,COLUMN(),FALSE) = "","",VLOOKUP($A12,overview!$B$3:$AJ$154,COLUMN(J12),FALSE))</f>
        <v/>
      </c>
      <c r="K12" s="3" t="str">
        <f>IF(VLOOKUP($A12,overview!$B$3:$AJ$154,COLUMN(),FALSE) = "","",VLOOKUP($A12,overview!$B$3:$AJ$154,COLUMN(K12),FALSE))</f>
        <v/>
      </c>
      <c r="L12" s="3" t="str">
        <f>IF(VLOOKUP($A12,overview!$B$3:$AJ$154,COLUMN(),FALSE) = "","",VLOOKUP($A12,overview!$B$3:$AJ$154,COLUMN(L12),FALSE))</f>
        <v/>
      </c>
      <c r="M12" s="3" t="str">
        <f>IF(VLOOKUP($A12,overview!$B$3:$AJ$154,COLUMN(),FALSE) = "","",VLOOKUP($A12,overview!$B$3:$AJ$154,COLUMN(M12),FALSE))</f>
        <v/>
      </c>
      <c r="N12" s="3" t="str">
        <f>IF(VLOOKUP($A12,overview!$B$3:$AJ$154,COLUMN(),FALSE) = "","",VLOOKUP($A12,overview!$B$3:$AJ$154,COLUMN(N12),FALSE))</f>
        <v/>
      </c>
      <c r="O12" s="3" t="str">
        <f>IF(VLOOKUP($A12,overview!$B$3:$AJ$154,COLUMN(),FALSE) = "","",VLOOKUP($A12,overview!$B$3:$AJ$154,COLUMN(O12),FALSE))</f>
        <v/>
      </c>
      <c r="P12" s="3" t="str">
        <f>IF(VLOOKUP($A12,overview!$B$3:$AJ$154,COLUMN(),FALSE) = "","",VLOOKUP($A12,overview!$B$3:$AJ$154,COLUMN(P12),FALSE))</f>
        <v/>
      </c>
      <c r="Q12" s="3" t="str">
        <f>IF(VLOOKUP($A12,overview!$B$3:$AJ$154,COLUMN(),FALSE) = "","",VLOOKUP($A12,overview!$B$3:$AJ$154,COLUMN(Q12),FALSE))</f>
        <v/>
      </c>
      <c r="R12" s="3" t="str">
        <f>IF(VLOOKUP($A12,overview!$B$3:$AJ$154,COLUMN(),FALSE) = "","",VLOOKUP($A12,overview!$B$3:$AJ$154,COLUMN(R12),FALSE))</f>
        <v/>
      </c>
      <c r="S12" s="3" t="str">
        <f>IF(VLOOKUP($A12,overview!$B$3:$AJ$154,COLUMN(),FALSE) = "","",VLOOKUP($A12,overview!$B$3:$AJ$154,COLUMN(S12),FALSE))</f>
        <v/>
      </c>
      <c r="T12" s="3" t="str">
        <f>IF(VLOOKUP($A12,overview!$B$3:$AJ$154,COLUMN(),FALSE) = "","",VLOOKUP($A12,overview!$B$3:$AJ$154,COLUMN(T12),FALSE))</f>
        <v/>
      </c>
      <c r="U12" s="3" t="str">
        <f>IF(VLOOKUP($A12,overview!$B$3:$AJ$154,COLUMN(),FALSE) = "","",VLOOKUP($A12,overview!$B$3:$AJ$154,COLUMN(U12),FALSE))</f>
        <v/>
      </c>
      <c r="V12" s="3" t="str">
        <f>IF(VLOOKUP($A12,overview!$B$3:$AJ$154,COLUMN(),FALSE) = "","",VLOOKUP($A12,overview!$B$3:$AJ$154,COLUMN(V12),FALSE))</f>
        <v/>
      </c>
      <c r="W12" s="3" t="str">
        <f>IF(VLOOKUP($A12,overview!$B$3:$AJ$154,COLUMN(),FALSE) = "","",VLOOKUP($A12,overview!$B$3:$AJ$154,COLUMN(W12),FALSE))</f>
        <v/>
      </c>
      <c r="X12" s="3" t="str">
        <f>IF(VLOOKUP($A12,overview!$B$3:$AJ$154,COLUMN(),FALSE) = "","",VLOOKUP($A12,overview!$B$3:$AJ$154,COLUMN(X12),FALSE))</f>
        <v/>
      </c>
      <c r="Y12" s="3" t="str">
        <f>IF(VLOOKUP($A12,overview!$B$3:$AJ$154,COLUMN(),FALSE) = "","",VLOOKUP($A12,overview!$B$3:$AJ$154,COLUMN(Y12),FALSE))</f>
        <v/>
      </c>
      <c r="Z12" s="3" t="str">
        <f>IF(VLOOKUP($A12,overview!$B$3:$AJ$154,COLUMN(),FALSE) = "","",VLOOKUP($A12,overview!$B$3:$AJ$154,COLUMN(Z12),FALSE))</f>
        <v/>
      </c>
      <c r="AA12" s="3" t="str">
        <f>IF(VLOOKUP($A12,overview!$B$3:$AJ$154,COLUMN(),FALSE) = "","",VLOOKUP($A12,overview!$B$3:$AJ$154,COLUMN(AA12),FALSE))</f>
        <v/>
      </c>
      <c r="AB12" s="3" t="str">
        <f>IF(VLOOKUP($A12,overview!$B$3:$AJ$154,COLUMN(),FALSE) = "","",VLOOKUP($A12,overview!$B$3:$AJ$154,COLUMN(AB12),FALSE))</f>
        <v/>
      </c>
      <c r="AC12" s="3" t="str">
        <f>IF(VLOOKUP($A12,overview!$B$3:$AJ$154,COLUMN(),FALSE) = "","",VLOOKUP($A12,overview!$B$3:$AJ$154,COLUMN(AC12),FALSE))</f>
        <v/>
      </c>
      <c r="AD12" s="3" t="str">
        <f>IF(VLOOKUP($A12,overview!$B$3:$AJ$154,COLUMN(),FALSE) = "","",VLOOKUP($A12,overview!$B$3:$AJ$154,COLUMN(AD12),FALSE))</f>
        <v/>
      </c>
      <c r="AE12" s="3" t="str">
        <f>IF(VLOOKUP($A12,overview!$B$3:$AJ$154,COLUMN(),FALSE) = "","",VLOOKUP($A12,overview!$B$3:$AJ$154,COLUMN(AE12),FALSE))</f>
        <v/>
      </c>
      <c r="AF12" s="3" t="str">
        <f>IF(VLOOKUP($A12,overview!$B$3:$AJ$154,COLUMN(),FALSE) = "","",VLOOKUP($A12,overview!$B$3:$AJ$154,COLUMN(AF12),FALSE))</f>
        <v/>
      </c>
      <c r="AG12" s="3" t="str">
        <f>IF(VLOOKUP($A12,overview!$B$3:$AJ$154,COLUMN(),FALSE) = "","",VLOOKUP($A12,overview!$B$3:$AJ$154,COLUMN(AG12),FALSE))</f>
        <v/>
      </c>
      <c r="AH12" s="3" t="str">
        <f>IF(VLOOKUP($A12,overview!$B$3:$AJ$154,COLUMN(),FALSE) = "","",VLOOKUP($A12,overview!$B$3:$AJ$154,COLUMN(AH12),FALSE))</f>
        <v/>
      </c>
      <c r="AI12" s="3" t="str">
        <f>IF(VLOOKUP($A12,overview!$B$3:$AJ$154,COLUMN(),FALSE) = "","",VLOOKUP($A12,overview!$B$3:$AJ$154,COLUMN(AI12),FALSE))</f>
        <v>years</v>
      </c>
    </row>
    <row r="13" spans="1:35" ht="15.75" customHeight="1" x14ac:dyDescent="0.2">
      <c r="A13" s="8" t="s">
        <v>81</v>
      </c>
      <c r="B13" s="3">
        <f>IF(VLOOKUP($A13,overview!$B$3:$AJ$154,COLUMN(),FALSE) = "","",VLOOKUP($A13,overview!$B$3:$AJ$154,COLUMN(B13),FALSE))</f>
        <v>29771.686746987947</v>
      </c>
      <c r="C13" s="3" t="str">
        <f>IF(VLOOKUP($A13,overview!$B$3:$AJ$154,COLUMN(),FALSE) = "","",VLOOKUP($A13,overview!$B$3:$AJ$154,COLUMN(C13),FALSE))</f>
        <v/>
      </c>
      <c r="D13" s="3" t="str">
        <f>IF(VLOOKUP($A13,overview!$B$3:$AJ$154,COLUMN(),FALSE) = "","",VLOOKUP($A13,overview!$B$3:$AJ$154,COLUMN(D13),FALSE))</f>
        <v/>
      </c>
      <c r="E13" s="3" t="str">
        <f>IF(VLOOKUP($A13,overview!$B$3:$AJ$154,COLUMN(),FALSE) = "","",VLOOKUP($A13,overview!$B$3:$AJ$154,COLUMN(E13),FALSE))</f>
        <v/>
      </c>
      <c r="F13" s="3" t="str">
        <f>IF(VLOOKUP($A13,overview!$B$3:$AJ$154,COLUMN(),FALSE) = "","",VLOOKUP($A13,overview!$B$3:$AJ$154,COLUMN(F13),FALSE))</f>
        <v/>
      </c>
      <c r="G13" s="3" t="str">
        <f>IF(VLOOKUP($A13,overview!$B$3:$AJ$154,COLUMN(),FALSE) = "","",VLOOKUP($A13,overview!$B$3:$AJ$154,COLUMN(G13),FALSE))</f>
        <v/>
      </c>
      <c r="H13" s="3" t="str">
        <f>IF(VLOOKUP($A13,overview!$B$3:$AJ$154,COLUMN(),FALSE) = "","",VLOOKUP($A13,overview!$B$3:$AJ$154,COLUMN(H13),FALSE))</f>
        <v/>
      </c>
      <c r="I13" s="3" t="str">
        <f>IF(VLOOKUP($A13,overview!$B$3:$AJ$154,COLUMN(),FALSE) = "","",VLOOKUP($A13,overview!$B$3:$AJ$154,COLUMN(I13),FALSE))</f>
        <v/>
      </c>
      <c r="J13" s="3" t="str">
        <f>IF(VLOOKUP($A13,overview!$B$3:$AJ$154,COLUMN(),FALSE) = "","",VLOOKUP($A13,overview!$B$3:$AJ$154,COLUMN(J13),FALSE))</f>
        <v/>
      </c>
      <c r="K13" s="3" t="str">
        <f>IF(VLOOKUP($A13,overview!$B$3:$AJ$154,COLUMN(),FALSE) = "","",VLOOKUP($A13,overview!$B$3:$AJ$154,COLUMN(K13),FALSE))</f>
        <v/>
      </c>
      <c r="L13" s="3" t="str">
        <f>IF(VLOOKUP($A13,overview!$B$3:$AJ$154,COLUMN(),FALSE) = "","",VLOOKUP($A13,overview!$B$3:$AJ$154,COLUMN(L13),FALSE))</f>
        <v/>
      </c>
      <c r="M13" s="3" t="str">
        <f>IF(VLOOKUP($A13,overview!$B$3:$AJ$154,COLUMN(),FALSE) = "","",VLOOKUP($A13,overview!$B$3:$AJ$154,COLUMN(M13),FALSE))</f>
        <v/>
      </c>
      <c r="N13" s="3" t="str">
        <f>IF(VLOOKUP($A13,overview!$B$3:$AJ$154,COLUMN(),FALSE) = "","",VLOOKUP($A13,overview!$B$3:$AJ$154,COLUMN(N13),FALSE))</f>
        <v/>
      </c>
      <c r="O13" s="3" t="str">
        <f>IF(VLOOKUP($A13,overview!$B$3:$AJ$154,COLUMN(),FALSE) = "","",VLOOKUP($A13,overview!$B$3:$AJ$154,COLUMN(O13),FALSE))</f>
        <v/>
      </c>
      <c r="P13" s="3" t="str">
        <f>IF(VLOOKUP($A13,overview!$B$3:$AJ$154,COLUMN(),FALSE) = "","",VLOOKUP($A13,overview!$B$3:$AJ$154,COLUMN(P13),FALSE))</f>
        <v/>
      </c>
      <c r="Q13" s="3" t="str">
        <f>IF(VLOOKUP($A13,overview!$B$3:$AJ$154,COLUMN(),FALSE) = "","",VLOOKUP($A13,overview!$B$3:$AJ$154,COLUMN(Q13),FALSE))</f>
        <v/>
      </c>
      <c r="R13" s="3" t="str">
        <f>IF(VLOOKUP($A13,overview!$B$3:$AJ$154,COLUMN(),FALSE) = "","",VLOOKUP($A13,overview!$B$3:$AJ$154,COLUMN(R13),FALSE))</f>
        <v/>
      </c>
      <c r="S13" s="3" t="str">
        <f>IF(VLOOKUP($A13,overview!$B$3:$AJ$154,COLUMN(),FALSE) = "","",VLOOKUP($A13,overview!$B$3:$AJ$154,COLUMN(S13),FALSE))</f>
        <v/>
      </c>
      <c r="T13" s="3" t="str">
        <f>IF(VLOOKUP($A13,overview!$B$3:$AJ$154,COLUMN(),FALSE) = "","",VLOOKUP($A13,overview!$B$3:$AJ$154,COLUMN(T13),FALSE))</f>
        <v/>
      </c>
      <c r="U13" s="3" t="str">
        <f>IF(VLOOKUP($A13,overview!$B$3:$AJ$154,COLUMN(),FALSE) = "","",VLOOKUP($A13,overview!$B$3:$AJ$154,COLUMN(U13),FALSE))</f>
        <v/>
      </c>
      <c r="V13" s="3" t="str">
        <f>IF(VLOOKUP($A13,overview!$B$3:$AJ$154,COLUMN(),FALSE) = "","",VLOOKUP($A13,overview!$B$3:$AJ$154,COLUMN(V13),FALSE))</f>
        <v/>
      </c>
      <c r="W13" s="3" t="str">
        <f>IF(VLOOKUP($A13,overview!$B$3:$AJ$154,COLUMN(),FALSE) = "","",VLOOKUP($A13,overview!$B$3:$AJ$154,COLUMN(W13),FALSE))</f>
        <v/>
      </c>
      <c r="X13" s="3" t="str">
        <f>IF(VLOOKUP($A13,overview!$B$3:$AJ$154,COLUMN(),FALSE) = "","",VLOOKUP($A13,overview!$B$3:$AJ$154,COLUMN(X13),FALSE))</f>
        <v/>
      </c>
      <c r="Y13" s="3" t="str">
        <f>IF(VLOOKUP($A13,overview!$B$3:$AJ$154,COLUMN(),FALSE) = "","",VLOOKUP($A13,overview!$B$3:$AJ$154,COLUMN(Y13),FALSE))</f>
        <v/>
      </c>
      <c r="Z13" s="3" t="str">
        <f>IF(VLOOKUP($A13,overview!$B$3:$AJ$154,COLUMN(),FALSE) = "","",VLOOKUP($A13,overview!$B$3:$AJ$154,COLUMN(Z13),FALSE))</f>
        <v/>
      </c>
      <c r="AA13" s="3" t="str">
        <f>IF(VLOOKUP($A13,overview!$B$3:$AJ$154,COLUMN(),FALSE) = "","",VLOOKUP($A13,overview!$B$3:$AJ$154,COLUMN(AA13),FALSE))</f>
        <v/>
      </c>
      <c r="AB13" s="3" t="str">
        <f>IF(VLOOKUP($A13,overview!$B$3:$AJ$154,COLUMN(),FALSE) = "","",VLOOKUP($A13,overview!$B$3:$AJ$154,COLUMN(AB13),FALSE))</f>
        <v/>
      </c>
      <c r="AC13" s="3" t="str">
        <f>IF(VLOOKUP($A13,overview!$B$3:$AJ$154,COLUMN(),FALSE) = "","",VLOOKUP($A13,overview!$B$3:$AJ$154,COLUMN(AC13),FALSE))</f>
        <v/>
      </c>
      <c r="AD13" s="3" t="str">
        <f>IF(VLOOKUP($A13,overview!$B$3:$AJ$154,COLUMN(),FALSE) = "","",VLOOKUP($A13,overview!$B$3:$AJ$154,COLUMN(AD13),FALSE))</f>
        <v/>
      </c>
      <c r="AE13" s="3" t="str">
        <f>IF(VLOOKUP($A13,overview!$B$3:$AJ$154,COLUMN(),FALSE) = "","",VLOOKUP($A13,overview!$B$3:$AJ$154,COLUMN(AE13),FALSE))</f>
        <v/>
      </c>
      <c r="AF13" s="3" t="str">
        <f>IF(VLOOKUP($A13,overview!$B$3:$AJ$154,COLUMN(),FALSE) = "","",VLOOKUP($A13,overview!$B$3:$AJ$154,COLUMN(AF13),FALSE))</f>
        <v/>
      </c>
      <c r="AG13" s="3" t="str">
        <f>IF(VLOOKUP($A13,overview!$B$3:$AJ$154,COLUMN(),FALSE) = "","",VLOOKUP($A13,overview!$B$3:$AJ$154,COLUMN(AG13),FALSE))</f>
        <v/>
      </c>
      <c r="AH13" s="3" t="str">
        <f>IF(VLOOKUP($A13,overview!$B$3:$AJ$154,COLUMN(),FALSE) = "","",VLOOKUP($A13,overview!$B$3:$AJ$154,COLUMN(AH13),FALSE))</f>
        <v/>
      </c>
      <c r="AI13" s="3" t="str">
        <f>IF(VLOOKUP($A13,overview!$B$3:$AJ$154,COLUMN(),FALSE) = "","",VLOOKUP($A13,overview!$B$3:$AJ$154,COLUMN(AI13),FALSE))</f>
        <v>kWp/sqkm</v>
      </c>
    </row>
    <row r="14" spans="1:35" ht="15.75" customHeight="1" x14ac:dyDescent="0.2">
      <c r="A14" s="8" t="s">
        <v>77</v>
      </c>
      <c r="B14" s="27">
        <f>IF(VLOOKUP($A14,overview!$B$3:$AJ$154,COLUMN(),FALSE) = "","",VLOOKUP($A14,overview!$B$3:$AJ$154,COLUMN(B14),FALSE))</f>
        <v>500000</v>
      </c>
      <c r="C14" s="3" t="str">
        <f>IF(VLOOKUP($A14,overview!$B$3:$AJ$154,COLUMN(),FALSE) = "","",VLOOKUP($A14,overview!$B$3:$AJ$154,COLUMN(C14),FALSE))</f>
        <v/>
      </c>
      <c r="D14" s="3" t="str">
        <f>IF(VLOOKUP($A14,overview!$B$3:$AJ$154,COLUMN(),FALSE) = "","",VLOOKUP($A14,overview!$B$3:$AJ$154,COLUMN(D14),FALSE))</f>
        <v/>
      </c>
      <c r="E14" s="3" t="str">
        <f>IF(VLOOKUP($A14,overview!$B$3:$AJ$154,COLUMN(),FALSE) = "","",VLOOKUP($A14,overview!$B$3:$AJ$154,COLUMN(E14),FALSE))</f>
        <v/>
      </c>
      <c r="F14" s="3" t="str">
        <f>IF(VLOOKUP($A14,overview!$B$3:$AJ$154,COLUMN(),FALSE) = "","",VLOOKUP($A14,overview!$B$3:$AJ$154,COLUMN(F14),FALSE))</f>
        <v/>
      </c>
      <c r="G14" s="3" t="str">
        <f>IF(VLOOKUP($A14,overview!$B$3:$AJ$154,COLUMN(),FALSE) = "","",VLOOKUP($A14,overview!$B$3:$AJ$154,COLUMN(G14),FALSE))</f>
        <v/>
      </c>
      <c r="H14" s="3" t="str">
        <f>IF(VLOOKUP($A14,overview!$B$3:$AJ$154,COLUMN(),FALSE) = "","",VLOOKUP($A14,overview!$B$3:$AJ$154,COLUMN(H14),FALSE))</f>
        <v/>
      </c>
      <c r="I14" s="3" t="str">
        <f>IF(VLOOKUP($A14,overview!$B$3:$AJ$154,COLUMN(),FALSE) = "","",VLOOKUP($A14,overview!$B$3:$AJ$154,COLUMN(I14),FALSE))</f>
        <v/>
      </c>
      <c r="J14" s="3" t="str">
        <f>IF(VLOOKUP($A14,overview!$B$3:$AJ$154,COLUMN(),FALSE) = "","",VLOOKUP($A14,overview!$B$3:$AJ$154,COLUMN(J14),FALSE))</f>
        <v/>
      </c>
      <c r="K14" s="3" t="str">
        <f>IF(VLOOKUP($A14,overview!$B$3:$AJ$154,COLUMN(),FALSE) = "","",VLOOKUP($A14,overview!$B$3:$AJ$154,COLUMN(K14),FALSE))</f>
        <v/>
      </c>
      <c r="L14" s="3" t="str">
        <f>IF(VLOOKUP($A14,overview!$B$3:$AJ$154,COLUMN(),FALSE) = "","",VLOOKUP($A14,overview!$B$3:$AJ$154,COLUMN(L14),FALSE))</f>
        <v/>
      </c>
      <c r="M14" s="3" t="str">
        <f>IF(VLOOKUP($A14,overview!$B$3:$AJ$154,COLUMN(),FALSE) = "","",VLOOKUP($A14,overview!$B$3:$AJ$154,COLUMN(M14),FALSE))</f>
        <v/>
      </c>
      <c r="N14" s="3" t="str">
        <f>IF(VLOOKUP($A14,overview!$B$3:$AJ$154,COLUMN(),FALSE) = "","",VLOOKUP($A14,overview!$B$3:$AJ$154,COLUMN(N14),FALSE))</f>
        <v/>
      </c>
      <c r="O14" s="3" t="str">
        <f>IF(VLOOKUP($A14,overview!$B$3:$AJ$154,COLUMN(),FALSE) = "","",VLOOKUP($A14,overview!$B$3:$AJ$154,COLUMN(O14),FALSE))</f>
        <v/>
      </c>
      <c r="P14" s="3" t="str">
        <f>IF(VLOOKUP($A14,overview!$B$3:$AJ$154,COLUMN(),FALSE) = "","",VLOOKUP($A14,overview!$B$3:$AJ$154,COLUMN(P14),FALSE))</f>
        <v/>
      </c>
      <c r="Q14" s="3" t="str">
        <f>IF(VLOOKUP($A14,overview!$B$3:$AJ$154,COLUMN(),FALSE) = "","",VLOOKUP($A14,overview!$B$3:$AJ$154,COLUMN(Q14),FALSE))</f>
        <v/>
      </c>
      <c r="R14" s="3" t="str">
        <f>IF(VLOOKUP($A14,overview!$B$3:$AJ$154,COLUMN(),FALSE) = "","",VLOOKUP($A14,overview!$B$3:$AJ$154,COLUMN(R14),FALSE))</f>
        <v/>
      </c>
      <c r="S14" s="3" t="str">
        <f>IF(VLOOKUP($A14,overview!$B$3:$AJ$154,COLUMN(),FALSE) = "","",VLOOKUP($A14,overview!$B$3:$AJ$154,COLUMN(S14),FALSE))</f>
        <v/>
      </c>
      <c r="T14" s="3" t="str">
        <f>IF(VLOOKUP($A14,overview!$B$3:$AJ$154,COLUMN(),FALSE) = "","",VLOOKUP($A14,overview!$B$3:$AJ$154,COLUMN(T14),FALSE))</f>
        <v/>
      </c>
      <c r="U14" s="3" t="str">
        <f>IF(VLOOKUP($A14,overview!$B$3:$AJ$154,COLUMN(),FALSE) = "","",VLOOKUP($A14,overview!$B$3:$AJ$154,COLUMN(U14),FALSE))</f>
        <v/>
      </c>
      <c r="V14" s="3" t="str">
        <f>IF(VLOOKUP($A14,overview!$B$3:$AJ$154,COLUMN(),FALSE) = "","",VLOOKUP($A14,overview!$B$3:$AJ$154,COLUMN(V14),FALSE))</f>
        <v/>
      </c>
      <c r="W14" s="3" t="str">
        <f>IF(VLOOKUP($A14,overview!$B$3:$AJ$154,COLUMN(),FALSE) = "","",VLOOKUP($A14,overview!$B$3:$AJ$154,COLUMN(W14),FALSE))</f>
        <v/>
      </c>
      <c r="X14" s="3" t="str">
        <f>IF(VLOOKUP($A14,overview!$B$3:$AJ$154,COLUMN(),FALSE) = "","",VLOOKUP($A14,overview!$B$3:$AJ$154,COLUMN(X14),FALSE))</f>
        <v/>
      </c>
      <c r="Y14" s="3" t="str">
        <f>IF(VLOOKUP($A14,overview!$B$3:$AJ$154,COLUMN(),FALSE) = "","",VLOOKUP($A14,overview!$B$3:$AJ$154,COLUMN(Y14),FALSE))</f>
        <v/>
      </c>
      <c r="Z14" s="3" t="str">
        <f>IF(VLOOKUP($A14,overview!$B$3:$AJ$154,COLUMN(),FALSE) = "","",VLOOKUP($A14,overview!$B$3:$AJ$154,COLUMN(Z14),FALSE))</f>
        <v/>
      </c>
      <c r="AA14" s="3" t="str">
        <f>IF(VLOOKUP($A14,overview!$B$3:$AJ$154,COLUMN(),FALSE) = "","",VLOOKUP($A14,overview!$B$3:$AJ$154,COLUMN(AA14),FALSE))</f>
        <v/>
      </c>
      <c r="AB14" s="3" t="str">
        <f>IF(VLOOKUP($A14,overview!$B$3:$AJ$154,COLUMN(),FALSE) = "","",VLOOKUP($A14,overview!$B$3:$AJ$154,COLUMN(AB14),FALSE))</f>
        <v/>
      </c>
      <c r="AC14" s="3" t="str">
        <f>IF(VLOOKUP($A14,overview!$B$3:$AJ$154,COLUMN(),FALSE) = "","",VLOOKUP($A14,overview!$B$3:$AJ$154,COLUMN(AC14),FALSE))</f>
        <v/>
      </c>
      <c r="AD14" s="3" t="str">
        <f>IF(VLOOKUP($A14,overview!$B$3:$AJ$154,COLUMN(),FALSE) = "","",VLOOKUP($A14,overview!$B$3:$AJ$154,COLUMN(AD14),FALSE))</f>
        <v/>
      </c>
      <c r="AE14" s="3" t="str">
        <f>IF(VLOOKUP($A14,overview!$B$3:$AJ$154,COLUMN(),FALSE) = "","",VLOOKUP($A14,overview!$B$3:$AJ$154,COLUMN(AE14),FALSE))</f>
        <v/>
      </c>
      <c r="AF14" s="3" t="str">
        <f>IF(VLOOKUP($A14,overview!$B$3:$AJ$154,COLUMN(),FALSE) = "","",VLOOKUP($A14,overview!$B$3:$AJ$154,COLUMN(AF14),FALSE))</f>
        <v/>
      </c>
      <c r="AG14" s="3" t="str">
        <f>IF(VLOOKUP($A14,overview!$B$3:$AJ$154,COLUMN(),FALSE) = "","",VLOOKUP($A14,overview!$B$3:$AJ$154,COLUMN(AG14),FALSE))</f>
        <v/>
      </c>
      <c r="AH14" s="3" t="str">
        <f>IF(VLOOKUP($A14,overview!$B$3:$AJ$154,COLUMN(),FALSE) = "","",VLOOKUP($A14,overview!$B$3:$AJ$154,COLUMN(AH14),FALSE))</f>
        <v/>
      </c>
      <c r="AI14" s="3" t="str">
        <f>IF(VLOOKUP($A14,overview!$B$3:$AJ$154,COLUMN(),FALSE) = "","",VLOOKUP($A14,overview!$B$3:$AJ$154,COLUMN(AI14),FALSE))</f>
        <v>kW</v>
      </c>
    </row>
    <row r="15" spans="1:35" ht="15.75" customHeight="1" x14ac:dyDescent="0.2">
      <c r="A15" s="8" t="s">
        <v>79</v>
      </c>
      <c r="B15" s="3">
        <f>IF(VLOOKUP($A15,overview!$B$3:$AJ$154,COLUMN(),FALSE) = "","",VLOOKUP($A15,overview!$B$3:$AJ$154,COLUMN(B15),FALSE))</f>
        <v>0</v>
      </c>
      <c r="C15" s="3" t="str">
        <f>IF(VLOOKUP($A15,overview!$B$3:$AJ$154,COLUMN(),FALSE) = "","",VLOOKUP($A15,overview!$B$3:$AJ$154,COLUMN(C15),FALSE))</f>
        <v/>
      </c>
      <c r="D15" s="3" t="str">
        <f>IF(VLOOKUP($A15,overview!$B$3:$AJ$154,COLUMN(),FALSE) = "","",VLOOKUP($A15,overview!$B$3:$AJ$154,COLUMN(D15),FALSE))</f>
        <v/>
      </c>
      <c r="E15" s="3" t="str">
        <f>IF(VLOOKUP($A15,overview!$B$3:$AJ$154,COLUMN(),FALSE) = "","",VLOOKUP($A15,overview!$B$3:$AJ$154,COLUMN(E15),FALSE))</f>
        <v/>
      </c>
      <c r="F15" s="3" t="str">
        <f>IF(VLOOKUP($A15,overview!$B$3:$AJ$154,COLUMN(),FALSE) = "","",VLOOKUP($A15,overview!$B$3:$AJ$154,COLUMN(F15),FALSE))</f>
        <v/>
      </c>
      <c r="G15" s="3" t="str">
        <f>IF(VLOOKUP($A15,overview!$B$3:$AJ$154,COLUMN(),FALSE) = "","",VLOOKUP($A15,overview!$B$3:$AJ$154,COLUMN(G15),FALSE))</f>
        <v/>
      </c>
      <c r="H15" s="3" t="str">
        <f>IF(VLOOKUP($A15,overview!$B$3:$AJ$154,COLUMN(),FALSE) = "","",VLOOKUP($A15,overview!$B$3:$AJ$154,COLUMN(H15),FALSE))</f>
        <v/>
      </c>
      <c r="I15" s="3" t="str">
        <f>IF(VLOOKUP($A15,overview!$B$3:$AJ$154,COLUMN(),FALSE) = "","",VLOOKUP($A15,overview!$B$3:$AJ$154,COLUMN(I15),FALSE))</f>
        <v/>
      </c>
      <c r="J15" s="3" t="str">
        <f>IF(VLOOKUP($A15,overview!$B$3:$AJ$154,COLUMN(),FALSE) = "","",VLOOKUP($A15,overview!$B$3:$AJ$154,COLUMN(J15),FALSE))</f>
        <v/>
      </c>
      <c r="K15" s="3" t="str">
        <f>IF(VLOOKUP($A15,overview!$B$3:$AJ$154,COLUMN(),FALSE) = "","",VLOOKUP($A15,overview!$B$3:$AJ$154,COLUMN(K15),FALSE))</f>
        <v/>
      </c>
      <c r="L15" s="3" t="str">
        <f>IF(VLOOKUP($A15,overview!$B$3:$AJ$154,COLUMN(),FALSE) = "","",VLOOKUP($A15,overview!$B$3:$AJ$154,COLUMN(L15),FALSE))</f>
        <v/>
      </c>
      <c r="M15" s="3" t="str">
        <f>IF(VLOOKUP($A15,overview!$B$3:$AJ$154,COLUMN(),FALSE) = "","",VLOOKUP($A15,overview!$B$3:$AJ$154,COLUMN(M15),FALSE))</f>
        <v/>
      </c>
      <c r="N15" s="3" t="str">
        <f>IF(VLOOKUP($A15,overview!$B$3:$AJ$154,COLUMN(),FALSE) = "","",VLOOKUP($A15,overview!$B$3:$AJ$154,COLUMN(N15),FALSE))</f>
        <v/>
      </c>
      <c r="O15" s="3" t="str">
        <f>IF(VLOOKUP($A15,overview!$B$3:$AJ$154,COLUMN(),FALSE) = "","",VLOOKUP($A15,overview!$B$3:$AJ$154,COLUMN(O15),FALSE))</f>
        <v/>
      </c>
      <c r="P15" s="3" t="str">
        <f>IF(VLOOKUP($A15,overview!$B$3:$AJ$154,COLUMN(),FALSE) = "","",VLOOKUP($A15,overview!$B$3:$AJ$154,COLUMN(P15),FALSE))</f>
        <v/>
      </c>
      <c r="Q15" s="3" t="str">
        <f>IF(VLOOKUP($A15,overview!$B$3:$AJ$154,COLUMN(),FALSE) = "","",VLOOKUP($A15,overview!$B$3:$AJ$154,COLUMN(Q15),FALSE))</f>
        <v/>
      </c>
      <c r="R15" s="3" t="str">
        <f>IF(VLOOKUP($A15,overview!$B$3:$AJ$154,COLUMN(),FALSE) = "","",VLOOKUP($A15,overview!$B$3:$AJ$154,COLUMN(R15),FALSE))</f>
        <v/>
      </c>
      <c r="S15" s="3" t="str">
        <f>IF(VLOOKUP($A15,overview!$B$3:$AJ$154,COLUMN(),FALSE) = "","",VLOOKUP($A15,overview!$B$3:$AJ$154,COLUMN(S15),FALSE))</f>
        <v/>
      </c>
      <c r="T15" s="3" t="str">
        <f>IF(VLOOKUP($A15,overview!$B$3:$AJ$154,COLUMN(),FALSE) = "","",VLOOKUP($A15,overview!$B$3:$AJ$154,COLUMN(T15),FALSE))</f>
        <v/>
      </c>
      <c r="U15" s="3" t="str">
        <f>IF(VLOOKUP($A15,overview!$B$3:$AJ$154,COLUMN(),FALSE) = "","",VLOOKUP($A15,overview!$B$3:$AJ$154,COLUMN(U15),FALSE))</f>
        <v/>
      </c>
      <c r="V15" s="3" t="str">
        <f>IF(VLOOKUP($A15,overview!$B$3:$AJ$154,COLUMN(),FALSE) = "","",VLOOKUP($A15,overview!$B$3:$AJ$154,COLUMN(V15),FALSE))</f>
        <v/>
      </c>
      <c r="W15" s="3" t="str">
        <f>IF(VLOOKUP($A15,overview!$B$3:$AJ$154,COLUMN(),FALSE) = "","",VLOOKUP($A15,overview!$B$3:$AJ$154,COLUMN(W15),FALSE))</f>
        <v/>
      </c>
      <c r="X15" s="3" t="str">
        <f>IF(VLOOKUP($A15,overview!$B$3:$AJ$154,COLUMN(),FALSE) = "","",VLOOKUP($A15,overview!$B$3:$AJ$154,COLUMN(X15),FALSE))</f>
        <v/>
      </c>
      <c r="Y15" s="3" t="str">
        <f>IF(VLOOKUP($A15,overview!$B$3:$AJ$154,COLUMN(),FALSE) = "","",VLOOKUP($A15,overview!$B$3:$AJ$154,COLUMN(Y15),FALSE))</f>
        <v/>
      </c>
      <c r="Z15" s="3" t="str">
        <f>IF(VLOOKUP($A15,overview!$B$3:$AJ$154,COLUMN(),FALSE) = "","",VLOOKUP($A15,overview!$B$3:$AJ$154,COLUMN(Z15),FALSE))</f>
        <v/>
      </c>
      <c r="AA15" s="3" t="str">
        <f>IF(VLOOKUP($A15,overview!$B$3:$AJ$154,COLUMN(),FALSE) = "","",VLOOKUP($A15,overview!$B$3:$AJ$154,COLUMN(AA15),FALSE))</f>
        <v/>
      </c>
      <c r="AB15" s="3" t="str">
        <f>IF(VLOOKUP($A15,overview!$B$3:$AJ$154,COLUMN(),FALSE) = "","",VLOOKUP($A15,overview!$B$3:$AJ$154,COLUMN(AB15),FALSE))</f>
        <v/>
      </c>
      <c r="AC15" s="3" t="str">
        <f>IF(VLOOKUP($A15,overview!$B$3:$AJ$154,COLUMN(),FALSE) = "","",VLOOKUP($A15,overview!$B$3:$AJ$154,COLUMN(AC15),FALSE))</f>
        <v/>
      </c>
      <c r="AD15" s="3" t="str">
        <f>IF(VLOOKUP($A15,overview!$B$3:$AJ$154,COLUMN(),FALSE) = "","",VLOOKUP($A15,overview!$B$3:$AJ$154,COLUMN(AD15),FALSE))</f>
        <v/>
      </c>
      <c r="AE15" s="3" t="str">
        <f>IF(VLOOKUP($A15,overview!$B$3:$AJ$154,COLUMN(),FALSE) = "","",VLOOKUP($A15,overview!$B$3:$AJ$154,COLUMN(AE15),FALSE))</f>
        <v/>
      </c>
      <c r="AF15" s="3" t="str">
        <f>IF(VLOOKUP($A15,overview!$B$3:$AJ$154,COLUMN(),FALSE) = "","",VLOOKUP($A15,overview!$B$3:$AJ$154,COLUMN(AF15),FALSE))</f>
        <v/>
      </c>
      <c r="AG15" s="3" t="str">
        <f>IF(VLOOKUP($A15,overview!$B$3:$AJ$154,COLUMN(),FALSE) = "","",VLOOKUP($A15,overview!$B$3:$AJ$154,COLUMN(AG15),FALSE))</f>
        <v/>
      </c>
      <c r="AH15" s="3" t="str">
        <f>IF(VLOOKUP($A15,overview!$B$3:$AJ$154,COLUMN(),FALSE) = "","",VLOOKUP($A15,overview!$B$3:$AJ$154,COLUMN(AH15),FALSE))</f>
        <v/>
      </c>
      <c r="AI15" s="3" t="str">
        <f>IF(VLOOKUP($A15,overview!$B$3:$AJ$154,COLUMN(),FALSE) = "","",VLOOKUP($A15,overview!$B$3:$AJ$154,COLUMN(AI15),FALSE))</f>
        <v>kW</v>
      </c>
    </row>
    <row r="16" spans="1:35" ht="15.75" customHeight="1" x14ac:dyDescent="0.2">
      <c r="A16" s="8" t="s">
        <v>84</v>
      </c>
      <c r="B16" s="28">
        <f>IF(VLOOKUP($A16,overview!$B$3:$AJ$154,COLUMN(),FALSE) = "","",VLOOKUP($A16,overview!$B$3:$AJ$154,COLUMN(B16),FALSE))</f>
        <v>676.33333333333337</v>
      </c>
      <c r="C16" s="28">
        <f>IF(VLOOKUP($A16,overview!$B$3:$AJ$154,COLUMN(),FALSE) = "","",VLOOKUP($A16,overview!$B$3:$AJ$154,COLUMN(C16),FALSE))</f>
        <v>541.06666666666672</v>
      </c>
      <c r="D16" s="28">
        <f>IF(VLOOKUP($A16,overview!$B$3:$AJ$154,COLUMN(),FALSE) = "","",VLOOKUP($A16,overview!$B$3:$AJ$154,COLUMN(D16),FALSE))</f>
        <v>811.6</v>
      </c>
      <c r="E16" s="3">
        <f>IF(VLOOKUP($A16,overview!$B$3:$AJ$154,COLUMN(),FALSE) = "","",VLOOKUP($A16,overview!$B$3:$AJ$154,COLUMN(E16),FALSE))</f>
        <v>618.85834520758317</v>
      </c>
      <c r="F16" s="3">
        <f>IF(VLOOKUP($A16,overview!$B$3:$AJ$154,COLUMN(),FALSE) = "","",VLOOKUP($A16,overview!$B$3:$AJ$154,COLUMN(F16),FALSE))</f>
        <v>585.6955925325376</v>
      </c>
      <c r="G16" s="3">
        <f>IF(VLOOKUP($A16,overview!$B$3:$AJ$154,COLUMN(),FALSE) = "","",VLOOKUP($A16,overview!$B$3:$AJ$154,COLUMN(G16),FALSE))</f>
        <v>561.55234208318689</v>
      </c>
      <c r="H16" s="3">
        <f>IF(VLOOKUP($A16,overview!$B$3:$AJ$154,COLUMN(),FALSE) = "","",VLOOKUP($A16,overview!$B$3:$AJ$154,COLUMN(H16),FALSE))</f>
        <v>542.090015680492</v>
      </c>
      <c r="I16" s="3">
        <f>IF(VLOOKUP($A16,overview!$B$3:$AJ$154,COLUMN(),FALSE) = "","",VLOOKUP($A16,overview!$B$3:$AJ$154,COLUMN(I16),FALSE))</f>
        <v>525.49675301012792</v>
      </c>
      <c r="J16" s="3">
        <f>IF(VLOOKUP($A16,overview!$B$3:$AJ$154,COLUMN(),FALSE) = "","",VLOOKUP($A16,overview!$B$3:$AJ$154,COLUMN(J16),FALSE))</f>
        <v>510.85128745205247</v>
      </c>
      <c r="K16" s="3">
        <f>IF(VLOOKUP($A16,overview!$B$3:$AJ$154,COLUMN(),FALSE) = "","",VLOOKUP($A16,overview!$B$3:$AJ$154,COLUMN(K16),FALSE))</f>
        <v>497.6240239934375</v>
      </c>
      <c r="L16" s="3">
        <f>IF(VLOOKUP($A16,overview!$B$3:$AJ$154,COLUMN(),FALSE) = "","",VLOOKUP($A16,overview!$B$3:$AJ$154,COLUMN(L16),FALSE))</f>
        <v>485.48355812831608</v>
      </c>
      <c r="M16" s="3">
        <f>IF(VLOOKUP($A16,overview!$B$3:$AJ$154,COLUMN(),FALSE) = "","",VLOOKUP($A16,overview!$B$3:$AJ$154,COLUMN(M16),FALSE))</f>
        <v>474.20910006625041</v>
      </c>
      <c r="N16" s="3">
        <f>IF(VLOOKUP($A16,overview!$B$3:$AJ$154,COLUMN(),FALSE) = "","",VLOOKUP($A16,overview!$B$3:$AJ$154,COLUMN(N16),FALSE))</f>
        <v>463.64625855682749</v>
      </c>
      <c r="O16" s="3">
        <f>IF(VLOOKUP($A16,overview!$B$3:$AJ$154,COLUMN(),FALSE) = "","",VLOOKUP($A16,overview!$B$3:$AJ$154,COLUMN(O16),FALSE))</f>
        <v>453.68281207482079</v>
      </c>
      <c r="P16" s="3">
        <f>IF(VLOOKUP($A16,overview!$B$3:$AJ$154,COLUMN(),FALSE) = "","",VLOOKUP($A16,overview!$B$3:$AJ$154,COLUMN(P16),FALSE))</f>
        <v>444.23455673887548</v>
      </c>
      <c r="Q16" s="3">
        <f>IF(VLOOKUP($A16,overview!$B$3:$AJ$154,COLUMN(),FALSE) = "","",VLOOKUP($A16,overview!$B$3:$AJ$154,COLUMN(Q16),FALSE))</f>
        <v>435.23660462044512</v>
      </c>
      <c r="R16" s="3">
        <f>IF(VLOOKUP($A16,overview!$B$3:$AJ$154,COLUMN(),FALSE) = "","",VLOOKUP($A16,overview!$B$3:$AJ$154,COLUMN(R16),FALSE))</f>
        <v>426.63780254355669</v>
      </c>
      <c r="S16" s="3">
        <f>IF(VLOOKUP($A16,overview!$B$3:$AJ$154,COLUMN(),FALSE) = "","",VLOOKUP($A16,overview!$B$3:$AJ$154,COLUMN(S16),FALSE))</f>
        <v>418.39702338683509</v>
      </c>
      <c r="T16" s="3">
        <f>IF(VLOOKUP($A16,overview!$B$3:$AJ$154,COLUMN(),FALSE) = "","",VLOOKUP($A16,overview!$B$3:$AJ$154,COLUMN(T16),FALSE))</f>
        <v>410.48062631718159</v>
      </c>
      <c r="U16" s="3">
        <f>IF(VLOOKUP($A16,overview!$B$3:$AJ$154,COLUMN(),FALSE) = "","",VLOOKUP($A16,overview!$B$3:$AJ$154,COLUMN(U16),FALSE))</f>
        <v>402.86067179017999</v>
      </c>
      <c r="V16" s="3">
        <f>IF(VLOOKUP($A16,overview!$B$3:$AJ$154,COLUMN(),FALSE) = "","",VLOOKUP($A16,overview!$B$3:$AJ$154,COLUMN(V16),FALSE))</f>
        <v>395.51363831984253</v>
      </c>
      <c r="W16" s="3">
        <f>IF(VLOOKUP($A16,overview!$B$3:$AJ$154,COLUMN(),FALSE) = "","",VLOOKUP($A16,overview!$B$3:$AJ$154,COLUMN(W16),FALSE))</f>
        <v>388.4194814316761</v>
      </c>
      <c r="X16" s="3">
        <f>IF(VLOOKUP($A16,overview!$B$3:$AJ$154,COLUMN(),FALSE) = "","",VLOOKUP($A16,overview!$B$3:$AJ$154,COLUMN(X16),FALSE))</f>
        <v>381.56093126663143</v>
      </c>
      <c r="Y16" s="3">
        <f>IF(VLOOKUP($A16,overview!$B$3:$AJ$154,COLUMN(),FALSE) = "","",VLOOKUP($A16,overview!$B$3:$AJ$154,COLUMN(Y16),FALSE))</f>
        <v>374.92295998074991</v>
      </c>
      <c r="Z16" s="3">
        <f>IF(VLOOKUP($A16,overview!$B$3:$AJ$154,COLUMN(),FALSE) = "","",VLOOKUP($A16,overview!$B$3:$AJ$154,COLUMN(Z16),FALSE))</f>
        <v>368.49237212497229</v>
      </c>
      <c r="AA16" s="3">
        <f>IF(VLOOKUP($A16,overview!$B$3:$AJ$154,COLUMN(),FALSE) = "","",VLOOKUP($A16,overview!$B$3:$AJ$154,COLUMN(AA16),FALSE))</f>
        <v>362.25748553835928</v>
      </c>
      <c r="AB16" s="3">
        <f>IF(VLOOKUP($A16,overview!$B$3:$AJ$154,COLUMN(),FALSE) = "","",VLOOKUP($A16,overview!$B$3:$AJ$154,COLUMN(AB16),FALSE))</f>
        <v>356.20787983363653</v>
      </c>
      <c r="AC16" s="3">
        <f>IF(VLOOKUP($A16,overview!$B$3:$AJ$154,COLUMN(),FALSE) = "","",VLOOKUP($A16,overview!$B$3:$AJ$154,COLUMN(AC16),FALSE))</f>
        <v>350.33419602939739</v>
      </c>
      <c r="AD16" s="3">
        <f>IF(VLOOKUP($A16,overview!$B$3:$AJ$154,COLUMN(),FALSE) = "","",VLOOKUP($A16,overview!$B$3:$AJ$154,COLUMN(AD16),FALSE))</f>
        <v>344.62797535438239</v>
      </c>
      <c r="AE16" s="3">
        <f>IF(VLOOKUP($A16,overview!$B$3:$AJ$154,COLUMN(),FALSE) = "","",VLOOKUP($A16,overview!$B$3:$AJ$154,COLUMN(AE16),FALSE))</f>
        <v>339.08152838665569</v>
      </c>
      <c r="AF16" s="3">
        <f>IF(VLOOKUP($A16,overview!$B$3:$AJ$154,COLUMN(),FALSE) = "","",VLOOKUP($A16,overview!$B$3:$AJ$154,COLUMN(AF16),FALSE))</f>
        <v>333.68782792479129</v>
      </c>
      <c r="AG16" s="3">
        <f>IF(VLOOKUP($A16,overview!$B$3:$AJ$154,COLUMN(),FALSE) = "","",VLOOKUP($A16,overview!$B$3:$AJ$154,COLUMN(AG16),FALSE))</f>
        <v>328.44042060109962</v>
      </c>
      <c r="AH16" s="3">
        <f>IF(VLOOKUP($A16,overview!$B$3:$AJ$154,COLUMN(),FALSE) = "","",VLOOKUP($A16,overview!$B$3:$AJ$154,COLUMN(AH16),FALSE))</f>
        <v>323.33335342593369</v>
      </c>
      <c r="AI16" s="3" t="str">
        <f>IF(VLOOKUP($A16,overview!$B$3:$AJ$154,COLUMN(),FALSE) = "","",VLOOKUP($A16,overview!$B$3:$AJ$154,COLUMN(AI16),FALSE))</f>
        <v>[EUR/kWp]</v>
      </c>
    </row>
    <row r="17" spans="1:35" ht="15.75" customHeight="1" x14ac:dyDescent="0.2">
      <c r="A17" s="8" t="s">
        <v>88</v>
      </c>
      <c r="B17" s="3">
        <f>IF(VLOOKUP($A17,overview!$B$3:$AJ$154,COLUMN(),FALSE) = "","",VLOOKUP($A17,overview!$B$3:$AJ$154,COLUMN(B17),FALSE))</f>
        <v>0.02</v>
      </c>
      <c r="C17" s="3">
        <f>IF(VLOOKUP($A17,overview!$B$3:$AJ$154,COLUMN(),FALSE) = "","",VLOOKUP($A17,overview!$B$3:$AJ$154,COLUMN(C17),FALSE))</f>
        <v>1.4999999999999999E-2</v>
      </c>
      <c r="D17" s="3">
        <f>IF(VLOOKUP($A17,overview!$B$3:$AJ$154,COLUMN(),FALSE) = "","",VLOOKUP($A17,overview!$B$3:$AJ$154,COLUMN(D17),FALSE))</f>
        <v>2.5000000000000001E-2</v>
      </c>
      <c r="E17" s="3" t="str">
        <f>IF(VLOOKUP($A17,overview!$B$3:$AJ$154,COLUMN(),FALSE) = "","",VLOOKUP($A17,overview!$B$3:$AJ$154,COLUMN(E17),FALSE))</f>
        <v/>
      </c>
      <c r="F17" s="3" t="str">
        <f>IF(VLOOKUP($A17,overview!$B$3:$AJ$154,COLUMN(),FALSE) = "","",VLOOKUP($A17,overview!$B$3:$AJ$154,COLUMN(F17),FALSE))</f>
        <v/>
      </c>
      <c r="G17" s="3" t="str">
        <f>IF(VLOOKUP($A17,overview!$B$3:$AJ$154,COLUMN(),FALSE) = "","",VLOOKUP($A17,overview!$B$3:$AJ$154,COLUMN(G17),FALSE))</f>
        <v/>
      </c>
      <c r="H17" s="3" t="str">
        <f>IF(VLOOKUP($A17,overview!$B$3:$AJ$154,COLUMN(),FALSE) = "","",VLOOKUP($A17,overview!$B$3:$AJ$154,COLUMN(H17),FALSE))</f>
        <v/>
      </c>
      <c r="I17" s="3" t="str">
        <f>IF(VLOOKUP($A17,overview!$B$3:$AJ$154,COLUMN(),FALSE) = "","",VLOOKUP($A17,overview!$B$3:$AJ$154,COLUMN(I17),FALSE))</f>
        <v/>
      </c>
      <c r="J17" s="3" t="str">
        <f>IF(VLOOKUP($A17,overview!$B$3:$AJ$154,COLUMN(),FALSE) = "","",VLOOKUP($A17,overview!$B$3:$AJ$154,COLUMN(J17),FALSE))</f>
        <v/>
      </c>
      <c r="K17" s="3" t="str">
        <f>IF(VLOOKUP($A17,overview!$B$3:$AJ$154,COLUMN(),FALSE) = "","",VLOOKUP($A17,overview!$B$3:$AJ$154,COLUMN(K17),FALSE))</f>
        <v/>
      </c>
      <c r="L17" s="3" t="str">
        <f>IF(VLOOKUP($A17,overview!$B$3:$AJ$154,COLUMN(),FALSE) = "","",VLOOKUP($A17,overview!$B$3:$AJ$154,COLUMN(L17),FALSE))</f>
        <v/>
      </c>
      <c r="M17" s="3" t="str">
        <f>IF(VLOOKUP($A17,overview!$B$3:$AJ$154,COLUMN(),FALSE) = "","",VLOOKUP($A17,overview!$B$3:$AJ$154,COLUMN(M17),FALSE))</f>
        <v/>
      </c>
      <c r="N17" s="3" t="str">
        <f>IF(VLOOKUP($A17,overview!$B$3:$AJ$154,COLUMN(),FALSE) = "","",VLOOKUP($A17,overview!$B$3:$AJ$154,COLUMN(N17),FALSE))</f>
        <v/>
      </c>
      <c r="O17" s="3" t="str">
        <f>IF(VLOOKUP($A17,overview!$B$3:$AJ$154,COLUMN(),FALSE) = "","",VLOOKUP($A17,overview!$B$3:$AJ$154,COLUMN(O17),FALSE))</f>
        <v/>
      </c>
      <c r="P17" s="3" t="str">
        <f>IF(VLOOKUP($A17,overview!$B$3:$AJ$154,COLUMN(),FALSE) = "","",VLOOKUP($A17,overview!$B$3:$AJ$154,COLUMN(P17),FALSE))</f>
        <v/>
      </c>
      <c r="Q17" s="3" t="str">
        <f>IF(VLOOKUP($A17,overview!$B$3:$AJ$154,COLUMN(),FALSE) = "","",VLOOKUP($A17,overview!$B$3:$AJ$154,COLUMN(Q17),FALSE))</f>
        <v/>
      </c>
      <c r="R17" s="3" t="str">
        <f>IF(VLOOKUP($A17,overview!$B$3:$AJ$154,COLUMN(),FALSE) = "","",VLOOKUP($A17,overview!$B$3:$AJ$154,COLUMN(R17),FALSE))</f>
        <v/>
      </c>
      <c r="S17" s="3" t="str">
        <f>IF(VLOOKUP($A17,overview!$B$3:$AJ$154,COLUMN(),FALSE) = "","",VLOOKUP($A17,overview!$B$3:$AJ$154,COLUMN(S17),FALSE))</f>
        <v/>
      </c>
      <c r="T17" s="3" t="str">
        <f>IF(VLOOKUP($A17,overview!$B$3:$AJ$154,COLUMN(),FALSE) = "","",VLOOKUP($A17,overview!$B$3:$AJ$154,COLUMN(T17),FALSE))</f>
        <v/>
      </c>
      <c r="U17" s="3" t="str">
        <f>IF(VLOOKUP($A17,overview!$B$3:$AJ$154,COLUMN(),FALSE) = "","",VLOOKUP($A17,overview!$B$3:$AJ$154,COLUMN(U17),FALSE))</f>
        <v/>
      </c>
      <c r="V17" s="3" t="str">
        <f>IF(VLOOKUP($A17,overview!$B$3:$AJ$154,COLUMN(),FALSE) = "","",VLOOKUP($A17,overview!$B$3:$AJ$154,COLUMN(V17),FALSE))</f>
        <v/>
      </c>
      <c r="W17" s="3" t="str">
        <f>IF(VLOOKUP($A17,overview!$B$3:$AJ$154,COLUMN(),FALSE) = "","",VLOOKUP($A17,overview!$B$3:$AJ$154,COLUMN(W17),FALSE))</f>
        <v/>
      </c>
      <c r="X17" s="3" t="str">
        <f>IF(VLOOKUP($A17,overview!$B$3:$AJ$154,COLUMN(),FALSE) = "","",VLOOKUP($A17,overview!$B$3:$AJ$154,COLUMN(X17),FALSE))</f>
        <v/>
      </c>
      <c r="Y17" s="3" t="str">
        <f>IF(VLOOKUP($A17,overview!$B$3:$AJ$154,COLUMN(),FALSE) = "","",VLOOKUP($A17,overview!$B$3:$AJ$154,COLUMN(Y17),FALSE))</f>
        <v/>
      </c>
      <c r="Z17" s="3" t="str">
        <f>IF(VLOOKUP($A17,overview!$B$3:$AJ$154,COLUMN(),FALSE) = "","",VLOOKUP($A17,overview!$B$3:$AJ$154,COLUMN(Z17),FALSE))</f>
        <v/>
      </c>
      <c r="AA17" s="3" t="str">
        <f>IF(VLOOKUP($A17,overview!$B$3:$AJ$154,COLUMN(),FALSE) = "","",VLOOKUP($A17,overview!$B$3:$AJ$154,COLUMN(AA17),FALSE))</f>
        <v/>
      </c>
      <c r="AB17" s="3" t="str">
        <f>IF(VLOOKUP($A17,overview!$B$3:$AJ$154,COLUMN(),FALSE) = "","",VLOOKUP($A17,overview!$B$3:$AJ$154,COLUMN(AB17),FALSE))</f>
        <v/>
      </c>
      <c r="AC17" s="3" t="str">
        <f>IF(VLOOKUP($A17,overview!$B$3:$AJ$154,COLUMN(),FALSE) = "","",VLOOKUP($A17,overview!$B$3:$AJ$154,COLUMN(AC17),FALSE))</f>
        <v/>
      </c>
      <c r="AD17" s="3" t="str">
        <f>IF(VLOOKUP($A17,overview!$B$3:$AJ$154,COLUMN(),FALSE) = "","",VLOOKUP($A17,overview!$B$3:$AJ$154,COLUMN(AD17),FALSE))</f>
        <v/>
      </c>
      <c r="AE17" s="3" t="str">
        <f>IF(VLOOKUP($A17,overview!$B$3:$AJ$154,COLUMN(),FALSE) = "","",VLOOKUP($A17,overview!$B$3:$AJ$154,COLUMN(AE17),FALSE))</f>
        <v/>
      </c>
      <c r="AF17" s="3" t="str">
        <f>IF(VLOOKUP($A17,overview!$B$3:$AJ$154,COLUMN(),FALSE) = "","",VLOOKUP($A17,overview!$B$3:$AJ$154,COLUMN(AF17),FALSE))</f>
        <v/>
      </c>
      <c r="AG17" s="3" t="str">
        <f>IF(VLOOKUP($A17,overview!$B$3:$AJ$154,COLUMN(),FALSE) = "","",VLOOKUP($A17,overview!$B$3:$AJ$154,COLUMN(AG17),FALSE))</f>
        <v/>
      </c>
      <c r="AH17" s="3" t="str">
        <f>IF(VLOOKUP($A17,overview!$B$3:$AJ$154,COLUMN(),FALSE) = "","",VLOOKUP($A17,overview!$B$3:$AJ$154,COLUMN(AH17),FALSE))</f>
        <v/>
      </c>
      <c r="AI17" s="3" t="str">
        <f>IF(VLOOKUP($A17,overview!$B$3:$AJ$154,COLUMN(),FALSE) = "","",VLOOKUP($A17,overview!$B$3:$AJ$154,COLUMN(AI17),FALSE))</f>
        <v>Fraction of CAPEX p.a.</v>
      </c>
    </row>
    <row r="18" spans="1:35" ht="15.75" customHeight="1" x14ac:dyDescent="0.2">
      <c r="A18" s="8" t="s">
        <v>90</v>
      </c>
      <c r="B18" s="3">
        <f>IF(VLOOKUP($A18,overview!$B$3:$AJ$154,COLUMN(),FALSE) = "","",VLOOKUP($A18,overview!$B$3:$AJ$154,COLUMN(B18),FALSE))</f>
        <v>30</v>
      </c>
      <c r="C18" s="3" t="str">
        <f>IF(VLOOKUP($A18,overview!$B$3:$AJ$154,COLUMN(),FALSE) = "","",VLOOKUP($A18,overview!$B$3:$AJ$154,COLUMN(C18),FALSE))</f>
        <v/>
      </c>
      <c r="D18" s="3" t="str">
        <f>IF(VLOOKUP($A18,overview!$B$3:$AJ$154,COLUMN(),FALSE) = "","",VLOOKUP($A18,overview!$B$3:$AJ$154,COLUMN(D18),FALSE))</f>
        <v/>
      </c>
      <c r="E18" s="3" t="str">
        <f>IF(VLOOKUP($A18,overview!$B$3:$AJ$154,COLUMN(),FALSE) = "","",VLOOKUP($A18,overview!$B$3:$AJ$154,COLUMN(E18),FALSE))</f>
        <v/>
      </c>
      <c r="F18" s="3" t="str">
        <f>IF(VLOOKUP($A18,overview!$B$3:$AJ$154,COLUMN(),FALSE) = "","",VLOOKUP($A18,overview!$B$3:$AJ$154,COLUMN(F18),FALSE))</f>
        <v/>
      </c>
      <c r="G18" s="3" t="str">
        <f>IF(VLOOKUP($A18,overview!$B$3:$AJ$154,COLUMN(),FALSE) = "","",VLOOKUP($A18,overview!$B$3:$AJ$154,COLUMN(G18),FALSE))</f>
        <v/>
      </c>
      <c r="H18" s="3" t="str">
        <f>IF(VLOOKUP($A18,overview!$B$3:$AJ$154,COLUMN(),FALSE) = "","",VLOOKUP($A18,overview!$B$3:$AJ$154,COLUMN(H18),FALSE))</f>
        <v/>
      </c>
      <c r="I18" s="3" t="str">
        <f>IF(VLOOKUP($A18,overview!$B$3:$AJ$154,COLUMN(),FALSE) = "","",VLOOKUP($A18,overview!$B$3:$AJ$154,COLUMN(I18),FALSE))</f>
        <v/>
      </c>
      <c r="J18" s="3" t="str">
        <f>IF(VLOOKUP($A18,overview!$B$3:$AJ$154,COLUMN(),FALSE) = "","",VLOOKUP($A18,overview!$B$3:$AJ$154,COLUMN(J18),FALSE))</f>
        <v/>
      </c>
      <c r="K18" s="3" t="str">
        <f>IF(VLOOKUP($A18,overview!$B$3:$AJ$154,COLUMN(),FALSE) = "","",VLOOKUP($A18,overview!$B$3:$AJ$154,COLUMN(K18),FALSE))</f>
        <v/>
      </c>
      <c r="L18" s="3" t="str">
        <f>IF(VLOOKUP($A18,overview!$B$3:$AJ$154,COLUMN(),FALSE) = "","",VLOOKUP($A18,overview!$B$3:$AJ$154,COLUMN(L18),FALSE))</f>
        <v/>
      </c>
      <c r="M18" s="3" t="str">
        <f>IF(VLOOKUP($A18,overview!$B$3:$AJ$154,COLUMN(),FALSE) = "","",VLOOKUP($A18,overview!$B$3:$AJ$154,COLUMN(M18),FALSE))</f>
        <v/>
      </c>
      <c r="N18" s="3" t="str">
        <f>IF(VLOOKUP($A18,overview!$B$3:$AJ$154,COLUMN(),FALSE) = "","",VLOOKUP($A18,overview!$B$3:$AJ$154,COLUMN(N18),FALSE))</f>
        <v/>
      </c>
      <c r="O18" s="3" t="str">
        <f>IF(VLOOKUP($A18,overview!$B$3:$AJ$154,COLUMN(),FALSE) = "","",VLOOKUP($A18,overview!$B$3:$AJ$154,COLUMN(O18),FALSE))</f>
        <v/>
      </c>
      <c r="P18" s="3" t="str">
        <f>IF(VLOOKUP($A18,overview!$B$3:$AJ$154,COLUMN(),FALSE) = "","",VLOOKUP($A18,overview!$B$3:$AJ$154,COLUMN(P18),FALSE))</f>
        <v/>
      </c>
      <c r="Q18" s="3" t="str">
        <f>IF(VLOOKUP($A18,overview!$B$3:$AJ$154,COLUMN(),FALSE) = "","",VLOOKUP($A18,overview!$B$3:$AJ$154,COLUMN(Q18),FALSE))</f>
        <v/>
      </c>
      <c r="R18" s="3" t="str">
        <f>IF(VLOOKUP($A18,overview!$B$3:$AJ$154,COLUMN(),FALSE) = "","",VLOOKUP($A18,overview!$B$3:$AJ$154,COLUMN(R18),FALSE))</f>
        <v/>
      </c>
      <c r="S18" s="3" t="str">
        <f>IF(VLOOKUP($A18,overview!$B$3:$AJ$154,COLUMN(),FALSE) = "","",VLOOKUP($A18,overview!$B$3:$AJ$154,COLUMN(S18),FALSE))</f>
        <v/>
      </c>
      <c r="T18" s="3" t="str">
        <f>IF(VLOOKUP($A18,overview!$B$3:$AJ$154,COLUMN(),FALSE) = "","",VLOOKUP($A18,overview!$B$3:$AJ$154,COLUMN(T18),FALSE))</f>
        <v/>
      </c>
      <c r="U18" s="3" t="str">
        <f>IF(VLOOKUP($A18,overview!$B$3:$AJ$154,COLUMN(),FALSE) = "","",VLOOKUP($A18,overview!$B$3:$AJ$154,COLUMN(U18),FALSE))</f>
        <v/>
      </c>
      <c r="V18" s="3" t="str">
        <f>IF(VLOOKUP($A18,overview!$B$3:$AJ$154,COLUMN(),FALSE) = "","",VLOOKUP($A18,overview!$B$3:$AJ$154,COLUMN(V18),FALSE))</f>
        <v/>
      </c>
      <c r="W18" s="3" t="str">
        <f>IF(VLOOKUP($A18,overview!$B$3:$AJ$154,COLUMN(),FALSE) = "","",VLOOKUP($A18,overview!$B$3:$AJ$154,COLUMN(W18),FALSE))</f>
        <v/>
      </c>
      <c r="X18" s="3" t="str">
        <f>IF(VLOOKUP($A18,overview!$B$3:$AJ$154,COLUMN(),FALSE) = "","",VLOOKUP($A18,overview!$B$3:$AJ$154,COLUMN(X18),FALSE))</f>
        <v/>
      </c>
      <c r="Y18" s="3" t="str">
        <f>IF(VLOOKUP($A18,overview!$B$3:$AJ$154,COLUMN(),FALSE) = "","",VLOOKUP($A18,overview!$B$3:$AJ$154,COLUMN(Y18),FALSE))</f>
        <v/>
      </c>
      <c r="Z18" s="3" t="str">
        <f>IF(VLOOKUP($A18,overview!$B$3:$AJ$154,COLUMN(),FALSE) = "","",VLOOKUP($A18,overview!$B$3:$AJ$154,COLUMN(Z18),FALSE))</f>
        <v/>
      </c>
      <c r="AA18" s="3" t="str">
        <f>IF(VLOOKUP($A18,overview!$B$3:$AJ$154,COLUMN(),FALSE) = "","",VLOOKUP($A18,overview!$B$3:$AJ$154,COLUMN(AA18),FALSE))</f>
        <v/>
      </c>
      <c r="AB18" s="3" t="str">
        <f>IF(VLOOKUP($A18,overview!$B$3:$AJ$154,COLUMN(),FALSE) = "","",VLOOKUP($A18,overview!$B$3:$AJ$154,COLUMN(AB18),FALSE))</f>
        <v/>
      </c>
      <c r="AC18" s="3" t="str">
        <f>IF(VLOOKUP($A18,overview!$B$3:$AJ$154,COLUMN(),FALSE) = "","",VLOOKUP($A18,overview!$B$3:$AJ$154,COLUMN(AC18),FALSE))</f>
        <v/>
      </c>
      <c r="AD18" s="3" t="str">
        <f>IF(VLOOKUP($A18,overview!$B$3:$AJ$154,COLUMN(),FALSE) = "","",VLOOKUP($A18,overview!$B$3:$AJ$154,COLUMN(AD18),FALSE))</f>
        <v/>
      </c>
      <c r="AE18" s="3" t="str">
        <f>IF(VLOOKUP($A18,overview!$B$3:$AJ$154,COLUMN(),FALSE) = "","",VLOOKUP($A18,overview!$B$3:$AJ$154,COLUMN(AE18),FALSE))</f>
        <v/>
      </c>
      <c r="AF18" s="3" t="str">
        <f>IF(VLOOKUP($A18,overview!$B$3:$AJ$154,COLUMN(),FALSE) = "","",VLOOKUP($A18,overview!$B$3:$AJ$154,COLUMN(AF18),FALSE))</f>
        <v/>
      </c>
      <c r="AG18" s="3" t="str">
        <f>IF(VLOOKUP($A18,overview!$B$3:$AJ$154,COLUMN(),FALSE) = "","",VLOOKUP($A18,overview!$B$3:$AJ$154,COLUMN(AG18),FALSE))</f>
        <v/>
      </c>
      <c r="AH18" s="3" t="str">
        <f>IF(VLOOKUP($A18,overview!$B$3:$AJ$154,COLUMN(),FALSE) = "","",VLOOKUP($A18,overview!$B$3:$AJ$154,COLUMN(AH18),FALSE))</f>
        <v/>
      </c>
      <c r="AI18" s="3" t="str">
        <f>IF(VLOOKUP($A18,overview!$B$3:$AJ$154,COLUMN(),FALSE) = "","",VLOOKUP($A18,overview!$B$3:$AJ$154,COLUMN(AI18),FALSE))</f>
        <v>years</v>
      </c>
    </row>
    <row r="19" spans="1:35" ht="15.75" customHeight="1" x14ac:dyDescent="0.2">
      <c r="A19" s="8" t="s">
        <v>92</v>
      </c>
      <c r="B19" s="27">
        <f>IF(VLOOKUP($A19,overview!$B$3:$AJ$154,COLUMN(),FALSE) = "","",VLOOKUP($A19,overview!$B$3:$AJ$154,COLUMN(B19),FALSE))</f>
        <v>1000000</v>
      </c>
      <c r="C19" s="3" t="str">
        <f>IF(VLOOKUP($A19,overview!$B$3:$AJ$154,COLUMN(),FALSE) = "","",VLOOKUP($A19,overview!$B$3:$AJ$154,COLUMN(C19),FALSE))</f>
        <v/>
      </c>
      <c r="D19" s="3" t="str">
        <f>IF(VLOOKUP($A19,overview!$B$3:$AJ$154,COLUMN(),FALSE) = "","",VLOOKUP($A19,overview!$B$3:$AJ$154,COLUMN(D19),FALSE))</f>
        <v/>
      </c>
      <c r="E19" s="3" t="str">
        <f>IF(VLOOKUP($A19,overview!$B$3:$AJ$154,COLUMN(),FALSE) = "","",VLOOKUP($A19,overview!$B$3:$AJ$154,COLUMN(E19),FALSE))</f>
        <v/>
      </c>
      <c r="F19" s="3" t="str">
        <f>IF(VLOOKUP($A19,overview!$B$3:$AJ$154,COLUMN(),FALSE) = "","",VLOOKUP($A19,overview!$B$3:$AJ$154,COLUMN(F19),FALSE))</f>
        <v/>
      </c>
      <c r="G19" s="3" t="str">
        <f>IF(VLOOKUP($A19,overview!$B$3:$AJ$154,COLUMN(),FALSE) = "","",VLOOKUP($A19,overview!$B$3:$AJ$154,COLUMN(G19),FALSE))</f>
        <v/>
      </c>
      <c r="H19" s="3" t="str">
        <f>IF(VLOOKUP($A19,overview!$B$3:$AJ$154,COLUMN(),FALSE) = "","",VLOOKUP($A19,overview!$B$3:$AJ$154,COLUMN(H19),FALSE))</f>
        <v/>
      </c>
      <c r="I19" s="3" t="str">
        <f>IF(VLOOKUP($A19,overview!$B$3:$AJ$154,COLUMN(),FALSE) = "","",VLOOKUP($A19,overview!$B$3:$AJ$154,COLUMN(I19),FALSE))</f>
        <v/>
      </c>
      <c r="J19" s="3" t="str">
        <f>IF(VLOOKUP($A19,overview!$B$3:$AJ$154,COLUMN(),FALSE) = "","",VLOOKUP($A19,overview!$B$3:$AJ$154,COLUMN(J19),FALSE))</f>
        <v/>
      </c>
      <c r="K19" s="3" t="str">
        <f>IF(VLOOKUP($A19,overview!$B$3:$AJ$154,COLUMN(),FALSE) = "","",VLOOKUP($A19,overview!$B$3:$AJ$154,COLUMN(K19),FALSE))</f>
        <v/>
      </c>
      <c r="L19" s="3" t="str">
        <f>IF(VLOOKUP($A19,overview!$B$3:$AJ$154,COLUMN(),FALSE) = "","",VLOOKUP($A19,overview!$B$3:$AJ$154,COLUMN(L19),FALSE))</f>
        <v/>
      </c>
      <c r="M19" s="3" t="str">
        <f>IF(VLOOKUP($A19,overview!$B$3:$AJ$154,COLUMN(),FALSE) = "","",VLOOKUP($A19,overview!$B$3:$AJ$154,COLUMN(M19),FALSE))</f>
        <v/>
      </c>
      <c r="N19" s="3" t="str">
        <f>IF(VLOOKUP($A19,overview!$B$3:$AJ$154,COLUMN(),FALSE) = "","",VLOOKUP($A19,overview!$B$3:$AJ$154,COLUMN(N19),FALSE))</f>
        <v/>
      </c>
      <c r="O19" s="3" t="str">
        <f>IF(VLOOKUP($A19,overview!$B$3:$AJ$154,COLUMN(),FALSE) = "","",VLOOKUP($A19,overview!$B$3:$AJ$154,COLUMN(O19),FALSE))</f>
        <v/>
      </c>
      <c r="P19" s="3" t="str">
        <f>IF(VLOOKUP($A19,overview!$B$3:$AJ$154,COLUMN(),FALSE) = "","",VLOOKUP($A19,overview!$B$3:$AJ$154,COLUMN(P19),FALSE))</f>
        <v/>
      </c>
      <c r="Q19" s="3" t="str">
        <f>IF(VLOOKUP($A19,overview!$B$3:$AJ$154,COLUMN(),FALSE) = "","",VLOOKUP($A19,overview!$B$3:$AJ$154,COLUMN(Q19),FALSE))</f>
        <v/>
      </c>
      <c r="R19" s="3" t="str">
        <f>IF(VLOOKUP($A19,overview!$B$3:$AJ$154,COLUMN(),FALSE) = "","",VLOOKUP($A19,overview!$B$3:$AJ$154,COLUMN(R19),FALSE))</f>
        <v/>
      </c>
      <c r="S19" s="3" t="str">
        <f>IF(VLOOKUP($A19,overview!$B$3:$AJ$154,COLUMN(),FALSE) = "","",VLOOKUP($A19,overview!$B$3:$AJ$154,COLUMN(S19),FALSE))</f>
        <v/>
      </c>
      <c r="T19" s="3" t="str">
        <f>IF(VLOOKUP($A19,overview!$B$3:$AJ$154,COLUMN(),FALSE) = "","",VLOOKUP($A19,overview!$B$3:$AJ$154,COLUMN(T19),FALSE))</f>
        <v/>
      </c>
      <c r="U19" s="3" t="str">
        <f>IF(VLOOKUP($A19,overview!$B$3:$AJ$154,COLUMN(),FALSE) = "","",VLOOKUP($A19,overview!$B$3:$AJ$154,COLUMN(U19),FALSE))</f>
        <v/>
      </c>
      <c r="V19" s="3" t="str">
        <f>IF(VLOOKUP($A19,overview!$B$3:$AJ$154,COLUMN(),FALSE) = "","",VLOOKUP($A19,overview!$B$3:$AJ$154,COLUMN(V19),FALSE))</f>
        <v/>
      </c>
      <c r="W19" s="3" t="str">
        <f>IF(VLOOKUP($A19,overview!$B$3:$AJ$154,COLUMN(),FALSE) = "","",VLOOKUP($A19,overview!$B$3:$AJ$154,COLUMN(W19),FALSE))</f>
        <v/>
      </c>
      <c r="X19" s="3" t="str">
        <f>IF(VLOOKUP($A19,overview!$B$3:$AJ$154,COLUMN(),FALSE) = "","",VLOOKUP($A19,overview!$B$3:$AJ$154,COLUMN(X19),FALSE))</f>
        <v/>
      </c>
      <c r="Y19" s="3" t="str">
        <f>IF(VLOOKUP($A19,overview!$B$3:$AJ$154,COLUMN(),FALSE) = "","",VLOOKUP($A19,overview!$B$3:$AJ$154,COLUMN(Y19),FALSE))</f>
        <v/>
      </c>
      <c r="Z19" s="3" t="str">
        <f>IF(VLOOKUP($A19,overview!$B$3:$AJ$154,COLUMN(),FALSE) = "","",VLOOKUP($A19,overview!$B$3:$AJ$154,COLUMN(Z19),FALSE))</f>
        <v/>
      </c>
      <c r="AA19" s="3" t="str">
        <f>IF(VLOOKUP($A19,overview!$B$3:$AJ$154,COLUMN(),FALSE) = "","",VLOOKUP($A19,overview!$B$3:$AJ$154,COLUMN(AA19),FALSE))</f>
        <v/>
      </c>
      <c r="AB19" s="3" t="str">
        <f>IF(VLOOKUP($A19,overview!$B$3:$AJ$154,COLUMN(),FALSE) = "","",VLOOKUP($A19,overview!$B$3:$AJ$154,COLUMN(AB19),FALSE))</f>
        <v/>
      </c>
      <c r="AC19" s="3" t="str">
        <f>IF(VLOOKUP($A19,overview!$B$3:$AJ$154,COLUMN(),FALSE) = "","",VLOOKUP($A19,overview!$B$3:$AJ$154,COLUMN(AC19),FALSE))</f>
        <v/>
      </c>
      <c r="AD19" s="3" t="str">
        <f>IF(VLOOKUP($A19,overview!$B$3:$AJ$154,COLUMN(),FALSE) = "","",VLOOKUP($A19,overview!$B$3:$AJ$154,COLUMN(AD19),FALSE))</f>
        <v/>
      </c>
      <c r="AE19" s="3" t="str">
        <f>IF(VLOOKUP($A19,overview!$B$3:$AJ$154,COLUMN(),FALSE) = "","",VLOOKUP($A19,overview!$B$3:$AJ$154,COLUMN(AE19),FALSE))</f>
        <v/>
      </c>
      <c r="AF19" s="3" t="str">
        <f>IF(VLOOKUP($A19,overview!$B$3:$AJ$154,COLUMN(),FALSE) = "","",VLOOKUP($A19,overview!$B$3:$AJ$154,COLUMN(AF19),FALSE))</f>
        <v/>
      </c>
      <c r="AG19" s="3" t="str">
        <f>IF(VLOOKUP($A19,overview!$B$3:$AJ$154,COLUMN(),FALSE) = "","",VLOOKUP($A19,overview!$B$3:$AJ$154,COLUMN(AG19),FALSE))</f>
        <v/>
      </c>
      <c r="AH19" s="3" t="str">
        <f>IF(VLOOKUP($A19,overview!$B$3:$AJ$154,COLUMN(),FALSE) = "","",VLOOKUP($A19,overview!$B$3:$AJ$154,COLUMN(AH19),FALSE))</f>
        <v/>
      </c>
      <c r="AI19" s="3" t="str">
        <f>IF(VLOOKUP($A19,overview!$B$3:$AJ$154,COLUMN(),FALSE) = "","",VLOOKUP($A19,overview!$B$3:$AJ$154,COLUMN(AI19),FALSE))</f>
        <v>kWh</v>
      </c>
    </row>
    <row r="20" spans="1:35" ht="15.75" customHeight="1" x14ac:dyDescent="0.2">
      <c r="A20" s="8" t="s">
        <v>94</v>
      </c>
      <c r="B20" s="3">
        <f>IF(VLOOKUP($A20,overview!$B$3:$AJ$154,COLUMN(),FALSE) = "","",VLOOKUP($A20,overview!$B$3:$AJ$154,COLUMN(B20),FALSE))</f>
        <v>0</v>
      </c>
      <c r="C20" s="3" t="str">
        <f>IF(VLOOKUP($A20,overview!$B$3:$AJ$154,COLUMN(),FALSE) = "","",VLOOKUP($A20,overview!$B$3:$AJ$154,COLUMN(C20),FALSE))</f>
        <v/>
      </c>
      <c r="D20" s="3" t="str">
        <f>IF(VLOOKUP($A20,overview!$B$3:$AJ$154,COLUMN(),FALSE) = "","",VLOOKUP($A20,overview!$B$3:$AJ$154,COLUMN(D20),FALSE))</f>
        <v/>
      </c>
      <c r="E20" s="3" t="str">
        <f>IF(VLOOKUP($A20,overview!$B$3:$AJ$154,COLUMN(),FALSE) = "","",VLOOKUP($A20,overview!$B$3:$AJ$154,COLUMN(E20),FALSE))</f>
        <v/>
      </c>
      <c r="F20" s="3" t="str">
        <f>IF(VLOOKUP($A20,overview!$B$3:$AJ$154,COLUMN(),FALSE) = "","",VLOOKUP($A20,overview!$B$3:$AJ$154,COLUMN(F20),FALSE))</f>
        <v/>
      </c>
      <c r="G20" s="3" t="str">
        <f>IF(VLOOKUP($A20,overview!$B$3:$AJ$154,COLUMN(),FALSE) = "","",VLOOKUP($A20,overview!$B$3:$AJ$154,COLUMN(G20),FALSE))</f>
        <v/>
      </c>
      <c r="H20" s="3" t="str">
        <f>IF(VLOOKUP($A20,overview!$B$3:$AJ$154,COLUMN(),FALSE) = "","",VLOOKUP($A20,overview!$B$3:$AJ$154,COLUMN(H20),FALSE))</f>
        <v/>
      </c>
      <c r="I20" s="3" t="str">
        <f>IF(VLOOKUP($A20,overview!$B$3:$AJ$154,COLUMN(),FALSE) = "","",VLOOKUP($A20,overview!$B$3:$AJ$154,COLUMN(I20),FALSE))</f>
        <v/>
      </c>
      <c r="J20" s="3" t="str">
        <f>IF(VLOOKUP($A20,overview!$B$3:$AJ$154,COLUMN(),FALSE) = "","",VLOOKUP($A20,overview!$B$3:$AJ$154,COLUMN(J20),FALSE))</f>
        <v/>
      </c>
      <c r="K20" s="3" t="str">
        <f>IF(VLOOKUP($A20,overview!$B$3:$AJ$154,COLUMN(),FALSE) = "","",VLOOKUP($A20,overview!$B$3:$AJ$154,COLUMN(K20),FALSE))</f>
        <v/>
      </c>
      <c r="L20" s="3" t="str">
        <f>IF(VLOOKUP($A20,overview!$B$3:$AJ$154,COLUMN(),FALSE) = "","",VLOOKUP($A20,overview!$B$3:$AJ$154,COLUMN(L20),FALSE))</f>
        <v/>
      </c>
      <c r="M20" s="3" t="str">
        <f>IF(VLOOKUP($A20,overview!$B$3:$AJ$154,COLUMN(),FALSE) = "","",VLOOKUP($A20,overview!$B$3:$AJ$154,COLUMN(M20),FALSE))</f>
        <v/>
      </c>
      <c r="N20" s="3" t="str">
        <f>IF(VLOOKUP($A20,overview!$B$3:$AJ$154,COLUMN(),FALSE) = "","",VLOOKUP($A20,overview!$B$3:$AJ$154,COLUMN(N20),FALSE))</f>
        <v/>
      </c>
      <c r="O20" s="3" t="str">
        <f>IF(VLOOKUP($A20,overview!$B$3:$AJ$154,COLUMN(),FALSE) = "","",VLOOKUP($A20,overview!$B$3:$AJ$154,COLUMN(O20),FALSE))</f>
        <v/>
      </c>
      <c r="P20" s="3" t="str">
        <f>IF(VLOOKUP($A20,overview!$B$3:$AJ$154,COLUMN(),FALSE) = "","",VLOOKUP($A20,overview!$B$3:$AJ$154,COLUMN(P20),FALSE))</f>
        <v/>
      </c>
      <c r="Q20" s="3" t="str">
        <f>IF(VLOOKUP($A20,overview!$B$3:$AJ$154,COLUMN(),FALSE) = "","",VLOOKUP($A20,overview!$B$3:$AJ$154,COLUMN(Q20),FALSE))</f>
        <v/>
      </c>
      <c r="R20" s="3" t="str">
        <f>IF(VLOOKUP($A20,overview!$B$3:$AJ$154,COLUMN(),FALSE) = "","",VLOOKUP($A20,overview!$B$3:$AJ$154,COLUMN(R20),FALSE))</f>
        <v/>
      </c>
      <c r="S20" s="3" t="str">
        <f>IF(VLOOKUP($A20,overview!$B$3:$AJ$154,COLUMN(),FALSE) = "","",VLOOKUP($A20,overview!$B$3:$AJ$154,COLUMN(S20),FALSE))</f>
        <v/>
      </c>
      <c r="T20" s="3" t="str">
        <f>IF(VLOOKUP($A20,overview!$B$3:$AJ$154,COLUMN(),FALSE) = "","",VLOOKUP($A20,overview!$B$3:$AJ$154,COLUMN(T20),FALSE))</f>
        <v/>
      </c>
      <c r="U20" s="3" t="str">
        <f>IF(VLOOKUP($A20,overview!$B$3:$AJ$154,COLUMN(),FALSE) = "","",VLOOKUP($A20,overview!$B$3:$AJ$154,COLUMN(U20),FALSE))</f>
        <v/>
      </c>
      <c r="V20" s="3" t="str">
        <f>IF(VLOOKUP($A20,overview!$B$3:$AJ$154,COLUMN(),FALSE) = "","",VLOOKUP($A20,overview!$B$3:$AJ$154,COLUMN(V20),FALSE))</f>
        <v/>
      </c>
      <c r="W20" s="3" t="str">
        <f>IF(VLOOKUP($A20,overview!$B$3:$AJ$154,COLUMN(),FALSE) = "","",VLOOKUP($A20,overview!$B$3:$AJ$154,COLUMN(W20),FALSE))</f>
        <v/>
      </c>
      <c r="X20" s="3" t="str">
        <f>IF(VLOOKUP($A20,overview!$B$3:$AJ$154,COLUMN(),FALSE) = "","",VLOOKUP($A20,overview!$B$3:$AJ$154,COLUMN(X20),FALSE))</f>
        <v/>
      </c>
      <c r="Y20" s="3" t="str">
        <f>IF(VLOOKUP($A20,overview!$B$3:$AJ$154,COLUMN(),FALSE) = "","",VLOOKUP($A20,overview!$B$3:$AJ$154,COLUMN(Y20),FALSE))</f>
        <v/>
      </c>
      <c r="Z20" s="3" t="str">
        <f>IF(VLOOKUP($A20,overview!$B$3:$AJ$154,COLUMN(),FALSE) = "","",VLOOKUP($A20,overview!$B$3:$AJ$154,COLUMN(Z20),FALSE))</f>
        <v/>
      </c>
      <c r="AA20" s="3" t="str">
        <f>IF(VLOOKUP($A20,overview!$B$3:$AJ$154,COLUMN(),FALSE) = "","",VLOOKUP($A20,overview!$B$3:$AJ$154,COLUMN(AA20),FALSE))</f>
        <v/>
      </c>
      <c r="AB20" s="3" t="str">
        <f>IF(VLOOKUP($A20,overview!$B$3:$AJ$154,COLUMN(),FALSE) = "","",VLOOKUP($A20,overview!$B$3:$AJ$154,COLUMN(AB20),FALSE))</f>
        <v/>
      </c>
      <c r="AC20" s="3" t="str">
        <f>IF(VLOOKUP($A20,overview!$B$3:$AJ$154,COLUMN(),FALSE) = "","",VLOOKUP($A20,overview!$B$3:$AJ$154,COLUMN(AC20),FALSE))</f>
        <v/>
      </c>
      <c r="AD20" s="3" t="str">
        <f>IF(VLOOKUP($A20,overview!$B$3:$AJ$154,COLUMN(),FALSE) = "","",VLOOKUP($A20,overview!$B$3:$AJ$154,COLUMN(AD20),FALSE))</f>
        <v/>
      </c>
      <c r="AE20" s="3" t="str">
        <f>IF(VLOOKUP($A20,overview!$B$3:$AJ$154,COLUMN(),FALSE) = "","",VLOOKUP($A20,overview!$B$3:$AJ$154,COLUMN(AE20),FALSE))</f>
        <v/>
      </c>
      <c r="AF20" s="3" t="str">
        <f>IF(VLOOKUP($A20,overview!$B$3:$AJ$154,COLUMN(),FALSE) = "","",VLOOKUP($A20,overview!$B$3:$AJ$154,COLUMN(AF20),FALSE))</f>
        <v/>
      </c>
      <c r="AG20" s="3" t="str">
        <f>IF(VLOOKUP($A20,overview!$B$3:$AJ$154,COLUMN(),FALSE) = "","",VLOOKUP($A20,overview!$B$3:$AJ$154,COLUMN(AG20),FALSE))</f>
        <v/>
      </c>
      <c r="AH20" s="3" t="str">
        <f>IF(VLOOKUP($A20,overview!$B$3:$AJ$154,COLUMN(),FALSE) = "","",VLOOKUP($A20,overview!$B$3:$AJ$154,COLUMN(AH20),FALSE))</f>
        <v/>
      </c>
      <c r="AI20" s="3" t="str">
        <f>IF(VLOOKUP($A20,overview!$B$3:$AJ$154,COLUMN(),FALSE) = "","",VLOOKUP($A20,overview!$B$3:$AJ$154,COLUMN(AI20),FALSE))</f>
        <v>kWh</v>
      </c>
    </row>
    <row r="21" spans="1:35" ht="15.75" customHeight="1" x14ac:dyDescent="0.2">
      <c r="A21" s="8" t="s">
        <v>96</v>
      </c>
      <c r="B21" s="28">
        <f>IF(VLOOKUP($A21,overview!$B$3:$AJ$154,COLUMN(),FALSE) = "","",VLOOKUP($A21,overview!$B$3:$AJ$154,COLUMN(B21),FALSE))</f>
        <v>324.19166666666672</v>
      </c>
      <c r="C21" s="28">
        <f>IF(VLOOKUP($A21,overview!$B$3:$AJ$154,COLUMN(),FALSE) = "","",VLOOKUP($A21,overview!$B$3:$AJ$154,COLUMN(C21),FALSE))</f>
        <v>259.35333333333341</v>
      </c>
      <c r="D21" s="28">
        <f>IF(VLOOKUP($A21,overview!$B$3:$AJ$154,COLUMN(),FALSE) = "","",VLOOKUP($A21,overview!$B$3:$AJ$154,COLUMN(D21),FALSE))</f>
        <v>389.03000000000003</v>
      </c>
      <c r="E21" s="3">
        <f>IF(VLOOKUP($A21,overview!$B$3:$AJ$154,COLUMN(),FALSE) = "","",VLOOKUP($A21,overview!$B$3:$AJ$154,COLUMN(E21),FALSE))</f>
        <v>290.35160571527422</v>
      </c>
      <c r="F21" s="3">
        <f>IF(VLOOKUP($A21,overview!$B$3:$AJ$154,COLUMN(),FALSE) = "","",VLOOKUP($A21,overview!$B$3:$AJ$154,COLUMN(F21),FALSE))</f>
        <v>271.29468187930621</v>
      </c>
      <c r="G21" s="3">
        <f>IF(VLOOKUP($A21,overview!$B$3:$AJ$154,COLUMN(),FALSE) = "","",VLOOKUP($A21,overview!$B$3:$AJ$154,COLUMN(G21),FALSE))</f>
        <v>257.58846323226618</v>
      </c>
      <c r="H21" s="3">
        <f>IF(VLOOKUP($A21,overview!$B$3:$AJ$154,COLUMN(),FALSE) = "","",VLOOKUP($A21,overview!$B$3:$AJ$154,COLUMN(H21),FALSE))</f>
        <v>246.6228092186557</v>
      </c>
      <c r="I21" s="3">
        <f>IF(VLOOKUP($A21,overview!$B$3:$AJ$154,COLUMN(),FALSE) = "","",VLOOKUP($A21,overview!$B$3:$AJ$154,COLUMN(I21),FALSE))</f>
        <v>237.3247671476235</v>
      </c>
      <c r="J21" s="3">
        <f>IF(VLOOKUP($A21,overview!$B$3:$AJ$154,COLUMN(),FALSE) = "","",VLOOKUP($A21,overview!$B$3:$AJ$154,COLUMN(J21),FALSE))</f>
        <v>229.15495216040941</v>
      </c>
      <c r="K21" s="3">
        <f>IF(VLOOKUP($A21,overview!$B$3:$AJ$154,COLUMN(),FALSE) = "","",VLOOKUP($A21,overview!$B$3:$AJ$154,COLUMN(K21),FALSE))</f>
        <v>221.80592126167861</v>
      </c>
      <c r="L21" s="3">
        <f>IF(VLOOKUP($A21,overview!$B$3:$AJ$154,COLUMN(),FALSE) = "","",VLOOKUP($A21,overview!$B$3:$AJ$154,COLUMN(L21),FALSE))</f>
        <v>215.08649939663371</v>
      </c>
      <c r="M21" s="3">
        <f>IF(VLOOKUP($A21,overview!$B$3:$AJ$154,COLUMN(),FALSE) = "","",VLOOKUP($A21,overview!$B$3:$AJ$154,COLUMN(M21),FALSE))</f>
        <v>208.8698970106885</v>
      </c>
      <c r="N21" s="3">
        <f>IF(VLOOKUP($A21,overview!$B$3:$AJ$154,COLUMN(),FALSE) = "","",VLOOKUP($A21,overview!$B$3:$AJ$154,COLUMN(N21),FALSE))</f>
        <v>203.06771729648489</v>
      </c>
      <c r="O21" s="3">
        <f>IF(VLOOKUP($A21,overview!$B$3:$AJ$154,COLUMN(),FALSE) = "","",VLOOKUP($A21,overview!$B$3:$AJ$154,COLUMN(O21),FALSE))</f>
        <v>197.61580885514761</v>
      </c>
      <c r="P21" s="3">
        <f>IF(VLOOKUP($A21,overview!$B$3:$AJ$154,COLUMN(),FALSE) = "","",VLOOKUP($A21,overview!$B$3:$AJ$154,COLUMN(P21),FALSE))</f>
        <v>192.46605135358371</v>
      </c>
      <c r="Q21" s="3">
        <f>IF(VLOOKUP($A21,overview!$B$3:$AJ$154,COLUMN(),FALSE) = "","",VLOOKUP($A21,overview!$B$3:$AJ$154,COLUMN(Q21),FALSE))</f>
        <v>187.5813316387985</v>
      </c>
      <c r="R21" s="3">
        <f>IF(VLOOKUP($A21,overview!$B$3:$AJ$154,COLUMN(),FALSE) = "","",VLOOKUP($A21,overview!$B$3:$AJ$154,COLUMN(R21),FALSE))</f>
        <v>182.93233690369399</v>
      </c>
      <c r="S21" s="3">
        <f>IF(VLOOKUP($A21,overview!$B$3:$AJ$154,COLUMN(),FALSE) = "","",VLOOKUP($A21,overview!$B$3:$AJ$154,COLUMN(S21),FALSE))</f>
        <v>178.4954330005578</v>
      </c>
      <c r="T21" s="3">
        <f>IF(VLOOKUP($A21,overview!$B$3:$AJ$154,COLUMN(),FALSE) = "","",VLOOKUP($A21,overview!$B$3:$AJ$154,COLUMN(T21),FALSE))</f>
        <v>174.25121720199621</v>
      </c>
      <c r="U21" s="3">
        <f>IF(VLOOKUP($A21,overview!$B$3:$AJ$154,COLUMN(),FALSE) = "","",VLOOKUP($A21,overview!$B$3:$AJ$154,COLUMN(U21),FALSE))</f>
        <v>170.18350468230821</v>
      </c>
      <c r="V21" s="3">
        <f>IF(VLOOKUP($A21,overview!$B$3:$AJ$154,COLUMN(),FALSE) = "","",VLOOKUP($A21,overview!$B$3:$AJ$154,COLUMN(V21),FALSE))</f>
        <v>166.27860225292801</v>
      </c>
      <c r="W21" s="3">
        <f>IF(VLOOKUP($A21,overview!$B$3:$AJ$154,COLUMN(),FALSE) = "","",VLOOKUP($A21,overview!$B$3:$AJ$154,COLUMN(W21),FALSE))</f>
        <v>162.52477730603809</v>
      </c>
      <c r="X21" s="3">
        <f>IF(VLOOKUP($A21,overview!$B$3:$AJ$154,COLUMN(),FALSE) = "","",VLOOKUP($A21,overview!$B$3:$AJ$154,COLUMN(X21),FALSE))</f>
        <v>158.91186245824829</v>
      </c>
      <c r="Y21" s="3">
        <f>IF(VLOOKUP($A21,overview!$B$3:$AJ$154,COLUMN(),FALSE) = "","",VLOOKUP($A21,overview!$B$3:$AJ$154,COLUMN(Y21),FALSE))</f>
        <v>155.430956447097</v>
      </c>
      <c r="Z21" s="3">
        <f>IF(VLOOKUP($A21,overview!$B$3:$AJ$154,COLUMN(),FALSE) = "","",VLOOKUP($A21,overview!$B$3:$AJ$154,COLUMN(Z21),FALSE))</f>
        <v>152.07419454225581</v>
      </c>
      <c r="AA21" s="3">
        <f>IF(VLOOKUP($A21,overview!$B$3:$AJ$154,COLUMN(),FALSE) = "","",VLOOKUP($A21,overview!$B$3:$AJ$154,COLUMN(AA21),FALSE))</f>
        <v>148.8345699824626</v>
      </c>
      <c r="AB21" s="3">
        <f>IF(VLOOKUP($A21,overview!$B$3:$AJ$154,COLUMN(),FALSE) = "","",VLOOKUP($A21,overview!$B$3:$AJ$154,COLUMN(AB21),FALSE))</f>
        <v>145.70579342127391</v>
      </c>
      <c r="AC21" s="3">
        <f>IF(VLOOKUP($A21,overview!$B$3:$AJ$154,COLUMN(),FALSE) = "","",VLOOKUP($A21,overview!$B$3:$AJ$154,COLUMN(AC21),FALSE))</f>
        <v>142.68218106662709</v>
      </c>
      <c r="AD21" s="3">
        <f>IF(VLOOKUP($A21,overview!$B$3:$AJ$154,COLUMN(),FALSE) = "","",VLOOKUP($A21,overview!$B$3:$AJ$154,COLUMN(AD21),FALSE))</f>
        <v>139.75856474861629</v>
      </c>
      <c r="AE21" s="3">
        <f>IF(VLOOKUP($A21,overview!$B$3:$AJ$154,COLUMN(),FALSE) = "","",VLOOKUP($A21,overview!$B$3:$AJ$154,COLUMN(AE21),FALSE))</f>
        <v>136.9302189343768</v>
      </c>
      <c r="AF21" s="3">
        <f>IF(VLOOKUP($A21,overview!$B$3:$AJ$154,COLUMN(),FALSE) = "","",VLOOKUP($A21,overview!$B$3:$AJ$154,COLUMN(AF21),FALSE))</f>
        <v>134.19280097677961</v>
      </c>
      <c r="AG21" s="3">
        <f>IF(VLOOKUP($A21,overview!$B$3:$AJ$154,COLUMN(),FALSE) = "","",VLOOKUP($A21,overview!$B$3:$AJ$154,COLUMN(AG21),FALSE))</f>
        <v>131.5423017967625</v>
      </c>
      <c r="AH21" s="3">
        <f>IF(VLOOKUP($A21,overview!$B$3:$AJ$154,COLUMN(),FALSE) = "","",VLOOKUP($A21,overview!$B$3:$AJ$154,COLUMN(AH21),FALSE))</f>
        <v>128.97500486514991</v>
      </c>
      <c r="AI21" s="3" t="str">
        <f>IF(VLOOKUP($A21,overview!$B$3:$AJ$154,COLUMN(),FALSE) = "","",VLOOKUP($A21,overview!$B$3:$AJ$154,COLUMN(AI21),FALSE))</f>
        <v>[EUR/kWh]</v>
      </c>
    </row>
    <row r="22" spans="1:35" ht="15.75" customHeight="1" x14ac:dyDescent="0.2">
      <c r="A22" s="8" t="s">
        <v>100</v>
      </c>
      <c r="B22" s="23">
        <f>IF(VLOOKUP($A22,overview!$B$3:$AJ$154,COLUMN(),FALSE) = "","",VLOOKUP($A22,overview!$B$3:$AJ$154,COLUMN(B22),FALSE))</f>
        <v>2.5000000000000001E-2</v>
      </c>
      <c r="C22" s="3">
        <f>IF(VLOOKUP($A22,overview!$B$3:$AJ$154,COLUMN(),FALSE) = "","",VLOOKUP($A22,overview!$B$3:$AJ$154,COLUMN(C22),FALSE))</f>
        <v>0.02</v>
      </c>
      <c r="D22" s="3">
        <f>IF(VLOOKUP($A22,overview!$B$3:$AJ$154,COLUMN(),FALSE) = "","",VLOOKUP($A22,overview!$B$3:$AJ$154,COLUMN(D22),FALSE))</f>
        <v>0.03</v>
      </c>
      <c r="E22" s="3" t="str">
        <f>IF(VLOOKUP($A22,overview!$B$3:$AJ$154,COLUMN(),FALSE) = "","",VLOOKUP($A22,overview!$B$3:$AJ$154,COLUMN(E22),FALSE))</f>
        <v/>
      </c>
      <c r="F22" s="3" t="str">
        <f>IF(VLOOKUP($A22,overview!$B$3:$AJ$154,COLUMN(),FALSE) = "","",VLOOKUP($A22,overview!$B$3:$AJ$154,COLUMN(F22),FALSE))</f>
        <v/>
      </c>
      <c r="G22" s="3" t="str">
        <f>IF(VLOOKUP($A22,overview!$B$3:$AJ$154,COLUMN(),FALSE) = "","",VLOOKUP($A22,overview!$B$3:$AJ$154,COLUMN(G22),FALSE))</f>
        <v/>
      </c>
      <c r="H22" s="3" t="str">
        <f>IF(VLOOKUP($A22,overview!$B$3:$AJ$154,COLUMN(),FALSE) = "","",VLOOKUP($A22,overview!$B$3:$AJ$154,COLUMN(H22),FALSE))</f>
        <v/>
      </c>
      <c r="I22" s="3" t="str">
        <f>IF(VLOOKUP($A22,overview!$B$3:$AJ$154,COLUMN(),FALSE) = "","",VLOOKUP($A22,overview!$B$3:$AJ$154,COLUMN(I22),FALSE))</f>
        <v/>
      </c>
      <c r="J22" s="3" t="str">
        <f>IF(VLOOKUP($A22,overview!$B$3:$AJ$154,COLUMN(),FALSE) = "","",VLOOKUP($A22,overview!$B$3:$AJ$154,COLUMN(J22),FALSE))</f>
        <v/>
      </c>
      <c r="K22" s="3" t="str">
        <f>IF(VLOOKUP($A22,overview!$B$3:$AJ$154,COLUMN(),FALSE) = "","",VLOOKUP($A22,overview!$B$3:$AJ$154,COLUMN(K22),FALSE))</f>
        <v/>
      </c>
      <c r="L22" s="3" t="str">
        <f>IF(VLOOKUP($A22,overview!$B$3:$AJ$154,COLUMN(),FALSE) = "","",VLOOKUP($A22,overview!$B$3:$AJ$154,COLUMN(L22),FALSE))</f>
        <v/>
      </c>
      <c r="M22" s="3" t="str">
        <f>IF(VLOOKUP($A22,overview!$B$3:$AJ$154,COLUMN(),FALSE) = "","",VLOOKUP($A22,overview!$B$3:$AJ$154,COLUMN(M22),FALSE))</f>
        <v/>
      </c>
      <c r="N22" s="3" t="str">
        <f>IF(VLOOKUP($A22,overview!$B$3:$AJ$154,COLUMN(),FALSE) = "","",VLOOKUP($A22,overview!$B$3:$AJ$154,COLUMN(N22),FALSE))</f>
        <v/>
      </c>
      <c r="O22" s="3" t="str">
        <f>IF(VLOOKUP($A22,overview!$B$3:$AJ$154,COLUMN(),FALSE) = "","",VLOOKUP($A22,overview!$B$3:$AJ$154,COLUMN(O22),FALSE))</f>
        <v/>
      </c>
      <c r="P22" s="3" t="str">
        <f>IF(VLOOKUP($A22,overview!$B$3:$AJ$154,COLUMN(),FALSE) = "","",VLOOKUP($A22,overview!$B$3:$AJ$154,COLUMN(P22),FALSE))</f>
        <v/>
      </c>
      <c r="Q22" s="3" t="str">
        <f>IF(VLOOKUP($A22,overview!$B$3:$AJ$154,COLUMN(),FALSE) = "","",VLOOKUP($A22,overview!$B$3:$AJ$154,COLUMN(Q22),FALSE))</f>
        <v/>
      </c>
      <c r="R22" s="3" t="str">
        <f>IF(VLOOKUP($A22,overview!$B$3:$AJ$154,COLUMN(),FALSE) = "","",VLOOKUP($A22,overview!$B$3:$AJ$154,COLUMN(R22),FALSE))</f>
        <v/>
      </c>
      <c r="S22" s="3" t="str">
        <f>IF(VLOOKUP($A22,overview!$B$3:$AJ$154,COLUMN(),FALSE) = "","",VLOOKUP($A22,overview!$B$3:$AJ$154,COLUMN(S22),FALSE))</f>
        <v/>
      </c>
      <c r="T22" s="3" t="str">
        <f>IF(VLOOKUP($A22,overview!$B$3:$AJ$154,COLUMN(),FALSE) = "","",VLOOKUP($A22,overview!$B$3:$AJ$154,COLUMN(T22),FALSE))</f>
        <v/>
      </c>
      <c r="U22" s="3" t="str">
        <f>IF(VLOOKUP($A22,overview!$B$3:$AJ$154,COLUMN(),FALSE) = "","",VLOOKUP($A22,overview!$B$3:$AJ$154,COLUMN(U22),FALSE))</f>
        <v/>
      </c>
      <c r="V22" s="3" t="str">
        <f>IF(VLOOKUP($A22,overview!$B$3:$AJ$154,COLUMN(),FALSE) = "","",VLOOKUP($A22,overview!$B$3:$AJ$154,COLUMN(V22),FALSE))</f>
        <v/>
      </c>
      <c r="W22" s="3" t="str">
        <f>IF(VLOOKUP($A22,overview!$B$3:$AJ$154,COLUMN(),FALSE) = "","",VLOOKUP($A22,overview!$B$3:$AJ$154,COLUMN(W22),FALSE))</f>
        <v/>
      </c>
      <c r="X22" s="3" t="str">
        <f>IF(VLOOKUP($A22,overview!$B$3:$AJ$154,COLUMN(),FALSE) = "","",VLOOKUP($A22,overview!$B$3:$AJ$154,COLUMN(X22),FALSE))</f>
        <v/>
      </c>
      <c r="Y22" s="3" t="str">
        <f>IF(VLOOKUP($A22,overview!$B$3:$AJ$154,COLUMN(),FALSE) = "","",VLOOKUP($A22,overview!$B$3:$AJ$154,COLUMN(Y22),FALSE))</f>
        <v/>
      </c>
      <c r="Z22" s="3" t="str">
        <f>IF(VLOOKUP($A22,overview!$B$3:$AJ$154,COLUMN(),FALSE) = "","",VLOOKUP($A22,overview!$B$3:$AJ$154,COLUMN(Z22),FALSE))</f>
        <v/>
      </c>
      <c r="AA22" s="3" t="str">
        <f>IF(VLOOKUP($A22,overview!$B$3:$AJ$154,COLUMN(),FALSE) = "","",VLOOKUP($A22,overview!$B$3:$AJ$154,COLUMN(AA22),FALSE))</f>
        <v/>
      </c>
      <c r="AB22" s="3" t="str">
        <f>IF(VLOOKUP($A22,overview!$B$3:$AJ$154,COLUMN(),FALSE) = "","",VLOOKUP($A22,overview!$B$3:$AJ$154,COLUMN(AB22),FALSE))</f>
        <v/>
      </c>
      <c r="AC22" s="3" t="str">
        <f>IF(VLOOKUP($A22,overview!$B$3:$AJ$154,COLUMN(),FALSE) = "","",VLOOKUP($A22,overview!$B$3:$AJ$154,COLUMN(AC22),FALSE))</f>
        <v/>
      </c>
      <c r="AD22" s="3" t="str">
        <f>IF(VLOOKUP($A22,overview!$B$3:$AJ$154,COLUMN(),FALSE) = "","",VLOOKUP($A22,overview!$B$3:$AJ$154,COLUMN(AD22),FALSE))</f>
        <v/>
      </c>
      <c r="AE22" s="3" t="str">
        <f>IF(VLOOKUP($A22,overview!$B$3:$AJ$154,COLUMN(),FALSE) = "","",VLOOKUP($A22,overview!$B$3:$AJ$154,COLUMN(AE22),FALSE))</f>
        <v/>
      </c>
      <c r="AF22" s="3" t="str">
        <f>IF(VLOOKUP($A22,overview!$B$3:$AJ$154,COLUMN(),FALSE) = "","",VLOOKUP($A22,overview!$B$3:$AJ$154,COLUMN(AF22),FALSE))</f>
        <v/>
      </c>
      <c r="AG22" s="3" t="str">
        <f>IF(VLOOKUP($A22,overview!$B$3:$AJ$154,COLUMN(),FALSE) = "","",VLOOKUP($A22,overview!$B$3:$AJ$154,COLUMN(AG22),FALSE))</f>
        <v/>
      </c>
      <c r="AH22" s="3" t="str">
        <f>IF(VLOOKUP($A22,overview!$B$3:$AJ$154,COLUMN(),FALSE) = "","",VLOOKUP($A22,overview!$B$3:$AJ$154,COLUMN(AH22),FALSE))</f>
        <v/>
      </c>
      <c r="AI22" s="3" t="str">
        <f>IF(VLOOKUP($A22,overview!$B$3:$AJ$154,COLUMN(),FALSE) = "","",VLOOKUP($A22,overview!$B$3:$AJ$154,COLUMN(AI22),FALSE))</f>
        <v>Fraction of CAPEX p.a.</v>
      </c>
    </row>
    <row r="23" spans="1:35" ht="15.75" customHeight="1" x14ac:dyDescent="0.2">
      <c r="A23" s="8" t="s">
        <v>103</v>
      </c>
      <c r="B23" s="3">
        <f>IF(VLOOKUP($A23,overview!$B$3:$AJ$154,COLUMN(),FALSE) = "","",VLOOKUP($A23,overview!$B$3:$AJ$154,COLUMN(B23),FALSE))</f>
        <v>15</v>
      </c>
      <c r="C23" s="3">
        <f>IF(VLOOKUP($A23,overview!$B$3:$AJ$154,COLUMN(),FALSE) = "","",VLOOKUP($A23,overview!$B$3:$AJ$154,COLUMN(C23),FALSE))</f>
        <v>10</v>
      </c>
      <c r="D23" s="3">
        <f>IF(VLOOKUP($A23,overview!$B$3:$AJ$154,COLUMN(),FALSE) = "","",VLOOKUP($A23,overview!$B$3:$AJ$154,COLUMN(D23),FALSE))</f>
        <v>20</v>
      </c>
      <c r="E23" s="3" t="str">
        <f>IF(VLOOKUP($A23,overview!$B$3:$AJ$154,COLUMN(),FALSE) = "","",VLOOKUP($A23,overview!$B$3:$AJ$154,COLUMN(E23),FALSE))</f>
        <v/>
      </c>
      <c r="F23" s="3" t="str">
        <f>IF(VLOOKUP($A23,overview!$B$3:$AJ$154,COLUMN(),FALSE) = "","",VLOOKUP($A23,overview!$B$3:$AJ$154,COLUMN(F23),FALSE))</f>
        <v/>
      </c>
      <c r="G23" s="3" t="str">
        <f>IF(VLOOKUP($A23,overview!$B$3:$AJ$154,COLUMN(),FALSE) = "","",VLOOKUP($A23,overview!$B$3:$AJ$154,COLUMN(G23),FALSE))</f>
        <v/>
      </c>
      <c r="H23" s="3" t="str">
        <f>IF(VLOOKUP($A23,overview!$B$3:$AJ$154,COLUMN(),FALSE) = "","",VLOOKUP($A23,overview!$B$3:$AJ$154,COLUMN(H23),FALSE))</f>
        <v/>
      </c>
      <c r="I23" s="3" t="str">
        <f>IF(VLOOKUP($A23,overview!$B$3:$AJ$154,COLUMN(),FALSE) = "","",VLOOKUP($A23,overview!$B$3:$AJ$154,COLUMN(I23),FALSE))</f>
        <v/>
      </c>
      <c r="J23" s="3" t="str">
        <f>IF(VLOOKUP($A23,overview!$B$3:$AJ$154,COLUMN(),FALSE) = "","",VLOOKUP($A23,overview!$B$3:$AJ$154,COLUMN(J23),FALSE))</f>
        <v/>
      </c>
      <c r="K23" s="3" t="str">
        <f>IF(VLOOKUP($A23,overview!$B$3:$AJ$154,COLUMN(),FALSE) = "","",VLOOKUP($A23,overview!$B$3:$AJ$154,COLUMN(K23),FALSE))</f>
        <v/>
      </c>
      <c r="L23" s="3" t="str">
        <f>IF(VLOOKUP($A23,overview!$B$3:$AJ$154,COLUMN(),FALSE) = "","",VLOOKUP($A23,overview!$B$3:$AJ$154,COLUMN(L23),FALSE))</f>
        <v/>
      </c>
      <c r="M23" s="3" t="str">
        <f>IF(VLOOKUP($A23,overview!$B$3:$AJ$154,COLUMN(),FALSE) = "","",VLOOKUP($A23,overview!$B$3:$AJ$154,COLUMN(M23),FALSE))</f>
        <v/>
      </c>
      <c r="N23" s="3" t="str">
        <f>IF(VLOOKUP($A23,overview!$B$3:$AJ$154,COLUMN(),FALSE) = "","",VLOOKUP($A23,overview!$B$3:$AJ$154,COLUMN(N23),FALSE))</f>
        <v/>
      </c>
      <c r="O23" s="3" t="str">
        <f>IF(VLOOKUP($A23,overview!$B$3:$AJ$154,COLUMN(),FALSE) = "","",VLOOKUP($A23,overview!$B$3:$AJ$154,COLUMN(O23),FALSE))</f>
        <v/>
      </c>
      <c r="P23" s="3" t="str">
        <f>IF(VLOOKUP($A23,overview!$B$3:$AJ$154,COLUMN(),FALSE) = "","",VLOOKUP($A23,overview!$B$3:$AJ$154,COLUMN(P23),FALSE))</f>
        <v/>
      </c>
      <c r="Q23" s="3" t="str">
        <f>IF(VLOOKUP($A23,overview!$B$3:$AJ$154,COLUMN(),FALSE) = "","",VLOOKUP($A23,overview!$B$3:$AJ$154,COLUMN(Q23),FALSE))</f>
        <v/>
      </c>
      <c r="R23" s="3" t="str">
        <f>IF(VLOOKUP($A23,overview!$B$3:$AJ$154,COLUMN(),FALSE) = "","",VLOOKUP($A23,overview!$B$3:$AJ$154,COLUMN(R23),FALSE))</f>
        <v/>
      </c>
      <c r="S23" s="3" t="str">
        <f>IF(VLOOKUP($A23,overview!$B$3:$AJ$154,COLUMN(),FALSE) = "","",VLOOKUP($A23,overview!$B$3:$AJ$154,COLUMN(S23),FALSE))</f>
        <v/>
      </c>
      <c r="T23" s="3" t="str">
        <f>IF(VLOOKUP($A23,overview!$B$3:$AJ$154,COLUMN(),FALSE) = "","",VLOOKUP($A23,overview!$B$3:$AJ$154,COLUMN(T23),FALSE))</f>
        <v/>
      </c>
      <c r="U23" s="3" t="str">
        <f>IF(VLOOKUP($A23,overview!$B$3:$AJ$154,COLUMN(),FALSE) = "","",VLOOKUP($A23,overview!$B$3:$AJ$154,COLUMN(U23),FALSE))</f>
        <v/>
      </c>
      <c r="V23" s="3" t="str">
        <f>IF(VLOOKUP($A23,overview!$B$3:$AJ$154,COLUMN(),FALSE) = "","",VLOOKUP($A23,overview!$B$3:$AJ$154,COLUMN(V23),FALSE))</f>
        <v/>
      </c>
      <c r="W23" s="3" t="str">
        <f>IF(VLOOKUP($A23,overview!$B$3:$AJ$154,COLUMN(),FALSE) = "","",VLOOKUP($A23,overview!$B$3:$AJ$154,COLUMN(W23),FALSE))</f>
        <v/>
      </c>
      <c r="X23" s="3" t="str">
        <f>IF(VLOOKUP($A23,overview!$B$3:$AJ$154,COLUMN(),FALSE) = "","",VLOOKUP($A23,overview!$B$3:$AJ$154,COLUMN(X23),FALSE))</f>
        <v/>
      </c>
      <c r="Y23" s="3" t="str">
        <f>IF(VLOOKUP($A23,overview!$B$3:$AJ$154,COLUMN(),FALSE) = "","",VLOOKUP($A23,overview!$B$3:$AJ$154,COLUMN(Y23),FALSE))</f>
        <v/>
      </c>
      <c r="Z23" s="3" t="str">
        <f>IF(VLOOKUP($A23,overview!$B$3:$AJ$154,COLUMN(),FALSE) = "","",VLOOKUP($A23,overview!$B$3:$AJ$154,COLUMN(Z23),FALSE))</f>
        <v/>
      </c>
      <c r="AA23" s="3" t="str">
        <f>IF(VLOOKUP($A23,overview!$B$3:$AJ$154,COLUMN(),FALSE) = "","",VLOOKUP($A23,overview!$B$3:$AJ$154,COLUMN(AA23),FALSE))</f>
        <v/>
      </c>
      <c r="AB23" s="3" t="str">
        <f>IF(VLOOKUP($A23,overview!$B$3:$AJ$154,COLUMN(),FALSE) = "","",VLOOKUP($A23,overview!$B$3:$AJ$154,COLUMN(AB23),FALSE))</f>
        <v/>
      </c>
      <c r="AC23" s="3" t="str">
        <f>IF(VLOOKUP($A23,overview!$B$3:$AJ$154,COLUMN(),FALSE) = "","",VLOOKUP($A23,overview!$B$3:$AJ$154,COLUMN(AC23),FALSE))</f>
        <v/>
      </c>
      <c r="AD23" s="3" t="str">
        <f>IF(VLOOKUP($A23,overview!$B$3:$AJ$154,COLUMN(),FALSE) = "","",VLOOKUP($A23,overview!$B$3:$AJ$154,COLUMN(AD23),FALSE))</f>
        <v/>
      </c>
      <c r="AE23" s="3" t="str">
        <f>IF(VLOOKUP($A23,overview!$B$3:$AJ$154,COLUMN(),FALSE) = "","",VLOOKUP($A23,overview!$B$3:$AJ$154,COLUMN(AE23),FALSE))</f>
        <v/>
      </c>
      <c r="AF23" s="3" t="str">
        <f>IF(VLOOKUP($A23,overview!$B$3:$AJ$154,COLUMN(),FALSE) = "","",VLOOKUP($A23,overview!$B$3:$AJ$154,COLUMN(AF23),FALSE))</f>
        <v/>
      </c>
      <c r="AG23" s="3" t="str">
        <f>IF(VLOOKUP($A23,overview!$B$3:$AJ$154,COLUMN(),FALSE) = "","",VLOOKUP($A23,overview!$B$3:$AJ$154,COLUMN(AG23),FALSE))</f>
        <v/>
      </c>
      <c r="AH23" s="3" t="str">
        <f>IF(VLOOKUP($A23,overview!$B$3:$AJ$154,COLUMN(),FALSE) = "","",VLOOKUP($A23,overview!$B$3:$AJ$154,COLUMN(AH23),FALSE))</f>
        <v/>
      </c>
      <c r="AI23" s="3" t="str">
        <f>IF(VLOOKUP($A23,overview!$B$3:$AJ$154,COLUMN(),FALSE) = "","",VLOOKUP($A23,overview!$B$3:$AJ$154,COLUMN(AI23),FALSE))</f>
        <v>years</v>
      </c>
    </row>
    <row r="24" spans="1:35" ht="15.75" customHeight="1" x14ac:dyDescent="0.2">
      <c r="A24" s="8" t="s">
        <v>106</v>
      </c>
      <c r="B24" s="3">
        <f>IF(VLOOKUP($A24,overview!$B$3:$AJ$154,COLUMN(),FALSE) = "","",VLOOKUP($A24,overview!$B$3:$AJ$154,COLUMN(B24),FALSE))</f>
        <v>0.92500000000000004</v>
      </c>
      <c r="C24" s="3">
        <f>IF(VLOOKUP($A24,overview!$B$3:$AJ$154,COLUMN(),FALSE) = "","",VLOOKUP($A24,overview!$B$3:$AJ$154,COLUMN(C24),FALSE))</f>
        <v>0.9</v>
      </c>
      <c r="D24" s="3">
        <f>IF(VLOOKUP($A24,overview!$B$3:$AJ$154,COLUMN(),FALSE) = "","",VLOOKUP($A24,overview!$B$3:$AJ$154,COLUMN(D24),FALSE))</f>
        <v>0.95</v>
      </c>
      <c r="E24" s="3" t="str">
        <f>IF(VLOOKUP($A24,overview!$B$3:$AJ$154,COLUMN(),FALSE) = "","",VLOOKUP($A24,overview!$B$3:$AJ$154,COLUMN(E24),FALSE))</f>
        <v/>
      </c>
      <c r="F24" s="3" t="str">
        <f>IF(VLOOKUP($A24,overview!$B$3:$AJ$154,COLUMN(),FALSE) = "","",VLOOKUP($A24,overview!$B$3:$AJ$154,COLUMN(F24),FALSE))</f>
        <v/>
      </c>
      <c r="G24" s="3" t="str">
        <f>IF(VLOOKUP($A24,overview!$B$3:$AJ$154,COLUMN(),FALSE) = "","",VLOOKUP($A24,overview!$B$3:$AJ$154,COLUMN(G24),FALSE))</f>
        <v/>
      </c>
      <c r="H24" s="3" t="str">
        <f>IF(VLOOKUP($A24,overview!$B$3:$AJ$154,COLUMN(),FALSE) = "","",VLOOKUP($A24,overview!$B$3:$AJ$154,COLUMN(H24),FALSE))</f>
        <v/>
      </c>
      <c r="I24" s="3" t="str">
        <f>IF(VLOOKUP($A24,overview!$B$3:$AJ$154,COLUMN(),FALSE) = "","",VLOOKUP($A24,overview!$B$3:$AJ$154,COLUMN(I24),FALSE))</f>
        <v/>
      </c>
      <c r="J24" s="3" t="str">
        <f>IF(VLOOKUP($A24,overview!$B$3:$AJ$154,COLUMN(),FALSE) = "","",VLOOKUP($A24,overview!$B$3:$AJ$154,COLUMN(J24),FALSE))</f>
        <v/>
      </c>
      <c r="K24" s="3" t="str">
        <f>IF(VLOOKUP($A24,overview!$B$3:$AJ$154,COLUMN(),FALSE) = "","",VLOOKUP($A24,overview!$B$3:$AJ$154,COLUMN(K24),FALSE))</f>
        <v/>
      </c>
      <c r="L24" s="3" t="str">
        <f>IF(VLOOKUP($A24,overview!$B$3:$AJ$154,COLUMN(),FALSE) = "","",VLOOKUP($A24,overview!$B$3:$AJ$154,COLUMN(L24),FALSE))</f>
        <v/>
      </c>
      <c r="M24" s="3" t="str">
        <f>IF(VLOOKUP($A24,overview!$B$3:$AJ$154,COLUMN(),FALSE) = "","",VLOOKUP($A24,overview!$B$3:$AJ$154,COLUMN(M24),FALSE))</f>
        <v/>
      </c>
      <c r="N24" s="3" t="str">
        <f>IF(VLOOKUP($A24,overview!$B$3:$AJ$154,COLUMN(),FALSE) = "","",VLOOKUP($A24,overview!$B$3:$AJ$154,COLUMN(N24),FALSE))</f>
        <v/>
      </c>
      <c r="O24" s="3" t="str">
        <f>IF(VLOOKUP($A24,overview!$B$3:$AJ$154,COLUMN(),FALSE) = "","",VLOOKUP($A24,overview!$B$3:$AJ$154,COLUMN(O24),FALSE))</f>
        <v/>
      </c>
      <c r="P24" s="3" t="str">
        <f>IF(VLOOKUP($A24,overview!$B$3:$AJ$154,COLUMN(),FALSE) = "","",VLOOKUP($A24,overview!$B$3:$AJ$154,COLUMN(P24),FALSE))</f>
        <v/>
      </c>
      <c r="Q24" s="3" t="str">
        <f>IF(VLOOKUP($A24,overview!$B$3:$AJ$154,COLUMN(),FALSE) = "","",VLOOKUP($A24,overview!$B$3:$AJ$154,COLUMN(Q24),FALSE))</f>
        <v/>
      </c>
      <c r="R24" s="3" t="str">
        <f>IF(VLOOKUP($A24,overview!$B$3:$AJ$154,COLUMN(),FALSE) = "","",VLOOKUP($A24,overview!$B$3:$AJ$154,COLUMN(R24),FALSE))</f>
        <v/>
      </c>
      <c r="S24" s="3" t="str">
        <f>IF(VLOOKUP($A24,overview!$B$3:$AJ$154,COLUMN(),FALSE) = "","",VLOOKUP($A24,overview!$B$3:$AJ$154,COLUMN(S24),FALSE))</f>
        <v/>
      </c>
      <c r="T24" s="3" t="str">
        <f>IF(VLOOKUP($A24,overview!$B$3:$AJ$154,COLUMN(),FALSE) = "","",VLOOKUP($A24,overview!$B$3:$AJ$154,COLUMN(T24),FALSE))</f>
        <v/>
      </c>
      <c r="U24" s="3" t="str">
        <f>IF(VLOOKUP($A24,overview!$B$3:$AJ$154,COLUMN(),FALSE) = "","",VLOOKUP($A24,overview!$B$3:$AJ$154,COLUMN(U24),FALSE))</f>
        <v/>
      </c>
      <c r="V24" s="3" t="str">
        <f>IF(VLOOKUP($A24,overview!$B$3:$AJ$154,COLUMN(),FALSE) = "","",VLOOKUP($A24,overview!$B$3:$AJ$154,COLUMN(V24),FALSE))</f>
        <v/>
      </c>
      <c r="W24" s="3" t="str">
        <f>IF(VLOOKUP($A24,overview!$B$3:$AJ$154,COLUMN(),FALSE) = "","",VLOOKUP($A24,overview!$B$3:$AJ$154,COLUMN(W24),FALSE))</f>
        <v/>
      </c>
      <c r="X24" s="3" t="str">
        <f>IF(VLOOKUP($A24,overview!$B$3:$AJ$154,COLUMN(),FALSE) = "","",VLOOKUP($A24,overview!$B$3:$AJ$154,COLUMN(X24),FALSE))</f>
        <v/>
      </c>
      <c r="Y24" s="3" t="str">
        <f>IF(VLOOKUP($A24,overview!$B$3:$AJ$154,COLUMN(),FALSE) = "","",VLOOKUP($A24,overview!$B$3:$AJ$154,COLUMN(Y24),FALSE))</f>
        <v/>
      </c>
      <c r="Z24" s="3" t="str">
        <f>IF(VLOOKUP($A24,overview!$B$3:$AJ$154,COLUMN(),FALSE) = "","",VLOOKUP($A24,overview!$B$3:$AJ$154,COLUMN(Z24),FALSE))</f>
        <v/>
      </c>
      <c r="AA24" s="3" t="str">
        <f>IF(VLOOKUP($A24,overview!$B$3:$AJ$154,COLUMN(),FALSE) = "","",VLOOKUP($A24,overview!$B$3:$AJ$154,COLUMN(AA24),FALSE))</f>
        <v/>
      </c>
      <c r="AB24" s="3" t="str">
        <f>IF(VLOOKUP($A24,overview!$B$3:$AJ$154,COLUMN(),FALSE) = "","",VLOOKUP($A24,overview!$B$3:$AJ$154,COLUMN(AB24),FALSE))</f>
        <v/>
      </c>
      <c r="AC24" s="3" t="str">
        <f>IF(VLOOKUP($A24,overview!$B$3:$AJ$154,COLUMN(),FALSE) = "","",VLOOKUP($A24,overview!$B$3:$AJ$154,COLUMN(AC24),FALSE))</f>
        <v/>
      </c>
      <c r="AD24" s="3" t="str">
        <f>IF(VLOOKUP($A24,overview!$B$3:$AJ$154,COLUMN(),FALSE) = "","",VLOOKUP($A24,overview!$B$3:$AJ$154,COLUMN(AD24),FALSE))</f>
        <v/>
      </c>
      <c r="AE24" s="3" t="str">
        <f>IF(VLOOKUP($A24,overview!$B$3:$AJ$154,COLUMN(),FALSE) = "","",VLOOKUP($A24,overview!$B$3:$AJ$154,COLUMN(AE24),FALSE))</f>
        <v/>
      </c>
      <c r="AF24" s="3" t="str">
        <f>IF(VLOOKUP($A24,overview!$B$3:$AJ$154,COLUMN(),FALSE) = "","",VLOOKUP($A24,overview!$B$3:$AJ$154,COLUMN(AF24),FALSE))</f>
        <v/>
      </c>
      <c r="AG24" s="3" t="str">
        <f>IF(VLOOKUP($A24,overview!$B$3:$AJ$154,COLUMN(),FALSE) = "","",VLOOKUP($A24,overview!$B$3:$AJ$154,COLUMN(AG24),FALSE))</f>
        <v/>
      </c>
      <c r="AH24" s="3" t="str">
        <f>IF(VLOOKUP($A24,overview!$B$3:$AJ$154,COLUMN(),FALSE) = "","",VLOOKUP($A24,overview!$B$3:$AJ$154,COLUMN(AH24),FALSE))</f>
        <v/>
      </c>
      <c r="AI24" s="3" t="str">
        <f>IF(VLOOKUP($A24,overview!$B$3:$AJ$154,COLUMN(),FALSE) = "","",VLOOKUP($A24,overview!$B$3:$AJ$154,COLUMN(AI24),FALSE))</f>
        <v/>
      </c>
    </row>
    <row r="25" spans="1:35" ht="15.75" customHeight="1" x14ac:dyDescent="0.2">
      <c r="A25" s="8" t="s">
        <v>109</v>
      </c>
      <c r="B25" s="3">
        <f>IF(VLOOKUP($A25,overview!$B$3:$AJ$154,COLUMN(),FALSE) = "","",VLOOKUP($A25,overview!$B$3:$AJ$154,COLUMN(B25),FALSE))</f>
        <v>0.5</v>
      </c>
      <c r="C25" s="3">
        <f>IF(VLOOKUP($A25,overview!$B$3:$AJ$154,COLUMN(),FALSE) = "","",VLOOKUP($A25,overview!$B$3:$AJ$154,COLUMN(C25),FALSE))</f>
        <v>0.25</v>
      </c>
      <c r="D25" s="3">
        <f>IF(VLOOKUP($A25,overview!$B$3:$AJ$154,COLUMN(),FALSE) = "","",VLOOKUP($A25,overview!$B$3:$AJ$154,COLUMN(D25),FALSE))</f>
        <v>0.75</v>
      </c>
      <c r="E25" s="3" t="str">
        <f>IF(VLOOKUP($A25,overview!$B$3:$AJ$154,COLUMN(),FALSE) = "","",VLOOKUP($A25,overview!$B$3:$AJ$154,COLUMN(E25),FALSE))</f>
        <v/>
      </c>
      <c r="F25" s="3" t="str">
        <f>IF(VLOOKUP($A25,overview!$B$3:$AJ$154,COLUMN(),FALSE) = "","",VLOOKUP($A25,overview!$B$3:$AJ$154,COLUMN(F25),FALSE))</f>
        <v/>
      </c>
      <c r="G25" s="3" t="str">
        <f>IF(VLOOKUP($A25,overview!$B$3:$AJ$154,COLUMN(),FALSE) = "","",VLOOKUP($A25,overview!$B$3:$AJ$154,COLUMN(G25),FALSE))</f>
        <v/>
      </c>
      <c r="H25" s="3" t="str">
        <f>IF(VLOOKUP($A25,overview!$B$3:$AJ$154,COLUMN(),FALSE) = "","",VLOOKUP($A25,overview!$B$3:$AJ$154,COLUMN(H25),FALSE))</f>
        <v/>
      </c>
      <c r="I25" s="3" t="str">
        <f>IF(VLOOKUP($A25,overview!$B$3:$AJ$154,COLUMN(),FALSE) = "","",VLOOKUP($A25,overview!$B$3:$AJ$154,COLUMN(I25),FALSE))</f>
        <v/>
      </c>
      <c r="J25" s="3" t="str">
        <f>IF(VLOOKUP($A25,overview!$B$3:$AJ$154,COLUMN(),FALSE) = "","",VLOOKUP($A25,overview!$B$3:$AJ$154,COLUMN(J25),FALSE))</f>
        <v/>
      </c>
      <c r="K25" s="3" t="str">
        <f>IF(VLOOKUP($A25,overview!$B$3:$AJ$154,COLUMN(),FALSE) = "","",VLOOKUP($A25,overview!$B$3:$AJ$154,COLUMN(K25),FALSE))</f>
        <v/>
      </c>
      <c r="L25" s="3" t="str">
        <f>IF(VLOOKUP($A25,overview!$B$3:$AJ$154,COLUMN(),FALSE) = "","",VLOOKUP($A25,overview!$B$3:$AJ$154,COLUMN(L25),FALSE))</f>
        <v/>
      </c>
      <c r="M25" s="3" t="str">
        <f>IF(VLOOKUP($A25,overview!$B$3:$AJ$154,COLUMN(),FALSE) = "","",VLOOKUP($A25,overview!$B$3:$AJ$154,COLUMN(M25),FALSE))</f>
        <v/>
      </c>
      <c r="N25" s="3" t="str">
        <f>IF(VLOOKUP($A25,overview!$B$3:$AJ$154,COLUMN(),FALSE) = "","",VLOOKUP($A25,overview!$B$3:$AJ$154,COLUMN(N25),FALSE))</f>
        <v/>
      </c>
      <c r="O25" s="3" t="str">
        <f>IF(VLOOKUP($A25,overview!$B$3:$AJ$154,COLUMN(),FALSE) = "","",VLOOKUP($A25,overview!$B$3:$AJ$154,COLUMN(O25),FALSE))</f>
        <v/>
      </c>
      <c r="P25" s="3" t="str">
        <f>IF(VLOOKUP($A25,overview!$B$3:$AJ$154,COLUMN(),FALSE) = "","",VLOOKUP($A25,overview!$B$3:$AJ$154,COLUMN(P25),FALSE))</f>
        <v/>
      </c>
      <c r="Q25" s="3" t="str">
        <f>IF(VLOOKUP($A25,overview!$B$3:$AJ$154,COLUMN(),FALSE) = "","",VLOOKUP($A25,overview!$B$3:$AJ$154,COLUMN(Q25),FALSE))</f>
        <v/>
      </c>
      <c r="R25" s="3" t="str">
        <f>IF(VLOOKUP($A25,overview!$B$3:$AJ$154,COLUMN(),FALSE) = "","",VLOOKUP($A25,overview!$B$3:$AJ$154,COLUMN(R25),FALSE))</f>
        <v/>
      </c>
      <c r="S25" s="3" t="str">
        <f>IF(VLOOKUP($A25,overview!$B$3:$AJ$154,COLUMN(),FALSE) = "","",VLOOKUP($A25,overview!$B$3:$AJ$154,COLUMN(S25),FALSE))</f>
        <v/>
      </c>
      <c r="T25" s="3" t="str">
        <f>IF(VLOOKUP($A25,overview!$B$3:$AJ$154,COLUMN(),FALSE) = "","",VLOOKUP($A25,overview!$B$3:$AJ$154,COLUMN(T25),FALSE))</f>
        <v/>
      </c>
      <c r="U25" s="3" t="str">
        <f>IF(VLOOKUP($A25,overview!$B$3:$AJ$154,COLUMN(),FALSE) = "","",VLOOKUP($A25,overview!$B$3:$AJ$154,COLUMN(U25),FALSE))</f>
        <v/>
      </c>
      <c r="V25" s="3" t="str">
        <f>IF(VLOOKUP($A25,overview!$B$3:$AJ$154,COLUMN(),FALSE) = "","",VLOOKUP($A25,overview!$B$3:$AJ$154,COLUMN(V25),FALSE))</f>
        <v/>
      </c>
      <c r="W25" s="3" t="str">
        <f>IF(VLOOKUP($A25,overview!$B$3:$AJ$154,COLUMN(),FALSE) = "","",VLOOKUP($A25,overview!$B$3:$AJ$154,COLUMN(W25),FALSE))</f>
        <v/>
      </c>
      <c r="X25" s="3" t="str">
        <f>IF(VLOOKUP($A25,overview!$B$3:$AJ$154,COLUMN(),FALSE) = "","",VLOOKUP($A25,overview!$B$3:$AJ$154,COLUMN(X25),FALSE))</f>
        <v/>
      </c>
      <c r="Y25" s="3" t="str">
        <f>IF(VLOOKUP($A25,overview!$B$3:$AJ$154,COLUMN(),FALSE) = "","",VLOOKUP($A25,overview!$B$3:$AJ$154,COLUMN(Y25),FALSE))</f>
        <v/>
      </c>
      <c r="Z25" s="3" t="str">
        <f>IF(VLOOKUP($A25,overview!$B$3:$AJ$154,COLUMN(),FALSE) = "","",VLOOKUP($A25,overview!$B$3:$AJ$154,COLUMN(Z25),FALSE))</f>
        <v/>
      </c>
      <c r="AA25" s="3" t="str">
        <f>IF(VLOOKUP($A25,overview!$B$3:$AJ$154,COLUMN(),FALSE) = "","",VLOOKUP($A25,overview!$B$3:$AJ$154,COLUMN(AA25),FALSE))</f>
        <v/>
      </c>
      <c r="AB25" s="3" t="str">
        <f>IF(VLOOKUP($A25,overview!$B$3:$AJ$154,COLUMN(),FALSE) = "","",VLOOKUP($A25,overview!$B$3:$AJ$154,COLUMN(AB25),FALSE))</f>
        <v/>
      </c>
      <c r="AC25" s="3" t="str">
        <f>IF(VLOOKUP($A25,overview!$B$3:$AJ$154,COLUMN(),FALSE) = "","",VLOOKUP($A25,overview!$B$3:$AJ$154,COLUMN(AC25),FALSE))</f>
        <v/>
      </c>
      <c r="AD25" s="3" t="str">
        <f>IF(VLOOKUP($A25,overview!$B$3:$AJ$154,COLUMN(),FALSE) = "","",VLOOKUP($A25,overview!$B$3:$AJ$154,COLUMN(AD25),FALSE))</f>
        <v/>
      </c>
      <c r="AE25" s="3" t="str">
        <f>IF(VLOOKUP($A25,overview!$B$3:$AJ$154,COLUMN(),FALSE) = "","",VLOOKUP($A25,overview!$B$3:$AJ$154,COLUMN(AE25),FALSE))</f>
        <v/>
      </c>
      <c r="AF25" s="3" t="str">
        <f>IF(VLOOKUP($A25,overview!$B$3:$AJ$154,COLUMN(),FALSE) = "","",VLOOKUP($A25,overview!$B$3:$AJ$154,COLUMN(AF25),FALSE))</f>
        <v/>
      </c>
      <c r="AG25" s="3" t="str">
        <f>IF(VLOOKUP($A25,overview!$B$3:$AJ$154,COLUMN(),FALSE) = "","",VLOOKUP($A25,overview!$B$3:$AJ$154,COLUMN(AG25),FALSE))</f>
        <v/>
      </c>
      <c r="AH25" s="3" t="str">
        <f>IF(VLOOKUP($A25,overview!$B$3:$AJ$154,COLUMN(),FALSE) = "","",VLOOKUP($A25,overview!$B$3:$AJ$154,COLUMN(AH25),FALSE))</f>
        <v/>
      </c>
      <c r="AI25" s="3" t="str">
        <f>IF(VLOOKUP($A25,overview!$B$3:$AJ$154,COLUMN(),FALSE) = "","",VLOOKUP($A25,overview!$B$3:$AJ$154,COLUMN(AI25),FALSE))</f>
        <v>1/hours</v>
      </c>
    </row>
    <row r="26" spans="1:35" ht="15.75" customHeight="1" x14ac:dyDescent="0.2">
      <c r="A26" s="8" t="s">
        <v>113</v>
      </c>
      <c r="B26" s="27">
        <f>IF(VLOOKUP($A26,overview!$B$3:$AJ$154,COLUMN(),FALSE) = "","",VLOOKUP($A26,overview!$B$3:$AJ$154,COLUMN(B26),FALSE))</f>
        <v>100000</v>
      </c>
      <c r="C26" s="3" t="str">
        <f>IF(VLOOKUP($A26,overview!$B$3:$AJ$154,COLUMN(),FALSE) = "","",VLOOKUP($A26,overview!$B$3:$AJ$154,COLUMN(C26),FALSE))</f>
        <v/>
      </c>
      <c r="D26" s="3" t="str">
        <f>IF(VLOOKUP($A26,overview!$B$3:$AJ$154,COLUMN(),FALSE) = "","",VLOOKUP($A26,overview!$B$3:$AJ$154,COLUMN(D26),FALSE))</f>
        <v/>
      </c>
      <c r="E26" s="3" t="str">
        <f>IF(VLOOKUP($A26,overview!$B$3:$AJ$154,COLUMN(),FALSE) = "","",VLOOKUP($A26,overview!$B$3:$AJ$154,COLUMN(E26),FALSE))</f>
        <v/>
      </c>
      <c r="F26" s="3" t="str">
        <f>IF(VLOOKUP($A26,overview!$B$3:$AJ$154,COLUMN(),FALSE) = "","",VLOOKUP($A26,overview!$B$3:$AJ$154,COLUMN(F26),FALSE))</f>
        <v/>
      </c>
      <c r="G26" s="3" t="str">
        <f>IF(VLOOKUP($A26,overview!$B$3:$AJ$154,COLUMN(),FALSE) = "","",VLOOKUP($A26,overview!$B$3:$AJ$154,COLUMN(G26),FALSE))</f>
        <v/>
      </c>
      <c r="H26" s="3" t="str">
        <f>IF(VLOOKUP($A26,overview!$B$3:$AJ$154,COLUMN(),FALSE) = "","",VLOOKUP($A26,overview!$B$3:$AJ$154,COLUMN(H26),FALSE))</f>
        <v/>
      </c>
      <c r="I26" s="3" t="str">
        <f>IF(VLOOKUP($A26,overview!$B$3:$AJ$154,COLUMN(),FALSE) = "","",VLOOKUP($A26,overview!$B$3:$AJ$154,COLUMN(I26),FALSE))</f>
        <v/>
      </c>
      <c r="J26" s="3" t="str">
        <f>IF(VLOOKUP($A26,overview!$B$3:$AJ$154,COLUMN(),FALSE) = "","",VLOOKUP($A26,overview!$B$3:$AJ$154,COLUMN(J26),FALSE))</f>
        <v/>
      </c>
      <c r="K26" s="3" t="str">
        <f>IF(VLOOKUP($A26,overview!$B$3:$AJ$154,COLUMN(),FALSE) = "","",VLOOKUP($A26,overview!$B$3:$AJ$154,COLUMN(K26),FALSE))</f>
        <v/>
      </c>
      <c r="L26" s="3" t="str">
        <f>IF(VLOOKUP($A26,overview!$B$3:$AJ$154,COLUMN(),FALSE) = "","",VLOOKUP($A26,overview!$B$3:$AJ$154,COLUMN(L26),FALSE))</f>
        <v/>
      </c>
      <c r="M26" s="3" t="str">
        <f>IF(VLOOKUP($A26,overview!$B$3:$AJ$154,COLUMN(),FALSE) = "","",VLOOKUP($A26,overview!$B$3:$AJ$154,COLUMN(M26),FALSE))</f>
        <v/>
      </c>
      <c r="N26" s="3" t="str">
        <f>IF(VLOOKUP($A26,overview!$B$3:$AJ$154,COLUMN(),FALSE) = "","",VLOOKUP($A26,overview!$B$3:$AJ$154,COLUMN(N26),FALSE))</f>
        <v/>
      </c>
      <c r="O26" s="3" t="str">
        <f>IF(VLOOKUP($A26,overview!$B$3:$AJ$154,COLUMN(),FALSE) = "","",VLOOKUP($A26,overview!$B$3:$AJ$154,COLUMN(O26),FALSE))</f>
        <v/>
      </c>
      <c r="P26" s="3" t="str">
        <f>IF(VLOOKUP($A26,overview!$B$3:$AJ$154,COLUMN(),FALSE) = "","",VLOOKUP($A26,overview!$B$3:$AJ$154,COLUMN(P26),FALSE))</f>
        <v/>
      </c>
      <c r="Q26" s="3" t="str">
        <f>IF(VLOOKUP($A26,overview!$B$3:$AJ$154,COLUMN(),FALSE) = "","",VLOOKUP($A26,overview!$B$3:$AJ$154,COLUMN(Q26),FALSE))</f>
        <v/>
      </c>
      <c r="R26" s="3" t="str">
        <f>IF(VLOOKUP($A26,overview!$B$3:$AJ$154,COLUMN(),FALSE) = "","",VLOOKUP($A26,overview!$B$3:$AJ$154,COLUMN(R26),FALSE))</f>
        <v/>
      </c>
      <c r="S26" s="3" t="str">
        <f>IF(VLOOKUP($A26,overview!$B$3:$AJ$154,COLUMN(),FALSE) = "","",VLOOKUP($A26,overview!$B$3:$AJ$154,COLUMN(S26),FALSE))</f>
        <v/>
      </c>
      <c r="T26" s="3" t="str">
        <f>IF(VLOOKUP($A26,overview!$B$3:$AJ$154,COLUMN(),FALSE) = "","",VLOOKUP($A26,overview!$B$3:$AJ$154,COLUMN(T26),FALSE))</f>
        <v/>
      </c>
      <c r="U26" s="3" t="str">
        <f>IF(VLOOKUP($A26,overview!$B$3:$AJ$154,COLUMN(),FALSE) = "","",VLOOKUP($A26,overview!$B$3:$AJ$154,COLUMN(U26),FALSE))</f>
        <v/>
      </c>
      <c r="V26" s="3" t="str">
        <f>IF(VLOOKUP($A26,overview!$B$3:$AJ$154,COLUMN(),FALSE) = "","",VLOOKUP($A26,overview!$B$3:$AJ$154,COLUMN(V26),FALSE))</f>
        <v/>
      </c>
      <c r="W26" s="3" t="str">
        <f>IF(VLOOKUP($A26,overview!$B$3:$AJ$154,COLUMN(),FALSE) = "","",VLOOKUP($A26,overview!$B$3:$AJ$154,COLUMN(W26),FALSE))</f>
        <v/>
      </c>
      <c r="X26" s="3" t="str">
        <f>IF(VLOOKUP($A26,overview!$B$3:$AJ$154,COLUMN(),FALSE) = "","",VLOOKUP($A26,overview!$B$3:$AJ$154,COLUMN(X26),FALSE))</f>
        <v/>
      </c>
      <c r="Y26" s="3" t="str">
        <f>IF(VLOOKUP($A26,overview!$B$3:$AJ$154,COLUMN(),FALSE) = "","",VLOOKUP($A26,overview!$B$3:$AJ$154,COLUMN(Y26),FALSE))</f>
        <v/>
      </c>
      <c r="Z26" s="3" t="str">
        <f>IF(VLOOKUP($A26,overview!$B$3:$AJ$154,COLUMN(),FALSE) = "","",VLOOKUP($A26,overview!$B$3:$AJ$154,COLUMN(Z26),FALSE))</f>
        <v/>
      </c>
      <c r="AA26" s="3" t="str">
        <f>IF(VLOOKUP($A26,overview!$B$3:$AJ$154,COLUMN(),FALSE) = "","",VLOOKUP($A26,overview!$B$3:$AJ$154,COLUMN(AA26),FALSE))</f>
        <v/>
      </c>
      <c r="AB26" s="3" t="str">
        <f>IF(VLOOKUP($A26,overview!$B$3:$AJ$154,COLUMN(),FALSE) = "","",VLOOKUP($A26,overview!$B$3:$AJ$154,COLUMN(AB26),FALSE))</f>
        <v/>
      </c>
      <c r="AC26" s="3" t="str">
        <f>IF(VLOOKUP($A26,overview!$B$3:$AJ$154,COLUMN(),FALSE) = "","",VLOOKUP($A26,overview!$B$3:$AJ$154,COLUMN(AC26),FALSE))</f>
        <v/>
      </c>
      <c r="AD26" s="3" t="str">
        <f>IF(VLOOKUP($A26,overview!$B$3:$AJ$154,COLUMN(),FALSE) = "","",VLOOKUP($A26,overview!$B$3:$AJ$154,COLUMN(AD26),FALSE))</f>
        <v/>
      </c>
      <c r="AE26" s="3" t="str">
        <f>IF(VLOOKUP($A26,overview!$B$3:$AJ$154,COLUMN(),FALSE) = "","",VLOOKUP($A26,overview!$B$3:$AJ$154,COLUMN(AE26),FALSE))</f>
        <v/>
      </c>
      <c r="AF26" s="3" t="str">
        <f>IF(VLOOKUP($A26,overview!$B$3:$AJ$154,COLUMN(),FALSE) = "","",VLOOKUP($A26,overview!$B$3:$AJ$154,COLUMN(AF26),FALSE))</f>
        <v/>
      </c>
      <c r="AG26" s="3" t="str">
        <f>IF(VLOOKUP($A26,overview!$B$3:$AJ$154,COLUMN(),FALSE) = "","",VLOOKUP($A26,overview!$B$3:$AJ$154,COLUMN(AG26),FALSE))</f>
        <v/>
      </c>
      <c r="AH26" s="3" t="str">
        <f>IF(VLOOKUP($A26,overview!$B$3:$AJ$154,COLUMN(),FALSE) = "","",VLOOKUP($A26,overview!$B$3:$AJ$154,COLUMN(AH26),FALSE))</f>
        <v/>
      </c>
      <c r="AI26" s="3" t="str">
        <f>IF(VLOOKUP($A26,overview!$B$3:$AJ$154,COLUMN(),FALSE) = "","",VLOOKUP($A26,overview!$B$3:$AJ$154,COLUMN(AI26),FALSE))</f>
        <v>kW</v>
      </c>
    </row>
    <row r="27" spans="1:35" ht="15.75" customHeight="1" x14ac:dyDescent="0.2">
      <c r="A27" s="8" t="s">
        <v>114</v>
      </c>
      <c r="B27" s="3">
        <f>IF(VLOOKUP($A27,overview!$B$3:$AJ$154,COLUMN(),FALSE) = "","",VLOOKUP($A27,overview!$B$3:$AJ$154,COLUMN(B27),FALSE))</f>
        <v>0</v>
      </c>
      <c r="C27" s="3" t="str">
        <f>IF(VLOOKUP($A27,overview!$B$3:$AJ$154,COLUMN(),FALSE) = "","",VLOOKUP($A27,overview!$B$3:$AJ$154,COLUMN(C27),FALSE))</f>
        <v/>
      </c>
      <c r="D27" s="3" t="str">
        <f>IF(VLOOKUP($A27,overview!$B$3:$AJ$154,COLUMN(),FALSE) = "","",VLOOKUP($A27,overview!$B$3:$AJ$154,COLUMN(D27),FALSE))</f>
        <v/>
      </c>
      <c r="E27" s="3" t="str">
        <f>IF(VLOOKUP($A27,overview!$B$3:$AJ$154,COLUMN(),FALSE) = "","",VLOOKUP($A27,overview!$B$3:$AJ$154,COLUMN(E27),FALSE))</f>
        <v/>
      </c>
      <c r="F27" s="3" t="str">
        <f>IF(VLOOKUP($A27,overview!$B$3:$AJ$154,COLUMN(),FALSE) = "","",VLOOKUP($A27,overview!$B$3:$AJ$154,COLUMN(F27),FALSE))</f>
        <v/>
      </c>
      <c r="G27" s="3" t="str">
        <f>IF(VLOOKUP($A27,overview!$B$3:$AJ$154,COLUMN(),FALSE) = "","",VLOOKUP($A27,overview!$B$3:$AJ$154,COLUMN(G27),FALSE))</f>
        <v/>
      </c>
      <c r="H27" s="3" t="str">
        <f>IF(VLOOKUP($A27,overview!$B$3:$AJ$154,COLUMN(),FALSE) = "","",VLOOKUP($A27,overview!$B$3:$AJ$154,COLUMN(H27),FALSE))</f>
        <v/>
      </c>
      <c r="I27" s="3" t="str">
        <f>IF(VLOOKUP($A27,overview!$B$3:$AJ$154,COLUMN(),FALSE) = "","",VLOOKUP($A27,overview!$B$3:$AJ$154,COLUMN(I27),FALSE))</f>
        <v/>
      </c>
      <c r="J27" s="3" t="str">
        <f>IF(VLOOKUP($A27,overview!$B$3:$AJ$154,COLUMN(),FALSE) = "","",VLOOKUP($A27,overview!$B$3:$AJ$154,COLUMN(J27),FALSE))</f>
        <v/>
      </c>
      <c r="K27" s="3" t="str">
        <f>IF(VLOOKUP($A27,overview!$B$3:$AJ$154,COLUMN(),FALSE) = "","",VLOOKUP($A27,overview!$B$3:$AJ$154,COLUMN(K27),FALSE))</f>
        <v/>
      </c>
      <c r="L27" s="3" t="str">
        <f>IF(VLOOKUP($A27,overview!$B$3:$AJ$154,COLUMN(),FALSE) = "","",VLOOKUP($A27,overview!$B$3:$AJ$154,COLUMN(L27),FALSE))</f>
        <v/>
      </c>
      <c r="M27" s="3" t="str">
        <f>IF(VLOOKUP($A27,overview!$B$3:$AJ$154,COLUMN(),FALSE) = "","",VLOOKUP($A27,overview!$B$3:$AJ$154,COLUMN(M27),FALSE))</f>
        <v/>
      </c>
      <c r="N27" s="3" t="str">
        <f>IF(VLOOKUP($A27,overview!$B$3:$AJ$154,COLUMN(),FALSE) = "","",VLOOKUP($A27,overview!$B$3:$AJ$154,COLUMN(N27),FALSE))</f>
        <v/>
      </c>
      <c r="O27" s="3" t="str">
        <f>IF(VLOOKUP($A27,overview!$B$3:$AJ$154,COLUMN(),FALSE) = "","",VLOOKUP($A27,overview!$B$3:$AJ$154,COLUMN(O27),FALSE))</f>
        <v/>
      </c>
      <c r="P27" s="3" t="str">
        <f>IF(VLOOKUP($A27,overview!$B$3:$AJ$154,COLUMN(),FALSE) = "","",VLOOKUP($A27,overview!$B$3:$AJ$154,COLUMN(P27),FALSE))</f>
        <v/>
      </c>
      <c r="Q27" s="3" t="str">
        <f>IF(VLOOKUP($A27,overview!$B$3:$AJ$154,COLUMN(),FALSE) = "","",VLOOKUP($A27,overview!$B$3:$AJ$154,COLUMN(Q27),FALSE))</f>
        <v/>
      </c>
      <c r="R27" s="3" t="str">
        <f>IF(VLOOKUP($A27,overview!$B$3:$AJ$154,COLUMN(),FALSE) = "","",VLOOKUP($A27,overview!$B$3:$AJ$154,COLUMN(R27),FALSE))</f>
        <v/>
      </c>
      <c r="S27" s="3" t="str">
        <f>IF(VLOOKUP($A27,overview!$B$3:$AJ$154,COLUMN(),FALSE) = "","",VLOOKUP($A27,overview!$B$3:$AJ$154,COLUMN(S27),FALSE))</f>
        <v/>
      </c>
      <c r="T27" s="3" t="str">
        <f>IF(VLOOKUP($A27,overview!$B$3:$AJ$154,COLUMN(),FALSE) = "","",VLOOKUP($A27,overview!$B$3:$AJ$154,COLUMN(T27),FALSE))</f>
        <v/>
      </c>
      <c r="U27" s="3" t="str">
        <f>IF(VLOOKUP($A27,overview!$B$3:$AJ$154,COLUMN(),FALSE) = "","",VLOOKUP($A27,overview!$B$3:$AJ$154,COLUMN(U27),FALSE))</f>
        <v/>
      </c>
      <c r="V27" s="3" t="str">
        <f>IF(VLOOKUP($A27,overview!$B$3:$AJ$154,COLUMN(),FALSE) = "","",VLOOKUP($A27,overview!$B$3:$AJ$154,COLUMN(V27),FALSE))</f>
        <v/>
      </c>
      <c r="W27" s="3" t="str">
        <f>IF(VLOOKUP($A27,overview!$B$3:$AJ$154,COLUMN(),FALSE) = "","",VLOOKUP($A27,overview!$B$3:$AJ$154,COLUMN(W27),FALSE))</f>
        <v/>
      </c>
      <c r="X27" s="3" t="str">
        <f>IF(VLOOKUP($A27,overview!$B$3:$AJ$154,COLUMN(),FALSE) = "","",VLOOKUP($A27,overview!$B$3:$AJ$154,COLUMN(X27),FALSE))</f>
        <v/>
      </c>
      <c r="Y27" s="3" t="str">
        <f>IF(VLOOKUP($A27,overview!$B$3:$AJ$154,COLUMN(),FALSE) = "","",VLOOKUP($A27,overview!$B$3:$AJ$154,COLUMN(Y27),FALSE))</f>
        <v/>
      </c>
      <c r="Z27" s="3" t="str">
        <f>IF(VLOOKUP($A27,overview!$B$3:$AJ$154,COLUMN(),FALSE) = "","",VLOOKUP($A27,overview!$B$3:$AJ$154,COLUMN(Z27),FALSE))</f>
        <v/>
      </c>
      <c r="AA27" s="3" t="str">
        <f>IF(VLOOKUP($A27,overview!$B$3:$AJ$154,COLUMN(),FALSE) = "","",VLOOKUP($A27,overview!$B$3:$AJ$154,COLUMN(AA27),FALSE))</f>
        <v/>
      </c>
      <c r="AB27" s="3" t="str">
        <f>IF(VLOOKUP($A27,overview!$B$3:$AJ$154,COLUMN(),FALSE) = "","",VLOOKUP($A27,overview!$B$3:$AJ$154,COLUMN(AB27),FALSE))</f>
        <v/>
      </c>
      <c r="AC27" s="3" t="str">
        <f>IF(VLOOKUP($A27,overview!$B$3:$AJ$154,COLUMN(),FALSE) = "","",VLOOKUP($A27,overview!$B$3:$AJ$154,COLUMN(AC27),FALSE))</f>
        <v/>
      </c>
      <c r="AD27" s="3" t="str">
        <f>IF(VLOOKUP($A27,overview!$B$3:$AJ$154,COLUMN(),FALSE) = "","",VLOOKUP($A27,overview!$B$3:$AJ$154,COLUMN(AD27),FALSE))</f>
        <v/>
      </c>
      <c r="AE27" s="3" t="str">
        <f>IF(VLOOKUP($A27,overview!$B$3:$AJ$154,COLUMN(),FALSE) = "","",VLOOKUP($A27,overview!$B$3:$AJ$154,COLUMN(AE27),FALSE))</f>
        <v/>
      </c>
      <c r="AF27" s="3" t="str">
        <f>IF(VLOOKUP($A27,overview!$B$3:$AJ$154,COLUMN(),FALSE) = "","",VLOOKUP($A27,overview!$B$3:$AJ$154,COLUMN(AF27),FALSE))</f>
        <v/>
      </c>
      <c r="AG27" s="3" t="str">
        <f>IF(VLOOKUP($A27,overview!$B$3:$AJ$154,COLUMN(),FALSE) = "","",VLOOKUP($A27,overview!$B$3:$AJ$154,COLUMN(AG27),FALSE))</f>
        <v/>
      </c>
      <c r="AH27" s="3" t="str">
        <f>IF(VLOOKUP($A27,overview!$B$3:$AJ$154,COLUMN(),FALSE) = "","",VLOOKUP($A27,overview!$B$3:$AJ$154,COLUMN(AH27),FALSE))</f>
        <v/>
      </c>
      <c r="AI27" s="3" t="str">
        <f>IF(VLOOKUP($A27,overview!$B$3:$AJ$154,COLUMN(),FALSE) = "","",VLOOKUP($A27,overview!$B$3:$AJ$154,COLUMN(AI27),FALSE))</f>
        <v>kW</v>
      </c>
    </row>
    <row r="28" spans="1:35" ht="15.75" customHeight="1" x14ac:dyDescent="0.2">
      <c r="A28" s="8" t="s">
        <v>115</v>
      </c>
      <c r="B28" s="28">
        <f>IF(VLOOKUP($A28,overview!$B$3:$AJ$154,COLUMN(),FALSE) = "","",VLOOKUP($A28,overview!$B$3:$AJ$154,COLUMN(B28),FALSE))</f>
        <v>1083.7270000000001</v>
      </c>
      <c r="C28" s="28">
        <f>IF(VLOOKUP($A28,overview!$B$3:$AJ$154,COLUMN(),FALSE) = "","",VLOOKUP($A28,overview!$B$3:$AJ$154,COLUMN(C28),FALSE))</f>
        <v>866.98160000000007</v>
      </c>
      <c r="D28" s="28">
        <f>IF(VLOOKUP($A28,overview!$B$3:$AJ$154,COLUMN(),FALSE) = "","",VLOOKUP($A28,overview!$B$3:$AJ$154,COLUMN(D28),FALSE))</f>
        <v>1300.4724000000001</v>
      </c>
      <c r="E28" s="3">
        <f>IF(VLOOKUP($A28,overview!$B$3:$AJ$154,COLUMN(),FALSE) = "","",VLOOKUP($A28,overview!$B$3:$AJ$154,COLUMN(E28),FALSE))</f>
        <v>950.16125690000001</v>
      </c>
      <c r="F28" s="3">
        <f>IF(VLOOKUP($A28,overview!$B$3:$AJ$154,COLUMN(),FALSE) = "","",VLOOKUP($A28,overview!$B$3:$AJ$154,COLUMN(F28),FALSE))</f>
        <v>876.74557010000001</v>
      </c>
      <c r="G28" s="3">
        <f>IF(VLOOKUP($A28,overview!$B$3:$AJ$154,COLUMN(),FALSE) = "","",VLOOKUP($A28,overview!$B$3:$AJ$154,COLUMN(G28),FALSE))</f>
        <v>824.56687929999998</v>
      </c>
      <c r="H28" s="3">
        <f>IF(VLOOKUP($A28,overview!$B$3:$AJ$154,COLUMN(),FALSE) = "","",VLOOKUP($A28,overview!$B$3:$AJ$154,COLUMN(H28),FALSE))</f>
        <v>783.12443159999998</v>
      </c>
      <c r="I28" s="3">
        <f>IF(VLOOKUP($A28,overview!$B$3:$AJ$154,COLUMN(),FALSE) = "","",VLOOKUP($A28,overview!$B$3:$AJ$154,COLUMN(I28),FALSE))</f>
        <v>748.16926530000001</v>
      </c>
      <c r="J28" s="3">
        <f>IF(VLOOKUP($A28,overview!$B$3:$AJ$154,COLUMN(),FALSE) = "","",VLOOKUP($A28,overview!$B$3:$AJ$154,COLUMN(J28),FALSE))</f>
        <v>717.58918830000005</v>
      </c>
      <c r="K28" s="3">
        <f>IF(VLOOKUP($A28,overview!$B$3:$AJ$154,COLUMN(),FALSE) = "","",VLOOKUP($A28,overview!$B$3:$AJ$154,COLUMN(K28),FALSE))</f>
        <v>690.19007750000003</v>
      </c>
      <c r="L28" s="3">
        <f>IF(VLOOKUP($A28,overview!$B$3:$AJ$154,COLUMN(),FALSE) = "","",VLOOKUP($A28,overview!$B$3:$AJ$154,COLUMN(L28),FALSE))</f>
        <v>665.23372500000005</v>
      </c>
      <c r="M28" s="3">
        <f>IF(VLOOKUP($A28,overview!$B$3:$AJ$154,COLUMN(),FALSE) = "","",VLOOKUP($A28,overview!$B$3:$AJ$154,COLUMN(M28),FALSE))</f>
        <v>642.23244539999996</v>
      </c>
      <c r="N28" s="3">
        <f>IF(VLOOKUP($A28,overview!$B$3:$AJ$154,COLUMN(),FALSE) = "","",VLOOKUP($A28,overview!$B$3:$AJ$154,COLUMN(N28),FALSE))</f>
        <v>620.84699999999998</v>
      </c>
      <c r="O28" s="3">
        <f>IF(VLOOKUP($A28,overview!$B$3:$AJ$154,COLUMN(),FALSE) = "","",VLOOKUP($A28,overview!$B$3:$AJ$154,COLUMN(O28),FALSE))</f>
        <v>600.83130000000006</v>
      </c>
      <c r="P28" s="3">
        <f>IF(VLOOKUP($A28,overview!$B$3:$AJ$154,COLUMN(),FALSE) = "","",VLOOKUP($A28,overview!$B$3:$AJ$154,COLUMN(P28),FALSE))</f>
        <v>582.00059999999996</v>
      </c>
      <c r="Q28" s="3">
        <f>IF(VLOOKUP($A28,overview!$B$3:$AJ$154,COLUMN(),FALSE) = "","",VLOOKUP($A28,overview!$B$3:$AJ$154,COLUMN(Q28),FALSE))</f>
        <v>564.2124</v>
      </c>
      <c r="R28" s="3">
        <f>IF(VLOOKUP($A28,overview!$B$3:$AJ$154,COLUMN(),FALSE) = "","",VLOOKUP($A28,overview!$B$3:$AJ$154,COLUMN(R28),FALSE))</f>
        <v>547.35350000000005</v>
      </c>
      <c r="S28" s="3">
        <f>IF(VLOOKUP($A28,overview!$B$3:$AJ$154,COLUMN(),FALSE) = "","",VLOOKUP($A28,overview!$B$3:$AJ$154,COLUMN(S28),FALSE))</f>
        <v>531.33249999999998</v>
      </c>
      <c r="T28" s="3">
        <f>IF(VLOOKUP($A28,overview!$B$3:$AJ$154,COLUMN(),FALSE) = "","",VLOOKUP($A28,overview!$B$3:$AJ$154,COLUMN(T28),FALSE))</f>
        <v>516.07389999999998</v>
      </c>
      <c r="U28" s="3">
        <f>IF(VLOOKUP($A28,overview!$B$3:$AJ$154,COLUMN(),FALSE) = "","",VLOOKUP($A28,overview!$B$3:$AJ$154,COLUMN(U28),FALSE))</f>
        <v>501.5145</v>
      </c>
      <c r="V28" s="3">
        <f>IF(VLOOKUP($A28,overview!$B$3:$AJ$154,COLUMN(),FALSE) = "","",VLOOKUP($A28,overview!$B$3:$AJ$154,COLUMN(V28),FALSE))</f>
        <v>487.60050000000001</v>
      </c>
      <c r="W28" s="3">
        <f>IF(VLOOKUP($A28,overview!$B$3:$AJ$154,COLUMN(),FALSE) = "","",VLOOKUP($A28,overview!$B$3:$AJ$154,COLUMN(W28),FALSE))</f>
        <v>474.28550000000001</v>
      </c>
      <c r="X28" s="3">
        <f>IF(VLOOKUP($A28,overview!$B$3:$AJ$154,COLUMN(),FALSE) = "","",VLOOKUP($A28,overview!$B$3:$AJ$154,COLUMN(X28),FALSE))</f>
        <v>461.52910000000003</v>
      </c>
      <c r="Y28" s="3">
        <f>IF(VLOOKUP($A28,overview!$B$3:$AJ$154,COLUMN(),FALSE) = "","",VLOOKUP($A28,overview!$B$3:$AJ$154,COLUMN(Y28),FALSE))</f>
        <v>449.29579999999999</v>
      </c>
      <c r="Z28" s="3">
        <f>IF(VLOOKUP($A28,overview!$B$3:$AJ$154,COLUMN(),FALSE) = "","",VLOOKUP($A28,overview!$B$3:$AJ$154,COLUMN(Z28),FALSE))</f>
        <v>437.5539</v>
      </c>
      <c r="AA28" s="3">
        <f>IF(VLOOKUP($A28,overview!$B$3:$AJ$154,COLUMN(),FALSE) = "","",VLOOKUP($A28,overview!$B$3:$AJ$154,COLUMN(AA28),FALSE))</f>
        <v>426.27510000000001</v>
      </c>
      <c r="AB28" s="3">
        <f>IF(VLOOKUP($A28,overview!$B$3:$AJ$154,COLUMN(),FALSE) = "","",VLOOKUP($A28,overview!$B$3:$AJ$154,COLUMN(AB28),FALSE))</f>
        <v>415.43380000000002</v>
      </c>
      <c r="AC28" s="3">
        <f>IF(VLOOKUP($A28,overview!$B$3:$AJ$154,COLUMN(),FALSE) = "","",VLOOKUP($A28,overview!$B$3:$AJ$154,COLUMN(AC28),FALSE))</f>
        <v>405.00670000000002</v>
      </c>
      <c r="AD28" s="3">
        <f>IF(VLOOKUP($A28,overview!$B$3:$AJ$154,COLUMN(),FALSE) = "","",VLOOKUP($A28,overview!$B$3:$AJ$154,COLUMN(AD28),FALSE))</f>
        <v>394.97280000000001</v>
      </c>
      <c r="AE28" s="3">
        <f>IF(VLOOKUP($A28,overview!$B$3:$AJ$154,COLUMN(),FALSE) = "","",VLOOKUP($A28,overview!$B$3:$AJ$154,COLUMN(AE28),FALSE))</f>
        <v>385.3125</v>
      </c>
      <c r="AF28" s="3">
        <f>IF(VLOOKUP($A28,overview!$B$3:$AJ$154,COLUMN(),FALSE) = "","",VLOOKUP($A28,overview!$B$3:$AJ$154,COLUMN(AF28),FALSE))</f>
        <v>376.00779999999997</v>
      </c>
      <c r="AG28" s="3">
        <f>IF(VLOOKUP($A28,overview!$B$3:$AJ$154,COLUMN(),FALSE) = "","",VLOOKUP($A28,overview!$B$3:$AJ$154,COLUMN(AG28),FALSE))</f>
        <v>367.04219999999998</v>
      </c>
      <c r="AH28" s="3">
        <f>IF(VLOOKUP($A28,overview!$B$3:$AJ$154,COLUMN(),FALSE) = "","",VLOOKUP($A28,overview!$B$3:$AJ$154,COLUMN(AH28),FALSE))</f>
        <v>358.4</v>
      </c>
      <c r="AI28" s="3" t="str">
        <f>IF(VLOOKUP($A28,overview!$B$3:$AJ$154,COLUMN(),FALSE) = "","",VLOOKUP($A28,overview!$B$3:$AJ$154,COLUMN(AI28),FALSE))</f>
        <v>[EUR/kWel]</v>
      </c>
    </row>
    <row r="29" spans="1:35" ht="15.75" customHeight="1" x14ac:dyDescent="0.2">
      <c r="A29" s="8" t="s">
        <v>118</v>
      </c>
      <c r="B29" s="3">
        <f>IF(VLOOKUP($A29,overview!$B$3:$AJ$154,COLUMN(),FALSE) = "","",VLOOKUP($A29,overview!$B$3:$AJ$154,COLUMN(B29),FALSE))</f>
        <v>2.5000000000000001E-2</v>
      </c>
      <c r="C29" s="3">
        <f>IF(VLOOKUP($A29,overview!$B$3:$AJ$154,COLUMN(),FALSE) = "","",VLOOKUP($A29,overview!$B$3:$AJ$154,COLUMN(C29),FALSE))</f>
        <v>0.02</v>
      </c>
      <c r="D29" s="3">
        <f>IF(VLOOKUP($A29,overview!$B$3:$AJ$154,COLUMN(),FALSE) = "","",VLOOKUP($A29,overview!$B$3:$AJ$154,COLUMN(D29),FALSE))</f>
        <v>0.03</v>
      </c>
      <c r="E29" s="3" t="str">
        <f>IF(VLOOKUP($A29,overview!$B$3:$AJ$154,COLUMN(),FALSE) = "","",VLOOKUP($A29,overview!$B$3:$AJ$154,COLUMN(E29),FALSE))</f>
        <v/>
      </c>
      <c r="F29" s="3" t="str">
        <f>IF(VLOOKUP($A29,overview!$B$3:$AJ$154,COLUMN(),FALSE) = "","",VLOOKUP($A29,overview!$B$3:$AJ$154,COLUMN(F29),FALSE))</f>
        <v/>
      </c>
      <c r="G29" s="3" t="str">
        <f>IF(VLOOKUP($A29,overview!$B$3:$AJ$154,COLUMN(),FALSE) = "","",VLOOKUP($A29,overview!$B$3:$AJ$154,COLUMN(G29),FALSE))</f>
        <v/>
      </c>
      <c r="H29" s="3" t="str">
        <f>IF(VLOOKUP($A29,overview!$B$3:$AJ$154,COLUMN(),FALSE) = "","",VLOOKUP($A29,overview!$B$3:$AJ$154,COLUMN(H29),FALSE))</f>
        <v/>
      </c>
      <c r="I29" s="3" t="str">
        <f>IF(VLOOKUP($A29,overview!$B$3:$AJ$154,COLUMN(),FALSE) = "","",VLOOKUP($A29,overview!$B$3:$AJ$154,COLUMN(I29),FALSE))</f>
        <v/>
      </c>
      <c r="J29" s="3" t="str">
        <f>IF(VLOOKUP($A29,overview!$B$3:$AJ$154,COLUMN(),FALSE) = "","",VLOOKUP($A29,overview!$B$3:$AJ$154,COLUMN(J29),FALSE))</f>
        <v/>
      </c>
      <c r="K29" s="3" t="str">
        <f>IF(VLOOKUP($A29,overview!$B$3:$AJ$154,COLUMN(),FALSE) = "","",VLOOKUP($A29,overview!$B$3:$AJ$154,COLUMN(K29),FALSE))</f>
        <v/>
      </c>
      <c r="L29" s="3" t="str">
        <f>IF(VLOOKUP($A29,overview!$B$3:$AJ$154,COLUMN(),FALSE) = "","",VLOOKUP($A29,overview!$B$3:$AJ$154,COLUMN(L29),FALSE))</f>
        <v/>
      </c>
      <c r="M29" s="3" t="str">
        <f>IF(VLOOKUP($A29,overview!$B$3:$AJ$154,COLUMN(),FALSE) = "","",VLOOKUP($A29,overview!$B$3:$AJ$154,COLUMN(M29),FALSE))</f>
        <v/>
      </c>
      <c r="N29" s="3" t="str">
        <f>IF(VLOOKUP($A29,overview!$B$3:$AJ$154,COLUMN(),FALSE) = "","",VLOOKUP($A29,overview!$B$3:$AJ$154,COLUMN(N29),FALSE))</f>
        <v/>
      </c>
      <c r="O29" s="3" t="str">
        <f>IF(VLOOKUP($A29,overview!$B$3:$AJ$154,COLUMN(),FALSE) = "","",VLOOKUP($A29,overview!$B$3:$AJ$154,COLUMN(O29),FALSE))</f>
        <v/>
      </c>
      <c r="P29" s="3" t="str">
        <f>IF(VLOOKUP($A29,overview!$B$3:$AJ$154,COLUMN(),FALSE) = "","",VLOOKUP($A29,overview!$B$3:$AJ$154,COLUMN(P29),FALSE))</f>
        <v/>
      </c>
      <c r="Q29" s="3" t="str">
        <f>IF(VLOOKUP($A29,overview!$B$3:$AJ$154,COLUMN(),FALSE) = "","",VLOOKUP($A29,overview!$B$3:$AJ$154,COLUMN(Q29),FALSE))</f>
        <v/>
      </c>
      <c r="R29" s="3" t="str">
        <f>IF(VLOOKUP($A29,overview!$B$3:$AJ$154,COLUMN(),FALSE) = "","",VLOOKUP($A29,overview!$B$3:$AJ$154,COLUMN(R29),FALSE))</f>
        <v/>
      </c>
      <c r="S29" s="3" t="str">
        <f>IF(VLOOKUP($A29,overview!$B$3:$AJ$154,COLUMN(),FALSE) = "","",VLOOKUP($A29,overview!$B$3:$AJ$154,COLUMN(S29),FALSE))</f>
        <v/>
      </c>
      <c r="T29" s="3" t="str">
        <f>IF(VLOOKUP($A29,overview!$B$3:$AJ$154,COLUMN(),FALSE) = "","",VLOOKUP($A29,overview!$B$3:$AJ$154,COLUMN(T29),FALSE))</f>
        <v/>
      </c>
      <c r="U29" s="3" t="str">
        <f>IF(VLOOKUP($A29,overview!$B$3:$AJ$154,COLUMN(),FALSE) = "","",VLOOKUP($A29,overview!$B$3:$AJ$154,COLUMN(U29),FALSE))</f>
        <v/>
      </c>
      <c r="V29" s="3" t="str">
        <f>IF(VLOOKUP($A29,overview!$B$3:$AJ$154,COLUMN(),FALSE) = "","",VLOOKUP($A29,overview!$B$3:$AJ$154,COLUMN(V29),FALSE))</f>
        <v/>
      </c>
      <c r="W29" s="3" t="str">
        <f>IF(VLOOKUP($A29,overview!$B$3:$AJ$154,COLUMN(),FALSE) = "","",VLOOKUP($A29,overview!$B$3:$AJ$154,COLUMN(W29),FALSE))</f>
        <v/>
      </c>
      <c r="X29" s="3" t="str">
        <f>IF(VLOOKUP($A29,overview!$B$3:$AJ$154,COLUMN(),FALSE) = "","",VLOOKUP($A29,overview!$B$3:$AJ$154,COLUMN(X29),FALSE))</f>
        <v/>
      </c>
      <c r="Y29" s="3" t="str">
        <f>IF(VLOOKUP($A29,overview!$B$3:$AJ$154,COLUMN(),FALSE) = "","",VLOOKUP($A29,overview!$B$3:$AJ$154,COLUMN(Y29),FALSE))</f>
        <v/>
      </c>
      <c r="Z29" s="3" t="str">
        <f>IF(VLOOKUP($A29,overview!$B$3:$AJ$154,COLUMN(),FALSE) = "","",VLOOKUP($A29,overview!$B$3:$AJ$154,COLUMN(Z29),FALSE))</f>
        <v/>
      </c>
      <c r="AA29" s="3" t="str">
        <f>IF(VLOOKUP($A29,overview!$B$3:$AJ$154,COLUMN(),FALSE) = "","",VLOOKUP($A29,overview!$B$3:$AJ$154,COLUMN(AA29),FALSE))</f>
        <v/>
      </c>
      <c r="AB29" s="3" t="str">
        <f>IF(VLOOKUP($A29,overview!$B$3:$AJ$154,COLUMN(),FALSE) = "","",VLOOKUP($A29,overview!$B$3:$AJ$154,COLUMN(AB29),FALSE))</f>
        <v/>
      </c>
      <c r="AC29" s="3" t="str">
        <f>IF(VLOOKUP($A29,overview!$B$3:$AJ$154,COLUMN(),FALSE) = "","",VLOOKUP($A29,overview!$B$3:$AJ$154,COLUMN(AC29),FALSE))</f>
        <v/>
      </c>
      <c r="AD29" s="3" t="str">
        <f>IF(VLOOKUP($A29,overview!$B$3:$AJ$154,COLUMN(),FALSE) = "","",VLOOKUP($A29,overview!$B$3:$AJ$154,COLUMN(AD29),FALSE))</f>
        <v/>
      </c>
      <c r="AE29" s="3" t="str">
        <f>IF(VLOOKUP($A29,overview!$B$3:$AJ$154,COLUMN(),FALSE) = "","",VLOOKUP($A29,overview!$B$3:$AJ$154,COLUMN(AE29),FALSE))</f>
        <v/>
      </c>
      <c r="AF29" s="3" t="str">
        <f>IF(VLOOKUP($A29,overview!$B$3:$AJ$154,COLUMN(),FALSE) = "","",VLOOKUP($A29,overview!$B$3:$AJ$154,COLUMN(AF29),FALSE))</f>
        <v/>
      </c>
      <c r="AG29" s="3" t="str">
        <f>IF(VLOOKUP($A29,overview!$B$3:$AJ$154,COLUMN(),FALSE) = "","",VLOOKUP($A29,overview!$B$3:$AJ$154,COLUMN(AG29),FALSE))</f>
        <v/>
      </c>
      <c r="AH29" s="3" t="str">
        <f>IF(VLOOKUP($A29,overview!$B$3:$AJ$154,COLUMN(),FALSE) = "","",VLOOKUP($A29,overview!$B$3:$AJ$154,COLUMN(AH29),FALSE))</f>
        <v/>
      </c>
      <c r="AI29" s="3" t="str">
        <f>IF(VLOOKUP($A29,overview!$B$3:$AJ$154,COLUMN(),FALSE) = "","",VLOOKUP($A29,overview!$B$3:$AJ$154,COLUMN(AI29),FALSE))</f>
        <v>Fraction of CAPEX p.a.</v>
      </c>
    </row>
    <row r="30" spans="1:35" ht="15.75" customHeight="1" x14ac:dyDescent="0.2">
      <c r="A30" s="8" t="s">
        <v>119</v>
      </c>
      <c r="B30" s="3">
        <f>IF(VLOOKUP($A30,overview!$B$3:$AJ$154,COLUMN(),FALSE) = "","",VLOOKUP($A30,overview!$B$3:$AJ$154,COLUMN(B30),FALSE))</f>
        <v>30</v>
      </c>
      <c r="C30" s="3">
        <f>IF(VLOOKUP($A30,overview!$B$3:$AJ$154,COLUMN(),FALSE) = "","",VLOOKUP($A30,overview!$B$3:$AJ$154,COLUMN(C30),FALSE))</f>
        <v>25</v>
      </c>
      <c r="D30" s="3">
        <f>IF(VLOOKUP($A30,overview!$B$3:$AJ$154,COLUMN(),FALSE) = "","",VLOOKUP($A30,overview!$B$3:$AJ$154,COLUMN(D30),FALSE))</f>
        <v>35</v>
      </c>
      <c r="E30" s="3" t="str">
        <f>IF(VLOOKUP($A30,overview!$B$3:$AJ$154,COLUMN(),FALSE) = "","",VLOOKUP($A30,overview!$B$3:$AJ$154,COLUMN(E30),FALSE))</f>
        <v/>
      </c>
      <c r="F30" s="3" t="str">
        <f>IF(VLOOKUP($A30,overview!$B$3:$AJ$154,COLUMN(),FALSE) = "","",VLOOKUP($A30,overview!$B$3:$AJ$154,COLUMN(F30),FALSE))</f>
        <v/>
      </c>
      <c r="G30" s="3" t="str">
        <f>IF(VLOOKUP($A30,overview!$B$3:$AJ$154,COLUMN(),FALSE) = "","",VLOOKUP($A30,overview!$B$3:$AJ$154,COLUMN(G30),FALSE))</f>
        <v/>
      </c>
      <c r="H30" s="3" t="str">
        <f>IF(VLOOKUP($A30,overview!$B$3:$AJ$154,COLUMN(),FALSE) = "","",VLOOKUP($A30,overview!$B$3:$AJ$154,COLUMN(H30),FALSE))</f>
        <v/>
      </c>
      <c r="I30" s="3" t="str">
        <f>IF(VLOOKUP($A30,overview!$B$3:$AJ$154,COLUMN(),FALSE) = "","",VLOOKUP($A30,overview!$B$3:$AJ$154,COLUMN(I30),FALSE))</f>
        <v/>
      </c>
      <c r="J30" s="3" t="str">
        <f>IF(VLOOKUP($A30,overview!$B$3:$AJ$154,COLUMN(),FALSE) = "","",VLOOKUP($A30,overview!$B$3:$AJ$154,COLUMN(J30),FALSE))</f>
        <v/>
      </c>
      <c r="K30" s="3" t="str">
        <f>IF(VLOOKUP($A30,overview!$B$3:$AJ$154,COLUMN(),FALSE) = "","",VLOOKUP($A30,overview!$B$3:$AJ$154,COLUMN(K30),FALSE))</f>
        <v/>
      </c>
      <c r="L30" s="3" t="str">
        <f>IF(VLOOKUP($A30,overview!$B$3:$AJ$154,COLUMN(),FALSE) = "","",VLOOKUP($A30,overview!$B$3:$AJ$154,COLUMN(L30),FALSE))</f>
        <v/>
      </c>
      <c r="M30" s="3" t="str">
        <f>IF(VLOOKUP($A30,overview!$B$3:$AJ$154,COLUMN(),FALSE) = "","",VLOOKUP($A30,overview!$B$3:$AJ$154,COLUMN(M30),FALSE))</f>
        <v/>
      </c>
      <c r="N30" s="3" t="str">
        <f>IF(VLOOKUP($A30,overview!$B$3:$AJ$154,COLUMN(),FALSE) = "","",VLOOKUP($A30,overview!$B$3:$AJ$154,COLUMN(N30),FALSE))</f>
        <v/>
      </c>
      <c r="O30" s="3" t="str">
        <f>IF(VLOOKUP($A30,overview!$B$3:$AJ$154,COLUMN(),FALSE) = "","",VLOOKUP($A30,overview!$B$3:$AJ$154,COLUMN(O30),FALSE))</f>
        <v/>
      </c>
      <c r="P30" s="3" t="str">
        <f>IF(VLOOKUP($A30,overview!$B$3:$AJ$154,COLUMN(),FALSE) = "","",VLOOKUP($A30,overview!$B$3:$AJ$154,COLUMN(P30),FALSE))</f>
        <v/>
      </c>
      <c r="Q30" s="3" t="str">
        <f>IF(VLOOKUP($A30,overview!$B$3:$AJ$154,COLUMN(),FALSE) = "","",VLOOKUP($A30,overview!$B$3:$AJ$154,COLUMN(Q30),FALSE))</f>
        <v/>
      </c>
      <c r="R30" s="3" t="str">
        <f>IF(VLOOKUP($A30,overview!$B$3:$AJ$154,COLUMN(),FALSE) = "","",VLOOKUP($A30,overview!$B$3:$AJ$154,COLUMN(R30),FALSE))</f>
        <v/>
      </c>
      <c r="S30" s="3" t="str">
        <f>IF(VLOOKUP($A30,overview!$B$3:$AJ$154,COLUMN(),FALSE) = "","",VLOOKUP($A30,overview!$B$3:$AJ$154,COLUMN(S30),FALSE))</f>
        <v/>
      </c>
      <c r="T30" s="3" t="str">
        <f>IF(VLOOKUP($A30,overview!$B$3:$AJ$154,COLUMN(),FALSE) = "","",VLOOKUP($A30,overview!$B$3:$AJ$154,COLUMN(T30),FALSE))</f>
        <v/>
      </c>
      <c r="U30" s="3" t="str">
        <f>IF(VLOOKUP($A30,overview!$B$3:$AJ$154,COLUMN(),FALSE) = "","",VLOOKUP($A30,overview!$B$3:$AJ$154,COLUMN(U30),FALSE))</f>
        <v/>
      </c>
      <c r="V30" s="3" t="str">
        <f>IF(VLOOKUP($A30,overview!$B$3:$AJ$154,COLUMN(),FALSE) = "","",VLOOKUP($A30,overview!$B$3:$AJ$154,COLUMN(V30),FALSE))</f>
        <v/>
      </c>
      <c r="W30" s="3" t="str">
        <f>IF(VLOOKUP($A30,overview!$B$3:$AJ$154,COLUMN(),FALSE) = "","",VLOOKUP($A30,overview!$B$3:$AJ$154,COLUMN(W30),FALSE))</f>
        <v/>
      </c>
      <c r="X30" s="3" t="str">
        <f>IF(VLOOKUP($A30,overview!$B$3:$AJ$154,COLUMN(),FALSE) = "","",VLOOKUP($A30,overview!$B$3:$AJ$154,COLUMN(X30),FALSE))</f>
        <v/>
      </c>
      <c r="Y30" s="3" t="str">
        <f>IF(VLOOKUP($A30,overview!$B$3:$AJ$154,COLUMN(),FALSE) = "","",VLOOKUP($A30,overview!$B$3:$AJ$154,COLUMN(Y30),FALSE))</f>
        <v/>
      </c>
      <c r="Z30" s="3" t="str">
        <f>IF(VLOOKUP($A30,overview!$B$3:$AJ$154,COLUMN(),FALSE) = "","",VLOOKUP($A30,overview!$B$3:$AJ$154,COLUMN(Z30),FALSE))</f>
        <v/>
      </c>
      <c r="AA30" s="3" t="str">
        <f>IF(VLOOKUP($A30,overview!$B$3:$AJ$154,COLUMN(),FALSE) = "","",VLOOKUP($A30,overview!$B$3:$AJ$154,COLUMN(AA30),FALSE))</f>
        <v/>
      </c>
      <c r="AB30" s="3" t="str">
        <f>IF(VLOOKUP($A30,overview!$B$3:$AJ$154,COLUMN(),FALSE) = "","",VLOOKUP($A30,overview!$B$3:$AJ$154,COLUMN(AB30),FALSE))</f>
        <v/>
      </c>
      <c r="AC30" s="3" t="str">
        <f>IF(VLOOKUP($A30,overview!$B$3:$AJ$154,COLUMN(),FALSE) = "","",VLOOKUP($A30,overview!$B$3:$AJ$154,COLUMN(AC30),FALSE))</f>
        <v/>
      </c>
      <c r="AD30" s="3" t="str">
        <f>IF(VLOOKUP($A30,overview!$B$3:$AJ$154,COLUMN(),FALSE) = "","",VLOOKUP($A30,overview!$B$3:$AJ$154,COLUMN(AD30),FALSE))</f>
        <v/>
      </c>
      <c r="AE30" s="3" t="str">
        <f>IF(VLOOKUP($A30,overview!$B$3:$AJ$154,COLUMN(),FALSE) = "","",VLOOKUP($A30,overview!$B$3:$AJ$154,COLUMN(AE30),FALSE))</f>
        <v/>
      </c>
      <c r="AF30" s="3" t="str">
        <f>IF(VLOOKUP($A30,overview!$B$3:$AJ$154,COLUMN(),FALSE) = "","",VLOOKUP($A30,overview!$B$3:$AJ$154,COLUMN(AF30),FALSE))</f>
        <v/>
      </c>
      <c r="AG30" s="3" t="str">
        <f>IF(VLOOKUP($A30,overview!$B$3:$AJ$154,COLUMN(),FALSE) = "","",VLOOKUP($A30,overview!$B$3:$AJ$154,COLUMN(AG30),FALSE))</f>
        <v/>
      </c>
      <c r="AH30" s="3" t="str">
        <f>IF(VLOOKUP($A30,overview!$B$3:$AJ$154,COLUMN(),FALSE) = "","",VLOOKUP($A30,overview!$B$3:$AJ$154,COLUMN(AH30),FALSE))</f>
        <v/>
      </c>
      <c r="AI30" s="3" t="str">
        <f>IF(VLOOKUP($A30,overview!$B$3:$AJ$154,COLUMN(),FALSE) = "","",VLOOKUP($A30,overview!$B$3:$AJ$154,COLUMN(AI30),FALSE))</f>
        <v>years</v>
      </c>
    </row>
    <row r="31" spans="1:35" ht="15.75" customHeight="1" x14ac:dyDescent="0.2">
      <c r="A31" s="8" t="s">
        <v>122</v>
      </c>
      <c r="B31" s="3">
        <f>IF(VLOOKUP($A31,overview!$B$3:$AJ$154,COLUMN(),FALSE) = "","",VLOOKUP($A31,overview!$B$3:$AJ$154,COLUMN(B31),FALSE))</f>
        <v>0</v>
      </c>
      <c r="C31" s="3" t="str">
        <f>IF(VLOOKUP($A31,overview!$B$3:$AJ$154,COLUMN(),FALSE) = "","",VLOOKUP($A31,overview!$B$3:$AJ$154,COLUMN(C31),FALSE))</f>
        <v/>
      </c>
      <c r="D31" s="3" t="str">
        <f>IF(VLOOKUP($A31,overview!$B$3:$AJ$154,COLUMN(),FALSE) = "","",VLOOKUP($A31,overview!$B$3:$AJ$154,COLUMN(D31),FALSE))</f>
        <v/>
      </c>
      <c r="E31" s="3" t="str">
        <f>IF(VLOOKUP($A31,overview!$B$3:$AJ$154,COLUMN(),FALSE) = "","",VLOOKUP($A31,overview!$B$3:$AJ$154,COLUMN(E31),FALSE))</f>
        <v/>
      </c>
      <c r="F31" s="3" t="str">
        <f>IF(VLOOKUP($A31,overview!$B$3:$AJ$154,COLUMN(),FALSE) = "","",VLOOKUP($A31,overview!$B$3:$AJ$154,COLUMN(F31),FALSE))</f>
        <v/>
      </c>
      <c r="G31" s="3" t="str">
        <f>IF(VLOOKUP($A31,overview!$B$3:$AJ$154,COLUMN(),FALSE) = "","",VLOOKUP($A31,overview!$B$3:$AJ$154,COLUMN(G31),FALSE))</f>
        <v/>
      </c>
      <c r="H31" s="3" t="str">
        <f>IF(VLOOKUP($A31,overview!$B$3:$AJ$154,COLUMN(),FALSE) = "","",VLOOKUP($A31,overview!$B$3:$AJ$154,COLUMN(H31),FALSE))</f>
        <v/>
      </c>
      <c r="I31" s="3" t="str">
        <f>IF(VLOOKUP($A31,overview!$B$3:$AJ$154,COLUMN(),FALSE) = "","",VLOOKUP($A31,overview!$B$3:$AJ$154,COLUMN(I31),FALSE))</f>
        <v/>
      </c>
      <c r="J31" s="3" t="str">
        <f>IF(VLOOKUP($A31,overview!$B$3:$AJ$154,COLUMN(),FALSE) = "","",VLOOKUP($A31,overview!$B$3:$AJ$154,COLUMN(J31),FALSE))</f>
        <v/>
      </c>
      <c r="K31" s="3" t="str">
        <f>IF(VLOOKUP($A31,overview!$B$3:$AJ$154,COLUMN(),FALSE) = "","",VLOOKUP($A31,overview!$B$3:$AJ$154,COLUMN(K31),FALSE))</f>
        <v/>
      </c>
      <c r="L31" s="3" t="str">
        <f>IF(VLOOKUP($A31,overview!$B$3:$AJ$154,COLUMN(),FALSE) = "","",VLOOKUP($A31,overview!$B$3:$AJ$154,COLUMN(L31),FALSE))</f>
        <v/>
      </c>
      <c r="M31" s="3" t="str">
        <f>IF(VLOOKUP($A31,overview!$B$3:$AJ$154,COLUMN(),FALSE) = "","",VLOOKUP($A31,overview!$B$3:$AJ$154,COLUMN(M31),FALSE))</f>
        <v/>
      </c>
      <c r="N31" s="3" t="str">
        <f>IF(VLOOKUP($A31,overview!$B$3:$AJ$154,COLUMN(),FALSE) = "","",VLOOKUP($A31,overview!$B$3:$AJ$154,COLUMN(N31),FALSE))</f>
        <v/>
      </c>
      <c r="O31" s="3" t="str">
        <f>IF(VLOOKUP($A31,overview!$B$3:$AJ$154,COLUMN(),FALSE) = "","",VLOOKUP($A31,overview!$B$3:$AJ$154,COLUMN(O31),FALSE))</f>
        <v/>
      </c>
      <c r="P31" s="3" t="str">
        <f>IF(VLOOKUP($A31,overview!$B$3:$AJ$154,COLUMN(),FALSE) = "","",VLOOKUP($A31,overview!$B$3:$AJ$154,COLUMN(P31),FALSE))</f>
        <v/>
      </c>
      <c r="Q31" s="3" t="str">
        <f>IF(VLOOKUP($A31,overview!$B$3:$AJ$154,COLUMN(),FALSE) = "","",VLOOKUP($A31,overview!$B$3:$AJ$154,COLUMN(Q31),FALSE))</f>
        <v/>
      </c>
      <c r="R31" s="3" t="str">
        <f>IF(VLOOKUP($A31,overview!$B$3:$AJ$154,COLUMN(),FALSE) = "","",VLOOKUP($A31,overview!$B$3:$AJ$154,COLUMN(R31),FALSE))</f>
        <v/>
      </c>
      <c r="S31" s="3" t="str">
        <f>IF(VLOOKUP($A31,overview!$B$3:$AJ$154,COLUMN(),FALSE) = "","",VLOOKUP($A31,overview!$B$3:$AJ$154,COLUMN(S31),FALSE))</f>
        <v/>
      </c>
      <c r="T31" s="3" t="str">
        <f>IF(VLOOKUP($A31,overview!$B$3:$AJ$154,COLUMN(),FALSE) = "","",VLOOKUP($A31,overview!$B$3:$AJ$154,COLUMN(T31),FALSE))</f>
        <v/>
      </c>
      <c r="U31" s="3" t="str">
        <f>IF(VLOOKUP($A31,overview!$B$3:$AJ$154,COLUMN(),FALSE) = "","",VLOOKUP($A31,overview!$B$3:$AJ$154,COLUMN(U31),FALSE))</f>
        <v/>
      </c>
      <c r="V31" s="3" t="str">
        <f>IF(VLOOKUP($A31,overview!$B$3:$AJ$154,COLUMN(),FALSE) = "","",VLOOKUP($A31,overview!$B$3:$AJ$154,COLUMN(V31),FALSE))</f>
        <v/>
      </c>
      <c r="W31" s="3" t="str">
        <f>IF(VLOOKUP($A31,overview!$B$3:$AJ$154,COLUMN(),FALSE) = "","",VLOOKUP($A31,overview!$B$3:$AJ$154,COLUMN(W31),FALSE))</f>
        <v/>
      </c>
      <c r="X31" s="3" t="str">
        <f>IF(VLOOKUP($A31,overview!$B$3:$AJ$154,COLUMN(),FALSE) = "","",VLOOKUP($A31,overview!$B$3:$AJ$154,COLUMN(X31),FALSE))</f>
        <v/>
      </c>
      <c r="Y31" s="3" t="str">
        <f>IF(VLOOKUP($A31,overview!$B$3:$AJ$154,COLUMN(),FALSE) = "","",VLOOKUP($A31,overview!$B$3:$AJ$154,COLUMN(Y31),FALSE))</f>
        <v/>
      </c>
      <c r="Z31" s="3" t="str">
        <f>IF(VLOOKUP($A31,overview!$B$3:$AJ$154,COLUMN(),FALSE) = "","",VLOOKUP($A31,overview!$B$3:$AJ$154,COLUMN(Z31),FALSE))</f>
        <v/>
      </c>
      <c r="AA31" s="3" t="str">
        <f>IF(VLOOKUP($A31,overview!$B$3:$AJ$154,COLUMN(),FALSE) = "","",VLOOKUP($A31,overview!$B$3:$AJ$154,COLUMN(AA31),FALSE))</f>
        <v/>
      </c>
      <c r="AB31" s="3" t="str">
        <f>IF(VLOOKUP($A31,overview!$B$3:$AJ$154,COLUMN(),FALSE) = "","",VLOOKUP($A31,overview!$B$3:$AJ$154,COLUMN(AB31),FALSE))</f>
        <v/>
      </c>
      <c r="AC31" s="3" t="str">
        <f>IF(VLOOKUP($A31,overview!$B$3:$AJ$154,COLUMN(),FALSE) = "","",VLOOKUP($A31,overview!$B$3:$AJ$154,COLUMN(AC31),FALSE))</f>
        <v/>
      </c>
      <c r="AD31" s="3" t="str">
        <f>IF(VLOOKUP($A31,overview!$B$3:$AJ$154,COLUMN(),FALSE) = "","",VLOOKUP($A31,overview!$B$3:$AJ$154,COLUMN(AD31),FALSE))</f>
        <v/>
      </c>
      <c r="AE31" s="3" t="str">
        <f>IF(VLOOKUP($A31,overview!$B$3:$AJ$154,COLUMN(),FALSE) = "","",VLOOKUP($A31,overview!$B$3:$AJ$154,COLUMN(AE31),FALSE))</f>
        <v/>
      </c>
      <c r="AF31" s="3" t="str">
        <f>IF(VLOOKUP($A31,overview!$B$3:$AJ$154,COLUMN(),FALSE) = "","",VLOOKUP($A31,overview!$B$3:$AJ$154,COLUMN(AF31),FALSE))</f>
        <v/>
      </c>
      <c r="AG31" s="3" t="str">
        <f>IF(VLOOKUP($A31,overview!$B$3:$AJ$154,COLUMN(),FALSE) = "","",VLOOKUP($A31,overview!$B$3:$AJ$154,COLUMN(AG31),FALSE))</f>
        <v/>
      </c>
      <c r="AH31" s="3" t="str">
        <f>IF(VLOOKUP($A31,overview!$B$3:$AJ$154,COLUMN(),FALSE) = "","",VLOOKUP($A31,overview!$B$3:$AJ$154,COLUMN(AH31),FALSE))</f>
        <v/>
      </c>
      <c r="AI31" s="3" t="str">
        <f>IF(VLOOKUP($A31,overview!$B$3:$AJ$154,COLUMN(),FALSE) = "","",VLOOKUP($A31,overview!$B$3:$AJ$154,COLUMN(AI31),FALSE))</f>
        <v>Fraction of rated electricity input power</v>
      </c>
    </row>
    <row r="32" spans="1:35" ht="15.75" customHeight="1" x14ac:dyDescent="0.2">
      <c r="A32" s="8" t="s">
        <v>125</v>
      </c>
      <c r="B32" s="29">
        <f>IF(VLOOKUP($A32,overview!$B$3:$AJ$154,COLUMN(),FALSE) = "","",VLOOKUP($A32,overview!$B$3:$AJ$154,COLUMN(B32),FALSE))</f>
        <v>0.6</v>
      </c>
      <c r="C32" s="29">
        <f>IF(VLOOKUP($A32,overview!$B$3:$AJ$154,COLUMN(),FALSE) = "","",VLOOKUP($A32,overview!$B$3:$AJ$154,COLUMN(C32),FALSE))</f>
        <v>0.55000000000000004</v>
      </c>
      <c r="D32" s="29">
        <f>IF(VLOOKUP($A32,overview!$B$3:$AJ$154,COLUMN(),FALSE) = "","",VLOOKUP($A32,overview!$B$3:$AJ$154,COLUMN(D32),FALSE))</f>
        <v>0.65</v>
      </c>
      <c r="E32" s="29">
        <f>IF(VLOOKUP($A32,overview!$B$3:$AJ$154,COLUMN(),FALSE) = "","",VLOOKUP($A32,overview!$B$3:$AJ$154,COLUMN(E32),FALSE))</f>
        <v>0.60299999999999998</v>
      </c>
      <c r="F32" s="29">
        <f>IF(VLOOKUP($A32,overview!$B$3:$AJ$154,COLUMN(),FALSE) = "","",VLOOKUP($A32,overview!$B$3:$AJ$154,COLUMN(F32),FALSE))</f>
        <v>0.60699999999999998</v>
      </c>
      <c r="G32" s="29">
        <f>IF(VLOOKUP($A32,overview!$B$3:$AJ$154,COLUMN(),FALSE) = "","",VLOOKUP($A32,overview!$B$3:$AJ$154,COLUMN(G32),FALSE))</f>
        <v>0.61</v>
      </c>
      <c r="H32" s="29">
        <f>IF(VLOOKUP($A32,overview!$B$3:$AJ$154,COLUMN(),FALSE) = "","",VLOOKUP($A32,overview!$B$3:$AJ$154,COLUMN(H32),FALSE))</f>
        <v>0.61299999999999999</v>
      </c>
      <c r="I32" s="29">
        <f>IF(VLOOKUP($A32,overview!$B$3:$AJ$154,COLUMN(),FALSE) = "","",VLOOKUP($A32,overview!$B$3:$AJ$154,COLUMN(I32),FALSE))</f>
        <v>0.61699999999999999</v>
      </c>
      <c r="J32" s="29">
        <f>IF(VLOOKUP($A32,overview!$B$3:$AJ$154,COLUMN(),FALSE) = "","",VLOOKUP($A32,overview!$B$3:$AJ$154,COLUMN(J32),FALSE))</f>
        <v>0.62</v>
      </c>
      <c r="K32" s="29">
        <f>IF(VLOOKUP($A32,overview!$B$3:$AJ$154,COLUMN(),FALSE) = "","",VLOOKUP($A32,overview!$B$3:$AJ$154,COLUMN(K32),FALSE))</f>
        <v>0.623</v>
      </c>
      <c r="L32" s="29">
        <f>IF(VLOOKUP($A32,overview!$B$3:$AJ$154,COLUMN(),FALSE) = "","",VLOOKUP($A32,overview!$B$3:$AJ$154,COLUMN(L32),FALSE))</f>
        <v>0.627</v>
      </c>
      <c r="M32" s="29">
        <f>IF(VLOOKUP($A32,overview!$B$3:$AJ$154,COLUMN(),FALSE) = "","",VLOOKUP($A32,overview!$B$3:$AJ$154,COLUMN(M32),FALSE))</f>
        <v>0.63</v>
      </c>
      <c r="N32" s="29">
        <f>IF(VLOOKUP($A32,overview!$B$3:$AJ$154,COLUMN(),FALSE) = "","",VLOOKUP($A32,overview!$B$3:$AJ$154,COLUMN(N32),FALSE))</f>
        <v>0.63300000000000001</v>
      </c>
      <c r="O32" s="29">
        <f>IF(VLOOKUP($A32,overview!$B$3:$AJ$154,COLUMN(),FALSE) = "","",VLOOKUP($A32,overview!$B$3:$AJ$154,COLUMN(O32),FALSE))</f>
        <v>0.63700000000000001</v>
      </c>
      <c r="P32" s="29">
        <f>IF(VLOOKUP($A32,overview!$B$3:$AJ$154,COLUMN(),FALSE) = "","",VLOOKUP($A32,overview!$B$3:$AJ$154,COLUMN(P32),FALSE))</f>
        <v>0.64</v>
      </c>
      <c r="Q32" s="29">
        <f>IF(VLOOKUP($A32,overview!$B$3:$AJ$154,COLUMN(),FALSE) = "","",VLOOKUP($A32,overview!$B$3:$AJ$154,COLUMN(Q32),FALSE))</f>
        <v>0.64300000000000002</v>
      </c>
      <c r="R32" s="29">
        <f>IF(VLOOKUP($A32,overview!$B$3:$AJ$154,COLUMN(),FALSE) = "","",VLOOKUP($A32,overview!$B$3:$AJ$154,COLUMN(R32),FALSE))</f>
        <v>0.64700000000000002</v>
      </c>
      <c r="S32" s="29">
        <f>IF(VLOOKUP($A32,overview!$B$3:$AJ$154,COLUMN(),FALSE) = "","",VLOOKUP($A32,overview!$B$3:$AJ$154,COLUMN(S32),FALSE))</f>
        <v>0.65</v>
      </c>
      <c r="T32" s="29">
        <f>IF(VLOOKUP($A32,overview!$B$3:$AJ$154,COLUMN(),FALSE) = "","",VLOOKUP($A32,overview!$B$3:$AJ$154,COLUMN(T32),FALSE))</f>
        <v>0.65300000000000002</v>
      </c>
      <c r="U32" s="29">
        <f>IF(VLOOKUP($A32,overview!$B$3:$AJ$154,COLUMN(),FALSE) = "","",VLOOKUP($A32,overview!$B$3:$AJ$154,COLUMN(U32),FALSE))</f>
        <v>0.65700000000000003</v>
      </c>
      <c r="V32" s="29">
        <f>IF(VLOOKUP($A32,overview!$B$3:$AJ$154,COLUMN(),FALSE) = "","",VLOOKUP($A32,overview!$B$3:$AJ$154,COLUMN(V32),FALSE))</f>
        <v>0.66</v>
      </c>
      <c r="W32" s="29">
        <f>IF(VLOOKUP($A32,overview!$B$3:$AJ$154,COLUMN(),FALSE) = "","",VLOOKUP($A32,overview!$B$3:$AJ$154,COLUMN(W32),FALSE))</f>
        <v>0.66300000000000003</v>
      </c>
      <c r="X32" s="29">
        <f>IF(VLOOKUP($A32,overview!$B$3:$AJ$154,COLUMN(),FALSE) = "","",VLOOKUP($A32,overview!$B$3:$AJ$154,COLUMN(X32),FALSE))</f>
        <v>0.66700000000000004</v>
      </c>
      <c r="Y32" s="29">
        <f>IF(VLOOKUP($A32,overview!$B$3:$AJ$154,COLUMN(),FALSE) = "","",VLOOKUP($A32,overview!$B$3:$AJ$154,COLUMN(Y32),FALSE))</f>
        <v>0.67</v>
      </c>
      <c r="Z32" s="29">
        <f>IF(VLOOKUP($A32,overview!$B$3:$AJ$154,COLUMN(),FALSE) = "","",VLOOKUP($A32,overview!$B$3:$AJ$154,COLUMN(Z32),FALSE))</f>
        <v>0.67300000000000004</v>
      </c>
      <c r="AA32" s="29">
        <f>IF(VLOOKUP($A32,overview!$B$3:$AJ$154,COLUMN(),FALSE) = "","",VLOOKUP($A32,overview!$B$3:$AJ$154,COLUMN(AA32),FALSE))</f>
        <v>0.67700000000000005</v>
      </c>
      <c r="AB32" s="29">
        <f>IF(VLOOKUP($A32,overview!$B$3:$AJ$154,COLUMN(),FALSE) = "","",VLOOKUP($A32,overview!$B$3:$AJ$154,COLUMN(AB32),FALSE))</f>
        <v>0.68</v>
      </c>
      <c r="AC32" s="29">
        <f>IF(VLOOKUP($A32,overview!$B$3:$AJ$154,COLUMN(),FALSE) = "","",VLOOKUP($A32,overview!$B$3:$AJ$154,COLUMN(AC32),FALSE))</f>
        <v>0.68300000000000005</v>
      </c>
      <c r="AD32" s="29">
        <f>IF(VLOOKUP($A32,overview!$B$3:$AJ$154,COLUMN(),FALSE) = "","",VLOOKUP($A32,overview!$B$3:$AJ$154,COLUMN(AD32),FALSE))</f>
        <v>0.68700000000000006</v>
      </c>
      <c r="AE32" s="29">
        <f>IF(VLOOKUP($A32,overview!$B$3:$AJ$154,COLUMN(),FALSE) = "","",VLOOKUP($A32,overview!$B$3:$AJ$154,COLUMN(AE32),FALSE))</f>
        <v>0.69</v>
      </c>
      <c r="AF32" s="29">
        <f>IF(VLOOKUP($A32,overview!$B$3:$AJ$154,COLUMN(),FALSE) = "","",VLOOKUP($A32,overview!$B$3:$AJ$154,COLUMN(AF32),FALSE))</f>
        <v>0.69299999999999995</v>
      </c>
      <c r="AG32" s="29">
        <f>IF(VLOOKUP($A32,overview!$B$3:$AJ$154,COLUMN(),FALSE) = "","",VLOOKUP($A32,overview!$B$3:$AJ$154,COLUMN(AG32),FALSE))</f>
        <v>0.69699999999999995</v>
      </c>
      <c r="AH32" s="29">
        <f>IF(VLOOKUP($A32,overview!$B$3:$AJ$154,COLUMN(),FALSE) = "","",VLOOKUP($A32,overview!$B$3:$AJ$154,COLUMN(AH32),FALSE))</f>
        <v>0.7</v>
      </c>
      <c r="AI32" s="3" t="str">
        <f>IF(VLOOKUP($A32,overview!$B$3:$AJ$154,COLUMN(),FALSE) = "","",VLOOKUP($A32,overview!$B$3:$AJ$154,COLUMN(AI32),FALSE))</f>
        <v>[kWh_H2/kWh_el] (LHV basis)</v>
      </c>
    </row>
    <row r="33" spans="1:35" ht="15.75" customHeight="1" x14ac:dyDescent="0.2">
      <c r="A33" s="8" t="s">
        <v>129</v>
      </c>
      <c r="B33" s="3">
        <f>IF(VLOOKUP($A33,overview!$B$3:$AJ$154,COLUMN(),FALSE) = "","",VLOOKUP($A33,overview!$B$3:$AJ$154,COLUMN(B33),FALSE))</f>
        <v>10</v>
      </c>
      <c r="C33" s="3" t="str">
        <f>IF(VLOOKUP($A33,overview!$B$3:$AJ$154,COLUMN(),FALSE) = "","",VLOOKUP($A33,overview!$B$3:$AJ$154,COLUMN(C33),FALSE))</f>
        <v/>
      </c>
      <c r="D33" s="3" t="str">
        <f>IF(VLOOKUP($A33,overview!$B$3:$AJ$154,COLUMN(),FALSE) = "","",VLOOKUP($A33,overview!$B$3:$AJ$154,COLUMN(D33),FALSE))</f>
        <v/>
      </c>
      <c r="E33" s="3" t="str">
        <f>IF(VLOOKUP($A33,overview!$B$3:$AJ$154,COLUMN(),FALSE) = "","",VLOOKUP($A33,overview!$B$3:$AJ$154,COLUMN(E33),FALSE))</f>
        <v/>
      </c>
      <c r="F33" s="3" t="str">
        <f>IF(VLOOKUP($A33,overview!$B$3:$AJ$154,COLUMN(),FALSE) = "","",VLOOKUP($A33,overview!$B$3:$AJ$154,COLUMN(F33),FALSE))</f>
        <v/>
      </c>
      <c r="G33" s="3" t="str">
        <f>IF(VLOOKUP($A33,overview!$B$3:$AJ$154,COLUMN(),FALSE) = "","",VLOOKUP($A33,overview!$B$3:$AJ$154,COLUMN(G33),FALSE))</f>
        <v/>
      </c>
      <c r="H33" s="3" t="str">
        <f>IF(VLOOKUP($A33,overview!$B$3:$AJ$154,COLUMN(),FALSE) = "","",VLOOKUP($A33,overview!$B$3:$AJ$154,COLUMN(H33),FALSE))</f>
        <v/>
      </c>
      <c r="I33" s="3" t="str">
        <f>IF(VLOOKUP($A33,overview!$B$3:$AJ$154,COLUMN(),FALSE) = "","",VLOOKUP($A33,overview!$B$3:$AJ$154,COLUMN(I33),FALSE))</f>
        <v/>
      </c>
      <c r="J33" s="3" t="str">
        <f>IF(VLOOKUP($A33,overview!$B$3:$AJ$154,COLUMN(),FALSE) = "","",VLOOKUP($A33,overview!$B$3:$AJ$154,COLUMN(J33),FALSE))</f>
        <v/>
      </c>
      <c r="K33" s="3" t="str">
        <f>IF(VLOOKUP($A33,overview!$B$3:$AJ$154,COLUMN(),FALSE) = "","",VLOOKUP($A33,overview!$B$3:$AJ$154,COLUMN(K33),FALSE))</f>
        <v/>
      </c>
      <c r="L33" s="3" t="str">
        <f>IF(VLOOKUP($A33,overview!$B$3:$AJ$154,COLUMN(),FALSE) = "","",VLOOKUP($A33,overview!$B$3:$AJ$154,COLUMN(L33),FALSE))</f>
        <v/>
      </c>
      <c r="M33" s="3" t="str">
        <f>IF(VLOOKUP($A33,overview!$B$3:$AJ$154,COLUMN(),FALSE) = "","",VLOOKUP($A33,overview!$B$3:$AJ$154,COLUMN(M33),FALSE))</f>
        <v/>
      </c>
      <c r="N33" s="3" t="str">
        <f>IF(VLOOKUP($A33,overview!$B$3:$AJ$154,COLUMN(),FALSE) = "","",VLOOKUP($A33,overview!$B$3:$AJ$154,COLUMN(N33),FALSE))</f>
        <v/>
      </c>
      <c r="O33" s="3" t="str">
        <f>IF(VLOOKUP($A33,overview!$B$3:$AJ$154,COLUMN(),FALSE) = "","",VLOOKUP($A33,overview!$B$3:$AJ$154,COLUMN(O33),FALSE))</f>
        <v/>
      </c>
      <c r="P33" s="3" t="str">
        <f>IF(VLOOKUP($A33,overview!$B$3:$AJ$154,COLUMN(),FALSE) = "","",VLOOKUP($A33,overview!$B$3:$AJ$154,COLUMN(P33),FALSE))</f>
        <v/>
      </c>
      <c r="Q33" s="3" t="str">
        <f>IF(VLOOKUP($A33,overview!$B$3:$AJ$154,COLUMN(),FALSE) = "","",VLOOKUP($A33,overview!$B$3:$AJ$154,COLUMN(Q33),FALSE))</f>
        <v/>
      </c>
      <c r="R33" s="3" t="str">
        <f>IF(VLOOKUP($A33,overview!$B$3:$AJ$154,COLUMN(),FALSE) = "","",VLOOKUP($A33,overview!$B$3:$AJ$154,COLUMN(R33),FALSE))</f>
        <v/>
      </c>
      <c r="S33" s="3" t="str">
        <f>IF(VLOOKUP($A33,overview!$B$3:$AJ$154,COLUMN(),FALSE) = "","",VLOOKUP($A33,overview!$B$3:$AJ$154,COLUMN(S33),FALSE))</f>
        <v/>
      </c>
      <c r="T33" s="3" t="str">
        <f>IF(VLOOKUP($A33,overview!$B$3:$AJ$154,COLUMN(),FALSE) = "","",VLOOKUP($A33,overview!$B$3:$AJ$154,COLUMN(T33),FALSE))</f>
        <v/>
      </c>
      <c r="U33" s="3" t="str">
        <f>IF(VLOOKUP($A33,overview!$B$3:$AJ$154,COLUMN(),FALSE) = "","",VLOOKUP($A33,overview!$B$3:$AJ$154,COLUMN(U33),FALSE))</f>
        <v/>
      </c>
      <c r="V33" s="3" t="str">
        <f>IF(VLOOKUP($A33,overview!$B$3:$AJ$154,COLUMN(),FALSE) = "","",VLOOKUP($A33,overview!$B$3:$AJ$154,COLUMN(V33),FALSE))</f>
        <v/>
      </c>
      <c r="W33" s="3" t="str">
        <f>IF(VLOOKUP($A33,overview!$B$3:$AJ$154,COLUMN(),FALSE) = "","",VLOOKUP($A33,overview!$B$3:$AJ$154,COLUMN(W33),FALSE))</f>
        <v/>
      </c>
      <c r="X33" s="3" t="str">
        <f>IF(VLOOKUP($A33,overview!$B$3:$AJ$154,COLUMN(),FALSE) = "","",VLOOKUP($A33,overview!$B$3:$AJ$154,COLUMN(X33),FALSE))</f>
        <v/>
      </c>
      <c r="Y33" s="3" t="str">
        <f>IF(VLOOKUP($A33,overview!$B$3:$AJ$154,COLUMN(),FALSE) = "","",VLOOKUP($A33,overview!$B$3:$AJ$154,COLUMN(Y33),FALSE))</f>
        <v/>
      </c>
      <c r="Z33" s="3" t="str">
        <f>IF(VLOOKUP($A33,overview!$B$3:$AJ$154,COLUMN(),FALSE) = "","",VLOOKUP($A33,overview!$B$3:$AJ$154,COLUMN(Z33),FALSE))</f>
        <v/>
      </c>
      <c r="AA33" s="3" t="str">
        <f>IF(VLOOKUP($A33,overview!$B$3:$AJ$154,COLUMN(),FALSE) = "","",VLOOKUP($A33,overview!$B$3:$AJ$154,COLUMN(AA33),FALSE))</f>
        <v/>
      </c>
      <c r="AB33" s="3" t="str">
        <f>IF(VLOOKUP($A33,overview!$B$3:$AJ$154,COLUMN(),FALSE) = "","",VLOOKUP($A33,overview!$B$3:$AJ$154,COLUMN(AB33),FALSE))</f>
        <v/>
      </c>
      <c r="AC33" s="3" t="str">
        <f>IF(VLOOKUP($A33,overview!$B$3:$AJ$154,COLUMN(),FALSE) = "","",VLOOKUP($A33,overview!$B$3:$AJ$154,COLUMN(AC33),FALSE))</f>
        <v/>
      </c>
      <c r="AD33" s="3" t="str">
        <f>IF(VLOOKUP($A33,overview!$B$3:$AJ$154,COLUMN(),FALSE) = "","",VLOOKUP($A33,overview!$B$3:$AJ$154,COLUMN(AD33),FALSE))</f>
        <v/>
      </c>
      <c r="AE33" s="3" t="str">
        <f>IF(VLOOKUP($A33,overview!$B$3:$AJ$154,COLUMN(),FALSE) = "","",VLOOKUP($A33,overview!$B$3:$AJ$154,COLUMN(AE33),FALSE))</f>
        <v/>
      </c>
      <c r="AF33" s="3" t="str">
        <f>IF(VLOOKUP($A33,overview!$B$3:$AJ$154,COLUMN(),FALSE) = "","",VLOOKUP($A33,overview!$B$3:$AJ$154,COLUMN(AF33),FALSE))</f>
        <v/>
      </c>
      <c r="AG33" s="3" t="str">
        <f>IF(VLOOKUP($A33,overview!$B$3:$AJ$154,COLUMN(),FALSE) = "","",VLOOKUP($A33,overview!$B$3:$AJ$154,COLUMN(AG33),FALSE))</f>
        <v/>
      </c>
      <c r="AH33" s="3" t="str">
        <f>IF(VLOOKUP($A33,overview!$B$3:$AJ$154,COLUMN(),FALSE) = "","",VLOOKUP($A33,overview!$B$3:$AJ$154,COLUMN(AH33),FALSE))</f>
        <v/>
      </c>
      <c r="AI33" s="3" t="str">
        <f>IF(VLOOKUP($A33,overview!$B$3:$AJ$154,COLUMN(),FALSE) = "","",VLOOKUP($A33,overview!$B$3:$AJ$154,COLUMN(AI33),FALSE))</f>
        <v/>
      </c>
    </row>
    <row r="34" spans="1:35" ht="15.75" customHeight="1" x14ac:dyDescent="0.2">
      <c r="A34" s="8" t="s">
        <v>132</v>
      </c>
      <c r="B34" s="29">
        <f>IF(VLOOKUP($A34,overview!$B$3:$AJ$154,COLUMN(),FALSE) = "","",VLOOKUP($A34,overview!$B$3:$AJ$154,COLUMN(B34),FALSE))</f>
        <v>0.33</v>
      </c>
      <c r="C34" s="3" t="str">
        <f>IF(VLOOKUP($A34,overview!$B$3:$AJ$154,COLUMN(),FALSE) = "","",VLOOKUP($A34,overview!$B$3:$AJ$154,COLUMN(C34),FALSE))</f>
        <v/>
      </c>
      <c r="D34" s="3" t="str">
        <f>IF(VLOOKUP($A34,overview!$B$3:$AJ$154,COLUMN(),FALSE) = "","",VLOOKUP($A34,overview!$B$3:$AJ$154,COLUMN(D34),FALSE))</f>
        <v/>
      </c>
      <c r="E34" s="29">
        <f>IF(VLOOKUP($A34,overview!$B$3:$AJ$154,COLUMN(),FALSE) = "","",VLOOKUP($A34,overview!$B$3:$AJ$154,COLUMN(E34),FALSE))</f>
        <v>0.32700000000000001</v>
      </c>
      <c r="F34" s="29">
        <f>IF(VLOOKUP($A34,overview!$B$3:$AJ$154,COLUMN(),FALSE) = "","",VLOOKUP($A34,overview!$B$3:$AJ$154,COLUMN(F34),FALSE))</f>
        <v>0.32500000000000001</v>
      </c>
      <c r="G34" s="29">
        <f>IF(VLOOKUP($A34,overview!$B$3:$AJ$154,COLUMN(),FALSE) = "","",VLOOKUP($A34,overview!$B$3:$AJ$154,COLUMN(G34),FALSE))</f>
        <v>0.32200000000000001</v>
      </c>
      <c r="H34" s="29">
        <f>IF(VLOOKUP($A34,overview!$B$3:$AJ$154,COLUMN(),FALSE) = "","",VLOOKUP($A34,overview!$B$3:$AJ$154,COLUMN(H34),FALSE))</f>
        <v>0.31900000000000001</v>
      </c>
      <c r="I34" s="29">
        <f>IF(VLOOKUP($A34,overview!$B$3:$AJ$154,COLUMN(),FALSE) = "","",VLOOKUP($A34,overview!$B$3:$AJ$154,COLUMN(I34),FALSE))</f>
        <v>0.317</v>
      </c>
      <c r="J34" s="29">
        <f>IF(VLOOKUP($A34,overview!$B$3:$AJ$154,COLUMN(),FALSE) = "","",VLOOKUP($A34,overview!$B$3:$AJ$154,COLUMN(J34),FALSE))</f>
        <v>0.314</v>
      </c>
      <c r="K34" s="29">
        <f>IF(VLOOKUP($A34,overview!$B$3:$AJ$154,COLUMN(),FALSE) = "","",VLOOKUP($A34,overview!$B$3:$AJ$154,COLUMN(K34),FALSE))</f>
        <v>0.311</v>
      </c>
      <c r="L34" s="29">
        <f>IF(VLOOKUP($A34,overview!$B$3:$AJ$154,COLUMN(),FALSE) = "","",VLOOKUP($A34,overview!$B$3:$AJ$154,COLUMN(L34),FALSE))</f>
        <v>0.309</v>
      </c>
      <c r="M34" s="29">
        <f>IF(VLOOKUP($A34,overview!$B$3:$AJ$154,COLUMN(),FALSE) = "","",VLOOKUP($A34,overview!$B$3:$AJ$154,COLUMN(M34),FALSE))</f>
        <v>0.30599999999999999</v>
      </c>
      <c r="N34" s="29">
        <f>IF(VLOOKUP($A34,overview!$B$3:$AJ$154,COLUMN(),FALSE) = "","",VLOOKUP($A34,overview!$B$3:$AJ$154,COLUMN(N34),FALSE))</f>
        <v>0.30299999999999999</v>
      </c>
      <c r="O34" s="29">
        <f>IF(VLOOKUP($A34,overview!$B$3:$AJ$154,COLUMN(),FALSE) = "","",VLOOKUP($A34,overview!$B$3:$AJ$154,COLUMN(O34),FALSE))</f>
        <v>0.30099999999999999</v>
      </c>
      <c r="P34" s="29">
        <f>IF(VLOOKUP($A34,overview!$B$3:$AJ$154,COLUMN(),FALSE) = "","",VLOOKUP($A34,overview!$B$3:$AJ$154,COLUMN(P34),FALSE))</f>
        <v>0.29799999999999999</v>
      </c>
      <c r="Q34" s="29">
        <f>IF(VLOOKUP($A34,overview!$B$3:$AJ$154,COLUMN(),FALSE) = "","",VLOOKUP($A34,overview!$B$3:$AJ$154,COLUMN(Q34),FALSE))</f>
        <v>0.29499999999999998</v>
      </c>
      <c r="R34" s="29">
        <f>IF(VLOOKUP($A34,overview!$B$3:$AJ$154,COLUMN(),FALSE) = "","",VLOOKUP($A34,overview!$B$3:$AJ$154,COLUMN(R34),FALSE))</f>
        <v>0.29299999999999998</v>
      </c>
      <c r="S34" s="29">
        <f>IF(VLOOKUP($A34,overview!$B$3:$AJ$154,COLUMN(),FALSE) = "","",VLOOKUP($A34,overview!$B$3:$AJ$154,COLUMN(S34),FALSE))</f>
        <v>0.28999999999999998</v>
      </c>
      <c r="T34" s="29">
        <f>IF(VLOOKUP($A34,overview!$B$3:$AJ$154,COLUMN(),FALSE) = "","",VLOOKUP($A34,overview!$B$3:$AJ$154,COLUMN(T34),FALSE))</f>
        <v>0.28699999999999998</v>
      </c>
      <c r="U34" s="29">
        <f>IF(VLOOKUP($A34,overview!$B$3:$AJ$154,COLUMN(),FALSE) = "","",VLOOKUP($A34,overview!$B$3:$AJ$154,COLUMN(U34),FALSE))</f>
        <v>0.28499999999999998</v>
      </c>
      <c r="V34" s="29">
        <f>IF(VLOOKUP($A34,overview!$B$3:$AJ$154,COLUMN(),FALSE) = "","",VLOOKUP($A34,overview!$B$3:$AJ$154,COLUMN(V34),FALSE))</f>
        <v>0.28199999999999997</v>
      </c>
      <c r="W34" s="29">
        <f>IF(VLOOKUP($A34,overview!$B$3:$AJ$154,COLUMN(),FALSE) = "","",VLOOKUP($A34,overview!$B$3:$AJ$154,COLUMN(W34),FALSE))</f>
        <v>0.27900000000000003</v>
      </c>
      <c r="X34" s="29">
        <f>IF(VLOOKUP($A34,overview!$B$3:$AJ$154,COLUMN(),FALSE) = "","",VLOOKUP($A34,overview!$B$3:$AJ$154,COLUMN(X34),FALSE))</f>
        <v>0.27700000000000002</v>
      </c>
      <c r="Y34" s="29">
        <f>IF(VLOOKUP($A34,overview!$B$3:$AJ$154,COLUMN(),FALSE) = "","",VLOOKUP($A34,overview!$B$3:$AJ$154,COLUMN(Y34),FALSE))</f>
        <v>0.27400000000000002</v>
      </c>
      <c r="Z34" s="29">
        <f>IF(VLOOKUP($A34,overview!$B$3:$AJ$154,COLUMN(),FALSE) = "","",VLOOKUP($A34,overview!$B$3:$AJ$154,COLUMN(Z34),FALSE))</f>
        <v>0.27100000000000002</v>
      </c>
      <c r="AA34" s="29">
        <f>IF(VLOOKUP($A34,overview!$B$3:$AJ$154,COLUMN(),FALSE) = "","",VLOOKUP($A34,overview!$B$3:$AJ$154,COLUMN(AA34),FALSE))</f>
        <v>0.26900000000000002</v>
      </c>
      <c r="AB34" s="29">
        <f>IF(VLOOKUP($A34,overview!$B$3:$AJ$154,COLUMN(),FALSE) = "","",VLOOKUP($A34,overview!$B$3:$AJ$154,COLUMN(AB34),FALSE))</f>
        <v>0.26600000000000001</v>
      </c>
      <c r="AC34" s="29">
        <f>IF(VLOOKUP($A34,overview!$B$3:$AJ$154,COLUMN(),FALSE) = "","",VLOOKUP($A34,overview!$B$3:$AJ$154,COLUMN(AC34),FALSE))</f>
        <v>0.26300000000000001</v>
      </c>
      <c r="AD34" s="29">
        <f>IF(VLOOKUP($A34,overview!$B$3:$AJ$154,COLUMN(),FALSE) = "","",VLOOKUP($A34,overview!$B$3:$AJ$154,COLUMN(AD34),FALSE))</f>
        <v>0.26100000000000001</v>
      </c>
      <c r="AE34" s="29">
        <f>IF(VLOOKUP($A34,overview!$B$3:$AJ$154,COLUMN(),FALSE) = "","",VLOOKUP($A34,overview!$B$3:$AJ$154,COLUMN(AE34),FALSE))</f>
        <v>0.25800000000000001</v>
      </c>
      <c r="AF34" s="29">
        <f>IF(VLOOKUP($A34,overview!$B$3:$AJ$154,COLUMN(),FALSE) = "","",VLOOKUP($A34,overview!$B$3:$AJ$154,COLUMN(AF34),FALSE))</f>
        <v>0.255</v>
      </c>
      <c r="AG34" s="29">
        <f>IF(VLOOKUP($A34,overview!$B$3:$AJ$154,COLUMN(),FALSE) = "","",VLOOKUP($A34,overview!$B$3:$AJ$154,COLUMN(AG34),FALSE))</f>
        <v>0.253</v>
      </c>
      <c r="AH34" s="3">
        <f>IF(VLOOKUP($A34,overview!$B$3:$AJ$154,COLUMN(),FALSE) = "","",VLOOKUP($A34,overview!$B$3:$AJ$154,COLUMN(AH34),FALSE))</f>
        <v>0.25</v>
      </c>
      <c r="AI34" s="3" t="str">
        <f>IF(VLOOKUP($A34,overview!$B$3:$AJ$154,COLUMN(),FALSE) = "","",VLOOKUP($A34,overview!$B$3:$AJ$154,COLUMN(AI34),FALSE))</f>
        <v>fraction of electrolyzer CAPEX</v>
      </c>
    </row>
    <row r="35" spans="1:35" ht="15.75" customHeight="1" x14ac:dyDescent="0.2">
      <c r="A35" s="8" t="s">
        <v>136</v>
      </c>
      <c r="B35" s="27">
        <f>IF(VLOOKUP($A35,overview!$B$3:$AJ$154,COLUMN(),FALSE) = "","",VLOOKUP($A35,overview!$B$3:$AJ$154,COLUMN(B35),FALSE))</f>
        <v>10000000</v>
      </c>
      <c r="C35" s="3" t="str">
        <f>IF(VLOOKUP($A35,overview!$B$3:$AJ$154,COLUMN(),FALSE) = "","",VLOOKUP($A35,overview!$B$3:$AJ$154,COLUMN(C35),FALSE))</f>
        <v/>
      </c>
      <c r="D35" s="3" t="str">
        <f>IF(VLOOKUP($A35,overview!$B$3:$AJ$154,COLUMN(),FALSE) = "","",VLOOKUP($A35,overview!$B$3:$AJ$154,COLUMN(D35),FALSE))</f>
        <v/>
      </c>
      <c r="E35" s="3" t="str">
        <f>IF(VLOOKUP($A35,overview!$B$3:$AJ$154,COLUMN(),FALSE) = "","",VLOOKUP($A35,overview!$B$3:$AJ$154,COLUMN(E35),FALSE))</f>
        <v/>
      </c>
      <c r="F35" s="3" t="str">
        <f>IF(VLOOKUP($A35,overview!$B$3:$AJ$154,COLUMN(),FALSE) = "","",VLOOKUP($A35,overview!$B$3:$AJ$154,COLUMN(F35),FALSE))</f>
        <v/>
      </c>
      <c r="G35" s="3" t="str">
        <f>IF(VLOOKUP($A35,overview!$B$3:$AJ$154,COLUMN(),FALSE) = "","",VLOOKUP($A35,overview!$B$3:$AJ$154,COLUMN(G35),FALSE))</f>
        <v/>
      </c>
      <c r="H35" s="3" t="str">
        <f>IF(VLOOKUP($A35,overview!$B$3:$AJ$154,COLUMN(),FALSE) = "","",VLOOKUP($A35,overview!$B$3:$AJ$154,COLUMN(H35),FALSE))</f>
        <v/>
      </c>
      <c r="I35" s="3" t="str">
        <f>IF(VLOOKUP($A35,overview!$B$3:$AJ$154,COLUMN(),FALSE) = "","",VLOOKUP($A35,overview!$B$3:$AJ$154,COLUMN(I35),FALSE))</f>
        <v/>
      </c>
      <c r="J35" s="3" t="str">
        <f>IF(VLOOKUP($A35,overview!$B$3:$AJ$154,COLUMN(),FALSE) = "","",VLOOKUP($A35,overview!$B$3:$AJ$154,COLUMN(J35),FALSE))</f>
        <v/>
      </c>
      <c r="K35" s="3" t="str">
        <f>IF(VLOOKUP($A35,overview!$B$3:$AJ$154,COLUMN(),FALSE) = "","",VLOOKUP($A35,overview!$B$3:$AJ$154,COLUMN(K35),FALSE))</f>
        <v/>
      </c>
      <c r="L35" s="3" t="str">
        <f>IF(VLOOKUP($A35,overview!$B$3:$AJ$154,COLUMN(),FALSE) = "","",VLOOKUP($A35,overview!$B$3:$AJ$154,COLUMN(L35),FALSE))</f>
        <v/>
      </c>
      <c r="M35" s="3" t="str">
        <f>IF(VLOOKUP($A35,overview!$B$3:$AJ$154,COLUMN(),FALSE) = "","",VLOOKUP($A35,overview!$B$3:$AJ$154,COLUMN(M35),FALSE))</f>
        <v/>
      </c>
      <c r="N35" s="3" t="str">
        <f>IF(VLOOKUP($A35,overview!$B$3:$AJ$154,COLUMN(),FALSE) = "","",VLOOKUP($A35,overview!$B$3:$AJ$154,COLUMN(N35),FALSE))</f>
        <v/>
      </c>
      <c r="O35" s="3" t="str">
        <f>IF(VLOOKUP($A35,overview!$B$3:$AJ$154,COLUMN(),FALSE) = "","",VLOOKUP($A35,overview!$B$3:$AJ$154,COLUMN(O35),FALSE))</f>
        <v/>
      </c>
      <c r="P35" s="3" t="str">
        <f>IF(VLOOKUP($A35,overview!$B$3:$AJ$154,COLUMN(),FALSE) = "","",VLOOKUP($A35,overview!$B$3:$AJ$154,COLUMN(P35),FALSE))</f>
        <v/>
      </c>
      <c r="Q35" s="3" t="str">
        <f>IF(VLOOKUP($A35,overview!$B$3:$AJ$154,COLUMN(),FALSE) = "","",VLOOKUP($A35,overview!$B$3:$AJ$154,COLUMN(Q35),FALSE))</f>
        <v/>
      </c>
      <c r="R35" s="3" t="str">
        <f>IF(VLOOKUP($A35,overview!$B$3:$AJ$154,COLUMN(),FALSE) = "","",VLOOKUP($A35,overview!$B$3:$AJ$154,COLUMN(R35),FALSE))</f>
        <v/>
      </c>
      <c r="S35" s="3" t="str">
        <f>IF(VLOOKUP($A35,overview!$B$3:$AJ$154,COLUMN(),FALSE) = "","",VLOOKUP($A35,overview!$B$3:$AJ$154,COLUMN(S35),FALSE))</f>
        <v/>
      </c>
      <c r="T35" s="3" t="str">
        <f>IF(VLOOKUP($A35,overview!$B$3:$AJ$154,COLUMN(),FALSE) = "","",VLOOKUP($A35,overview!$B$3:$AJ$154,COLUMN(T35),FALSE))</f>
        <v/>
      </c>
      <c r="U35" s="3" t="str">
        <f>IF(VLOOKUP($A35,overview!$B$3:$AJ$154,COLUMN(),FALSE) = "","",VLOOKUP($A35,overview!$B$3:$AJ$154,COLUMN(U35),FALSE))</f>
        <v/>
      </c>
      <c r="V35" s="3" t="str">
        <f>IF(VLOOKUP($A35,overview!$B$3:$AJ$154,COLUMN(),FALSE) = "","",VLOOKUP($A35,overview!$B$3:$AJ$154,COLUMN(V35),FALSE))</f>
        <v/>
      </c>
      <c r="W35" s="3" t="str">
        <f>IF(VLOOKUP($A35,overview!$B$3:$AJ$154,COLUMN(),FALSE) = "","",VLOOKUP($A35,overview!$B$3:$AJ$154,COLUMN(W35),FALSE))</f>
        <v/>
      </c>
      <c r="X35" s="3" t="str">
        <f>IF(VLOOKUP($A35,overview!$B$3:$AJ$154,COLUMN(),FALSE) = "","",VLOOKUP($A35,overview!$B$3:$AJ$154,COLUMN(X35),FALSE))</f>
        <v/>
      </c>
      <c r="Y35" s="3" t="str">
        <f>IF(VLOOKUP($A35,overview!$B$3:$AJ$154,COLUMN(),FALSE) = "","",VLOOKUP($A35,overview!$B$3:$AJ$154,COLUMN(Y35),FALSE))</f>
        <v/>
      </c>
      <c r="Z35" s="3" t="str">
        <f>IF(VLOOKUP($A35,overview!$B$3:$AJ$154,COLUMN(),FALSE) = "","",VLOOKUP($A35,overview!$B$3:$AJ$154,COLUMN(Z35),FALSE))</f>
        <v/>
      </c>
      <c r="AA35" s="3" t="str">
        <f>IF(VLOOKUP($A35,overview!$B$3:$AJ$154,COLUMN(),FALSE) = "","",VLOOKUP($A35,overview!$B$3:$AJ$154,COLUMN(AA35),FALSE))</f>
        <v/>
      </c>
      <c r="AB35" s="3" t="str">
        <f>IF(VLOOKUP($A35,overview!$B$3:$AJ$154,COLUMN(),FALSE) = "","",VLOOKUP($A35,overview!$B$3:$AJ$154,COLUMN(AB35),FALSE))</f>
        <v/>
      </c>
      <c r="AC35" s="3" t="str">
        <f>IF(VLOOKUP($A35,overview!$B$3:$AJ$154,COLUMN(),FALSE) = "","",VLOOKUP($A35,overview!$B$3:$AJ$154,COLUMN(AC35),FALSE))</f>
        <v/>
      </c>
      <c r="AD35" s="3" t="str">
        <f>IF(VLOOKUP($A35,overview!$B$3:$AJ$154,COLUMN(),FALSE) = "","",VLOOKUP($A35,overview!$B$3:$AJ$154,COLUMN(AD35),FALSE))</f>
        <v/>
      </c>
      <c r="AE35" s="3" t="str">
        <f>IF(VLOOKUP($A35,overview!$B$3:$AJ$154,COLUMN(),FALSE) = "","",VLOOKUP($A35,overview!$B$3:$AJ$154,COLUMN(AE35),FALSE))</f>
        <v/>
      </c>
      <c r="AF35" s="3" t="str">
        <f>IF(VLOOKUP($A35,overview!$B$3:$AJ$154,COLUMN(),FALSE) = "","",VLOOKUP($A35,overview!$B$3:$AJ$154,COLUMN(AF35),FALSE))</f>
        <v/>
      </c>
      <c r="AG35" s="3" t="str">
        <f>IF(VLOOKUP($A35,overview!$B$3:$AJ$154,COLUMN(),FALSE) = "","",VLOOKUP($A35,overview!$B$3:$AJ$154,COLUMN(AG35),FALSE))</f>
        <v/>
      </c>
      <c r="AH35" s="3" t="str">
        <f>IF(VLOOKUP($A35,overview!$B$3:$AJ$154,COLUMN(),FALSE) = "","",VLOOKUP($A35,overview!$B$3:$AJ$154,COLUMN(AH35),FALSE))</f>
        <v/>
      </c>
      <c r="AI35" s="3" t="str">
        <f>IF(VLOOKUP($A35,overview!$B$3:$AJ$154,COLUMN(),FALSE) = "","",VLOOKUP($A35,overview!$B$3:$AJ$154,COLUMN(AI35),FALSE))</f>
        <v>kWh</v>
      </c>
    </row>
    <row r="36" spans="1:35" ht="15.75" customHeight="1" x14ac:dyDescent="0.2">
      <c r="A36" s="8" t="s">
        <v>137</v>
      </c>
      <c r="B36" s="3">
        <f>IF(VLOOKUP($A36,overview!$B$3:$AJ$154,COLUMN(),FALSE) = "","",VLOOKUP($A36,overview!$B$3:$AJ$154,COLUMN(B36),FALSE))</f>
        <v>0</v>
      </c>
      <c r="C36" s="3" t="str">
        <f>IF(VLOOKUP($A36,overview!$B$3:$AJ$154,COLUMN(),FALSE) = "","",VLOOKUP($A36,overview!$B$3:$AJ$154,COLUMN(C36),FALSE))</f>
        <v/>
      </c>
      <c r="D36" s="3" t="str">
        <f>IF(VLOOKUP($A36,overview!$B$3:$AJ$154,COLUMN(),FALSE) = "","",VLOOKUP($A36,overview!$B$3:$AJ$154,COLUMN(D36),FALSE))</f>
        <v/>
      </c>
      <c r="E36" s="3" t="str">
        <f>IF(VLOOKUP($A36,overview!$B$3:$AJ$154,COLUMN(),FALSE) = "","",VLOOKUP($A36,overview!$B$3:$AJ$154,COLUMN(E36),FALSE))</f>
        <v/>
      </c>
      <c r="F36" s="3" t="str">
        <f>IF(VLOOKUP($A36,overview!$B$3:$AJ$154,COLUMN(),FALSE) = "","",VLOOKUP($A36,overview!$B$3:$AJ$154,COLUMN(F36),FALSE))</f>
        <v/>
      </c>
      <c r="G36" s="3" t="str">
        <f>IF(VLOOKUP($A36,overview!$B$3:$AJ$154,COLUMN(),FALSE) = "","",VLOOKUP($A36,overview!$B$3:$AJ$154,COLUMN(G36),FALSE))</f>
        <v/>
      </c>
      <c r="H36" s="3" t="str">
        <f>IF(VLOOKUP($A36,overview!$B$3:$AJ$154,COLUMN(),FALSE) = "","",VLOOKUP($A36,overview!$B$3:$AJ$154,COLUMN(H36),FALSE))</f>
        <v/>
      </c>
      <c r="I36" s="3" t="str">
        <f>IF(VLOOKUP($A36,overview!$B$3:$AJ$154,COLUMN(),FALSE) = "","",VLOOKUP($A36,overview!$B$3:$AJ$154,COLUMN(I36),FALSE))</f>
        <v/>
      </c>
      <c r="J36" s="3" t="str">
        <f>IF(VLOOKUP($A36,overview!$B$3:$AJ$154,COLUMN(),FALSE) = "","",VLOOKUP($A36,overview!$B$3:$AJ$154,COLUMN(J36),FALSE))</f>
        <v/>
      </c>
      <c r="K36" s="3" t="str">
        <f>IF(VLOOKUP($A36,overview!$B$3:$AJ$154,COLUMN(),FALSE) = "","",VLOOKUP($A36,overview!$B$3:$AJ$154,COLUMN(K36),FALSE))</f>
        <v/>
      </c>
      <c r="L36" s="3" t="str">
        <f>IF(VLOOKUP($A36,overview!$B$3:$AJ$154,COLUMN(),FALSE) = "","",VLOOKUP($A36,overview!$B$3:$AJ$154,COLUMN(L36),FALSE))</f>
        <v/>
      </c>
      <c r="M36" s="3" t="str">
        <f>IF(VLOOKUP($A36,overview!$B$3:$AJ$154,COLUMN(),FALSE) = "","",VLOOKUP($A36,overview!$B$3:$AJ$154,COLUMN(M36),FALSE))</f>
        <v/>
      </c>
      <c r="N36" s="3" t="str">
        <f>IF(VLOOKUP($A36,overview!$B$3:$AJ$154,COLUMN(),FALSE) = "","",VLOOKUP($A36,overview!$B$3:$AJ$154,COLUMN(N36),FALSE))</f>
        <v/>
      </c>
      <c r="O36" s="3" t="str">
        <f>IF(VLOOKUP($A36,overview!$B$3:$AJ$154,COLUMN(),FALSE) = "","",VLOOKUP($A36,overview!$B$3:$AJ$154,COLUMN(O36),FALSE))</f>
        <v/>
      </c>
      <c r="P36" s="3" t="str">
        <f>IF(VLOOKUP($A36,overview!$B$3:$AJ$154,COLUMN(),FALSE) = "","",VLOOKUP($A36,overview!$B$3:$AJ$154,COLUMN(P36),FALSE))</f>
        <v/>
      </c>
      <c r="Q36" s="3" t="str">
        <f>IF(VLOOKUP($A36,overview!$B$3:$AJ$154,COLUMN(),FALSE) = "","",VLOOKUP($A36,overview!$B$3:$AJ$154,COLUMN(Q36),FALSE))</f>
        <v/>
      </c>
      <c r="R36" s="3" t="str">
        <f>IF(VLOOKUP($A36,overview!$B$3:$AJ$154,COLUMN(),FALSE) = "","",VLOOKUP($A36,overview!$B$3:$AJ$154,COLUMN(R36),FALSE))</f>
        <v/>
      </c>
      <c r="S36" s="3" t="str">
        <f>IF(VLOOKUP($A36,overview!$B$3:$AJ$154,COLUMN(),FALSE) = "","",VLOOKUP($A36,overview!$B$3:$AJ$154,COLUMN(S36),FALSE))</f>
        <v/>
      </c>
      <c r="T36" s="3" t="str">
        <f>IF(VLOOKUP($A36,overview!$B$3:$AJ$154,COLUMN(),FALSE) = "","",VLOOKUP($A36,overview!$B$3:$AJ$154,COLUMN(T36),FALSE))</f>
        <v/>
      </c>
      <c r="U36" s="3" t="str">
        <f>IF(VLOOKUP($A36,overview!$B$3:$AJ$154,COLUMN(),FALSE) = "","",VLOOKUP($A36,overview!$B$3:$AJ$154,COLUMN(U36),FALSE))</f>
        <v/>
      </c>
      <c r="V36" s="3" t="str">
        <f>IF(VLOOKUP($A36,overview!$B$3:$AJ$154,COLUMN(),FALSE) = "","",VLOOKUP($A36,overview!$B$3:$AJ$154,COLUMN(V36),FALSE))</f>
        <v/>
      </c>
      <c r="W36" s="3" t="str">
        <f>IF(VLOOKUP($A36,overview!$B$3:$AJ$154,COLUMN(),FALSE) = "","",VLOOKUP($A36,overview!$B$3:$AJ$154,COLUMN(W36),FALSE))</f>
        <v/>
      </c>
      <c r="X36" s="3" t="str">
        <f>IF(VLOOKUP($A36,overview!$B$3:$AJ$154,COLUMN(),FALSE) = "","",VLOOKUP($A36,overview!$B$3:$AJ$154,COLUMN(X36),FALSE))</f>
        <v/>
      </c>
      <c r="Y36" s="3" t="str">
        <f>IF(VLOOKUP($A36,overview!$B$3:$AJ$154,COLUMN(),FALSE) = "","",VLOOKUP($A36,overview!$B$3:$AJ$154,COLUMN(Y36),FALSE))</f>
        <v/>
      </c>
      <c r="Z36" s="3" t="str">
        <f>IF(VLOOKUP($A36,overview!$B$3:$AJ$154,COLUMN(),FALSE) = "","",VLOOKUP($A36,overview!$B$3:$AJ$154,COLUMN(Z36),FALSE))</f>
        <v/>
      </c>
      <c r="AA36" s="3" t="str">
        <f>IF(VLOOKUP($A36,overview!$B$3:$AJ$154,COLUMN(),FALSE) = "","",VLOOKUP($A36,overview!$B$3:$AJ$154,COLUMN(AA36),FALSE))</f>
        <v/>
      </c>
      <c r="AB36" s="3" t="str">
        <f>IF(VLOOKUP($A36,overview!$B$3:$AJ$154,COLUMN(),FALSE) = "","",VLOOKUP($A36,overview!$B$3:$AJ$154,COLUMN(AB36),FALSE))</f>
        <v/>
      </c>
      <c r="AC36" s="3" t="str">
        <f>IF(VLOOKUP($A36,overview!$B$3:$AJ$154,COLUMN(),FALSE) = "","",VLOOKUP($A36,overview!$B$3:$AJ$154,COLUMN(AC36),FALSE))</f>
        <v/>
      </c>
      <c r="AD36" s="3" t="str">
        <f>IF(VLOOKUP($A36,overview!$B$3:$AJ$154,COLUMN(),FALSE) = "","",VLOOKUP($A36,overview!$B$3:$AJ$154,COLUMN(AD36),FALSE))</f>
        <v/>
      </c>
      <c r="AE36" s="3" t="str">
        <f>IF(VLOOKUP($A36,overview!$B$3:$AJ$154,COLUMN(),FALSE) = "","",VLOOKUP($A36,overview!$B$3:$AJ$154,COLUMN(AE36),FALSE))</f>
        <v/>
      </c>
      <c r="AF36" s="3" t="str">
        <f>IF(VLOOKUP($A36,overview!$B$3:$AJ$154,COLUMN(),FALSE) = "","",VLOOKUP($A36,overview!$B$3:$AJ$154,COLUMN(AF36),FALSE))</f>
        <v/>
      </c>
      <c r="AG36" s="3" t="str">
        <f>IF(VLOOKUP($A36,overview!$B$3:$AJ$154,COLUMN(),FALSE) = "","",VLOOKUP($A36,overview!$B$3:$AJ$154,COLUMN(AG36),FALSE))</f>
        <v/>
      </c>
      <c r="AH36" s="3" t="str">
        <f>IF(VLOOKUP($A36,overview!$B$3:$AJ$154,COLUMN(),FALSE) = "","",VLOOKUP($A36,overview!$B$3:$AJ$154,COLUMN(AH36),FALSE))</f>
        <v/>
      </c>
      <c r="AI36" s="3" t="str">
        <f>IF(VLOOKUP($A36,overview!$B$3:$AJ$154,COLUMN(),FALSE) = "","",VLOOKUP($A36,overview!$B$3:$AJ$154,COLUMN(AI36),FALSE))</f>
        <v>kWh</v>
      </c>
    </row>
    <row r="37" spans="1:35" ht="15.75" customHeight="1" x14ac:dyDescent="0.2">
      <c r="A37" s="8" t="s">
        <v>139</v>
      </c>
      <c r="B37" s="29">
        <f>IF(VLOOKUP($A37,overview!$B$3:$AJ$154,COLUMN(),FALSE) = "","",VLOOKUP($A37,overview!$B$3:$AJ$154,COLUMN(B37),FALSE))</f>
        <v>21.495668999999999</v>
      </c>
      <c r="C37" s="28">
        <f>IF(VLOOKUP($A37,overview!$B$3:$AJ$154,COLUMN(),FALSE) = "","",VLOOKUP($A37,overview!$B$3:$AJ$154,COLUMN(C37),FALSE))</f>
        <v>17.1965352</v>
      </c>
      <c r="D37" s="28">
        <f>IF(VLOOKUP($A37,overview!$B$3:$AJ$154,COLUMN(),FALSE) = "","",VLOOKUP($A37,overview!$B$3:$AJ$154,COLUMN(D37),FALSE))</f>
        <v>25.794802799999999</v>
      </c>
      <c r="E37" s="3">
        <f>IF(VLOOKUP($A37,overview!$B$3:$AJ$154,COLUMN(),FALSE) = "","",VLOOKUP($A37,overview!$B$3:$AJ$154,COLUMN(E37),FALSE))</f>
        <v>19.772965317761251</v>
      </c>
      <c r="F37" s="3">
        <f>IF(VLOOKUP($A37,overview!$B$3:$AJ$154,COLUMN(),FALSE) = "","",VLOOKUP($A37,overview!$B$3:$AJ$154,COLUMN(F37),FALSE))</f>
        <v>18.773033136795011</v>
      </c>
      <c r="G37" s="3">
        <f>IF(VLOOKUP($A37,overview!$B$3:$AJ$154,COLUMN(),FALSE) = "","",VLOOKUP($A37,overview!$B$3:$AJ$154,COLUMN(G37),FALSE))</f>
        <v>18.042857709098019</v>
      </c>
      <c r="H37" s="3">
        <f>IF(VLOOKUP($A37,overview!$B$3:$AJ$154,COLUMN(),FALSE) = "","",VLOOKUP($A37,overview!$B$3:$AJ$154,COLUMN(H37),FALSE))</f>
        <v>17.45313473587991</v>
      </c>
      <c r="I37" s="3">
        <f>IF(VLOOKUP($A37,overview!$B$3:$AJ$154,COLUMN(),FALSE) = "","",VLOOKUP($A37,overview!$B$3:$AJ$154,COLUMN(I37),FALSE))</f>
        <v>16.949655131065789</v>
      </c>
      <c r="J37" s="3">
        <f>IF(VLOOKUP($A37,overview!$B$3:$AJ$154,COLUMN(),FALSE) = "","",VLOOKUP($A37,overview!$B$3:$AJ$154,COLUMN(J37),FALSE))</f>
        <v>16.50477784513</v>
      </c>
      <c r="K37" s="3">
        <f>IF(VLOOKUP($A37,overview!$B$3:$AJ$154,COLUMN(),FALSE) = "","",VLOOKUP($A37,overview!$B$3:$AJ$154,COLUMN(K37),FALSE))</f>
        <v>16.102579378107539</v>
      </c>
      <c r="L37" s="3">
        <f>IF(VLOOKUP($A37,overview!$B$3:$AJ$154,COLUMN(),FALSE) = "","",VLOOKUP($A37,overview!$B$3:$AJ$154,COLUMN(L37),FALSE))</f>
        <v>15.73307911846053</v>
      </c>
      <c r="M37" s="3">
        <f>IF(VLOOKUP($A37,overview!$B$3:$AJ$154,COLUMN(),FALSE) = "","",VLOOKUP($A37,overview!$B$3:$AJ$154,COLUMN(M37),FALSE))</f>
        <v>15.389619722225939</v>
      </c>
      <c r="N37" s="3">
        <f>IF(VLOOKUP($A37,overview!$B$3:$AJ$154,COLUMN(),FALSE) = "","",VLOOKUP($A37,overview!$B$3:$AJ$154,COLUMN(N37),FALSE))</f>
        <v>15.06754198643331</v>
      </c>
      <c r="O37" s="3">
        <f>IF(VLOOKUP($A37,overview!$B$3:$AJ$154,COLUMN(),FALSE) = "","",VLOOKUP($A37,overview!$B$3:$AJ$154,COLUMN(O37),FALSE))</f>
        <v>14.763457530992239</v>
      </c>
      <c r="P37" s="3">
        <f>IF(VLOOKUP($A37,overview!$B$3:$AJ$154,COLUMN(),FALSE) = "","",VLOOKUP($A37,overview!$B$3:$AJ$154,COLUMN(P37),FALSE))</f>
        <v>14.47482335021334</v>
      </c>
      <c r="Q37" s="3">
        <f>IF(VLOOKUP($A37,overview!$B$3:$AJ$154,COLUMN(),FALSE) = "","",VLOOKUP($A37,overview!$B$3:$AJ$154,COLUMN(Q37),FALSE))</f>
        <v>14.199679874388011</v>
      </c>
      <c r="R37" s="3">
        <f>IF(VLOOKUP($A37,overview!$B$3:$AJ$154,COLUMN(),FALSE) = "","",VLOOKUP($A37,overview!$B$3:$AJ$154,COLUMN(R37),FALSE))</f>
        <v>13.93648276527408</v>
      </c>
      <c r="S37" s="3">
        <f>IF(VLOOKUP($A37,overview!$B$3:$AJ$154,COLUMN(),FALSE) = "","",VLOOKUP($A37,overview!$B$3:$AJ$154,COLUMN(S37),FALSE))</f>
        <v>13.68399102394897</v>
      </c>
      <c r="T37" s="3">
        <f>IF(VLOOKUP($A37,overview!$B$3:$AJ$154,COLUMN(),FALSE) = "","",VLOOKUP($A37,overview!$B$3:$AJ$154,COLUMN(T37),FALSE))</f>
        <v>13.44119029009765</v>
      </c>
      <c r="U37" s="3">
        <f>IF(VLOOKUP($A37,overview!$B$3:$AJ$154,COLUMN(),FALSE) = "","",VLOOKUP($A37,overview!$B$3:$AJ$154,COLUMN(U37),FALSE))</f>
        <v>13.207238886614061</v>
      </c>
      <c r="V37" s="3">
        <f>IF(VLOOKUP($A37,overview!$B$3:$AJ$154,COLUMN(),FALSE) = "","",VLOOKUP($A37,overview!$B$3:$AJ$154,COLUMN(V37),FALSE))</f>
        <v>12.981428999265789</v>
      </c>
      <c r="W37" s="3">
        <f>IF(VLOOKUP($A37,overview!$B$3:$AJ$154,COLUMN(),FALSE) = "","",VLOOKUP($A37,overview!$B$3:$AJ$154,COLUMN(W37),FALSE))</f>
        <v>12.76315818666602</v>
      </c>
      <c r="X37" s="3">
        <f>IF(VLOOKUP($A37,overview!$B$3:$AJ$154,COLUMN(),FALSE) = "","",VLOOKUP($A37,overview!$B$3:$AJ$154,COLUMN(X37),FALSE))</f>
        <v>12.551908100788751</v>
      </c>
      <c r="Y37" s="3">
        <f>IF(VLOOKUP($A37,overview!$B$3:$AJ$154,COLUMN(),FALSE) = "","",VLOOKUP($A37,overview!$B$3:$AJ$154,COLUMN(Y37),FALSE))</f>
        <v>12.34722834154217</v>
      </c>
      <c r="Z37" s="3">
        <f>IF(VLOOKUP($A37,overview!$B$3:$AJ$154,COLUMN(),FALSE) = "","",VLOOKUP($A37,overview!$B$3:$AJ$154,COLUMN(Z37),FALSE))</f>
        <v>12.148724032506079</v>
      </c>
      <c r="AA37" s="3">
        <f>IF(VLOOKUP($A37,overview!$B$3:$AJ$154,COLUMN(),FALSE) = "","",VLOOKUP($A37,overview!$B$3:$AJ$154,COLUMN(AA37),FALSE))</f>
        <v>11.956046137286339</v>
      </c>
      <c r="AB37" s="3">
        <f>IF(VLOOKUP($A37,overview!$B$3:$AJ$154,COLUMN(),FALSE) = "","",VLOOKUP($A37,overview!$B$3:$AJ$154,COLUMN(AB37),FALSE))</f>
        <v>11.768883823763881</v>
      </c>
      <c r="AC37" s="3">
        <f>IF(VLOOKUP($A37,overview!$B$3:$AJ$154,COLUMN(),FALSE) = "","",VLOOKUP($A37,overview!$B$3:$AJ$154,COLUMN(AC37),FALSE))</f>
        <v>11.586958378896091</v>
      </c>
      <c r="AD37" s="3">
        <f>IF(VLOOKUP($A37,overview!$B$3:$AJ$154,COLUMN(),FALSE) = "","",VLOOKUP($A37,overview!$B$3:$AJ$154,COLUMN(AD37),FALSE))</f>
        <v>11.410018311718179</v>
      </c>
      <c r="AE37" s="3">
        <f>IF(VLOOKUP($A37,overview!$B$3:$AJ$154,COLUMN(),FALSE) = "","",VLOOKUP($A37,overview!$B$3:$AJ$154,COLUMN(AE37),FALSE))</f>
        <v>11.23783537697321</v>
      </c>
      <c r="AF37" s="3">
        <f>IF(VLOOKUP($A37,overview!$B$3:$AJ$154,COLUMN(),FALSE) = "","",VLOOKUP($A37,overview!$B$3:$AJ$154,COLUMN(AF37),FALSE))</f>
        <v>11.070201319337301</v>
      </c>
      <c r="AG37" s="3">
        <f>IF(VLOOKUP($A37,overview!$B$3:$AJ$154,COLUMN(),FALSE) = "","",VLOOKUP($A37,overview!$B$3:$AJ$154,COLUMN(AG37),FALSE))</f>
        <v>10.906925186988101</v>
      </c>
      <c r="AH37" s="3">
        <f>IF(VLOOKUP($A37,overview!$B$3:$AJ$154,COLUMN(),FALSE) = "","",VLOOKUP($A37,overview!$B$3:$AJ$154,COLUMN(AH37),FALSE))</f>
        <v>10.74783109894277</v>
      </c>
      <c r="AI37" s="3" t="str">
        <f>IF(VLOOKUP($A37,overview!$B$3:$AJ$154,COLUMN(),FALSE) = "","",VLOOKUP($A37,overview!$B$3:$AJ$154,COLUMN(AI37),FALSE))</f>
        <v>[EUR/kWh_H2]</v>
      </c>
    </row>
    <row r="38" spans="1:35" ht="15.75" customHeight="1" x14ac:dyDescent="0.2">
      <c r="A38" s="8" t="s">
        <v>143</v>
      </c>
      <c r="B38" s="3">
        <f>IF(VLOOKUP($A38,overview!$B$3:$AJ$154,COLUMN(),FALSE) = "","",VLOOKUP($A38,overview!$B$3:$AJ$154,COLUMN(B38),FALSE))</f>
        <v>0.01</v>
      </c>
      <c r="C38" s="3">
        <f>IF(VLOOKUP($A38,overview!$B$3:$AJ$154,COLUMN(),FALSE) = "","",VLOOKUP($A38,overview!$B$3:$AJ$154,COLUMN(C38),FALSE))</f>
        <v>5.0000000000000001E-3</v>
      </c>
      <c r="D38" s="3">
        <f>IF(VLOOKUP($A38,overview!$B$3:$AJ$154,COLUMN(),FALSE) = "","",VLOOKUP($A38,overview!$B$3:$AJ$154,COLUMN(D38),FALSE))</f>
        <v>1.4999999999999999E-2</v>
      </c>
      <c r="E38" s="3" t="str">
        <f>IF(VLOOKUP($A38,overview!$B$3:$AJ$154,COLUMN(),FALSE) = "","",VLOOKUP($A38,overview!$B$3:$AJ$154,COLUMN(E38),FALSE))</f>
        <v/>
      </c>
      <c r="F38" s="3" t="str">
        <f>IF(VLOOKUP($A38,overview!$B$3:$AJ$154,COLUMN(),FALSE) = "","",VLOOKUP($A38,overview!$B$3:$AJ$154,COLUMN(F38),FALSE))</f>
        <v/>
      </c>
      <c r="G38" s="3" t="str">
        <f>IF(VLOOKUP($A38,overview!$B$3:$AJ$154,COLUMN(),FALSE) = "","",VLOOKUP($A38,overview!$B$3:$AJ$154,COLUMN(G38),FALSE))</f>
        <v/>
      </c>
      <c r="H38" s="3" t="str">
        <f>IF(VLOOKUP($A38,overview!$B$3:$AJ$154,COLUMN(),FALSE) = "","",VLOOKUP($A38,overview!$B$3:$AJ$154,COLUMN(H38),FALSE))</f>
        <v/>
      </c>
      <c r="I38" s="3" t="str">
        <f>IF(VLOOKUP($A38,overview!$B$3:$AJ$154,COLUMN(),FALSE) = "","",VLOOKUP($A38,overview!$B$3:$AJ$154,COLUMN(I38),FALSE))</f>
        <v/>
      </c>
      <c r="J38" s="3" t="str">
        <f>IF(VLOOKUP($A38,overview!$B$3:$AJ$154,COLUMN(),FALSE) = "","",VLOOKUP($A38,overview!$B$3:$AJ$154,COLUMN(J38),FALSE))</f>
        <v/>
      </c>
      <c r="K38" s="3" t="str">
        <f>IF(VLOOKUP($A38,overview!$B$3:$AJ$154,COLUMN(),FALSE) = "","",VLOOKUP($A38,overview!$B$3:$AJ$154,COLUMN(K38),FALSE))</f>
        <v/>
      </c>
      <c r="L38" s="3" t="str">
        <f>IF(VLOOKUP($A38,overview!$B$3:$AJ$154,COLUMN(),FALSE) = "","",VLOOKUP($A38,overview!$B$3:$AJ$154,COLUMN(L38),FALSE))</f>
        <v/>
      </c>
      <c r="M38" s="3" t="str">
        <f>IF(VLOOKUP($A38,overview!$B$3:$AJ$154,COLUMN(),FALSE) = "","",VLOOKUP($A38,overview!$B$3:$AJ$154,COLUMN(M38),FALSE))</f>
        <v/>
      </c>
      <c r="N38" s="3" t="str">
        <f>IF(VLOOKUP($A38,overview!$B$3:$AJ$154,COLUMN(),FALSE) = "","",VLOOKUP($A38,overview!$B$3:$AJ$154,COLUMN(N38),FALSE))</f>
        <v/>
      </c>
      <c r="O38" s="3" t="str">
        <f>IF(VLOOKUP($A38,overview!$B$3:$AJ$154,COLUMN(),FALSE) = "","",VLOOKUP($A38,overview!$B$3:$AJ$154,COLUMN(O38),FALSE))</f>
        <v/>
      </c>
      <c r="P38" s="3" t="str">
        <f>IF(VLOOKUP($A38,overview!$B$3:$AJ$154,COLUMN(),FALSE) = "","",VLOOKUP($A38,overview!$B$3:$AJ$154,COLUMN(P38),FALSE))</f>
        <v/>
      </c>
      <c r="Q38" s="3" t="str">
        <f>IF(VLOOKUP($A38,overview!$B$3:$AJ$154,COLUMN(),FALSE) = "","",VLOOKUP($A38,overview!$B$3:$AJ$154,COLUMN(Q38),FALSE))</f>
        <v/>
      </c>
      <c r="R38" s="3" t="str">
        <f>IF(VLOOKUP($A38,overview!$B$3:$AJ$154,COLUMN(),FALSE) = "","",VLOOKUP($A38,overview!$B$3:$AJ$154,COLUMN(R38),FALSE))</f>
        <v/>
      </c>
      <c r="S38" s="3" t="str">
        <f>IF(VLOOKUP($A38,overview!$B$3:$AJ$154,COLUMN(),FALSE) = "","",VLOOKUP($A38,overview!$B$3:$AJ$154,COLUMN(S38),FALSE))</f>
        <v/>
      </c>
      <c r="T38" s="3" t="str">
        <f>IF(VLOOKUP($A38,overview!$B$3:$AJ$154,COLUMN(),FALSE) = "","",VLOOKUP($A38,overview!$B$3:$AJ$154,COLUMN(T38),FALSE))</f>
        <v/>
      </c>
      <c r="U38" s="3" t="str">
        <f>IF(VLOOKUP($A38,overview!$B$3:$AJ$154,COLUMN(),FALSE) = "","",VLOOKUP($A38,overview!$B$3:$AJ$154,COLUMN(U38),FALSE))</f>
        <v/>
      </c>
      <c r="V38" s="3" t="str">
        <f>IF(VLOOKUP($A38,overview!$B$3:$AJ$154,COLUMN(),FALSE) = "","",VLOOKUP($A38,overview!$B$3:$AJ$154,COLUMN(V38),FALSE))</f>
        <v/>
      </c>
      <c r="W38" s="3" t="str">
        <f>IF(VLOOKUP($A38,overview!$B$3:$AJ$154,COLUMN(),FALSE) = "","",VLOOKUP($A38,overview!$B$3:$AJ$154,COLUMN(W38),FALSE))</f>
        <v/>
      </c>
      <c r="X38" s="3" t="str">
        <f>IF(VLOOKUP($A38,overview!$B$3:$AJ$154,COLUMN(),FALSE) = "","",VLOOKUP($A38,overview!$B$3:$AJ$154,COLUMN(X38),FALSE))</f>
        <v/>
      </c>
      <c r="Y38" s="3" t="str">
        <f>IF(VLOOKUP($A38,overview!$B$3:$AJ$154,COLUMN(),FALSE) = "","",VLOOKUP($A38,overview!$B$3:$AJ$154,COLUMN(Y38),FALSE))</f>
        <v/>
      </c>
      <c r="Z38" s="3" t="str">
        <f>IF(VLOOKUP($A38,overview!$B$3:$AJ$154,COLUMN(),FALSE) = "","",VLOOKUP($A38,overview!$B$3:$AJ$154,COLUMN(Z38),FALSE))</f>
        <v/>
      </c>
      <c r="AA38" s="3" t="str">
        <f>IF(VLOOKUP($A38,overview!$B$3:$AJ$154,COLUMN(),FALSE) = "","",VLOOKUP($A38,overview!$B$3:$AJ$154,COLUMN(AA38),FALSE))</f>
        <v/>
      </c>
      <c r="AB38" s="3" t="str">
        <f>IF(VLOOKUP($A38,overview!$B$3:$AJ$154,COLUMN(),FALSE) = "","",VLOOKUP($A38,overview!$B$3:$AJ$154,COLUMN(AB38),FALSE))</f>
        <v/>
      </c>
      <c r="AC38" s="3" t="str">
        <f>IF(VLOOKUP($A38,overview!$B$3:$AJ$154,COLUMN(),FALSE) = "","",VLOOKUP($A38,overview!$B$3:$AJ$154,COLUMN(AC38),FALSE))</f>
        <v/>
      </c>
      <c r="AD38" s="3" t="str">
        <f>IF(VLOOKUP($A38,overview!$B$3:$AJ$154,COLUMN(),FALSE) = "","",VLOOKUP($A38,overview!$B$3:$AJ$154,COLUMN(AD38),FALSE))</f>
        <v/>
      </c>
      <c r="AE38" s="3" t="str">
        <f>IF(VLOOKUP($A38,overview!$B$3:$AJ$154,COLUMN(),FALSE) = "","",VLOOKUP($A38,overview!$B$3:$AJ$154,COLUMN(AE38),FALSE))</f>
        <v/>
      </c>
      <c r="AF38" s="3" t="str">
        <f>IF(VLOOKUP($A38,overview!$B$3:$AJ$154,COLUMN(),FALSE) = "","",VLOOKUP($A38,overview!$B$3:$AJ$154,COLUMN(AF38),FALSE))</f>
        <v/>
      </c>
      <c r="AG38" s="3" t="str">
        <f>IF(VLOOKUP($A38,overview!$B$3:$AJ$154,COLUMN(),FALSE) = "","",VLOOKUP($A38,overview!$B$3:$AJ$154,COLUMN(AG38),FALSE))</f>
        <v/>
      </c>
      <c r="AH38" s="3" t="str">
        <f>IF(VLOOKUP($A38,overview!$B$3:$AJ$154,COLUMN(),FALSE) = "","",VLOOKUP($A38,overview!$B$3:$AJ$154,COLUMN(AH38),FALSE))</f>
        <v/>
      </c>
      <c r="AI38" s="3" t="str">
        <f>IF(VLOOKUP($A38,overview!$B$3:$AJ$154,COLUMN(),FALSE) = "","",VLOOKUP($A38,overview!$B$3:$AJ$154,COLUMN(AI38),FALSE))</f>
        <v>Fraction of CAPEX p.a.</v>
      </c>
    </row>
    <row r="39" spans="1:35" ht="15.75" customHeight="1" x14ac:dyDescent="0.2">
      <c r="A39" s="8" t="s">
        <v>145</v>
      </c>
      <c r="B39" s="3">
        <f>IF(VLOOKUP($A39,overview!$B$3:$AJ$154,COLUMN(),FALSE) = "","",VLOOKUP($A39,overview!$B$3:$AJ$154,COLUMN(B39),FALSE))</f>
        <v>30</v>
      </c>
      <c r="C39" s="3" t="str">
        <f>IF(VLOOKUP($A39,overview!$B$3:$AJ$154,COLUMN(),FALSE) = "","",VLOOKUP($A39,overview!$B$3:$AJ$154,COLUMN(C39),FALSE))</f>
        <v/>
      </c>
      <c r="D39" s="3" t="str">
        <f>IF(VLOOKUP($A39,overview!$B$3:$AJ$154,COLUMN(),FALSE) = "","",VLOOKUP($A39,overview!$B$3:$AJ$154,COLUMN(D39),FALSE))</f>
        <v/>
      </c>
      <c r="E39" s="3" t="str">
        <f>IF(VLOOKUP($A39,overview!$B$3:$AJ$154,COLUMN(),FALSE) = "","",VLOOKUP($A39,overview!$B$3:$AJ$154,COLUMN(E39),FALSE))</f>
        <v/>
      </c>
      <c r="F39" s="3" t="str">
        <f>IF(VLOOKUP($A39,overview!$B$3:$AJ$154,COLUMN(),FALSE) = "","",VLOOKUP($A39,overview!$B$3:$AJ$154,COLUMN(F39),FALSE))</f>
        <v/>
      </c>
      <c r="G39" s="3" t="str">
        <f>IF(VLOOKUP($A39,overview!$B$3:$AJ$154,COLUMN(),FALSE) = "","",VLOOKUP($A39,overview!$B$3:$AJ$154,COLUMN(G39),FALSE))</f>
        <v/>
      </c>
      <c r="H39" s="3" t="str">
        <f>IF(VLOOKUP($A39,overview!$B$3:$AJ$154,COLUMN(),FALSE) = "","",VLOOKUP($A39,overview!$B$3:$AJ$154,COLUMN(H39),FALSE))</f>
        <v/>
      </c>
      <c r="I39" s="3" t="str">
        <f>IF(VLOOKUP($A39,overview!$B$3:$AJ$154,COLUMN(),FALSE) = "","",VLOOKUP($A39,overview!$B$3:$AJ$154,COLUMN(I39),FALSE))</f>
        <v/>
      </c>
      <c r="J39" s="3" t="str">
        <f>IF(VLOOKUP($A39,overview!$B$3:$AJ$154,COLUMN(),FALSE) = "","",VLOOKUP($A39,overview!$B$3:$AJ$154,COLUMN(J39),FALSE))</f>
        <v/>
      </c>
      <c r="K39" s="3" t="str">
        <f>IF(VLOOKUP($A39,overview!$B$3:$AJ$154,COLUMN(),FALSE) = "","",VLOOKUP($A39,overview!$B$3:$AJ$154,COLUMN(K39),FALSE))</f>
        <v/>
      </c>
      <c r="L39" s="3" t="str">
        <f>IF(VLOOKUP($A39,overview!$B$3:$AJ$154,COLUMN(),FALSE) = "","",VLOOKUP($A39,overview!$B$3:$AJ$154,COLUMN(L39),FALSE))</f>
        <v/>
      </c>
      <c r="M39" s="3" t="str">
        <f>IF(VLOOKUP($A39,overview!$B$3:$AJ$154,COLUMN(),FALSE) = "","",VLOOKUP($A39,overview!$B$3:$AJ$154,COLUMN(M39),FALSE))</f>
        <v/>
      </c>
      <c r="N39" s="3" t="str">
        <f>IF(VLOOKUP($A39,overview!$B$3:$AJ$154,COLUMN(),FALSE) = "","",VLOOKUP($A39,overview!$B$3:$AJ$154,COLUMN(N39),FALSE))</f>
        <v/>
      </c>
      <c r="O39" s="3" t="str">
        <f>IF(VLOOKUP($A39,overview!$B$3:$AJ$154,COLUMN(),FALSE) = "","",VLOOKUP($A39,overview!$B$3:$AJ$154,COLUMN(O39),FALSE))</f>
        <v/>
      </c>
      <c r="P39" s="3" t="str">
        <f>IF(VLOOKUP($A39,overview!$B$3:$AJ$154,COLUMN(),FALSE) = "","",VLOOKUP($A39,overview!$B$3:$AJ$154,COLUMN(P39),FALSE))</f>
        <v/>
      </c>
      <c r="Q39" s="3" t="str">
        <f>IF(VLOOKUP($A39,overview!$B$3:$AJ$154,COLUMN(),FALSE) = "","",VLOOKUP($A39,overview!$B$3:$AJ$154,COLUMN(Q39),FALSE))</f>
        <v/>
      </c>
      <c r="R39" s="3" t="str">
        <f>IF(VLOOKUP($A39,overview!$B$3:$AJ$154,COLUMN(),FALSE) = "","",VLOOKUP($A39,overview!$B$3:$AJ$154,COLUMN(R39),FALSE))</f>
        <v/>
      </c>
      <c r="S39" s="3" t="str">
        <f>IF(VLOOKUP($A39,overview!$B$3:$AJ$154,COLUMN(),FALSE) = "","",VLOOKUP($A39,overview!$B$3:$AJ$154,COLUMN(S39),FALSE))</f>
        <v/>
      </c>
      <c r="T39" s="3" t="str">
        <f>IF(VLOOKUP($A39,overview!$B$3:$AJ$154,COLUMN(),FALSE) = "","",VLOOKUP($A39,overview!$B$3:$AJ$154,COLUMN(T39),FALSE))</f>
        <v/>
      </c>
      <c r="U39" s="3" t="str">
        <f>IF(VLOOKUP($A39,overview!$B$3:$AJ$154,COLUMN(),FALSE) = "","",VLOOKUP($A39,overview!$B$3:$AJ$154,COLUMN(U39),FALSE))</f>
        <v/>
      </c>
      <c r="V39" s="3" t="str">
        <f>IF(VLOOKUP($A39,overview!$B$3:$AJ$154,COLUMN(),FALSE) = "","",VLOOKUP($A39,overview!$B$3:$AJ$154,COLUMN(V39),FALSE))</f>
        <v/>
      </c>
      <c r="W39" s="3" t="str">
        <f>IF(VLOOKUP($A39,overview!$B$3:$AJ$154,COLUMN(),FALSE) = "","",VLOOKUP($A39,overview!$B$3:$AJ$154,COLUMN(W39),FALSE))</f>
        <v/>
      </c>
      <c r="X39" s="3" t="str">
        <f>IF(VLOOKUP($A39,overview!$B$3:$AJ$154,COLUMN(),FALSE) = "","",VLOOKUP($A39,overview!$B$3:$AJ$154,COLUMN(X39),FALSE))</f>
        <v/>
      </c>
      <c r="Y39" s="3" t="str">
        <f>IF(VLOOKUP($A39,overview!$B$3:$AJ$154,COLUMN(),FALSE) = "","",VLOOKUP($A39,overview!$B$3:$AJ$154,COLUMN(Y39),FALSE))</f>
        <v/>
      </c>
      <c r="Z39" s="3" t="str">
        <f>IF(VLOOKUP($A39,overview!$B$3:$AJ$154,COLUMN(),FALSE) = "","",VLOOKUP($A39,overview!$B$3:$AJ$154,COLUMN(Z39),FALSE))</f>
        <v/>
      </c>
      <c r="AA39" s="3" t="str">
        <f>IF(VLOOKUP($A39,overview!$B$3:$AJ$154,COLUMN(),FALSE) = "","",VLOOKUP($A39,overview!$B$3:$AJ$154,COLUMN(AA39),FALSE))</f>
        <v/>
      </c>
      <c r="AB39" s="3" t="str">
        <f>IF(VLOOKUP($A39,overview!$B$3:$AJ$154,COLUMN(),FALSE) = "","",VLOOKUP($A39,overview!$B$3:$AJ$154,COLUMN(AB39),FALSE))</f>
        <v/>
      </c>
      <c r="AC39" s="3" t="str">
        <f>IF(VLOOKUP($A39,overview!$B$3:$AJ$154,COLUMN(),FALSE) = "","",VLOOKUP($A39,overview!$B$3:$AJ$154,COLUMN(AC39),FALSE))</f>
        <v/>
      </c>
      <c r="AD39" s="3" t="str">
        <f>IF(VLOOKUP($A39,overview!$B$3:$AJ$154,COLUMN(),FALSE) = "","",VLOOKUP($A39,overview!$B$3:$AJ$154,COLUMN(AD39),FALSE))</f>
        <v/>
      </c>
      <c r="AE39" s="3" t="str">
        <f>IF(VLOOKUP($A39,overview!$B$3:$AJ$154,COLUMN(),FALSE) = "","",VLOOKUP($A39,overview!$B$3:$AJ$154,COLUMN(AE39),FALSE))</f>
        <v/>
      </c>
      <c r="AF39" s="3" t="str">
        <f>IF(VLOOKUP($A39,overview!$B$3:$AJ$154,COLUMN(),FALSE) = "","",VLOOKUP($A39,overview!$B$3:$AJ$154,COLUMN(AF39),FALSE))</f>
        <v/>
      </c>
      <c r="AG39" s="3" t="str">
        <f>IF(VLOOKUP($A39,overview!$B$3:$AJ$154,COLUMN(),FALSE) = "","",VLOOKUP($A39,overview!$B$3:$AJ$154,COLUMN(AG39),FALSE))</f>
        <v/>
      </c>
      <c r="AH39" s="3" t="str">
        <f>IF(VLOOKUP($A39,overview!$B$3:$AJ$154,COLUMN(),FALSE) = "","",VLOOKUP($A39,overview!$B$3:$AJ$154,COLUMN(AH39),FALSE))</f>
        <v/>
      </c>
      <c r="AI39" s="3" t="str">
        <f>IF(VLOOKUP($A39,overview!$B$3:$AJ$154,COLUMN(),FALSE) = "","",VLOOKUP($A39,overview!$B$3:$AJ$154,COLUMN(AI39),FALSE))</f>
        <v/>
      </c>
    </row>
    <row r="40" spans="1:35" ht="15.75" customHeight="1" x14ac:dyDescent="0.2">
      <c r="A40" s="8" t="s">
        <v>147</v>
      </c>
      <c r="B40" s="27">
        <f>IF(VLOOKUP($A40,overview!$B$3:$AJ$154,COLUMN(),FALSE) = "","",VLOOKUP($A40,overview!$B$3:$AJ$154,COLUMN(B40),FALSE))</f>
        <v>100000</v>
      </c>
      <c r="C40" s="3" t="str">
        <f>IF(VLOOKUP($A40,overview!$B$3:$AJ$154,COLUMN(),FALSE) = "","",VLOOKUP($A40,overview!$B$3:$AJ$154,COLUMN(C40),FALSE))</f>
        <v/>
      </c>
      <c r="D40" s="3" t="str">
        <f>IF(VLOOKUP($A40,overview!$B$3:$AJ$154,COLUMN(),FALSE) = "","",VLOOKUP($A40,overview!$B$3:$AJ$154,COLUMN(D40),FALSE))</f>
        <v/>
      </c>
      <c r="E40" s="3" t="str">
        <f>IF(VLOOKUP($A40,overview!$B$3:$AJ$154,COLUMN(),FALSE) = "","",VLOOKUP($A40,overview!$B$3:$AJ$154,COLUMN(E40),FALSE))</f>
        <v/>
      </c>
      <c r="F40" s="3" t="str">
        <f>IF(VLOOKUP($A40,overview!$B$3:$AJ$154,COLUMN(),FALSE) = "","",VLOOKUP($A40,overview!$B$3:$AJ$154,COLUMN(F40),FALSE))</f>
        <v/>
      </c>
      <c r="G40" s="3" t="str">
        <f>IF(VLOOKUP($A40,overview!$B$3:$AJ$154,COLUMN(),FALSE) = "","",VLOOKUP($A40,overview!$B$3:$AJ$154,COLUMN(G40),FALSE))</f>
        <v/>
      </c>
      <c r="H40" s="3" t="str">
        <f>IF(VLOOKUP($A40,overview!$B$3:$AJ$154,COLUMN(),FALSE) = "","",VLOOKUP($A40,overview!$B$3:$AJ$154,COLUMN(H40),FALSE))</f>
        <v/>
      </c>
      <c r="I40" s="3" t="str">
        <f>IF(VLOOKUP($A40,overview!$B$3:$AJ$154,COLUMN(),FALSE) = "","",VLOOKUP($A40,overview!$B$3:$AJ$154,COLUMN(I40),FALSE))</f>
        <v/>
      </c>
      <c r="J40" s="3" t="str">
        <f>IF(VLOOKUP($A40,overview!$B$3:$AJ$154,COLUMN(),FALSE) = "","",VLOOKUP($A40,overview!$B$3:$AJ$154,COLUMN(J40),FALSE))</f>
        <v/>
      </c>
      <c r="K40" s="3" t="str">
        <f>IF(VLOOKUP($A40,overview!$B$3:$AJ$154,COLUMN(),FALSE) = "","",VLOOKUP($A40,overview!$B$3:$AJ$154,COLUMN(K40),FALSE))</f>
        <v/>
      </c>
      <c r="L40" s="3" t="str">
        <f>IF(VLOOKUP($A40,overview!$B$3:$AJ$154,COLUMN(),FALSE) = "","",VLOOKUP($A40,overview!$B$3:$AJ$154,COLUMN(L40),FALSE))</f>
        <v/>
      </c>
      <c r="M40" s="3" t="str">
        <f>IF(VLOOKUP($A40,overview!$B$3:$AJ$154,COLUMN(),FALSE) = "","",VLOOKUP($A40,overview!$B$3:$AJ$154,COLUMN(M40),FALSE))</f>
        <v/>
      </c>
      <c r="N40" s="3" t="str">
        <f>IF(VLOOKUP($A40,overview!$B$3:$AJ$154,COLUMN(),FALSE) = "","",VLOOKUP($A40,overview!$B$3:$AJ$154,COLUMN(N40),FALSE))</f>
        <v/>
      </c>
      <c r="O40" s="3" t="str">
        <f>IF(VLOOKUP($A40,overview!$B$3:$AJ$154,COLUMN(),FALSE) = "","",VLOOKUP($A40,overview!$B$3:$AJ$154,COLUMN(O40),FALSE))</f>
        <v/>
      </c>
      <c r="P40" s="3" t="str">
        <f>IF(VLOOKUP($A40,overview!$B$3:$AJ$154,COLUMN(),FALSE) = "","",VLOOKUP($A40,overview!$B$3:$AJ$154,COLUMN(P40),FALSE))</f>
        <v/>
      </c>
      <c r="Q40" s="3" t="str">
        <f>IF(VLOOKUP($A40,overview!$B$3:$AJ$154,COLUMN(),FALSE) = "","",VLOOKUP($A40,overview!$B$3:$AJ$154,COLUMN(Q40),FALSE))</f>
        <v/>
      </c>
      <c r="R40" s="3" t="str">
        <f>IF(VLOOKUP($A40,overview!$B$3:$AJ$154,COLUMN(),FALSE) = "","",VLOOKUP($A40,overview!$B$3:$AJ$154,COLUMN(R40),FALSE))</f>
        <v/>
      </c>
      <c r="S40" s="3" t="str">
        <f>IF(VLOOKUP($A40,overview!$B$3:$AJ$154,COLUMN(),FALSE) = "","",VLOOKUP($A40,overview!$B$3:$AJ$154,COLUMN(S40),FALSE))</f>
        <v/>
      </c>
      <c r="T40" s="3" t="str">
        <f>IF(VLOOKUP($A40,overview!$B$3:$AJ$154,COLUMN(),FALSE) = "","",VLOOKUP($A40,overview!$B$3:$AJ$154,COLUMN(T40),FALSE))</f>
        <v/>
      </c>
      <c r="U40" s="3" t="str">
        <f>IF(VLOOKUP($A40,overview!$B$3:$AJ$154,COLUMN(),FALSE) = "","",VLOOKUP($A40,overview!$B$3:$AJ$154,COLUMN(U40),FALSE))</f>
        <v/>
      </c>
      <c r="V40" s="3" t="str">
        <f>IF(VLOOKUP($A40,overview!$B$3:$AJ$154,COLUMN(),FALSE) = "","",VLOOKUP($A40,overview!$B$3:$AJ$154,COLUMN(V40),FALSE))</f>
        <v/>
      </c>
      <c r="W40" s="3" t="str">
        <f>IF(VLOOKUP($A40,overview!$B$3:$AJ$154,COLUMN(),FALSE) = "","",VLOOKUP($A40,overview!$B$3:$AJ$154,COLUMN(W40),FALSE))</f>
        <v/>
      </c>
      <c r="X40" s="3" t="str">
        <f>IF(VLOOKUP($A40,overview!$B$3:$AJ$154,COLUMN(),FALSE) = "","",VLOOKUP($A40,overview!$B$3:$AJ$154,COLUMN(X40),FALSE))</f>
        <v/>
      </c>
      <c r="Y40" s="3" t="str">
        <f>IF(VLOOKUP($A40,overview!$B$3:$AJ$154,COLUMN(),FALSE) = "","",VLOOKUP($A40,overview!$B$3:$AJ$154,COLUMN(Y40),FALSE))</f>
        <v/>
      </c>
      <c r="Z40" s="3" t="str">
        <f>IF(VLOOKUP($A40,overview!$B$3:$AJ$154,COLUMN(),FALSE) = "","",VLOOKUP($A40,overview!$B$3:$AJ$154,COLUMN(Z40),FALSE))</f>
        <v/>
      </c>
      <c r="AA40" s="3" t="str">
        <f>IF(VLOOKUP($A40,overview!$B$3:$AJ$154,COLUMN(),FALSE) = "","",VLOOKUP($A40,overview!$B$3:$AJ$154,COLUMN(AA40),FALSE))</f>
        <v/>
      </c>
      <c r="AB40" s="3" t="str">
        <f>IF(VLOOKUP($A40,overview!$B$3:$AJ$154,COLUMN(),FALSE) = "","",VLOOKUP($A40,overview!$B$3:$AJ$154,COLUMN(AB40),FALSE))</f>
        <v/>
      </c>
      <c r="AC40" s="3" t="str">
        <f>IF(VLOOKUP($A40,overview!$B$3:$AJ$154,COLUMN(),FALSE) = "","",VLOOKUP($A40,overview!$B$3:$AJ$154,COLUMN(AC40),FALSE))</f>
        <v/>
      </c>
      <c r="AD40" s="3" t="str">
        <f>IF(VLOOKUP($A40,overview!$B$3:$AJ$154,COLUMN(),FALSE) = "","",VLOOKUP($A40,overview!$B$3:$AJ$154,COLUMN(AD40),FALSE))</f>
        <v/>
      </c>
      <c r="AE40" s="3" t="str">
        <f>IF(VLOOKUP($A40,overview!$B$3:$AJ$154,COLUMN(),FALSE) = "","",VLOOKUP($A40,overview!$B$3:$AJ$154,COLUMN(AE40),FALSE))</f>
        <v/>
      </c>
      <c r="AF40" s="3" t="str">
        <f>IF(VLOOKUP($A40,overview!$B$3:$AJ$154,COLUMN(),FALSE) = "","",VLOOKUP($A40,overview!$B$3:$AJ$154,COLUMN(AF40),FALSE))</f>
        <v/>
      </c>
      <c r="AG40" s="3" t="str">
        <f>IF(VLOOKUP($A40,overview!$B$3:$AJ$154,COLUMN(),FALSE) = "","",VLOOKUP($A40,overview!$B$3:$AJ$154,COLUMN(AG40),FALSE))</f>
        <v/>
      </c>
      <c r="AH40" s="3" t="str">
        <f>IF(VLOOKUP($A40,overview!$B$3:$AJ$154,COLUMN(),FALSE) = "","",VLOOKUP($A40,overview!$B$3:$AJ$154,COLUMN(AH40),FALSE))</f>
        <v/>
      </c>
      <c r="AI40" s="3" t="str">
        <f>IF(VLOOKUP($A40,overview!$B$3:$AJ$154,COLUMN(),FALSE) = "","",VLOOKUP($A40,overview!$B$3:$AJ$154,COLUMN(AI40),FALSE))</f>
        <v>kgCO2/hr</v>
      </c>
    </row>
    <row r="41" spans="1:35" ht="15.75" customHeight="1" x14ac:dyDescent="0.2">
      <c r="A41" s="8" t="s">
        <v>149</v>
      </c>
      <c r="B41" s="3">
        <f>IF(VLOOKUP($A41,overview!$B$3:$AJ$154,COLUMN(),FALSE) = "","",VLOOKUP($A41,overview!$B$3:$AJ$154,COLUMN(B41),FALSE))</f>
        <v>0</v>
      </c>
      <c r="C41" s="3" t="str">
        <f>IF(VLOOKUP($A41,overview!$B$3:$AJ$154,COLUMN(),FALSE) = "","",VLOOKUP($A41,overview!$B$3:$AJ$154,COLUMN(C41),FALSE))</f>
        <v/>
      </c>
      <c r="D41" s="3" t="str">
        <f>IF(VLOOKUP($A41,overview!$B$3:$AJ$154,COLUMN(),FALSE) = "","",VLOOKUP($A41,overview!$B$3:$AJ$154,COLUMN(D41),FALSE))</f>
        <v/>
      </c>
      <c r="E41" s="3" t="str">
        <f>IF(VLOOKUP($A41,overview!$B$3:$AJ$154,COLUMN(),FALSE) = "","",VLOOKUP($A41,overview!$B$3:$AJ$154,COLUMN(E41),FALSE))</f>
        <v/>
      </c>
      <c r="F41" s="3" t="str">
        <f>IF(VLOOKUP($A41,overview!$B$3:$AJ$154,COLUMN(),FALSE) = "","",VLOOKUP($A41,overview!$B$3:$AJ$154,COLUMN(F41),FALSE))</f>
        <v/>
      </c>
      <c r="G41" s="3" t="str">
        <f>IF(VLOOKUP($A41,overview!$B$3:$AJ$154,COLUMN(),FALSE) = "","",VLOOKUP($A41,overview!$B$3:$AJ$154,COLUMN(G41),FALSE))</f>
        <v/>
      </c>
      <c r="H41" s="3" t="str">
        <f>IF(VLOOKUP($A41,overview!$B$3:$AJ$154,COLUMN(),FALSE) = "","",VLOOKUP($A41,overview!$B$3:$AJ$154,COLUMN(H41),FALSE))</f>
        <v/>
      </c>
      <c r="I41" s="3" t="str">
        <f>IF(VLOOKUP($A41,overview!$B$3:$AJ$154,COLUMN(),FALSE) = "","",VLOOKUP($A41,overview!$B$3:$AJ$154,COLUMN(I41),FALSE))</f>
        <v/>
      </c>
      <c r="J41" s="3" t="str">
        <f>IF(VLOOKUP($A41,overview!$B$3:$AJ$154,COLUMN(),FALSE) = "","",VLOOKUP($A41,overview!$B$3:$AJ$154,COLUMN(J41),FALSE))</f>
        <v/>
      </c>
      <c r="K41" s="3" t="str">
        <f>IF(VLOOKUP($A41,overview!$B$3:$AJ$154,COLUMN(),FALSE) = "","",VLOOKUP($A41,overview!$B$3:$AJ$154,COLUMN(K41),FALSE))</f>
        <v/>
      </c>
      <c r="L41" s="3" t="str">
        <f>IF(VLOOKUP($A41,overview!$B$3:$AJ$154,COLUMN(),FALSE) = "","",VLOOKUP($A41,overview!$B$3:$AJ$154,COLUMN(L41),FALSE))</f>
        <v/>
      </c>
      <c r="M41" s="3" t="str">
        <f>IF(VLOOKUP($A41,overview!$B$3:$AJ$154,COLUMN(),FALSE) = "","",VLOOKUP($A41,overview!$B$3:$AJ$154,COLUMN(M41),FALSE))</f>
        <v/>
      </c>
      <c r="N41" s="3" t="str">
        <f>IF(VLOOKUP($A41,overview!$B$3:$AJ$154,COLUMN(),FALSE) = "","",VLOOKUP($A41,overview!$B$3:$AJ$154,COLUMN(N41),FALSE))</f>
        <v/>
      </c>
      <c r="O41" s="3" t="str">
        <f>IF(VLOOKUP($A41,overview!$B$3:$AJ$154,COLUMN(),FALSE) = "","",VLOOKUP($A41,overview!$B$3:$AJ$154,COLUMN(O41),FALSE))</f>
        <v/>
      </c>
      <c r="P41" s="3" t="str">
        <f>IF(VLOOKUP($A41,overview!$B$3:$AJ$154,COLUMN(),FALSE) = "","",VLOOKUP($A41,overview!$B$3:$AJ$154,COLUMN(P41),FALSE))</f>
        <v/>
      </c>
      <c r="Q41" s="3" t="str">
        <f>IF(VLOOKUP($A41,overview!$B$3:$AJ$154,COLUMN(),FALSE) = "","",VLOOKUP($A41,overview!$B$3:$AJ$154,COLUMN(Q41),FALSE))</f>
        <v/>
      </c>
      <c r="R41" s="3" t="str">
        <f>IF(VLOOKUP($A41,overview!$B$3:$AJ$154,COLUMN(),FALSE) = "","",VLOOKUP($A41,overview!$B$3:$AJ$154,COLUMN(R41),FALSE))</f>
        <v/>
      </c>
      <c r="S41" s="3" t="str">
        <f>IF(VLOOKUP($A41,overview!$B$3:$AJ$154,COLUMN(),FALSE) = "","",VLOOKUP($A41,overview!$B$3:$AJ$154,COLUMN(S41),FALSE))</f>
        <v/>
      </c>
      <c r="T41" s="3" t="str">
        <f>IF(VLOOKUP($A41,overview!$B$3:$AJ$154,COLUMN(),FALSE) = "","",VLOOKUP($A41,overview!$B$3:$AJ$154,COLUMN(T41),FALSE))</f>
        <v/>
      </c>
      <c r="U41" s="3" t="str">
        <f>IF(VLOOKUP($A41,overview!$B$3:$AJ$154,COLUMN(),FALSE) = "","",VLOOKUP($A41,overview!$B$3:$AJ$154,COLUMN(U41),FALSE))</f>
        <v/>
      </c>
      <c r="V41" s="3" t="str">
        <f>IF(VLOOKUP($A41,overview!$B$3:$AJ$154,COLUMN(),FALSE) = "","",VLOOKUP($A41,overview!$B$3:$AJ$154,COLUMN(V41),FALSE))</f>
        <v/>
      </c>
      <c r="W41" s="3" t="str">
        <f>IF(VLOOKUP($A41,overview!$B$3:$AJ$154,COLUMN(),FALSE) = "","",VLOOKUP($A41,overview!$B$3:$AJ$154,COLUMN(W41),FALSE))</f>
        <v/>
      </c>
      <c r="X41" s="3" t="str">
        <f>IF(VLOOKUP($A41,overview!$B$3:$AJ$154,COLUMN(),FALSE) = "","",VLOOKUP($A41,overview!$B$3:$AJ$154,COLUMN(X41),FALSE))</f>
        <v/>
      </c>
      <c r="Y41" s="3" t="str">
        <f>IF(VLOOKUP($A41,overview!$B$3:$AJ$154,COLUMN(),FALSE) = "","",VLOOKUP($A41,overview!$B$3:$AJ$154,COLUMN(Y41),FALSE))</f>
        <v/>
      </c>
      <c r="Z41" s="3" t="str">
        <f>IF(VLOOKUP($A41,overview!$B$3:$AJ$154,COLUMN(),FALSE) = "","",VLOOKUP($A41,overview!$B$3:$AJ$154,COLUMN(Z41),FALSE))</f>
        <v/>
      </c>
      <c r="AA41" s="3" t="str">
        <f>IF(VLOOKUP($A41,overview!$B$3:$AJ$154,COLUMN(),FALSE) = "","",VLOOKUP($A41,overview!$B$3:$AJ$154,COLUMN(AA41),FALSE))</f>
        <v/>
      </c>
      <c r="AB41" s="3" t="str">
        <f>IF(VLOOKUP($A41,overview!$B$3:$AJ$154,COLUMN(),FALSE) = "","",VLOOKUP($A41,overview!$B$3:$AJ$154,COLUMN(AB41),FALSE))</f>
        <v/>
      </c>
      <c r="AC41" s="3" t="str">
        <f>IF(VLOOKUP($A41,overview!$B$3:$AJ$154,COLUMN(),FALSE) = "","",VLOOKUP($A41,overview!$B$3:$AJ$154,COLUMN(AC41),FALSE))</f>
        <v/>
      </c>
      <c r="AD41" s="3" t="str">
        <f>IF(VLOOKUP($A41,overview!$B$3:$AJ$154,COLUMN(),FALSE) = "","",VLOOKUP($A41,overview!$B$3:$AJ$154,COLUMN(AD41),FALSE))</f>
        <v/>
      </c>
      <c r="AE41" s="3" t="str">
        <f>IF(VLOOKUP($A41,overview!$B$3:$AJ$154,COLUMN(),FALSE) = "","",VLOOKUP($A41,overview!$B$3:$AJ$154,COLUMN(AE41),FALSE))</f>
        <v/>
      </c>
      <c r="AF41" s="3" t="str">
        <f>IF(VLOOKUP($A41,overview!$B$3:$AJ$154,COLUMN(),FALSE) = "","",VLOOKUP($A41,overview!$B$3:$AJ$154,COLUMN(AF41),FALSE))</f>
        <v/>
      </c>
      <c r="AG41" s="3" t="str">
        <f>IF(VLOOKUP($A41,overview!$B$3:$AJ$154,COLUMN(),FALSE) = "","",VLOOKUP($A41,overview!$B$3:$AJ$154,COLUMN(AG41),FALSE))</f>
        <v/>
      </c>
      <c r="AH41" s="3" t="str">
        <f>IF(VLOOKUP($A41,overview!$B$3:$AJ$154,COLUMN(),FALSE) = "","",VLOOKUP($A41,overview!$B$3:$AJ$154,COLUMN(AH41),FALSE))</f>
        <v/>
      </c>
      <c r="AI41" s="3" t="str">
        <f>IF(VLOOKUP($A41,overview!$B$3:$AJ$154,COLUMN(),FALSE) = "","",VLOOKUP($A41,overview!$B$3:$AJ$154,COLUMN(AI41),FALSE))</f>
        <v>kgCO2/hr</v>
      </c>
    </row>
    <row r="42" spans="1:35" ht="15.75" customHeight="1" x14ac:dyDescent="0.2">
      <c r="A42" s="8" t="s">
        <v>150</v>
      </c>
      <c r="B42" s="3">
        <f>IF(VLOOKUP($A42,overview!$B$3:$AJ$154,COLUMN(),FALSE) = "","",VLOOKUP($A42,overview!$B$3:$AJ$154,COLUMN(B42),FALSE))</f>
        <v>730</v>
      </c>
      <c r="C42" s="3">
        <f>IF(VLOOKUP($A42,overview!$B$3:$AJ$154,COLUMN(),FALSE) = "","",VLOOKUP($A42,overview!$B$3:$AJ$154,COLUMN(C42),FALSE))</f>
        <v>584</v>
      </c>
      <c r="D42" s="3">
        <f>IF(VLOOKUP($A42,overview!$B$3:$AJ$154,COLUMN(),FALSE) = "","",VLOOKUP($A42,overview!$B$3:$AJ$154,COLUMN(D42),FALSE))</f>
        <v>876</v>
      </c>
      <c r="E42" s="3">
        <f>IF(VLOOKUP($A42,overview!$B$3:$AJ$154,COLUMN(),FALSE) = "","",VLOOKUP($A42,overview!$B$3:$AJ$154,COLUMN(E42),FALSE))</f>
        <v>626.12362693232558</v>
      </c>
      <c r="F42" s="3">
        <f>IF(VLOOKUP($A42,overview!$B$3:$AJ$154,COLUMN(),FALSE) = "","",VLOOKUP($A42,overview!$B$3:$AJ$154,COLUMN(F42),FALSE))</f>
        <v>570.44369284945992</v>
      </c>
      <c r="G42" s="3">
        <f>IF(VLOOKUP($A42,overview!$B$3:$AJ$154,COLUMN(),FALSE) = "","",VLOOKUP($A42,overview!$B$3:$AJ$154,COLUMN(G42),FALSE))</f>
        <v>531.34406566364214</v>
      </c>
      <c r="H42" s="3">
        <f>IF(VLOOKUP($A42,overview!$B$3:$AJ$154,COLUMN(),FALSE) = "","",VLOOKUP($A42,overview!$B$3:$AJ$154,COLUMN(H42),FALSE))</f>
        <v>500.51480117005048</v>
      </c>
      <c r="I42" s="3">
        <f>IF(VLOOKUP($A42,overview!$B$3:$AJ$154,COLUMN(),FALSE) = "","",VLOOKUP($A42,overview!$B$3:$AJ$154,COLUMN(I42),FALSE))</f>
        <v>474.64804605141558</v>
      </c>
      <c r="J42" s="3">
        <f>IF(VLOOKUP($A42,overview!$B$3:$AJ$154,COLUMN(),FALSE) = "","",VLOOKUP($A42,overview!$B$3:$AJ$154,COLUMN(J42),FALSE))</f>
        <v>452.11815723621748</v>
      </c>
      <c r="K42" s="3">
        <f>IF(VLOOKUP($A42,overview!$B$3:$AJ$154,COLUMN(),FALSE) = "","",VLOOKUP($A42,overview!$B$3:$AJ$154,COLUMN(K42),FALSE))</f>
        <v>432.01351402056378</v>
      </c>
      <c r="L42" s="3">
        <f>IF(VLOOKUP($A42,overview!$B$3:$AJ$154,COLUMN(),FALSE) = "","",VLOOKUP($A42,overview!$B$3:$AJ$154,COLUMN(L42),FALSE))</f>
        <v>413.77365606546459</v>
      </c>
      <c r="M42" s="3">
        <f>IF(VLOOKUP($A42,overview!$B$3:$AJ$154,COLUMN(),FALSE) = "","",VLOOKUP($A42,overview!$B$3:$AJ$154,COLUMN(M42),FALSE))</f>
        <v>397.02955890623281</v>
      </c>
      <c r="N42" s="3">
        <f>IF(VLOOKUP($A42,overview!$B$3:$AJ$154,COLUMN(),FALSE) = "","",VLOOKUP($A42,overview!$B$3:$AJ$154,COLUMN(N42),FALSE))</f>
        <v>381.52487592776589</v>
      </c>
      <c r="O42" s="3">
        <f>IF(VLOOKUP($A42,overview!$B$3:$AJ$154,COLUMN(),FALSE) = "","",VLOOKUP($A42,overview!$B$3:$AJ$154,COLUMN(O42),FALSE))</f>
        <v>367.07365862815311</v>
      </c>
      <c r="P42" s="3">
        <f>IF(VLOOKUP($A42,overview!$B$3:$AJ$154,COLUMN(),FALSE) = "","",VLOOKUP($A42,overview!$B$3:$AJ$154,COLUMN(P42),FALSE))</f>
        <v>353.5361031918319</v>
      </c>
      <c r="Q42" s="3">
        <f>IF(VLOOKUP($A42,overview!$B$3:$AJ$154,COLUMN(),FALSE) = "","",VLOOKUP($A42,overview!$B$3:$AJ$154,COLUMN(Q42),FALSE))</f>
        <v>340.80387523607158</v>
      </c>
      <c r="R42" s="3">
        <f>IF(VLOOKUP($A42,overview!$B$3:$AJ$154,COLUMN(),FALSE) = "","",VLOOKUP($A42,overview!$B$3:$AJ$154,COLUMN(R42),FALSE))</f>
        <v>328.7908310691929</v>
      </c>
      <c r="S42" s="3">
        <f>IF(VLOOKUP($A42,overview!$B$3:$AJ$154,COLUMN(),FALSE) = "","",VLOOKUP($A42,overview!$B$3:$AJ$154,COLUMN(S42),FALSE))</f>
        <v>317.42693033814089</v>
      </c>
      <c r="T42" s="3">
        <f>IF(VLOOKUP($A42,overview!$B$3:$AJ$154,COLUMN(),FALSE) = "","",VLOOKUP($A42,overview!$B$3:$AJ$154,COLUMN(T42),FALSE))</f>
        <v>306.6541145173274</v>
      </c>
      <c r="U42" s="3">
        <f>IF(VLOOKUP($A42,overview!$B$3:$AJ$154,COLUMN(),FALSE) = "","",VLOOKUP($A42,overview!$B$3:$AJ$154,COLUMN(U42),FALSE))</f>
        <v>296.42343922240849</v>
      </c>
      <c r="V42" s="3">
        <f>IF(VLOOKUP($A42,overview!$B$3:$AJ$154,COLUMN(),FALSE) = "","",VLOOKUP($A42,overview!$B$3:$AJ$154,COLUMN(V42),FALSE))</f>
        <v>286.69303066741833</v>
      </c>
      <c r="W42" s="3">
        <f>IF(VLOOKUP($A42,overview!$B$3:$AJ$154,COLUMN(),FALSE) = "","",VLOOKUP($A42,overview!$B$3:$AJ$154,COLUMN(W42),FALSE))</f>
        <v>277.42659828489298</v>
      </c>
      <c r="X42" s="3">
        <f>IF(VLOOKUP($A42,overview!$B$3:$AJ$154,COLUMN(),FALSE) = "","",VLOOKUP($A42,overview!$B$3:$AJ$154,COLUMN(X42),FALSE))</f>
        <v>268.59233148824399</v>
      </c>
      <c r="Y42" s="3">
        <f>IF(VLOOKUP($A42,overview!$B$3:$AJ$154,COLUMN(),FALSE) = "","",VLOOKUP($A42,overview!$B$3:$AJ$154,COLUMN(Y42),FALSE))</f>
        <v>260.16206730488449</v>
      </c>
      <c r="Z42" s="3">
        <f>IF(VLOOKUP($A42,overview!$B$3:$AJ$154,COLUMN(),FALSE) = "","",VLOOKUP($A42,overview!$B$3:$AJ$154,COLUMN(Z42),FALSE))</f>
        <v>252.1106525828769</v>
      </c>
      <c r="AA42" s="3">
        <f>IF(VLOOKUP($A42,overview!$B$3:$AJ$154,COLUMN(),FALSE) = "","",VLOOKUP($A42,overview!$B$3:$AJ$154,COLUMN(AA42),FALSE))</f>
        <v>244.41544832358889</v>
      </c>
      <c r="AB42" s="3">
        <f>IF(VLOOKUP($A42,overview!$B$3:$AJ$154,COLUMN(),FALSE) = "","",VLOOKUP($A42,overview!$B$3:$AJ$154,COLUMN(AB42),FALSE))</f>
        <v>237.05593942032601</v>
      </c>
      <c r="AC42" s="3">
        <f>IF(VLOOKUP($A42,overview!$B$3:$AJ$154,COLUMN(),FALSE) = "","",VLOOKUP($A42,overview!$B$3:$AJ$154,COLUMN(AC42),FALSE))</f>
        <v>230.0134236631591</v>
      </c>
      <c r="AD42" s="3">
        <f>IF(VLOOKUP($A42,overview!$B$3:$AJ$154,COLUMN(),FALSE) = "","",VLOOKUP($A42,overview!$B$3:$AJ$154,COLUMN(AD42),FALSE))</f>
        <v>223.27076111774821</v>
      </c>
      <c r="AE42" s="3">
        <f>IF(VLOOKUP($A42,overview!$B$3:$AJ$154,COLUMN(),FALSE) = "","",VLOOKUP($A42,overview!$B$3:$AJ$154,COLUMN(AE42),FALSE))</f>
        <v>216.8121700332587</v>
      </c>
      <c r="AF42" s="3">
        <f>IF(VLOOKUP($A42,overview!$B$3:$AJ$154,COLUMN(),FALSE) = "","",VLOOKUP($A42,overview!$B$3:$AJ$154,COLUMN(AF42),FALSE))</f>
        <v>210.62305900299839</v>
      </c>
      <c r="AG42" s="3">
        <f>IF(VLOOKUP($A42,overview!$B$3:$AJ$154,COLUMN(),FALSE) = "","",VLOOKUP($A42,overview!$B$3:$AJ$154,COLUMN(AG42),FALSE))</f>
        <v>204.6898876597235</v>
      </c>
      <c r="AH42" s="3">
        <f>IF(VLOOKUP($A42,overview!$B$3:$AJ$154,COLUMN(),FALSE) = "","",VLOOKUP($A42,overview!$B$3:$AJ$154,COLUMN(AH42),FALSE))</f>
        <v>199.0000500453433</v>
      </c>
      <c r="AI42" s="3" t="str">
        <f>IF(VLOOKUP($A42,overview!$B$3:$AJ$154,COLUMN(),FALSE) = "","",VLOOKUP($A42,overview!$B$3:$AJ$154,COLUMN(AI42),FALSE))</f>
        <v>[EUR/ton*yr]</v>
      </c>
    </row>
    <row r="43" spans="1:35" ht="15.75" customHeight="1" x14ac:dyDescent="0.2">
      <c r="A43" s="8" t="s">
        <v>153</v>
      </c>
      <c r="B43" s="3">
        <f>IF(VLOOKUP($A43,overview!$B$3:$AJ$154,COLUMN(),FALSE) = "","",VLOOKUP($A43,overview!$B$3:$AJ$154,COLUMN(B43),FALSE))</f>
        <v>0.04</v>
      </c>
      <c r="C43" s="3">
        <f>IF(VLOOKUP($A43,overview!$B$3:$AJ$154,COLUMN(),FALSE) = "","",VLOOKUP($A43,overview!$B$3:$AJ$154,COLUMN(C43),FALSE))</f>
        <v>3.5000000000000003E-2</v>
      </c>
      <c r="D43" s="3">
        <f>IF(VLOOKUP($A43,overview!$B$3:$AJ$154,COLUMN(),FALSE) = "","",VLOOKUP($A43,overview!$B$3:$AJ$154,COLUMN(D43),FALSE))</f>
        <v>4.4999999999999998E-2</v>
      </c>
      <c r="E43" s="3" t="str">
        <f>IF(VLOOKUP($A43,overview!$B$3:$AJ$154,COLUMN(),FALSE) = "","",VLOOKUP($A43,overview!$B$3:$AJ$154,COLUMN(E43),FALSE))</f>
        <v/>
      </c>
      <c r="F43" s="3" t="str">
        <f>IF(VLOOKUP($A43,overview!$B$3:$AJ$154,COLUMN(),FALSE) = "","",VLOOKUP($A43,overview!$B$3:$AJ$154,COLUMN(F43),FALSE))</f>
        <v/>
      </c>
      <c r="G43" s="3" t="str">
        <f>IF(VLOOKUP($A43,overview!$B$3:$AJ$154,COLUMN(),FALSE) = "","",VLOOKUP($A43,overview!$B$3:$AJ$154,COLUMN(G43),FALSE))</f>
        <v/>
      </c>
      <c r="H43" s="3" t="str">
        <f>IF(VLOOKUP($A43,overview!$B$3:$AJ$154,COLUMN(),FALSE) = "","",VLOOKUP($A43,overview!$B$3:$AJ$154,COLUMN(H43),FALSE))</f>
        <v/>
      </c>
      <c r="I43" s="3" t="str">
        <f>IF(VLOOKUP($A43,overview!$B$3:$AJ$154,COLUMN(),FALSE) = "","",VLOOKUP($A43,overview!$B$3:$AJ$154,COLUMN(I43),FALSE))</f>
        <v/>
      </c>
      <c r="J43" s="3" t="str">
        <f>IF(VLOOKUP($A43,overview!$B$3:$AJ$154,COLUMN(),FALSE) = "","",VLOOKUP($A43,overview!$B$3:$AJ$154,COLUMN(J43),FALSE))</f>
        <v/>
      </c>
      <c r="K43" s="3" t="str">
        <f>IF(VLOOKUP($A43,overview!$B$3:$AJ$154,COLUMN(),FALSE) = "","",VLOOKUP($A43,overview!$B$3:$AJ$154,COLUMN(K43),FALSE))</f>
        <v/>
      </c>
      <c r="L43" s="3" t="str">
        <f>IF(VLOOKUP($A43,overview!$B$3:$AJ$154,COLUMN(),FALSE) = "","",VLOOKUP($A43,overview!$B$3:$AJ$154,COLUMN(L43),FALSE))</f>
        <v/>
      </c>
      <c r="M43" s="3" t="str">
        <f>IF(VLOOKUP($A43,overview!$B$3:$AJ$154,COLUMN(),FALSE) = "","",VLOOKUP($A43,overview!$B$3:$AJ$154,COLUMN(M43),FALSE))</f>
        <v/>
      </c>
      <c r="N43" s="3" t="str">
        <f>IF(VLOOKUP($A43,overview!$B$3:$AJ$154,COLUMN(),FALSE) = "","",VLOOKUP($A43,overview!$B$3:$AJ$154,COLUMN(N43),FALSE))</f>
        <v/>
      </c>
      <c r="O43" s="3" t="str">
        <f>IF(VLOOKUP($A43,overview!$B$3:$AJ$154,COLUMN(),FALSE) = "","",VLOOKUP($A43,overview!$B$3:$AJ$154,COLUMN(O43),FALSE))</f>
        <v/>
      </c>
      <c r="P43" s="3" t="str">
        <f>IF(VLOOKUP($A43,overview!$B$3:$AJ$154,COLUMN(),FALSE) = "","",VLOOKUP($A43,overview!$B$3:$AJ$154,COLUMN(P43),FALSE))</f>
        <v/>
      </c>
      <c r="Q43" s="3" t="str">
        <f>IF(VLOOKUP($A43,overview!$B$3:$AJ$154,COLUMN(),FALSE) = "","",VLOOKUP($A43,overview!$B$3:$AJ$154,COLUMN(Q43),FALSE))</f>
        <v/>
      </c>
      <c r="R43" s="3" t="str">
        <f>IF(VLOOKUP($A43,overview!$B$3:$AJ$154,COLUMN(),FALSE) = "","",VLOOKUP($A43,overview!$B$3:$AJ$154,COLUMN(R43),FALSE))</f>
        <v/>
      </c>
      <c r="S43" s="3" t="str">
        <f>IF(VLOOKUP($A43,overview!$B$3:$AJ$154,COLUMN(),FALSE) = "","",VLOOKUP($A43,overview!$B$3:$AJ$154,COLUMN(S43),FALSE))</f>
        <v/>
      </c>
      <c r="T43" s="3" t="str">
        <f>IF(VLOOKUP($A43,overview!$B$3:$AJ$154,COLUMN(),FALSE) = "","",VLOOKUP($A43,overview!$B$3:$AJ$154,COLUMN(T43),FALSE))</f>
        <v/>
      </c>
      <c r="U43" s="3" t="str">
        <f>IF(VLOOKUP($A43,overview!$B$3:$AJ$154,COLUMN(),FALSE) = "","",VLOOKUP($A43,overview!$B$3:$AJ$154,COLUMN(U43),FALSE))</f>
        <v/>
      </c>
      <c r="V43" s="3" t="str">
        <f>IF(VLOOKUP($A43,overview!$B$3:$AJ$154,COLUMN(),FALSE) = "","",VLOOKUP($A43,overview!$B$3:$AJ$154,COLUMN(V43),FALSE))</f>
        <v/>
      </c>
      <c r="W43" s="3" t="str">
        <f>IF(VLOOKUP($A43,overview!$B$3:$AJ$154,COLUMN(),FALSE) = "","",VLOOKUP($A43,overview!$B$3:$AJ$154,COLUMN(W43),FALSE))</f>
        <v/>
      </c>
      <c r="X43" s="3" t="str">
        <f>IF(VLOOKUP($A43,overview!$B$3:$AJ$154,COLUMN(),FALSE) = "","",VLOOKUP($A43,overview!$B$3:$AJ$154,COLUMN(X43),FALSE))</f>
        <v/>
      </c>
      <c r="Y43" s="3" t="str">
        <f>IF(VLOOKUP($A43,overview!$B$3:$AJ$154,COLUMN(),FALSE) = "","",VLOOKUP($A43,overview!$B$3:$AJ$154,COLUMN(Y43),FALSE))</f>
        <v/>
      </c>
      <c r="Z43" s="3" t="str">
        <f>IF(VLOOKUP($A43,overview!$B$3:$AJ$154,COLUMN(),FALSE) = "","",VLOOKUP($A43,overview!$B$3:$AJ$154,COLUMN(Z43),FALSE))</f>
        <v/>
      </c>
      <c r="AA43" s="3" t="str">
        <f>IF(VLOOKUP($A43,overview!$B$3:$AJ$154,COLUMN(),FALSE) = "","",VLOOKUP($A43,overview!$B$3:$AJ$154,COLUMN(AA43),FALSE))</f>
        <v/>
      </c>
      <c r="AB43" s="3" t="str">
        <f>IF(VLOOKUP($A43,overview!$B$3:$AJ$154,COLUMN(),FALSE) = "","",VLOOKUP($A43,overview!$B$3:$AJ$154,COLUMN(AB43),FALSE))</f>
        <v/>
      </c>
      <c r="AC43" s="3" t="str">
        <f>IF(VLOOKUP($A43,overview!$B$3:$AJ$154,COLUMN(),FALSE) = "","",VLOOKUP($A43,overview!$B$3:$AJ$154,COLUMN(AC43),FALSE))</f>
        <v/>
      </c>
      <c r="AD43" s="3" t="str">
        <f>IF(VLOOKUP($A43,overview!$B$3:$AJ$154,COLUMN(),FALSE) = "","",VLOOKUP($A43,overview!$B$3:$AJ$154,COLUMN(AD43),FALSE))</f>
        <v/>
      </c>
      <c r="AE43" s="3" t="str">
        <f>IF(VLOOKUP($A43,overview!$B$3:$AJ$154,COLUMN(),FALSE) = "","",VLOOKUP($A43,overview!$B$3:$AJ$154,COLUMN(AE43),FALSE))</f>
        <v/>
      </c>
      <c r="AF43" s="3" t="str">
        <f>IF(VLOOKUP($A43,overview!$B$3:$AJ$154,COLUMN(),FALSE) = "","",VLOOKUP($A43,overview!$B$3:$AJ$154,COLUMN(AF43),FALSE))</f>
        <v/>
      </c>
      <c r="AG43" s="3" t="str">
        <f>IF(VLOOKUP($A43,overview!$B$3:$AJ$154,COLUMN(),FALSE) = "","",VLOOKUP($A43,overview!$B$3:$AJ$154,COLUMN(AG43),FALSE))</f>
        <v/>
      </c>
      <c r="AH43" s="3" t="str">
        <f>IF(VLOOKUP($A43,overview!$B$3:$AJ$154,COLUMN(),FALSE) = "","",VLOOKUP($A43,overview!$B$3:$AJ$154,COLUMN(AH43),FALSE))</f>
        <v/>
      </c>
      <c r="AI43" s="3" t="str">
        <f>IF(VLOOKUP($A43,overview!$B$3:$AJ$154,COLUMN(),FALSE) = "","",VLOOKUP($A43,overview!$B$3:$AJ$154,COLUMN(AI43),FALSE))</f>
        <v>Fraction of CAPEX p.a.</v>
      </c>
    </row>
    <row r="44" spans="1:35" ht="15.75" customHeight="1" x14ac:dyDescent="0.2">
      <c r="A44" s="8" t="s">
        <v>155</v>
      </c>
      <c r="B44" s="3">
        <f>IF(VLOOKUP($A44,overview!$B$3:$AJ$154,COLUMN(),FALSE) = "","",VLOOKUP($A44,overview!$B$3:$AJ$154,COLUMN(B44),FALSE))</f>
        <v>0.4</v>
      </c>
      <c r="C44" s="3">
        <f>IF(VLOOKUP($A44,overview!$B$3:$AJ$154,COLUMN(),FALSE) = "","",VLOOKUP($A44,overview!$B$3:$AJ$154,COLUMN(C44),FALSE))</f>
        <v>0.3</v>
      </c>
      <c r="D44" s="3">
        <f>IF(VLOOKUP($A44,overview!$B$3:$AJ$154,COLUMN(),FALSE) = "","",VLOOKUP($A44,overview!$B$3:$AJ$154,COLUMN(D44),FALSE))</f>
        <v>0.5</v>
      </c>
      <c r="E44" s="3" t="str">
        <f>IF(VLOOKUP($A44,overview!$B$3:$AJ$154,COLUMN(),FALSE) = "","",VLOOKUP($A44,overview!$B$3:$AJ$154,COLUMN(E44),FALSE))</f>
        <v/>
      </c>
      <c r="F44" s="3" t="str">
        <f>IF(VLOOKUP($A44,overview!$B$3:$AJ$154,COLUMN(),FALSE) = "","",VLOOKUP($A44,overview!$B$3:$AJ$154,COLUMN(F44),FALSE))</f>
        <v/>
      </c>
      <c r="G44" s="3" t="str">
        <f>IF(VLOOKUP($A44,overview!$B$3:$AJ$154,COLUMN(),FALSE) = "","",VLOOKUP($A44,overview!$B$3:$AJ$154,COLUMN(G44),FALSE))</f>
        <v/>
      </c>
      <c r="H44" s="3" t="str">
        <f>IF(VLOOKUP($A44,overview!$B$3:$AJ$154,COLUMN(),FALSE) = "","",VLOOKUP($A44,overview!$B$3:$AJ$154,COLUMN(H44),FALSE))</f>
        <v/>
      </c>
      <c r="I44" s="3" t="str">
        <f>IF(VLOOKUP($A44,overview!$B$3:$AJ$154,COLUMN(),FALSE) = "","",VLOOKUP($A44,overview!$B$3:$AJ$154,COLUMN(I44),FALSE))</f>
        <v/>
      </c>
      <c r="J44" s="3" t="str">
        <f>IF(VLOOKUP($A44,overview!$B$3:$AJ$154,COLUMN(),FALSE) = "","",VLOOKUP($A44,overview!$B$3:$AJ$154,COLUMN(J44),FALSE))</f>
        <v/>
      </c>
      <c r="K44" s="3" t="str">
        <f>IF(VLOOKUP($A44,overview!$B$3:$AJ$154,COLUMN(),FALSE) = "","",VLOOKUP($A44,overview!$B$3:$AJ$154,COLUMN(K44),FALSE))</f>
        <v/>
      </c>
      <c r="L44" s="3" t="str">
        <f>IF(VLOOKUP($A44,overview!$B$3:$AJ$154,COLUMN(),FALSE) = "","",VLOOKUP($A44,overview!$B$3:$AJ$154,COLUMN(L44),FALSE))</f>
        <v/>
      </c>
      <c r="M44" s="3" t="str">
        <f>IF(VLOOKUP($A44,overview!$B$3:$AJ$154,COLUMN(),FALSE) = "","",VLOOKUP($A44,overview!$B$3:$AJ$154,COLUMN(M44),FALSE))</f>
        <v/>
      </c>
      <c r="N44" s="3" t="str">
        <f>IF(VLOOKUP($A44,overview!$B$3:$AJ$154,COLUMN(),FALSE) = "","",VLOOKUP($A44,overview!$B$3:$AJ$154,COLUMN(N44),FALSE))</f>
        <v/>
      </c>
      <c r="O44" s="3" t="str">
        <f>IF(VLOOKUP($A44,overview!$B$3:$AJ$154,COLUMN(),FALSE) = "","",VLOOKUP($A44,overview!$B$3:$AJ$154,COLUMN(O44),FALSE))</f>
        <v/>
      </c>
      <c r="P44" s="3" t="str">
        <f>IF(VLOOKUP($A44,overview!$B$3:$AJ$154,COLUMN(),FALSE) = "","",VLOOKUP($A44,overview!$B$3:$AJ$154,COLUMN(P44),FALSE))</f>
        <v/>
      </c>
      <c r="Q44" s="3" t="str">
        <f>IF(VLOOKUP($A44,overview!$B$3:$AJ$154,COLUMN(),FALSE) = "","",VLOOKUP($A44,overview!$B$3:$AJ$154,COLUMN(Q44),FALSE))</f>
        <v/>
      </c>
      <c r="R44" s="3" t="str">
        <f>IF(VLOOKUP($A44,overview!$B$3:$AJ$154,COLUMN(),FALSE) = "","",VLOOKUP($A44,overview!$B$3:$AJ$154,COLUMN(R44),FALSE))</f>
        <v/>
      </c>
      <c r="S44" s="3" t="str">
        <f>IF(VLOOKUP($A44,overview!$B$3:$AJ$154,COLUMN(),FALSE) = "","",VLOOKUP($A44,overview!$B$3:$AJ$154,COLUMN(S44),FALSE))</f>
        <v/>
      </c>
      <c r="T44" s="3" t="str">
        <f>IF(VLOOKUP($A44,overview!$B$3:$AJ$154,COLUMN(),FALSE) = "","",VLOOKUP($A44,overview!$B$3:$AJ$154,COLUMN(T44),FALSE))</f>
        <v/>
      </c>
      <c r="U44" s="3" t="str">
        <f>IF(VLOOKUP($A44,overview!$B$3:$AJ$154,COLUMN(),FALSE) = "","",VLOOKUP($A44,overview!$B$3:$AJ$154,COLUMN(U44),FALSE))</f>
        <v/>
      </c>
      <c r="V44" s="3" t="str">
        <f>IF(VLOOKUP($A44,overview!$B$3:$AJ$154,COLUMN(),FALSE) = "","",VLOOKUP($A44,overview!$B$3:$AJ$154,COLUMN(V44),FALSE))</f>
        <v/>
      </c>
      <c r="W44" s="3" t="str">
        <f>IF(VLOOKUP($A44,overview!$B$3:$AJ$154,COLUMN(),FALSE) = "","",VLOOKUP($A44,overview!$B$3:$AJ$154,COLUMN(W44),FALSE))</f>
        <v/>
      </c>
      <c r="X44" s="3" t="str">
        <f>IF(VLOOKUP($A44,overview!$B$3:$AJ$154,COLUMN(),FALSE) = "","",VLOOKUP($A44,overview!$B$3:$AJ$154,COLUMN(X44),FALSE))</f>
        <v/>
      </c>
      <c r="Y44" s="3" t="str">
        <f>IF(VLOOKUP($A44,overview!$B$3:$AJ$154,COLUMN(),FALSE) = "","",VLOOKUP($A44,overview!$B$3:$AJ$154,COLUMN(Y44),FALSE))</f>
        <v/>
      </c>
      <c r="Z44" s="3" t="str">
        <f>IF(VLOOKUP($A44,overview!$B$3:$AJ$154,COLUMN(),FALSE) = "","",VLOOKUP($A44,overview!$B$3:$AJ$154,COLUMN(Z44),FALSE))</f>
        <v/>
      </c>
      <c r="AA44" s="3" t="str">
        <f>IF(VLOOKUP($A44,overview!$B$3:$AJ$154,COLUMN(),FALSE) = "","",VLOOKUP($A44,overview!$B$3:$AJ$154,COLUMN(AA44),FALSE))</f>
        <v/>
      </c>
      <c r="AB44" s="3" t="str">
        <f>IF(VLOOKUP($A44,overview!$B$3:$AJ$154,COLUMN(),FALSE) = "","",VLOOKUP($A44,overview!$B$3:$AJ$154,COLUMN(AB44),FALSE))</f>
        <v/>
      </c>
      <c r="AC44" s="3" t="str">
        <f>IF(VLOOKUP($A44,overview!$B$3:$AJ$154,COLUMN(),FALSE) = "","",VLOOKUP($A44,overview!$B$3:$AJ$154,COLUMN(AC44),FALSE))</f>
        <v/>
      </c>
      <c r="AD44" s="3" t="str">
        <f>IF(VLOOKUP($A44,overview!$B$3:$AJ$154,COLUMN(),FALSE) = "","",VLOOKUP($A44,overview!$B$3:$AJ$154,COLUMN(AD44),FALSE))</f>
        <v/>
      </c>
      <c r="AE44" s="3" t="str">
        <f>IF(VLOOKUP($A44,overview!$B$3:$AJ$154,COLUMN(),FALSE) = "","",VLOOKUP($A44,overview!$B$3:$AJ$154,COLUMN(AE44),FALSE))</f>
        <v/>
      </c>
      <c r="AF44" s="3" t="str">
        <f>IF(VLOOKUP($A44,overview!$B$3:$AJ$154,COLUMN(),FALSE) = "","",VLOOKUP($A44,overview!$B$3:$AJ$154,COLUMN(AF44),FALSE))</f>
        <v/>
      </c>
      <c r="AG44" s="3" t="str">
        <f>IF(VLOOKUP($A44,overview!$B$3:$AJ$154,COLUMN(),FALSE) = "","",VLOOKUP($A44,overview!$B$3:$AJ$154,COLUMN(AG44),FALSE))</f>
        <v/>
      </c>
      <c r="AH44" s="3" t="str">
        <f>IF(VLOOKUP($A44,overview!$B$3:$AJ$154,COLUMN(),FALSE) = "","",VLOOKUP($A44,overview!$B$3:$AJ$154,COLUMN(AH44),FALSE))</f>
        <v/>
      </c>
      <c r="AI44" s="3" t="str">
        <f>IF(VLOOKUP($A44,overview!$B$3:$AJ$154,COLUMN(),FALSE) = "","",VLOOKUP($A44,overview!$B$3:$AJ$154,COLUMN(AI44),FALSE))</f>
        <v>kWhel/kgCO2</v>
      </c>
    </row>
    <row r="45" spans="1:35" ht="15.75" customHeight="1" x14ac:dyDescent="0.2">
      <c r="A45" s="8" t="s">
        <v>159</v>
      </c>
      <c r="B45" s="3">
        <f>IF(VLOOKUP($A45,overview!$B$3:$AJ$154,COLUMN(),FALSE) = "","",VLOOKUP($A45,overview!$B$3:$AJ$154,COLUMN(B45),FALSE))</f>
        <v>1.6</v>
      </c>
      <c r="C45" s="3">
        <f>IF(VLOOKUP($A45,overview!$B$3:$AJ$154,COLUMN(),FALSE) = "","",VLOOKUP($A45,overview!$B$3:$AJ$154,COLUMN(C45),FALSE))</f>
        <v>1.2800000000000002</v>
      </c>
      <c r="D45" s="3">
        <f>IF(VLOOKUP($A45,overview!$B$3:$AJ$154,COLUMN(),FALSE) = "","",VLOOKUP($A45,overview!$B$3:$AJ$154,COLUMN(D45),FALSE))</f>
        <v>1.92</v>
      </c>
      <c r="E45" s="3" t="str">
        <f>IF(VLOOKUP($A45,overview!$B$3:$AJ$154,COLUMN(),FALSE) = "","",VLOOKUP($A45,overview!$B$3:$AJ$154,COLUMN(E45),FALSE))</f>
        <v/>
      </c>
      <c r="F45" s="3" t="str">
        <f>IF(VLOOKUP($A45,overview!$B$3:$AJ$154,COLUMN(),FALSE) = "","",VLOOKUP($A45,overview!$B$3:$AJ$154,COLUMN(F45),FALSE))</f>
        <v/>
      </c>
      <c r="G45" s="3" t="str">
        <f>IF(VLOOKUP($A45,overview!$B$3:$AJ$154,COLUMN(),FALSE) = "","",VLOOKUP($A45,overview!$B$3:$AJ$154,COLUMN(G45),FALSE))</f>
        <v/>
      </c>
      <c r="H45" s="3" t="str">
        <f>IF(VLOOKUP($A45,overview!$B$3:$AJ$154,COLUMN(),FALSE) = "","",VLOOKUP($A45,overview!$B$3:$AJ$154,COLUMN(H45),FALSE))</f>
        <v/>
      </c>
      <c r="I45" s="3" t="str">
        <f>IF(VLOOKUP($A45,overview!$B$3:$AJ$154,COLUMN(),FALSE) = "","",VLOOKUP($A45,overview!$B$3:$AJ$154,COLUMN(I45),FALSE))</f>
        <v/>
      </c>
      <c r="J45" s="3" t="str">
        <f>IF(VLOOKUP($A45,overview!$B$3:$AJ$154,COLUMN(),FALSE) = "","",VLOOKUP($A45,overview!$B$3:$AJ$154,COLUMN(J45),FALSE))</f>
        <v/>
      </c>
      <c r="K45" s="3" t="str">
        <f>IF(VLOOKUP($A45,overview!$B$3:$AJ$154,COLUMN(),FALSE) = "","",VLOOKUP($A45,overview!$B$3:$AJ$154,COLUMN(K45),FALSE))</f>
        <v/>
      </c>
      <c r="L45" s="3" t="str">
        <f>IF(VLOOKUP($A45,overview!$B$3:$AJ$154,COLUMN(),FALSE) = "","",VLOOKUP($A45,overview!$B$3:$AJ$154,COLUMN(L45),FALSE))</f>
        <v/>
      </c>
      <c r="M45" s="3" t="str">
        <f>IF(VLOOKUP($A45,overview!$B$3:$AJ$154,COLUMN(),FALSE) = "","",VLOOKUP($A45,overview!$B$3:$AJ$154,COLUMN(M45),FALSE))</f>
        <v/>
      </c>
      <c r="N45" s="3" t="str">
        <f>IF(VLOOKUP($A45,overview!$B$3:$AJ$154,COLUMN(),FALSE) = "","",VLOOKUP($A45,overview!$B$3:$AJ$154,COLUMN(N45),FALSE))</f>
        <v/>
      </c>
      <c r="O45" s="3" t="str">
        <f>IF(VLOOKUP($A45,overview!$B$3:$AJ$154,COLUMN(),FALSE) = "","",VLOOKUP($A45,overview!$B$3:$AJ$154,COLUMN(O45),FALSE))</f>
        <v/>
      </c>
      <c r="P45" s="3" t="str">
        <f>IF(VLOOKUP($A45,overview!$B$3:$AJ$154,COLUMN(),FALSE) = "","",VLOOKUP($A45,overview!$B$3:$AJ$154,COLUMN(P45),FALSE))</f>
        <v/>
      </c>
      <c r="Q45" s="3" t="str">
        <f>IF(VLOOKUP($A45,overview!$B$3:$AJ$154,COLUMN(),FALSE) = "","",VLOOKUP($A45,overview!$B$3:$AJ$154,COLUMN(Q45),FALSE))</f>
        <v/>
      </c>
      <c r="R45" s="3" t="str">
        <f>IF(VLOOKUP($A45,overview!$B$3:$AJ$154,COLUMN(),FALSE) = "","",VLOOKUP($A45,overview!$B$3:$AJ$154,COLUMN(R45),FALSE))</f>
        <v/>
      </c>
      <c r="S45" s="3" t="str">
        <f>IF(VLOOKUP($A45,overview!$B$3:$AJ$154,COLUMN(),FALSE) = "","",VLOOKUP($A45,overview!$B$3:$AJ$154,COLUMN(S45),FALSE))</f>
        <v/>
      </c>
      <c r="T45" s="3" t="str">
        <f>IF(VLOOKUP($A45,overview!$B$3:$AJ$154,COLUMN(),FALSE) = "","",VLOOKUP($A45,overview!$B$3:$AJ$154,COLUMN(T45),FALSE))</f>
        <v/>
      </c>
      <c r="U45" s="3" t="str">
        <f>IF(VLOOKUP($A45,overview!$B$3:$AJ$154,COLUMN(),FALSE) = "","",VLOOKUP($A45,overview!$B$3:$AJ$154,COLUMN(U45),FALSE))</f>
        <v/>
      </c>
      <c r="V45" s="3" t="str">
        <f>IF(VLOOKUP($A45,overview!$B$3:$AJ$154,COLUMN(),FALSE) = "","",VLOOKUP($A45,overview!$B$3:$AJ$154,COLUMN(V45),FALSE))</f>
        <v/>
      </c>
      <c r="W45" s="3" t="str">
        <f>IF(VLOOKUP($A45,overview!$B$3:$AJ$154,COLUMN(),FALSE) = "","",VLOOKUP($A45,overview!$B$3:$AJ$154,COLUMN(W45),FALSE))</f>
        <v/>
      </c>
      <c r="X45" s="3" t="str">
        <f>IF(VLOOKUP($A45,overview!$B$3:$AJ$154,COLUMN(),FALSE) = "","",VLOOKUP($A45,overview!$B$3:$AJ$154,COLUMN(X45),FALSE))</f>
        <v/>
      </c>
      <c r="Y45" s="3" t="str">
        <f>IF(VLOOKUP($A45,overview!$B$3:$AJ$154,COLUMN(),FALSE) = "","",VLOOKUP($A45,overview!$B$3:$AJ$154,COLUMN(Y45),FALSE))</f>
        <v/>
      </c>
      <c r="Z45" s="3" t="str">
        <f>IF(VLOOKUP($A45,overview!$B$3:$AJ$154,COLUMN(),FALSE) = "","",VLOOKUP($A45,overview!$B$3:$AJ$154,COLUMN(Z45),FALSE))</f>
        <v/>
      </c>
      <c r="AA45" s="3" t="str">
        <f>IF(VLOOKUP($A45,overview!$B$3:$AJ$154,COLUMN(),FALSE) = "","",VLOOKUP($A45,overview!$B$3:$AJ$154,COLUMN(AA45),FALSE))</f>
        <v/>
      </c>
      <c r="AB45" s="3" t="str">
        <f>IF(VLOOKUP($A45,overview!$B$3:$AJ$154,COLUMN(),FALSE) = "","",VLOOKUP($A45,overview!$B$3:$AJ$154,COLUMN(AB45),FALSE))</f>
        <v/>
      </c>
      <c r="AC45" s="3" t="str">
        <f>IF(VLOOKUP($A45,overview!$B$3:$AJ$154,COLUMN(),FALSE) = "","",VLOOKUP($A45,overview!$B$3:$AJ$154,COLUMN(AC45),FALSE))</f>
        <v/>
      </c>
      <c r="AD45" s="3" t="str">
        <f>IF(VLOOKUP($A45,overview!$B$3:$AJ$154,COLUMN(),FALSE) = "","",VLOOKUP($A45,overview!$B$3:$AJ$154,COLUMN(AD45),FALSE))</f>
        <v/>
      </c>
      <c r="AE45" s="3" t="str">
        <f>IF(VLOOKUP($A45,overview!$B$3:$AJ$154,COLUMN(),FALSE) = "","",VLOOKUP($A45,overview!$B$3:$AJ$154,COLUMN(AE45),FALSE))</f>
        <v/>
      </c>
      <c r="AF45" s="3" t="str">
        <f>IF(VLOOKUP($A45,overview!$B$3:$AJ$154,COLUMN(),FALSE) = "","",VLOOKUP($A45,overview!$B$3:$AJ$154,COLUMN(AF45),FALSE))</f>
        <v/>
      </c>
      <c r="AG45" s="3" t="str">
        <f>IF(VLOOKUP($A45,overview!$B$3:$AJ$154,COLUMN(),FALSE) = "","",VLOOKUP($A45,overview!$B$3:$AJ$154,COLUMN(AG45),FALSE))</f>
        <v/>
      </c>
      <c r="AH45" s="3" t="str">
        <f>IF(VLOOKUP($A45,overview!$B$3:$AJ$154,COLUMN(),FALSE) = "","",VLOOKUP($A45,overview!$B$3:$AJ$154,COLUMN(AH45),FALSE))</f>
        <v/>
      </c>
      <c r="AI45" s="3" t="str">
        <f>IF(VLOOKUP($A45,overview!$B$3:$AJ$154,COLUMN(),FALSE) = "","",VLOOKUP($A45,overview!$B$3:$AJ$154,COLUMN(AI45),FALSE))</f>
        <v>kWh/kgCO2</v>
      </c>
    </row>
    <row r="46" spans="1:35" ht="15.75" customHeight="1" x14ac:dyDescent="0.2">
      <c r="A46" s="8" t="s">
        <v>161</v>
      </c>
      <c r="B46" s="3">
        <f>IF(VLOOKUP($A46,overview!$B$3:$AJ$154,COLUMN(),FALSE) = "","",VLOOKUP($A46,overview!$B$3:$AJ$154,COLUMN(B46),FALSE))</f>
        <v>12</v>
      </c>
      <c r="C46" s="3">
        <f>IF(VLOOKUP($A46,overview!$B$3:$AJ$154,COLUMN(),FALSE) = "","",VLOOKUP($A46,overview!$B$3:$AJ$154,COLUMN(C46),FALSE))</f>
        <v>10</v>
      </c>
      <c r="D46" s="3">
        <f>IF(VLOOKUP($A46,overview!$B$3:$AJ$154,COLUMN(),FALSE) = "","",VLOOKUP($A46,overview!$B$3:$AJ$154,COLUMN(D46),FALSE))</f>
        <v>14</v>
      </c>
      <c r="E46" s="3">
        <f>IF(VLOOKUP($A46,overview!$B$3:$AJ$154,COLUMN(),FALSE) = "","",VLOOKUP($A46,overview!$B$3:$AJ$154,COLUMN(E46),FALSE))</f>
        <v>12</v>
      </c>
      <c r="F46" s="3">
        <f>IF(VLOOKUP($A46,overview!$B$3:$AJ$154,COLUMN(),FALSE) = "","",VLOOKUP($A46,overview!$B$3:$AJ$154,COLUMN(F46),FALSE))</f>
        <v>13</v>
      </c>
      <c r="G46" s="3">
        <f>IF(VLOOKUP($A46,overview!$B$3:$AJ$154,COLUMN(),FALSE) = "","",VLOOKUP($A46,overview!$B$3:$AJ$154,COLUMN(G46),FALSE))</f>
        <v>13</v>
      </c>
      <c r="H46" s="3">
        <f>IF(VLOOKUP($A46,overview!$B$3:$AJ$154,COLUMN(),FALSE) = "","",VLOOKUP($A46,overview!$B$3:$AJ$154,COLUMN(H46),FALSE))</f>
        <v>13</v>
      </c>
      <c r="I46" s="3">
        <f>IF(VLOOKUP($A46,overview!$B$3:$AJ$154,COLUMN(),FALSE) = "","",VLOOKUP($A46,overview!$B$3:$AJ$154,COLUMN(I46),FALSE))</f>
        <v>13</v>
      </c>
      <c r="J46" s="3">
        <f>IF(VLOOKUP($A46,overview!$B$3:$AJ$154,COLUMN(),FALSE) = "","",VLOOKUP($A46,overview!$B$3:$AJ$154,COLUMN(J46),FALSE))</f>
        <v>14</v>
      </c>
      <c r="K46" s="3">
        <f>IF(VLOOKUP($A46,overview!$B$3:$AJ$154,COLUMN(),FALSE) = "","",VLOOKUP($A46,overview!$B$3:$AJ$154,COLUMN(K46),FALSE))</f>
        <v>14</v>
      </c>
      <c r="L46" s="3">
        <f>IF(VLOOKUP($A46,overview!$B$3:$AJ$154,COLUMN(),FALSE) = "","",VLOOKUP($A46,overview!$B$3:$AJ$154,COLUMN(L46),FALSE))</f>
        <v>14</v>
      </c>
      <c r="M46" s="3">
        <f>IF(VLOOKUP($A46,overview!$B$3:$AJ$154,COLUMN(),FALSE) = "","",VLOOKUP($A46,overview!$B$3:$AJ$154,COLUMN(M46),FALSE))</f>
        <v>14</v>
      </c>
      <c r="N46" s="3">
        <f>IF(VLOOKUP($A46,overview!$B$3:$AJ$154,COLUMN(),FALSE) = "","",VLOOKUP($A46,overview!$B$3:$AJ$154,COLUMN(N46),FALSE))</f>
        <v>15</v>
      </c>
      <c r="O46" s="3">
        <f>IF(VLOOKUP($A46,overview!$B$3:$AJ$154,COLUMN(),FALSE) = "","",VLOOKUP($A46,overview!$B$3:$AJ$154,COLUMN(O46),FALSE))</f>
        <v>15</v>
      </c>
      <c r="P46" s="3">
        <f>IF(VLOOKUP($A46,overview!$B$3:$AJ$154,COLUMN(),FALSE) = "","",VLOOKUP($A46,overview!$B$3:$AJ$154,COLUMN(P46),FALSE))</f>
        <v>15</v>
      </c>
      <c r="Q46" s="3">
        <f>IF(VLOOKUP($A46,overview!$B$3:$AJ$154,COLUMN(),FALSE) = "","",VLOOKUP($A46,overview!$B$3:$AJ$154,COLUMN(Q46),FALSE))</f>
        <v>15</v>
      </c>
      <c r="R46" s="3">
        <f>IF(VLOOKUP($A46,overview!$B$3:$AJ$154,COLUMN(),FALSE) = "","",VLOOKUP($A46,overview!$B$3:$AJ$154,COLUMN(R46),FALSE))</f>
        <v>16</v>
      </c>
      <c r="S46" s="3">
        <f>IF(VLOOKUP($A46,overview!$B$3:$AJ$154,COLUMN(),FALSE) = "","",VLOOKUP($A46,overview!$B$3:$AJ$154,COLUMN(S46),FALSE))</f>
        <v>16</v>
      </c>
      <c r="T46" s="3">
        <f>IF(VLOOKUP($A46,overview!$B$3:$AJ$154,COLUMN(),FALSE) = "","",VLOOKUP($A46,overview!$B$3:$AJ$154,COLUMN(T46),FALSE))</f>
        <v>16</v>
      </c>
      <c r="U46" s="3">
        <f>IF(VLOOKUP($A46,overview!$B$3:$AJ$154,COLUMN(),FALSE) = "","",VLOOKUP($A46,overview!$B$3:$AJ$154,COLUMN(U46),FALSE))</f>
        <v>17</v>
      </c>
      <c r="V46" s="3">
        <f>IF(VLOOKUP($A46,overview!$B$3:$AJ$154,COLUMN(),FALSE) = "","",VLOOKUP($A46,overview!$B$3:$AJ$154,COLUMN(V46),FALSE))</f>
        <v>17</v>
      </c>
      <c r="W46" s="3">
        <f>IF(VLOOKUP($A46,overview!$B$3:$AJ$154,COLUMN(),FALSE) = "","",VLOOKUP($A46,overview!$B$3:$AJ$154,COLUMN(W46),FALSE))</f>
        <v>17</v>
      </c>
      <c r="X46" s="3">
        <f>IF(VLOOKUP($A46,overview!$B$3:$AJ$154,COLUMN(),FALSE) = "","",VLOOKUP($A46,overview!$B$3:$AJ$154,COLUMN(X46),FALSE))</f>
        <v>17</v>
      </c>
      <c r="Y46" s="3">
        <f>IF(VLOOKUP($A46,overview!$B$3:$AJ$154,COLUMN(),FALSE) = "","",VLOOKUP($A46,overview!$B$3:$AJ$154,COLUMN(Y46),FALSE))</f>
        <v>18</v>
      </c>
      <c r="Z46" s="3">
        <f>IF(VLOOKUP($A46,overview!$B$3:$AJ$154,COLUMN(),FALSE) = "","",VLOOKUP($A46,overview!$B$3:$AJ$154,COLUMN(Z46),FALSE))</f>
        <v>18</v>
      </c>
      <c r="AA46" s="3">
        <f>IF(VLOOKUP($A46,overview!$B$3:$AJ$154,COLUMN(),FALSE) = "","",VLOOKUP($A46,overview!$B$3:$AJ$154,COLUMN(AA46),FALSE))</f>
        <v>18</v>
      </c>
      <c r="AB46" s="3">
        <f>IF(VLOOKUP($A46,overview!$B$3:$AJ$154,COLUMN(),FALSE) = "","",VLOOKUP($A46,overview!$B$3:$AJ$154,COLUMN(AB46),FALSE))</f>
        <v>18</v>
      </c>
      <c r="AC46" s="3">
        <f>IF(VLOOKUP($A46,overview!$B$3:$AJ$154,COLUMN(),FALSE) = "","",VLOOKUP($A46,overview!$B$3:$AJ$154,COLUMN(AC46),FALSE))</f>
        <v>19</v>
      </c>
      <c r="AD46" s="3">
        <f>IF(VLOOKUP($A46,overview!$B$3:$AJ$154,COLUMN(),FALSE) = "","",VLOOKUP($A46,overview!$B$3:$AJ$154,COLUMN(AD46),FALSE))</f>
        <v>19</v>
      </c>
      <c r="AE46" s="3">
        <f>IF(VLOOKUP($A46,overview!$B$3:$AJ$154,COLUMN(),FALSE) = "","",VLOOKUP($A46,overview!$B$3:$AJ$154,COLUMN(AE46),FALSE))</f>
        <v>19</v>
      </c>
      <c r="AF46" s="3">
        <f>IF(VLOOKUP($A46,overview!$B$3:$AJ$154,COLUMN(),FALSE) = "","",VLOOKUP($A46,overview!$B$3:$AJ$154,COLUMN(AF46),FALSE))</f>
        <v>19</v>
      </c>
      <c r="AG46" s="3">
        <f>IF(VLOOKUP($A46,overview!$B$3:$AJ$154,COLUMN(),FALSE) = "","",VLOOKUP($A46,overview!$B$3:$AJ$154,COLUMN(AG46),FALSE))</f>
        <v>20</v>
      </c>
      <c r="AH46" s="3">
        <f>IF(VLOOKUP($A46,overview!$B$3:$AJ$154,COLUMN(),FALSE) = "","",VLOOKUP($A46,overview!$B$3:$AJ$154,COLUMN(AH46),FALSE))</f>
        <v>20</v>
      </c>
      <c r="AI46" s="3" t="str">
        <f>IF(VLOOKUP($A46,overview!$B$3:$AJ$154,COLUMN(),FALSE) = "","",VLOOKUP($A46,overview!$B$3:$AJ$154,COLUMN(AI46),FALSE))</f>
        <v>years</v>
      </c>
    </row>
    <row r="47" spans="1:35" ht="15.75" customHeight="1" x14ac:dyDescent="0.2">
      <c r="A47" s="8" t="s">
        <v>164</v>
      </c>
      <c r="B47" s="27">
        <f>IF(VLOOKUP($A47,overview!$B$3:$AJ$154,COLUMN(),FALSE) = "","",VLOOKUP($A47,overview!$B$3:$AJ$154,COLUMN(B47),FALSE))</f>
        <v>1000000</v>
      </c>
      <c r="C47" s="3" t="str">
        <f>IF(VLOOKUP($A47,overview!$B$3:$AJ$154,COLUMN(),FALSE) = "","",VLOOKUP($A47,overview!$B$3:$AJ$154,COLUMN(C47),FALSE))</f>
        <v/>
      </c>
      <c r="D47" s="3" t="str">
        <f>IF(VLOOKUP($A47,overview!$B$3:$AJ$154,COLUMN(),FALSE) = "","",VLOOKUP($A47,overview!$B$3:$AJ$154,COLUMN(D47),FALSE))</f>
        <v/>
      </c>
      <c r="E47" s="3" t="str">
        <f>IF(VLOOKUP($A47,overview!$B$3:$AJ$154,COLUMN(),FALSE) = "","",VLOOKUP($A47,overview!$B$3:$AJ$154,COLUMN(E47),FALSE))</f>
        <v/>
      </c>
      <c r="F47" s="3" t="str">
        <f>IF(VLOOKUP($A47,overview!$B$3:$AJ$154,COLUMN(),FALSE) = "","",VLOOKUP($A47,overview!$B$3:$AJ$154,COLUMN(F47),FALSE))</f>
        <v/>
      </c>
      <c r="G47" s="3" t="str">
        <f>IF(VLOOKUP($A47,overview!$B$3:$AJ$154,COLUMN(),FALSE) = "","",VLOOKUP($A47,overview!$B$3:$AJ$154,COLUMN(G47),FALSE))</f>
        <v/>
      </c>
      <c r="H47" s="3" t="str">
        <f>IF(VLOOKUP($A47,overview!$B$3:$AJ$154,COLUMN(),FALSE) = "","",VLOOKUP($A47,overview!$B$3:$AJ$154,COLUMN(H47),FALSE))</f>
        <v/>
      </c>
      <c r="I47" s="3" t="str">
        <f>IF(VLOOKUP($A47,overview!$B$3:$AJ$154,COLUMN(),FALSE) = "","",VLOOKUP($A47,overview!$B$3:$AJ$154,COLUMN(I47),FALSE))</f>
        <v/>
      </c>
      <c r="J47" s="3" t="str">
        <f>IF(VLOOKUP($A47,overview!$B$3:$AJ$154,COLUMN(),FALSE) = "","",VLOOKUP($A47,overview!$B$3:$AJ$154,COLUMN(J47),FALSE))</f>
        <v/>
      </c>
      <c r="K47" s="3" t="str">
        <f>IF(VLOOKUP($A47,overview!$B$3:$AJ$154,COLUMN(),FALSE) = "","",VLOOKUP($A47,overview!$B$3:$AJ$154,COLUMN(K47),FALSE))</f>
        <v/>
      </c>
      <c r="L47" s="3" t="str">
        <f>IF(VLOOKUP($A47,overview!$B$3:$AJ$154,COLUMN(),FALSE) = "","",VLOOKUP($A47,overview!$B$3:$AJ$154,COLUMN(L47),FALSE))</f>
        <v/>
      </c>
      <c r="M47" s="3" t="str">
        <f>IF(VLOOKUP($A47,overview!$B$3:$AJ$154,COLUMN(),FALSE) = "","",VLOOKUP($A47,overview!$B$3:$AJ$154,COLUMN(M47),FALSE))</f>
        <v/>
      </c>
      <c r="N47" s="3" t="str">
        <f>IF(VLOOKUP($A47,overview!$B$3:$AJ$154,COLUMN(),FALSE) = "","",VLOOKUP($A47,overview!$B$3:$AJ$154,COLUMN(N47),FALSE))</f>
        <v/>
      </c>
      <c r="O47" s="3" t="str">
        <f>IF(VLOOKUP($A47,overview!$B$3:$AJ$154,COLUMN(),FALSE) = "","",VLOOKUP($A47,overview!$B$3:$AJ$154,COLUMN(O47),FALSE))</f>
        <v/>
      </c>
      <c r="P47" s="3" t="str">
        <f>IF(VLOOKUP($A47,overview!$B$3:$AJ$154,COLUMN(),FALSE) = "","",VLOOKUP($A47,overview!$B$3:$AJ$154,COLUMN(P47),FALSE))</f>
        <v/>
      </c>
      <c r="Q47" s="3" t="str">
        <f>IF(VLOOKUP($A47,overview!$B$3:$AJ$154,COLUMN(),FALSE) = "","",VLOOKUP($A47,overview!$B$3:$AJ$154,COLUMN(Q47),FALSE))</f>
        <v/>
      </c>
      <c r="R47" s="3" t="str">
        <f>IF(VLOOKUP($A47,overview!$B$3:$AJ$154,COLUMN(),FALSE) = "","",VLOOKUP($A47,overview!$B$3:$AJ$154,COLUMN(R47),FALSE))</f>
        <v/>
      </c>
      <c r="S47" s="3" t="str">
        <f>IF(VLOOKUP($A47,overview!$B$3:$AJ$154,COLUMN(),FALSE) = "","",VLOOKUP($A47,overview!$B$3:$AJ$154,COLUMN(S47),FALSE))</f>
        <v/>
      </c>
      <c r="T47" s="3" t="str">
        <f>IF(VLOOKUP($A47,overview!$B$3:$AJ$154,COLUMN(),FALSE) = "","",VLOOKUP($A47,overview!$B$3:$AJ$154,COLUMN(T47),FALSE))</f>
        <v/>
      </c>
      <c r="U47" s="3" t="str">
        <f>IF(VLOOKUP($A47,overview!$B$3:$AJ$154,COLUMN(),FALSE) = "","",VLOOKUP($A47,overview!$B$3:$AJ$154,COLUMN(U47),FALSE))</f>
        <v/>
      </c>
      <c r="V47" s="3" t="str">
        <f>IF(VLOOKUP($A47,overview!$B$3:$AJ$154,COLUMN(),FALSE) = "","",VLOOKUP($A47,overview!$B$3:$AJ$154,COLUMN(V47),FALSE))</f>
        <v/>
      </c>
      <c r="W47" s="3" t="str">
        <f>IF(VLOOKUP($A47,overview!$B$3:$AJ$154,COLUMN(),FALSE) = "","",VLOOKUP($A47,overview!$B$3:$AJ$154,COLUMN(W47),FALSE))</f>
        <v/>
      </c>
      <c r="X47" s="3" t="str">
        <f>IF(VLOOKUP($A47,overview!$B$3:$AJ$154,COLUMN(),FALSE) = "","",VLOOKUP($A47,overview!$B$3:$AJ$154,COLUMN(X47),FALSE))</f>
        <v/>
      </c>
      <c r="Y47" s="3" t="str">
        <f>IF(VLOOKUP($A47,overview!$B$3:$AJ$154,COLUMN(),FALSE) = "","",VLOOKUP($A47,overview!$B$3:$AJ$154,COLUMN(Y47),FALSE))</f>
        <v/>
      </c>
      <c r="Z47" s="3" t="str">
        <f>IF(VLOOKUP($A47,overview!$B$3:$AJ$154,COLUMN(),FALSE) = "","",VLOOKUP($A47,overview!$B$3:$AJ$154,COLUMN(Z47),FALSE))</f>
        <v/>
      </c>
      <c r="AA47" s="3" t="str">
        <f>IF(VLOOKUP($A47,overview!$B$3:$AJ$154,COLUMN(),FALSE) = "","",VLOOKUP($A47,overview!$B$3:$AJ$154,COLUMN(AA47),FALSE))</f>
        <v/>
      </c>
      <c r="AB47" s="3" t="str">
        <f>IF(VLOOKUP($A47,overview!$B$3:$AJ$154,COLUMN(),FALSE) = "","",VLOOKUP($A47,overview!$B$3:$AJ$154,COLUMN(AB47),FALSE))</f>
        <v/>
      </c>
      <c r="AC47" s="3" t="str">
        <f>IF(VLOOKUP($A47,overview!$B$3:$AJ$154,COLUMN(),FALSE) = "","",VLOOKUP($A47,overview!$B$3:$AJ$154,COLUMN(AC47),FALSE))</f>
        <v/>
      </c>
      <c r="AD47" s="3" t="str">
        <f>IF(VLOOKUP($A47,overview!$B$3:$AJ$154,COLUMN(),FALSE) = "","",VLOOKUP($A47,overview!$B$3:$AJ$154,COLUMN(AD47),FALSE))</f>
        <v/>
      </c>
      <c r="AE47" s="3" t="str">
        <f>IF(VLOOKUP($A47,overview!$B$3:$AJ$154,COLUMN(),FALSE) = "","",VLOOKUP($A47,overview!$B$3:$AJ$154,COLUMN(AE47),FALSE))</f>
        <v/>
      </c>
      <c r="AF47" s="3" t="str">
        <f>IF(VLOOKUP($A47,overview!$B$3:$AJ$154,COLUMN(),FALSE) = "","",VLOOKUP($A47,overview!$B$3:$AJ$154,COLUMN(AF47),FALSE))</f>
        <v/>
      </c>
      <c r="AG47" s="3" t="str">
        <f>IF(VLOOKUP($A47,overview!$B$3:$AJ$154,COLUMN(),FALSE) = "","",VLOOKUP($A47,overview!$B$3:$AJ$154,COLUMN(AG47),FALSE))</f>
        <v/>
      </c>
      <c r="AH47" s="3" t="str">
        <f>IF(VLOOKUP($A47,overview!$B$3:$AJ$154,COLUMN(),FALSE) = "","",VLOOKUP($A47,overview!$B$3:$AJ$154,COLUMN(AH47),FALSE))</f>
        <v/>
      </c>
      <c r="AI47" s="3" t="str">
        <f>IF(VLOOKUP($A47,overview!$B$3:$AJ$154,COLUMN(),FALSE) = "","",VLOOKUP($A47,overview!$B$3:$AJ$154,COLUMN(AI47),FALSE))</f>
        <v>kW</v>
      </c>
    </row>
    <row r="48" spans="1:35" ht="15.75" customHeight="1" x14ac:dyDescent="0.2">
      <c r="A48" s="8" t="s">
        <v>166</v>
      </c>
      <c r="B48" s="3">
        <f>IF(VLOOKUP($A48,overview!$B$3:$AJ$154,COLUMN(),FALSE) = "","",VLOOKUP($A48,overview!$B$3:$AJ$154,COLUMN(B48),FALSE))</f>
        <v>0</v>
      </c>
      <c r="C48" s="3" t="str">
        <f>IF(VLOOKUP($A48,overview!$B$3:$AJ$154,COLUMN(),FALSE) = "","",VLOOKUP($A48,overview!$B$3:$AJ$154,COLUMN(C48),FALSE))</f>
        <v/>
      </c>
      <c r="D48" s="3" t="str">
        <f>IF(VLOOKUP($A48,overview!$B$3:$AJ$154,COLUMN(),FALSE) = "","",VLOOKUP($A48,overview!$B$3:$AJ$154,COLUMN(D48),FALSE))</f>
        <v/>
      </c>
      <c r="E48" s="3" t="str">
        <f>IF(VLOOKUP($A48,overview!$B$3:$AJ$154,COLUMN(),FALSE) = "","",VLOOKUP($A48,overview!$B$3:$AJ$154,COLUMN(E48),FALSE))</f>
        <v/>
      </c>
      <c r="F48" s="3" t="str">
        <f>IF(VLOOKUP($A48,overview!$B$3:$AJ$154,COLUMN(),FALSE) = "","",VLOOKUP($A48,overview!$B$3:$AJ$154,COLUMN(F48),FALSE))</f>
        <v/>
      </c>
      <c r="G48" s="3" t="str">
        <f>IF(VLOOKUP($A48,overview!$B$3:$AJ$154,COLUMN(),FALSE) = "","",VLOOKUP($A48,overview!$B$3:$AJ$154,COLUMN(G48),FALSE))</f>
        <v/>
      </c>
      <c r="H48" s="3" t="str">
        <f>IF(VLOOKUP($A48,overview!$B$3:$AJ$154,COLUMN(),FALSE) = "","",VLOOKUP($A48,overview!$B$3:$AJ$154,COLUMN(H48),FALSE))</f>
        <v/>
      </c>
      <c r="I48" s="3" t="str">
        <f>IF(VLOOKUP($A48,overview!$B$3:$AJ$154,COLUMN(),FALSE) = "","",VLOOKUP($A48,overview!$B$3:$AJ$154,COLUMN(I48),FALSE))</f>
        <v/>
      </c>
      <c r="J48" s="3" t="str">
        <f>IF(VLOOKUP($A48,overview!$B$3:$AJ$154,COLUMN(),FALSE) = "","",VLOOKUP($A48,overview!$B$3:$AJ$154,COLUMN(J48),FALSE))</f>
        <v/>
      </c>
      <c r="K48" s="3" t="str">
        <f>IF(VLOOKUP($A48,overview!$B$3:$AJ$154,COLUMN(),FALSE) = "","",VLOOKUP($A48,overview!$B$3:$AJ$154,COLUMN(K48),FALSE))</f>
        <v/>
      </c>
      <c r="L48" s="3" t="str">
        <f>IF(VLOOKUP($A48,overview!$B$3:$AJ$154,COLUMN(),FALSE) = "","",VLOOKUP($A48,overview!$B$3:$AJ$154,COLUMN(L48),FALSE))</f>
        <v/>
      </c>
      <c r="M48" s="3" t="str">
        <f>IF(VLOOKUP($A48,overview!$B$3:$AJ$154,COLUMN(),FALSE) = "","",VLOOKUP($A48,overview!$B$3:$AJ$154,COLUMN(M48),FALSE))</f>
        <v/>
      </c>
      <c r="N48" s="3" t="str">
        <f>IF(VLOOKUP($A48,overview!$B$3:$AJ$154,COLUMN(),FALSE) = "","",VLOOKUP($A48,overview!$B$3:$AJ$154,COLUMN(N48),FALSE))</f>
        <v/>
      </c>
      <c r="O48" s="3" t="str">
        <f>IF(VLOOKUP($A48,overview!$B$3:$AJ$154,COLUMN(),FALSE) = "","",VLOOKUP($A48,overview!$B$3:$AJ$154,COLUMN(O48),FALSE))</f>
        <v/>
      </c>
      <c r="P48" s="3" t="str">
        <f>IF(VLOOKUP($A48,overview!$B$3:$AJ$154,COLUMN(),FALSE) = "","",VLOOKUP($A48,overview!$B$3:$AJ$154,COLUMN(P48),FALSE))</f>
        <v/>
      </c>
      <c r="Q48" s="3" t="str">
        <f>IF(VLOOKUP($A48,overview!$B$3:$AJ$154,COLUMN(),FALSE) = "","",VLOOKUP($A48,overview!$B$3:$AJ$154,COLUMN(Q48),FALSE))</f>
        <v/>
      </c>
      <c r="R48" s="3" t="str">
        <f>IF(VLOOKUP($A48,overview!$B$3:$AJ$154,COLUMN(),FALSE) = "","",VLOOKUP($A48,overview!$B$3:$AJ$154,COLUMN(R48),FALSE))</f>
        <v/>
      </c>
      <c r="S48" s="3" t="str">
        <f>IF(VLOOKUP($A48,overview!$B$3:$AJ$154,COLUMN(),FALSE) = "","",VLOOKUP($A48,overview!$B$3:$AJ$154,COLUMN(S48),FALSE))</f>
        <v/>
      </c>
      <c r="T48" s="3" t="str">
        <f>IF(VLOOKUP($A48,overview!$B$3:$AJ$154,COLUMN(),FALSE) = "","",VLOOKUP($A48,overview!$B$3:$AJ$154,COLUMN(T48),FALSE))</f>
        <v/>
      </c>
      <c r="U48" s="3" t="str">
        <f>IF(VLOOKUP($A48,overview!$B$3:$AJ$154,COLUMN(),FALSE) = "","",VLOOKUP($A48,overview!$B$3:$AJ$154,COLUMN(U48),FALSE))</f>
        <v/>
      </c>
      <c r="V48" s="3" t="str">
        <f>IF(VLOOKUP($A48,overview!$B$3:$AJ$154,COLUMN(),FALSE) = "","",VLOOKUP($A48,overview!$B$3:$AJ$154,COLUMN(V48),FALSE))</f>
        <v/>
      </c>
      <c r="W48" s="3" t="str">
        <f>IF(VLOOKUP($A48,overview!$B$3:$AJ$154,COLUMN(),FALSE) = "","",VLOOKUP($A48,overview!$B$3:$AJ$154,COLUMN(W48),FALSE))</f>
        <v/>
      </c>
      <c r="X48" s="3" t="str">
        <f>IF(VLOOKUP($A48,overview!$B$3:$AJ$154,COLUMN(),FALSE) = "","",VLOOKUP($A48,overview!$B$3:$AJ$154,COLUMN(X48),FALSE))</f>
        <v/>
      </c>
      <c r="Y48" s="3" t="str">
        <f>IF(VLOOKUP($A48,overview!$B$3:$AJ$154,COLUMN(),FALSE) = "","",VLOOKUP($A48,overview!$B$3:$AJ$154,COLUMN(Y48),FALSE))</f>
        <v/>
      </c>
      <c r="Z48" s="3" t="str">
        <f>IF(VLOOKUP($A48,overview!$B$3:$AJ$154,COLUMN(),FALSE) = "","",VLOOKUP($A48,overview!$B$3:$AJ$154,COLUMN(Z48),FALSE))</f>
        <v/>
      </c>
      <c r="AA48" s="3" t="str">
        <f>IF(VLOOKUP($A48,overview!$B$3:$AJ$154,COLUMN(),FALSE) = "","",VLOOKUP($A48,overview!$B$3:$AJ$154,COLUMN(AA48),FALSE))</f>
        <v/>
      </c>
      <c r="AB48" s="3" t="str">
        <f>IF(VLOOKUP($A48,overview!$B$3:$AJ$154,COLUMN(),FALSE) = "","",VLOOKUP($A48,overview!$B$3:$AJ$154,COLUMN(AB48),FALSE))</f>
        <v/>
      </c>
      <c r="AC48" s="3" t="str">
        <f>IF(VLOOKUP($A48,overview!$B$3:$AJ$154,COLUMN(),FALSE) = "","",VLOOKUP($A48,overview!$B$3:$AJ$154,COLUMN(AC48),FALSE))</f>
        <v/>
      </c>
      <c r="AD48" s="3" t="str">
        <f>IF(VLOOKUP($A48,overview!$B$3:$AJ$154,COLUMN(),FALSE) = "","",VLOOKUP($A48,overview!$B$3:$AJ$154,COLUMN(AD48),FALSE))</f>
        <v/>
      </c>
      <c r="AE48" s="3" t="str">
        <f>IF(VLOOKUP($A48,overview!$B$3:$AJ$154,COLUMN(),FALSE) = "","",VLOOKUP($A48,overview!$B$3:$AJ$154,COLUMN(AE48),FALSE))</f>
        <v/>
      </c>
      <c r="AF48" s="3" t="str">
        <f>IF(VLOOKUP($A48,overview!$B$3:$AJ$154,COLUMN(),FALSE) = "","",VLOOKUP($A48,overview!$B$3:$AJ$154,COLUMN(AF48),FALSE))</f>
        <v/>
      </c>
      <c r="AG48" s="3" t="str">
        <f>IF(VLOOKUP($A48,overview!$B$3:$AJ$154,COLUMN(),FALSE) = "","",VLOOKUP($A48,overview!$B$3:$AJ$154,COLUMN(AG48),FALSE))</f>
        <v/>
      </c>
      <c r="AH48" s="3" t="str">
        <f>IF(VLOOKUP($A48,overview!$B$3:$AJ$154,COLUMN(),FALSE) = "","",VLOOKUP($A48,overview!$B$3:$AJ$154,COLUMN(AH48),FALSE))</f>
        <v/>
      </c>
      <c r="AI48" s="3" t="str">
        <f>IF(VLOOKUP($A48,overview!$B$3:$AJ$154,COLUMN(),FALSE) = "","",VLOOKUP($A48,overview!$B$3:$AJ$154,COLUMN(AI48),FALSE))</f>
        <v>kW</v>
      </c>
    </row>
    <row r="49" spans="1:35" ht="15.75" customHeight="1" x14ac:dyDescent="0.2">
      <c r="A49" s="8" t="s">
        <v>167</v>
      </c>
      <c r="B49" s="3">
        <f>IF(VLOOKUP($A49,overview!$B$3:$AJ$154,COLUMN(),FALSE) = "","",VLOOKUP($A49,overview!$B$3:$AJ$154,COLUMN(B49),FALSE))</f>
        <v>100</v>
      </c>
      <c r="C49" s="3">
        <f>IF(VLOOKUP($A49,overview!$B$3:$AJ$154,COLUMN(),FALSE) = "","",VLOOKUP($A49,overview!$B$3:$AJ$154,COLUMN(C49),FALSE))</f>
        <v>80</v>
      </c>
      <c r="D49" s="3">
        <f>IF(VLOOKUP($A49,overview!$B$3:$AJ$154,COLUMN(),FALSE) = "","",VLOOKUP($A49,overview!$B$3:$AJ$154,COLUMN(D49),FALSE))</f>
        <v>120</v>
      </c>
      <c r="E49" s="3" t="str">
        <f>IF(VLOOKUP($A49,overview!$B$3:$AJ$154,COLUMN(),FALSE) = "","",VLOOKUP($A49,overview!$B$3:$AJ$154,COLUMN(E49),FALSE))</f>
        <v/>
      </c>
      <c r="F49" s="3" t="str">
        <f>IF(VLOOKUP($A49,overview!$B$3:$AJ$154,COLUMN(),FALSE) = "","",VLOOKUP($A49,overview!$B$3:$AJ$154,COLUMN(F49),FALSE))</f>
        <v/>
      </c>
      <c r="G49" s="3" t="str">
        <f>IF(VLOOKUP($A49,overview!$B$3:$AJ$154,COLUMN(),FALSE) = "","",VLOOKUP($A49,overview!$B$3:$AJ$154,COLUMN(G49),FALSE))</f>
        <v/>
      </c>
      <c r="H49" s="3" t="str">
        <f>IF(VLOOKUP($A49,overview!$B$3:$AJ$154,COLUMN(),FALSE) = "","",VLOOKUP($A49,overview!$B$3:$AJ$154,COLUMN(H49),FALSE))</f>
        <v/>
      </c>
      <c r="I49" s="3" t="str">
        <f>IF(VLOOKUP($A49,overview!$B$3:$AJ$154,COLUMN(),FALSE) = "","",VLOOKUP($A49,overview!$B$3:$AJ$154,COLUMN(I49),FALSE))</f>
        <v/>
      </c>
      <c r="J49" s="3" t="str">
        <f>IF(VLOOKUP($A49,overview!$B$3:$AJ$154,COLUMN(),FALSE) = "","",VLOOKUP($A49,overview!$B$3:$AJ$154,COLUMN(J49),FALSE))</f>
        <v/>
      </c>
      <c r="K49" s="3" t="str">
        <f>IF(VLOOKUP($A49,overview!$B$3:$AJ$154,COLUMN(),FALSE) = "","",VLOOKUP($A49,overview!$B$3:$AJ$154,COLUMN(K49),FALSE))</f>
        <v/>
      </c>
      <c r="L49" s="3" t="str">
        <f>IF(VLOOKUP($A49,overview!$B$3:$AJ$154,COLUMN(),FALSE) = "","",VLOOKUP($A49,overview!$B$3:$AJ$154,COLUMN(L49),FALSE))</f>
        <v/>
      </c>
      <c r="M49" s="3" t="str">
        <f>IF(VLOOKUP($A49,overview!$B$3:$AJ$154,COLUMN(),FALSE) = "","",VLOOKUP($A49,overview!$B$3:$AJ$154,COLUMN(M49),FALSE))</f>
        <v/>
      </c>
      <c r="N49" s="3" t="str">
        <f>IF(VLOOKUP($A49,overview!$B$3:$AJ$154,COLUMN(),FALSE) = "","",VLOOKUP($A49,overview!$B$3:$AJ$154,COLUMN(N49),FALSE))</f>
        <v/>
      </c>
      <c r="O49" s="3" t="str">
        <f>IF(VLOOKUP($A49,overview!$B$3:$AJ$154,COLUMN(),FALSE) = "","",VLOOKUP($A49,overview!$B$3:$AJ$154,COLUMN(O49),FALSE))</f>
        <v/>
      </c>
      <c r="P49" s="3" t="str">
        <f>IF(VLOOKUP($A49,overview!$B$3:$AJ$154,COLUMN(),FALSE) = "","",VLOOKUP($A49,overview!$B$3:$AJ$154,COLUMN(P49),FALSE))</f>
        <v/>
      </c>
      <c r="Q49" s="3" t="str">
        <f>IF(VLOOKUP($A49,overview!$B$3:$AJ$154,COLUMN(),FALSE) = "","",VLOOKUP($A49,overview!$B$3:$AJ$154,COLUMN(Q49),FALSE))</f>
        <v/>
      </c>
      <c r="R49" s="3" t="str">
        <f>IF(VLOOKUP($A49,overview!$B$3:$AJ$154,COLUMN(),FALSE) = "","",VLOOKUP($A49,overview!$B$3:$AJ$154,COLUMN(R49),FALSE))</f>
        <v/>
      </c>
      <c r="S49" s="3" t="str">
        <f>IF(VLOOKUP($A49,overview!$B$3:$AJ$154,COLUMN(),FALSE) = "","",VLOOKUP($A49,overview!$B$3:$AJ$154,COLUMN(S49),FALSE))</f>
        <v/>
      </c>
      <c r="T49" s="3" t="str">
        <f>IF(VLOOKUP($A49,overview!$B$3:$AJ$154,COLUMN(),FALSE) = "","",VLOOKUP($A49,overview!$B$3:$AJ$154,COLUMN(T49),FALSE))</f>
        <v/>
      </c>
      <c r="U49" s="3" t="str">
        <f>IF(VLOOKUP($A49,overview!$B$3:$AJ$154,COLUMN(),FALSE) = "","",VLOOKUP($A49,overview!$B$3:$AJ$154,COLUMN(U49),FALSE))</f>
        <v/>
      </c>
      <c r="V49" s="3" t="str">
        <f>IF(VLOOKUP($A49,overview!$B$3:$AJ$154,COLUMN(),FALSE) = "","",VLOOKUP($A49,overview!$B$3:$AJ$154,COLUMN(V49),FALSE))</f>
        <v/>
      </c>
      <c r="W49" s="3" t="str">
        <f>IF(VLOOKUP($A49,overview!$B$3:$AJ$154,COLUMN(),FALSE) = "","",VLOOKUP($A49,overview!$B$3:$AJ$154,COLUMN(W49),FALSE))</f>
        <v/>
      </c>
      <c r="X49" s="3" t="str">
        <f>IF(VLOOKUP($A49,overview!$B$3:$AJ$154,COLUMN(),FALSE) = "","",VLOOKUP($A49,overview!$B$3:$AJ$154,COLUMN(X49),FALSE))</f>
        <v/>
      </c>
      <c r="Y49" s="3" t="str">
        <f>IF(VLOOKUP($A49,overview!$B$3:$AJ$154,COLUMN(),FALSE) = "","",VLOOKUP($A49,overview!$B$3:$AJ$154,COLUMN(Y49),FALSE))</f>
        <v/>
      </c>
      <c r="Z49" s="3" t="str">
        <f>IF(VLOOKUP($A49,overview!$B$3:$AJ$154,COLUMN(),FALSE) = "","",VLOOKUP($A49,overview!$B$3:$AJ$154,COLUMN(Z49),FALSE))</f>
        <v/>
      </c>
      <c r="AA49" s="3" t="str">
        <f>IF(VLOOKUP($A49,overview!$B$3:$AJ$154,COLUMN(),FALSE) = "","",VLOOKUP($A49,overview!$B$3:$AJ$154,COLUMN(AA49),FALSE))</f>
        <v/>
      </c>
      <c r="AB49" s="3" t="str">
        <f>IF(VLOOKUP($A49,overview!$B$3:$AJ$154,COLUMN(),FALSE) = "","",VLOOKUP($A49,overview!$B$3:$AJ$154,COLUMN(AB49),FALSE))</f>
        <v/>
      </c>
      <c r="AC49" s="3" t="str">
        <f>IF(VLOOKUP($A49,overview!$B$3:$AJ$154,COLUMN(),FALSE) = "","",VLOOKUP($A49,overview!$B$3:$AJ$154,COLUMN(AC49),FALSE))</f>
        <v/>
      </c>
      <c r="AD49" s="3" t="str">
        <f>IF(VLOOKUP($A49,overview!$B$3:$AJ$154,COLUMN(),FALSE) = "","",VLOOKUP($A49,overview!$B$3:$AJ$154,COLUMN(AD49),FALSE))</f>
        <v/>
      </c>
      <c r="AE49" s="3" t="str">
        <f>IF(VLOOKUP($A49,overview!$B$3:$AJ$154,COLUMN(),FALSE) = "","",VLOOKUP($A49,overview!$B$3:$AJ$154,COLUMN(AE49),FALSE))</f>
        <v/>
      </c>
      <c r="AF49" s="3" t="str">
        <f>IF(VLOOKUP($A49,overview!$B$3:$AJ$154,COLUMN(),FALSE) = "","",VLOOKUP($A49,overview!$B$3:$AJ$154,COLUMN(AF49),FALSE))</f>
        <v/>
      </c>
      <c r="AG49" s="3" t="str">
        <f>IF(VLOOKUP($A49,overview!$B$3:$AJ$154,COLUMN(),FALSE) = "","",VLOOKUP($A49,overview!$B$3:$AJ$154,COLUMN(AG49),FALSE))</f>
        <v/>
      </c>
      <c r="AH49" s="3" t="str">
        <f>IF(VLOOKUP($A49,overview!$B$3:$AJ$154,COLUMN(),FALSE) = "","",VLOOKUP($A49,overview!$B$3:$AJ$154,COLUMN(AH49),FALSE))</f>
        <v/>
      </c>
      <c r="AI49" s="3" t="str">
        <f>IF(VLOOKUP($A49,overview!$B$3:$AJ$154,COLUMN(),FALSE) = "","",VLOOKUP($A49,overview!$B$3:$AJ$154,COLUMN(AI49),FALSE))</f>
        <v>[EUR/kW_el]</v>
      </c>
    </row>
    <row r="50" spans="1:35" ht="15.75" customHeight="1" x14ac:dyDescent="0.2">
      <c r="A50" s="8" t="s">
        <v>170</v>
      </c>
      <c r="B50" s="3">
        <f>IF(VLOOKUP($A50,overview!$B$3:$AJ$154,COLUMN(),FALSE) = "","",VLOOKUP($A50,overview!$B$3:$AJ$154,COLUMN(B50),FALSE))</f>
        <v>0</v>
      </c>
      <c r="C50" s="3" t="str">
        <f>IF(VLOOKUP($A50,overview!$B$3:$AJ$154,COLUMN(),FALSE) = "","",VLOOKUP($A50,overview!$B$3:$AJ$154,COLUMN(C50),FALSE))</f>
        <v/>
      </c>
      <c r="D50" s="3" t="str">
        <f>IF(VLOOKUP($A50,overview!$B$3:$AJ$154,COLUMN(),FALSE) = "","",VLOOKUP($A50,overview!$B$3:$AJ$154,COLUMN(D50),FALSE))</f>
        <v/>
      </c>
      <c r="E50" s="3" t="str">
        <f>IF(VLOOKUP($A50,overview!$B$3:$AJ$154,COLUMN(),FALSE) = "","",VLOOKUP($A50,overview!$B$3:$AJ$154,COLUMN(E50),FALSE))</f>
        <v/>
      </c>
      <c r="F50" s="3" t="str">
        <f>IF(VLOOKUP($A50,overview!$B$3:$AJ$154,COLUMN(),FALSE) = "","",VLOOKUP($A50,overview!$B$3:$AJ$154,COLUMN(F50),FALSE))</f>
        <v/>
      </c>
      <c r="G50" s="3" t="str">
        <f>IF(VLOOKUP($A50,overview!$B$3:$AJ$154,COLUMN(),FALSE) = "","",VLOOKUP($A50,overview!$B$3:$AJ$154,COLUMN(G50),FALSE))</f>
        <v/>
      </c>
      <c r="H50" s="3" t="str">
        <f>IF(VLOOKUP($A50,overview!$B$3:$AJ$154,COLUMN(),FALSE) = "","",VLOOKUP($A50,overview!$B$3:$AJ$154,COLUMN(H50),FALSE))</f>
        <v/>
      </c>
      <c r="I50" s="3" t="str">
        <f>IF(VLOOKUP($A50,overview!$B$3:$AJ$154,COLUMN(),FALSE) = "","",VLOOKUP($A50,overview!$B$3:$AJ$154,COLUMN(I50),FALSE))</f>
        <v/>
      </c>
      <c r="J50" s="3" t="str">
        <f>IF(VLOOKUP($A50,overview!$B$3:$AJ$154,COLUMN(),FALSE) = "","",VLOOKUP($A50,overview!$B$3:$AJ$154,COLUMN(J50),FALSE))</f>
        <v/>
      </c>
      <c r="K50" s="3" t="str">
        <f>IF(VLOOKUP($A50,overview!$B$3:$AJ$154,COLUMN(),FALSE) = "","",VLOOKUP($A50,overview!$B$3:$AJ$154,COLUMN(K50),FALSE))</f>
        <v/>
      </c>
      <c r="L50" s="3" t="str">
        <f>IF(VLOOKUP($A50,overview!$B$3:$AJ$154,COLUMN(),FALSE) = "","",VLOOKUP($A50,overview!$B$3:$AJ$154,COLUMN(L50),FALSE))</f>
        <v/>
      </c>
      <c r="M50" s="3" t="str">
        <f>IF(VLOOKUP($A50,overview!$B$3:$AJ$154,COLUMN(),FALSE) = "","",VLOOKUP($A50,overview!$B$3:$AJ$154,COLUMN(M50),FALSE))</f>
        <v/>
      </c>
      <c r="N50" s="3" t="str">
        <f>IF(VLOOKUP($A50,overview!$B$3:$AJ$154,COLUMN(),FALSE) = "","",VLOOKUP($A50,overview!$B$3:$AJ$154,COLUMN(N50),FALSE))</f>
        <v/>
      </c>
      <c r="O50" s="3" t="str">
        <f>IF(VLOOKUP($A50,overview!$B$3:$AJ$154,COLUMN(),FALSE) = "","",VLOOKUP($A50,overview!$B$3:$AJ$154,COLUMN(O50),FALSE))</f>
        <v/>
      </c>
      <c r="P50" s="3" t="str">
        <f>IF(VLOOKUP($A50,overview!$B$3:$AJ$154,COLUMN(),FALSE) = "","",VLOOKUP($A50,overview!$B$3:$AJ$154,COLUMN(P50),FALSE))</f>
        <v/>
      </c>
      <c r="Q50" s="3" t="str">
        <f>IF(VLOOKUP($A50,overview!$B$3:$AJ$154,COLUMN(),FALSE) = "","",VLOOKUP($A50,overview!$B$3:$AJ$154,COLUMN(Q50),FALSE))</f>
        <v/>
      </c>
      <c r="R50" s="3" t="str">
        <f>IF(VLOOKUP($A50,overview!$B$3:$AJ$154,COLUMN(),FALSE) = "","",VLOOKUP($A50,overview!$B$3:$AJ$154,COLUMN(R50),FALSE))</f>
        <v/>
      </c>
      <c r="S50" s="3" t="str">
        <f>IF(VLOOKUP($A50,overview!$B$3:$AJ$154,COLUMN(),FALSE) = "","",VLOOKUP($A50,overview!$B$3:$AJ$154,COLUMN(S50),FALSE))</f>
        <v/>
      </c>
      <c r="T50" s="3" t="str">
        <f>IF(VLOOKUP($A50,overview!$B$3:$AJ$154,COLUMN(),FALSE) = "","",VLOOKUP($A50,overview!$B$3:$AJ$154,COLUMN(T50),FALSE))</f>
        <v/>
      </c>
      <c r="U50" s="3" t="str">
        <f>IF(VLOOKUP($A50,overview!$B$3:$AJ$154,COLUMN(),FALSE) = "","",VLOOKUP($A50,overview!$B$3:$AJ$154,COLUMN(U50),FALSE))</f>
        <v/>
      </c>
      <c r="V50" s="3" t="str">
        <f>IF(VLOOKUP($A50,overview!$B$3:$AJ$154,COLUMN(),FALSE) = "","",VLOOKUP($A50,overview!$B$3:$AJ$154,COLUMN(V50),FALSE))</f>
        <v/>
      </c>
      <c r="W50" s="3" t="str">
        <f>IF(VLOOKUP($A50,overview!$B$3:$AJ$154,COLUMN(),FALSE) = "","",VLOOKUP($A50,overview!$B$3:$AJ$154,COLUMN(W50),FALSE))</f>
        <v/>
      </c>
      <c r="X50" s="3" t="str">
        <f>IF(VLOOKUP($A50,overview!$B$3:$AJ$154,COLUMN(),FALSE) = "","",VLOOKUP($A50,overview!$B$3:$AJ$154,COLUMN(X50),FALSE))</f>
        <v/>
      </c>
      <c r="Y50" s="3" t="str">
        <f>IF(VLOOKUP($A50,overview!$B$3:$AJ$154,COLUMN(),FALSE) = "","",VLOOKUP($A50,overview!$B$3:$AJ$154,COLUMN(Y50),FALSE))</f>
        <v/>
      </c>
      <c r="Z50" s="3" t="str">
        <f>IF(VLOOKUP($A50,overview!$B$3:$AJ$154,COLUMN(),FALSE) = "","",VLOOKUP($A50,overview!$B$3:$AJ$154,COLUMN(Z50),FALSE))</f>
        <v/>
      </c>
      <c r="AA50" s="3" t="str">
        <f>IF(VLOOKUP($A50,overview!$B$3:$AJ$154,COLUMN(),FALSE) = "","",VLOOKUP($A50,overview!$B$3:$AJ$154,COLUMN(AA50),FALSE))</f>
        <v/>
      </c>
      <c r="AB50" s="3" t="str">
        <f>IF(VLOOKUP($A50,overview!$B$3:$AJ$154,COLUMN(),FALSE) = "","",VLOOKUP($A50,overview!$B$3:$AJ$154,COLUMN(AB50),FALSE))</f>
        <v/>
      </c>
      <c r="AC50" s="3" t="str">
        <f>IF(VLOOKUP($A50,overview!$B$3:$AJ$154,COLUMN(),FALSE) = "","",VLOOKUP($A50,overview!$B$3:$AJ$154,COLUMN(AC50),FALSE))</f>
        <v/>
      </c>
      <c r="AD50" s="3" t="str">
        <f>IF(VLOOKUP($A50,overview!$B$3:$AJ$154,COLUMN(),FALSE) = "","",VLOOKUP($A50,overview!$B$3:$AJ$154,COLUMN(AD50),FALSE))</f>
        <v/>
      </c>
      <c r="AE50" s="3" t="str">
        <f>IF(VLOOKUP($A50,overview!$B$3:$AJ$154,COLUMN(),FALSE) = "","",VLOOKUP($A50,overview!$B$3:$AJ$154,COLUMN(AE50),FALSE))</f>
        <v/>
      </c>
      <c r="AF50" s="3" t="str">
        <f>IF(VLOOKUP($A50,overview!$B$3:$AJ$154,COLUMN(),FALSE) = "","",VLOOKUP($A50,overview!$B$3:$AJ$154,COLUMN(AF50),FALSE))</f>
        <v/>
      </c>
      <c r="AG50" s="3" t="str">
        <f>IF(VLOOKUP($A50,overview!$B$3:$AJ$154,COLUMN(),FALSE) = "","",VLOOKUP($A50,overview!$B$3:$AJ$154,COLUMN(AG50),FALSE))</f>
        <v/>
      </c>
      <c r="AH50" s="3" t="str">
        <f>IF(VLOOKUP($A50,overview!$B$3:$AJ$154,COLUMN(),FALSE) = "","",VLOOKUP($A50,overview!$B$3:$AJ$154,COLUMN(AH50),FALSE))</f>
        <v/>
      </c>
      <c r="AI50" s="3" t="str">
        <f>IF(VLOOKUP($A50,overview!$B$3:$AJ$154,COLUMN(),FALSE) = "","",VLOOKUP($A50,overview!$B$3:$AJ$154,COLUMN(AI50),FALSE))</f>
        <v>Fraction of CAPEX p.a.</v>
      </c>
    </row>
    <row r="51" spans="1:35" ht="15.75" customHeight="1" x14ac:dyDescent="0.2">
      <c r="A51" s="8" t="s">
        <v>171</v>
      </c>
      <c r="B51" s="3">
        <f>IF(VLOOKUP($A51,overview!$B$3:$AJ$154,COLUMN(),FALSE) = "","",VLOOKUP($A51,overview!$B$3:$AJ$154,COLUMN(B51),FALSE))</f>
        <v>1</v>
      </c>
      <c r="C51" s="3" t="str">
        <f>IF(VLOOKUP($A51,overview!$B$3:$AJ$154,COLUMN(),FALSE) = "","",VLOOKUP($A51,overview!$B$3:$AJ$154,COLUMN(C51),FALSE))</f>
        <v/>
      </c>
      <c r="D51" s="3" t="str">
        <f>IF(VLOOKUP($A51,overview!$B$3:$AJ$154,COLUMN(),FALSE) = "","",VLOOKUP($A51,overview!$B$3:$AJ$154,COLUMN(D51),FALSE))</f>
        <v/>
      </c>
      <c r="E51" s="3" t="str">
        <f>IF(VLOOKUP($A51,overview!$B$3:$AJ$154,COLUMN(),FALSE) = "","",VLOOKUP($A51,overview!$B$3:$AJ$154,COLUMN(E51),FALSE))</f>
        <v/>
      </c>
      <c r="F51" s="3" t="str">
        <f>IF(VLOOKUP($A51,overview!$B$3:$AJ$154,COLUMN(),FALSE) = "","",VLOOKUP($A51,overview!$B$3:$AJ$154,COLUMN(F51),FALSE))</f>
        <v/>
      </c>
      <c r="G51" s="3" t="str">
        <f>IF(VLOOKUP($A51,overview!$B$3:$AJ$154,COLUMN(),FALSE) = "","",VLOOKUP($A51,overview!$B$3:$AJ$154,COLUMN(G51),FALSE))</f>
        <v/>
      </c>
      <c r="H51" s="3" t="str">
        <f>IF(VLOOKUP($A51,overview!$B$3:$AJ$154,COLUMN(),FALSE) = "","",VLOOKUP($A51,overview!$B$3:$AJ$154,COLUMN(H51),FALSE))</f>
        <v/>
      </c>
      <c r="I51" s="3" t="str">
        <f>IF(VLOOKUP($A51,overview!$B$3:$AJ$154,COLUMN(),FALSE) = "","",VLOOKUP($A51,overview!$B$3:$AJ$154,COLUMN(I51),FALSE))</f>
        <v/>
      </c>
      <c r="J51" s="3" t="str">
        <f>IF(VLOOKUP($A51,overview!$B$3:$AJ$154,COLUMN(),FALSE) = "","",VLOOKUP($A51,overview!$B$3:$AJ$154,COLUMN(J51),FALSE))</f>
        <v/>
      </c>
      <c r="K51" s="3" t="str">
        <f>IF(VLOOKUP($A51,overview!$B$3:$AJ$154,COLUMN(),FALSE) = "","",VLOOKUP($A51,overview!$B$3:$AJ$154,COLUMN(K51),FALSE))</f>
        <v/>
      </c>
      <c r="L51" s="3" t="str">
        <f>IF(VLOOKUP($A51,overview!$B$3:$AJ$154,COLUMN(),FALSE) = "","",VLOOKUP($A51,overview!$B$3:$AJ$154,COLUMN(L51),FALSE))</f>
        <v/>
      </c>
      <c r="M51" s="3" t="str">
        <f>IF(VLOOKUP($A51,overview!$B$3:$AJ$154,COLUMN(),FALSE) = "","",VLOOKUP($A51,overview!$B$3:$AJ$154,COLUMN(M51),FALSE))</f>
        <v/>
      </c>
      <c r="N51" s="3" t="str">
        <f>IF(VLOOKUP($A51,overview!$B$3:$AJ$154,COLUMN(),FALSE) = "","",VLOOKUP($A51,overview!$B$3:$AJ$154,COLUMN(N51),FALSE))</f>
        <v/>
      </c>
      <c r="O51" s="3" t="str">
        <f>IF(VLOOKUP($A51,overview!$B$3:$AJ$154,COLUMN(),FALSE) = "","",VLOOKUP($A51,overview!$B$3:$AJ$154,COLUMN(O51),FALSE))</f>
        <v/>
      </c>
      <c r="P51" s="3" t="str">
        <f>IF(VLOOKUP($A51,overview!$B$3:$AJ$154,COLUMN(),FALSE) = "","",VLOOKUP($A51,overview!$B$3:$AJ$154,COLUMN(P51),FALSE))</f>
        <v/>
      </c>
      <c r="Q51" s="3" t="str">
        <f>IF(VLOOKUP($A51,overview!$B$3:$AJ$154,COLUMN(),FALSE) = "","",VLOOKUP($A51,overview!$B$3:$AJ$154,COLUMN(Q51),FALSE))</f>
        <v/>
      </c>
      <c r="R51" s="3" t="str">
        <f>IF(VLOOKUP($A51,overview!$B$3:$AJ$154,COLUMN(),FALSE) = "","",VLOOKUP($A51,overview!$B$3:$AJ$154,COLUMN(R51),FALSE))</f>
        <v/>
      </c>
      <c r="S51" s="3" t="str">
        <f>IF(VLOOKUP($A51,overview!$B$3:$AJ$154,COLUMN(),FALSE) = "","",VLOOKUP($A51,overview!$B$3:$AJ$154,COLUMN(S51),FALSE))</f>
        <v/>
      </c>
      <c r="T51" s="3" t="str">
        <f>IF(VLOOKUP($A51,overview!$B$3:$AJ$154,COLUMN(),FALSE) = "","",VLOOKUP($A51,overview!$B$3:$AJ$154,COLUMN(T51),FALSE))</f>
        <v/>
      </c>
      <c r="U51" s="3" t="str">
        <f>IF(VLOOKUP($A51,overview!$B$3:$AJ$154,COLUMN(),FALSE) = "","",VLOOKUP($A51,overview!$B$3:$AJ$154,COLUMN(U51),FALSE))</f>
        <v/>
      </c>
      <c r="V51" s="3" t="str">
        <f>IF(VLOOKUP($A51,overview!$B$3:$AJ$154,COLUMN(),FALSE) = "","",VLOOKUP($A51,overview!$B$3:$AJ$154,COLUMN(V51),FALSE))</f>
        <v/>
      </c>
      <c r="W51" s="3" t="str">
        <f>IF(VLOOKUP($A51,overview!$B$3:$AJ$154,COLUMN(),FALSE) = "","",VLOOKUP($A51,overview!$B$3:$AJ$154,COLUMN(W51),FALSE))</f>
        <v/>
      </c>
      <c r="X51" s="3" t="str">
        <f>IF(VLOOKUP($A51,overview!$B$3:$AJ$154,COLUMN(),FALSE) = "","",VLOOKUP($A51,overview!$B$3:$AJ$154,COLUMN(X51),FALSE))</f>
        <v/>
      </c>
      <c r="Y51" s="3" t="str">
        <f>IF(VLOOKUP($A51,overview!$B$3:$AJ$154,COLUMN(),FALSE) = "","",VLOOKUP($A51,overview!$B$3:$AJ$154,COLUMN(Y51),FALSE))</f>
        <v/>
      </c>
      <c r="Z51" s="3" t="str">
        <f>IF(VLOOKUP($A51,overview!$B$3:$AJ$154,COLUMN(),FALSE) = "","",VLOOKUP($A51,overview!$B$3:$AJ$154,COLUMN(Z51),FALSE))</f>
        <v/>
      </c>
      <c r="AA51" s="3" t="str">
        <f>IF(VLOOKUP($A51,overview!$B$3:$AJ$154,COLUMN(),FALSE) = "","",VLOOKUP($A51,overview!$B$3:$AJ$154,COLUMN(AA51),FALSE))</f>
        <v/>
      </c>
      <c r="AB51" s="3" t="str">
        <f>IF(VLOOKUP($A51,overview!$B$3:$AJ$154,COLUMN(),FALSE) = "","",VLOOKUP($A51,overview!$B$3:$AJ$154,COLUMN(AB51),FALSE))</f>
        <v/>
      </c>
      <c r="AC51" s="3" t="str">
        <f>IF(VLOOKUP($A51,overview!$B$3:$AJ$154,COLUMN(),FALSE) = "","",VLOOKUP($A51,overview!$B$3:$AJ$154,COLUMN(AC51),FALSE))</f>
        <v/>
      </c>
      <c r="AD51" s="3" t="str">
        <f>IF(VLOOKUP($A51,overview!$B$3:$AJ$154,COLUMN(),FALSE) = "","",VLOOKUP($A51,overview!$B$3:$AJ$154,COLUMN(AD51),FALSE))</f>
        <v/>
      </c>
      <c r="AE51" s="3" t="str">
        <f>IF(VLOOKUP($A51,overview!$B$3:$AJ$154,COLUMN(),FALSE) = "","",VLOOKUP($A51,overview!$B$3:$AJ$154,COLUMN(AE51),FALSE))</f>
        <v/>
      </c>
      <c r="AF51" s="3" t="str">
        <f>IF(VLOOKUP($A51,overview!$B$3:$AJ$154,COLUMN(),FALSE) = "","",VLOOKUP($A51,overview!$B$3:$AJ$154,COLUMN(AF51),FALSE))</f>
        <v/>
      </c>
      <c r="AG51" s="3" t="str">
        <f>IF(VLOOKUP($A51,overview!$B$3:$AJ$154,COLUMN(),FALSE) = "","",VLOOKUP($A51,overview!$B$3:$AJ$154,COLUMN(AG51),FALSE))</f>
        <v/>
      </c>
      <c r="AH51" s="3" t="str">
        <f>IF(VLOOKUP($A51,overview!$B$3:$AJ$154,COLUMN(),FALSE) = "","",VLOOKUP($A51,overview!$B$3:$AJ$154,COLUMN(AH51),FALSE))</f>
        <v/>
      </c>
      <c r="AI51" s="3" t="str">
        <f>IF(VLOOKUP($A51,overview!$B$3:$AJ$154,COLUMN(),FALSE) = "","",VLOOKUP($A51,overview!$B$3:$AJ$154,COLUMN(AI51),FALSE))</f>
        <v>kWth/kWel</v>
      </c>
    </row>
    <row r="52" spans="1:35" ht="15.75" customHeight="1" x14ac:dyDescent="0.2">
      <c r="A52" s="8" t="s">
        <v>174</v>
      </c>
      <c r="B52" s="3">
        <f>IF(VLOOKUP($A52,overview!$B$3:$AJ$154,COLUMN(),FALSE) = "","",VLOOKUP($A52,overview!$B$3:$AJ$154,COLUMN(B52),FALSE))</f>
        <v>20</v>
      </c>
      <c r="C52" s="3">
        <f>IF(VLOOKUP($A52,overview!$B$3:$AJ$154,COLUMN(),FALSE) = "","",VLOOKUP($A52,overview!$B$3:$AJ$154,COLUMN(C52),FALSE))</f>
        <v>15</v>
      </c>
      <c r="D52" s="3">
        <f>IF(VLOOKUP($A52,overview!$B$3:$AJ$154,COLUMN(),FALSE) = "","",VLOOKUP($A52,overview!$B$3:$AJ$154,COLUMN(D52),FALSE))</f>
        <v>25</v>
      </c>
      <c r="E52" s="3" t="str">
        <f>IF(VLOOKUP($A52,overview!$B$3:$AJ$154,COLUMN(),FALSE) = "","",VLOOKUP($A52,overview!$B$3:$AJ$154,COLUMN(E52),FALSE))</f>
        <v/>
      </c>
      <c r="F52" s="3" t="str">
        <f>IF(VLOOKUP($A52,overview!$B$3:$AJ$154,COLUMN(),FALSE) = "","",VLOOKUP($A52,overview!$B$3:$AJ$154,COLUMN(F52),FALSE))</f>
        <v/>
      </c>
      <c r="G52" s="3" t="str">
        <f>IF(VLOOKUP($A52,overview!$B$3:$AJ$154,COLUMN(),FALSE) = "","",VLOOKUP($A52,overview!$B$3:$AJ$154,COLUMN(G52),FALSE))</f>
        <v/>
      </c>
      <c r="H52" s="3" t="str">
        <f>IF(VLOOKUP($A52,overview!$B$3:$AJ$154,COLUMN(),FALSE) = "","",VLOOKUP($A52,overview!$B$3:$AJ$154,COLUMN(H52),FALSE))</f>
        <v/>
      </c>
      <c r="I52" s="3" t="str">
        <f>IF(VLOOKUP($A52,overview!$B$3:$AJ$154,COLUMN(),FALSE) = "","",VLOOKUP($A52,overview!$B$3:$AJ$154,COLUMN(I52),FALSE))</f>
        <v/>
      </c>
      <c r="J52" s="3" t="str">
        <f>IF(VLOOKUP($A52,overview!$B$3:$AJ$154,COLUMN(),FALSE) = "","",VLOOKUP($A52,overview!$B$3:$AJ$154,COLUMN(J52),FALSE))</f>
        <v/>
      </c>
      <c r="K52" s="3" t="str">
        <f>IF(VLOOKUP($A52,overview!$B$3:$AJ$154,COLUMN(),FALSE) = "","",VLOOKUP($A52,overview!$B$3:$AJ$154,COLUMN(K52),FALSE))</f>
        <v/>
      </c>
      <c r="L52" s="3" t="str">
        <f>IF(VLOOKUP($A52,overview!$B$3:$AJ$154,COLUMN(),FALSE) = "","",VLOOKUP($A52,overview!$B$3:$AJ$154,COLUMN(L52),FALSE))</f>
        <v/>
      </c>
      <c r="M52" s="3" t="str">
        <f>IF(VLOOKUP($A52,overview!$B$3:$AJ$154,COLUMN(),FALSE) = "","",VLOOKUP($A52,overview!$B$3:$AJ$154,COLUMN(M52),FALSE))</f>
        <v/>
      </c>
      <c r="N52" s="3" t="str">
        <f>IF(VLOOKUP($A52,overview!$B$3:$AJ$154,COLUMN(),FALSE) = "","",VLOOKUP($A52,overview!$B$3:$AJ$154,COLUMN(N52),FALSE))</f>
        <v/>
      </c>
      <c r="O52" s="3" t="str">
        <f>IF(VLOOKUP($A52,overview!$B$3:$AJ$154,COLUMN(),FALSE) = "","",VLOOKUP($A52,overview!$B$3:$AJ$154,COLUMN(O52),FALSE))</f>
        <v/>
      </c>
      <c r="P52" s="3" t="str">
        <f>IF(VLOOKUP($A52,overview!$B$3:$AJ$154,COLUMN(),FALSE) = "","",VLOOKUP($A52,overview!$B$3:$AJ$154,COLUMN(P52),FALSE))</f>
        <v/>
      </c>
      <c r="Q52" s="3" t="str">
        <f>IF(VLOOKUP($A52,overview!$B$3:$AJ$154,COLUMN(),FALSE) = "","",VLOOKUP($A52,overview!$B$3:$AJ$154,COLUMN(Q52),FALSE))</f>
        <v/>
      </c>
      <c r="R52" s="3" t="str">
        <f>IF(VLOOKUP($A52,overview!$B$3:$AJ$154,COLUMN(),FALSE) = "","",VLOOKUP($A52,overview!$B$3:$AJ$154,COLUMN(R52),FALSE))</f>
        <v/>
      </c>
      <c r="S52" s="3" t="str">
        <f>IF(VLOOKUP($A52,overview!$B$3:$AJ$154,COLUMN(),FALSE) = "","",VLOOKUP($A52,overview!$B$3:$AJ$154,COLUMN(S52),FALSE))</f>
        <v/>
      </c>
      <c r="T52" s="3" t="str">
        <f>IF(VLOOKUP($A52,overview!$B$3:$AJ$154,COLUMN(),FALSE) = "","",VLOOKUP($A52,overview!$B$3:$AJ$154,COLUMN(T52),FALSE))</f>
        <v/>
      </c>
      <c r="U52" s="3" t="str">
        <f>IF(VLOOKUP($A52,overview!$B$3:$AJ$154,COLUMN(),FALSE) = "","",VLOOKUP($A52,overview!$B$3:$AJ$154,COLUMN(U52),FALSE))</f>
        <v/>
      </c>
      <c r="V52" s="3" t="str">
        <f>IF(VLOOKUP($A52,overview!$B$3:$AJ$154,COLUMN(),FALSE) = "","",VLOOKUP($A52,overview!$B$3:$AJ$154,COLUMN(V52),FALSE))</f>
        <v/>
      </c>
      <c r="W52" s="3" t="str">
        <f>IF(VLOOKUP($A52,overview!$B$3:$AJ$154,COLUMN(),FALSE) = "","",VLOOKUP($A52,overview!$B$3:$AJ$154,COLUMN(W52),FALSE))</f>
        <v/>
      </c>
      <c r="X52" s="3" t="str">
        <f>IF(VLOOKUP($A52,overview!$B$3:$AJ$154,COLUMN(),FALSE) = "","",VLOOKUP($A52,overview!$B$3:$AJ$154,COLUMN(X52),FALSE))</f>
        <v/>
      </c>
      <c r="Y52" s="3" t="str">
        <f>IF(VLOOKUP($A52,overview!$B$3:$AJ$154,COLUMN(),FALSE) = "","",VLOOKUP($A52,overview!$B$3:$AJ$154,COLUMN(Y52),FALSE))</f>
        <v/>
      </c>
      <c r="Z52" s="3" t="str">
        <f>IF(VLOOKUP($A52,overview!$B$3:$AJ$154,COLUMN(),FALSE) = "","",VLOOKUP($A52,overview!$B$3:$AJ$154,COLUMN(Z52),FALSE))</f>
        <v/>
      </c>
      <c r="AA52" s="3" t="str">
        <f>IF(VLOOKUP($A52,overview!$B$3:$AJ$154,COLUMN(),FALSE) = "","",VLOOKUP($A52,overview!$B$3:$AJ$154,COLUMN(AA52),FALSE))</f>
        <v/>
      </c>
      <c r="AB52" s="3" t="str">
        <f>IF(VLOOKUP($A52,overview!$B$3:$AJ$154,COLUMN(),FALSE) = "","",VLOOKUP($A52,overview!$B$3:$AJ$154,COLUMN(AB52),FALSE))</f>
        <v/>
      </c>
      <c r="AC52" s="3" t="str">
        <f>IF(VLOOKUP($A52,overview!$B$3:$AJ$154,COLUMN(),FALSE) = "","",VLOOKUP($A52,overview!$B$3:$AJ$154,COLUMN(AC52),FALSE))</f>
        <v/>
      </c>
      <c r="AD52" s="3" t="str">
        <f>IF(VLOOKUP($A52,overview!$B$3:$AJ$154,COLUMN(),FALSE) = "","",VLOOKUP($A52,overview!$B$3:$AJ$154,COLUMN(AD52),FALSE))</f>
        <v/>
      </c>
      <c r="AE52" s="3" t="str">
        <f>IF(VLOOKUP($A52,overview!$B$3:$AJ$154,COLUMN(),FALSE) = "","",VLOOKUP($A52,overview!$B$3:$AJ$154,COLUMN(AE52),FALSE))</f>
        <v/>
      </c>
      <c r="AF52" s="3" t="str">
        <f>IF(VLOOKUP($A52,overview!$B$3:$AJ$154,COLUMN(),FALSE) = "","",VLOOKUP($A52,overview!$B$3:$AJ$154,COLUMN(AF52),FALSE))</f>
        <v/>
      </c>
      <c r="AG52" s="3" t="str">
        <f>IF(VLOOKUP($A52,overview!$B$3:$AJ$154,COLUMN(),FALSE) = "","",VLOOKUP($A52,overview!$B$3:$AJ$154,COLUMN(AG52),FALSE))</f>
        <v/>
      </c>
      <c r="AH52" s="3" t="str">
        <f>IF(VLOOKUP($A52,overview!$B$3:$AJ$154,COLUMN(),FALSE) = "","",VLOOKUP($A52,overview!$B$3:$AJ$154,COLUMN(AH52),FALSE))</f>
        <v/>
      </c>
      <c r="AI52" s="3" t="str">
        <f>IF(VLOOKUP($A52,overview!$B$3:$AJ$154,COLUMN(),FALSE) = "","",VLOOKUP($A52,overview!$B$3:$AJ$154,COLUMN(AI52),FALSE))</f>
        <v>years</v>
      </c>
    </row>
    <row r="53" spans="1:35" ht="15.75" customHeight="1" x14ac:dyDescent="0.2">
      <c r="A53" s="8" t="s">
        <v>176</v>
      </c>
      <c r="B53" s="27">
        <f>IF(VLOOKUP($A53,overview!$B$3:$AJ$154,COLUMN(),FALSE) = "","",VLOOKUP($A53,overview!$B$3:$AJ$154,COLUMN(B53),FALSE))</f>
        <v>10000000</v>
      </c>
      <c r="C53" s="3" t="str">
        <f>IF(VLOOKUP($A53,overview!$B$3:$AJ$154,COLUMN(),FALSE) = "","",VLOOKUP($A53,overview!$B$3:$AJ$154,COLUMN(C53),FALSE))</f>
        <v/>
      </c>
      <c r="D53" s="3" t="str">
        <f>IF(VLOOKUP($A53,overview!$B$3:$AJ$154,COLUMN(),FALSE) = "","",VLOOKUP($A53,overview!$B$3:$AJ$154,COLUMN(D53),FALSE))</f>
        <v/>
      </c>
      <c r="E53" s="3" t="str">
        <f>IF(VLOOKUP($A53,overview!$B$3:$AJ$154,COLUMN(),FALSE) = "","",VLOOKUP($A53,overview!$B$3:$AJ$154,COLUMN(E53),FALSE))</f>
        <v/>
      </c>
      <c r="F53" s="3" t="str">
        <f>IF(VLOOKUP($A53,overview!$B$3:$AJ$154,COLUMN(),FALSE) = "","",VLOOKUP($A53,overview!$B$3:$AJ$154,COLUMN(F53),FALSE))</f>
        <v/>
      </c>
      <c r="G53" s="3" t="str">
        <f>IF(VLOOKUP($A53,overview!$B$3:$AJ$154,COLUMN(),FALSE) = "","",VLOOKUP($A53,overview!$B$3:$AJ$154,COLUMN(G53),FALSE))</f>
        <v/>
      </c>
      <c r="H53" s="3" t="str">
        <f>IF(VLOOKUP($A53,overview!$B$3:$AJ$154,COLUMN(),FALSE) = "","",VLOOKUP($A53,overview!$B$3:$AJ$154,COLUMN(H53),FALSE))</f>
        <v/>
      </c>
      <c r="I53" s="3" t="str">
        <f>IF(VLOOKUP($A53,overview!$B$3:$AJ$154,COLUMN(),FALSE) = "","",VLOOKUP($A53,overview!$B$3:$AJ$154,COLUMN(I53),FALSE))</f>
        <v/>
      </c>
      <c r="J53" s="3" t="str">
        <f>IF(VLOOKUP($A53,overview!$B$3:$AJ$154,COLUMN(),FALSE) = "","",VLOOKUP($A53,overview!$B$3:$AJ$154,COLUMN(J53),FALSE))</f>
        <v/>
      </c>
      <c r="K53" s="3" t="str">
        <f>IF(VLOOKUP($A53,overview!$B$3:$AJ$154,COLUMN(),FALSE) = "","",VLOOKUP($A53,overview!$B$3:$AJ$154,COLUMN(K53),FALSE))</f>
        <v/>
      </c>
      <c r="L53" s="3" t="str">
        <f>IF(VLOOKUP($A53,overview!$B$3:$AJ$154,COLUMN(),FALSE) = "","",VLOOKUP($A53,overview!$B$3:$AJ$154,COLUMN(L53),FALSE))</f>
        <v/>
      </c>
      <c r="M53" s="3" t="str">
        <f>IF(VLOOKUP($A53,overview!$B$3:$AJ$154,COLUMN(),FALSE) = "","",VLOOKUP($A53,overview!$B$3:$AJ$154,COLUMN(M53),FALSE))</f>
        <v/>
      </c>
      <c r="N53" s="3" t="str">
        <f>IF(VLOOKUP($A53,overview!$B$3:$AJ$154,COLUMN(),FALSE) = "","",VLOOKUP($A53,overview!$B$3:$AJ$154,COLUMN(N53),FALSE))</f>
        <v/>
      </c>
      <c r="O53" s="3" t="str">
        <f>IF(VLOOKUP($A53,overview!$B$3:$AJ$154,COLUMN(),FALSE) = "","",VLOOKUP($A53,overview!$B$3:$AJ$154,COLUMN(O53),FALSE))</f>
        <v/>
      </c>
      <c r="P53" s="3" t="str">
        <f>IF(VLOOKUP($A53,overview!$B$3:$AJ$154,COLUMN(),FALSE) = "","",VLOOKUP($A53,overview!$B$3:$AJ$154,COLUMN(P53),FALSE))</f>
        <v/>
      </c>
      <c r="Q53" s="3" t="str">
        <f>IF(VLOOKUP($A53,overview!$B$3:$AJ$154,COLUMN(),FALSE) = "","",VLOOKUP($A53,overview!$B$3:$AJ$154,COLUMN(Q53),FALSE))</f>
        <v/>
      </c>
      <c r="R53" s="3" t="str">
        <f>IF(VLOOKUP($A53,overview!$B$3:$AJ$154,COLUMN(),FALSE) = "","",VLOOKUP($A53,overview!$B$3:$AJ$154,COLUMN(R53),FALSE))</f>
        <v/>
      </c>
      <c r="S53" s="3" t="str">
        <f>IF(VLOOKUP($A53,overview!$B$3:$AJ$154,COLUMN(),FALSE) = "","",VLOOKUP($A53,overview!$B$3:$AJ$154,COLUMN(S53),FALSE))</f>
        <v/>
      </c>
      <c r="T53" s="3" t="str">
        <f>IF(VLOOKUP($A53,overview!$B$3:$AJ$154,COLUMN(),FALSE) = "","",VLOOKUP($A53,overview!$B$3:$AJ$154,COLUMN(T53),FALSE))</f>
        <v/>
      </c>
      <c r="U53" s="3" t="str">
        <f>IF(VLOOKUP($A53,overview!$B$3:$AJ$154,COLUMN(),FALSE) = "","",VLOOKUP($A53,overview!$B$3:$AJ$154,COLUMN(U53),FALSE))</f>
        <v/>
      </c>
      <c r="V53" s="3" t="str">
        <f>IF(VLOOKUP($A53,overview!$B$3:$AJ$154,COLUMN(),FALSE) = "","",VLOOKUP($A53,overview!$B$3:$AJ$154,COLUMN(V53),FALSE))</f>
        <v/>
      </c>
      <c r="W53" s="3" t="str">
        <f>IF(VLOOKUP($A53,overview!$B$3:$AJ$154,COLUMN(),FALSE) = "","",VLOOKUP($A53,overview!$B$3:$AJ$154,COLUMN(W53),FALSE))</f>
        <v/>
      </c>
      <c r="X53" s="3" t="str">
        <f>IF(VLOOKUP($A53,overview!$B$3:$AJ$154,COLUMN(),FALSE) = "","",VLOOKUP($A53,overview!$B$3:$AJ$154,COLUMN(X53),FALSE))</f>
        <v/>
      </c>
      <c r="Y53" s="3" t="str">
        <f>IF(VLOOKUP($A53,overview!$B$3:$AJ$154,COLUMN(),FALSE) = "","",VLOOKUP($A53,overview!$B$3:$AJ$154,COLUMN(Y53),FALSE))</f>
        <v/>
      </c>
      <c r="Z53" s="3" t="str">
        <f>IF(VLOOKUP($A53,overview!$B$3:$AJ$154,COLUMN(),FALSE) = "","",VLOOKUP($A53,overview!$B$3:$AJ$154,COLUMN(Z53),FALSE))</f>
        <v/>
      </c>
      <c r="AA53" s="3" t="str">
        <f>IF(VLOOKUP($A53,overview!$B$3:$AJ$154,COLUMN(),FALSE) = "","",VLOOKUP($A53,overview!$B$3:$AJ$154,COLUMN(AA53),FALSE))</f>
        <v/>
      </c>
      <c r="AB53" s="3" t="str">
        <f>IF(VLOOKUP($A53,overview!$B$3:$AJ$154,COLUMN(),FALSE) = "","",VLOOKUP($A53,overview!$B$3:$AJ$154,COLUMN(AB53),FALSE))</f>
        <v/>
      </c>
      <c r="AC53" s="3" t="str">
        <f>IF(VLOOKUP($A53,overview!$B$3:$AJ$154,COLUMN(),FALSE) = "","",VLOOKUP($A53,overview!$B$3:$AJ$154,COLUMN(AC53),FALSE))</f>
        <v/>
      </c>
      <c r="AD53" s="3" t="str">
        <f>IF(VLOOKUP($A53,overview!$B$3:$AJ$154,COLUMN(),FALSE) = "","",VLOOKUP($A53,overview!$B$3:$AJ$154,COLUMN(AD53),FALSE))</f>
        <v/>
      </c>
      <c r="AE53" s="3" t="str">
        <f>IF(VLOOKUP($A53,overview!$B$3:$AJ$154,COLUMN(),FALSE) = "","",VLOOKUP($A53,overview!$B$3:$AJ$154,COLUMN(AE53),FALSE))</f>
        <v/>
      </c>
      <c r="AF53" s="3" t="str">
        <f>IF(VLOOKUP($A53,overview!$B$3:$AJ$154,COLUMN(),FALSE) = "","",VLOOKUP($A53,overview!$B$3:$AJ$154,COLUMN(AF53),FALSE))</f>
        <v/>
      </c>
      <c r="AG53" s="3" t="str">
        <f>IF(VLOOKUP($A53,overview!$B$3:$AJ$154,COLUMN(),FALSE) = "","",VLOOKUP($A53,overview!$B$3:$AJ$154,COLUMN(AG53),FALSE))</f>
        <v/>
      </c>
      <c r="AH53" s="3" t="str">
        <f>IF(VLOOKUP($A53,overview!$B$3:$AJ$154,COLUMN(),FALSE) = "","",VLOOKUP($A53,overview!$B$3:$AJ$154,COLUMN(AH53),FALSE))</f>
        <v/>
      </c>
      <c r="AI53" s="3" t="str">
        <f>IF(VLOOKUP($A53,overview!$B$3:$AJ$154,COLUMN(),FALSE) = "","",VLOOKUP($A53,overview!$B$3:$AJ$154,COLUMN(AI53),FALSE))</f>
        <v>kgCO2</v>
      </c>
    </row>
    <row r="54" spans="1:35" ht="15.75" customHeight="1" x14ac:dyDescent="0.2">
      <c r="A54" s="8" t="s">
        <v>178</v>
      </c>
      <c r="B54" s="3">
        <f>IF(VLOOKUP($A54,overview!$B$3:$AJ$154,COLUMN(),FALSE) = "","",VLOOKUP($A54,overview!$B$3:$AJ$154,COLUMN(B54),FALSE))</f>
        <v>0</v>
      </c>
      <c r="C54" s="3" t="str">
        <f>IF(VLOOKUP($A54,overview!$B$3:$AJ$154,COLUMN(),FALSE) = "","",VLOOKUP($A54,overview!$B$3:$AJ$154,COLUMN(C54),FALSE))</f>
        <v/>
      </c>
      <c r="D54" s="3" t="str">
        <f>IF(VLOOKUP($A54,overview!$B$3:$AJ$154,COLUMN(),FALSE) = "","",VLOOKUP($A54,overview!$B$3:$AJ$154,COLUMN(D54),FALSE))</f>
        <v/>
      </c>
      <c r="E54" s="3" t="str">
        <f>IF(VLOOKUP($A54,overview!$B$3:$AJ$154,COLUMN(),FALSE) = "","",VLOOKUP($A54,overview!$B$3:$AJ$154,COLUMN(E54),FALSE))</f>
        <v/>
      </c>
      <c r="F54" s="3" t="str">
        <f>IF(VLOOKUP($A54,overview!$B$3:$AJ$154,COLUMN(),FALSE) = "","",VLOOKUP($A54,overview!$B$3:$AJ$154,COLUMN(F54),FALSE))</f>
        <v/>
      </c>
      <c r="G54" s="3" t="str">
        <f>IF(VLOOKUP($A54,overview!$B$3:$AJ$154,COLUMN(),FALSE) = "","",VLOOKUP($A54,overview!$B$3:$AJ$154,COLUMN(G54),FALSE))</f>
        <v/>
      </c>
      <c r="H54" s="3" t="str">
        <f>IF(VLOOKUP($A54,overview!$B$3:$AJ$154,COLUMN(),FALSE) = "","",VLOOKUP($A54,overview!$B$3:$AJ$154,COLUMN(H54),FALSE))</f>
        <v/>
      </c>
      <c r="I54" s="3" t="str">
        <f>IF(VLOOKUP($A54,overview!$B$3:$AJ$154,COLUMN(),FALSE) = "","",VLOOKUP($A54,overview!$B$3:$AJ$154,COLUMN(I54),FALSE))</f>
        <v/>
      </c>
      <c r="J54" s="3" t="str">
        <f>IF(VLOOKUP($A54,overview!$B$3:$AJ$154,COLUMN(),FALSE) = "","",VLOOKUP($A54,overview!$B$3:$AJ$154,COLUMN(J54),FALSE))</f>
        <v/>
      </c>
      <c r="K54" s="3" t="str">
        <f>IF(VLOOKUP($A54,overview!$B$3:$AJ$154,COLUMN(),FALSE) = "","",VLOOKUP($A54,overview!$B$3:$AJ$154,COLUMN(K54),FALSE))</f>
        <v/>
      </c>
      <c r="L54" s="3" t="str">
        <f>IF(VLOOKUP($A54,overview!$B$3:$AJ$154,COLUMN(),FALSE) = "","",VLOOKUP($A54,overview!$B$3:$AJ$154,COLUMN(L54),FALSE))</f>
        <v/>
      </c>
      <c r="M54" s="3" t="str">
        <f>IF(VLOOKUP($A54,overview!$B$3:$AJ$154,COLUMN(),FALSE) = "","",VLOOKUP($A54,overview!$B$3:$AJ$154,COLUMN(M54),FALSE))</f>
        <v/>
      </c>
      <c r="N54" s="3" t="str">
        <f>IF(VLOOKUP($A54,overview!$B$3:$AJ$154,COLUMN(),FALSE) = "","",VLOOKUP($A54,overview!$B$3:$AJ$154,COLUMN(N54),FALSE))</f>
        <v/>
      </c>
      <c r="O54" s="3" t="str">
        <f>IF(VLOOKUP($A54,overview!$B$3:$AJ$154,COLUMN(),FALSE) = "","",VLOOKUP($A54,overview!$B$3:$AJ$154,COLUMN(O54),FALSE))</f>
        <v/>
      </c>
      <c r="P54" s="3" t="str">
        <f>IF(VLOOKUP($A54,overview!$B$3:$AJ$154,COLUMN(),FALSE) = "","",VLOOKUP($A54,overview!$B$3:$AJ$154,COLUMN(P54),FALSE))</f>
        <v/>
      </c>
      <c r="Q54" s="3" t="str">
        <f>IF(VLOOKUP($A54,overview!$B$3:$AJ$154,COLUMN(),FALSE) = "","",VLOOKUP($A54,overview!$B$3:$AJ$154,COLUMN(Q54),FALSE))</f>
        <v/>
      </c>
      <c r="R54" s="3" t="str">
        <f>IF(VLOOKUP($A54,overview!$B$3:$AJ$154,COLUMN(),FALSE) = "","",VLOOKUP($A54,overview!$B$3:$AJ$154,COLUMN(R54),FALSE))</f>
        <v/>
      </c>
      <c r="S54" s="3" t="str">
        <f>IF(VLOOKUP($A54,overview!$B$3:$AJ$154,COLUMN(),FALSE) = "","",VLOOKUP($A54,overview!$B$3:$AJ$154,COLUMN(S54),FALSE))</f>
        <v/>
      </c>
      <c r="T54" s="3" t="str">
        <f>IF(VLOOKUP($A54,overview!$B$3:$AJ$154,COLUMN(),FALSE) = "","",VLOOKUP($A54,overview!$B$3:$AJ$154,COLUMN(T54),FALSE))</f>
        <v/>
      </c>
      <c r="U54" s="3" t="str">
        <f>IF(VLOOKUP($A54,overview!$B$3:$AJ$154,COLUMN(),FALSE) = "","",VLOOKUP($A54,overview!$B$3:$AJ$154,COLUMN(U54),FALSE))</f>
        <v/>
      </c>
      <c r="V54" s="3" t="str">
        <f>IF(VLOOKUP($A54,overview!$B$3:$AJ$154,COLUMN(),FALSE) = "","",VLOOKUP($A54,overview!$B$3:$AJ$154,COLUMN(V54),FALSE))</f>
        <v/>
      </c>
      <c r="W54" s="3" t="str">
        <f>IF(VLOOKUP($A54,overview!$B$3:$AJ$154,COLUMN(),FALSE) = "","",VLOOKUP($A54,overview!$B$3:$AJ$154,COLUMN(W54),FALSE))</f>
        <v/>
      </c>
      <c r="X54" s="3" t="str">
        <f>IF(VLOOKUP($A54,overview!$B$3:$AJ$154,COLUMN(),FALSE) = "","",VLOOKUP($A54,overview!$B$3:$AJ$154,COLUMN(X54),FALSE))</f>
        <v/>
      </c>
      <c r="Y54" s="3" t="str">
        <f>IF(VLOOKUP($A54,overview!$B$3:$AJ$154,COLUMN(),FALSE) = "","",VLOOKUP($A54,overview!$B$3:$AJ$154,COLUMN(Y54),FALSE))</f>
        <v/>
      </c>
      <c r="Z54" s="3" t="str">
        <f>IF(VLOOKUP($A54,overview!$B$3:$AJ$154,COLUMN(),FALSE) = "","",VLOOKUP($A54,overview!$B$3:$AJ$154,COLUMN(Z54),FALSE))</f>
        <v/>
      </c>
      <c r="AA54" s="3" t="str">
        <f>IF(VLOOKUP($A54,overview!$B$3:$AJ$154,COLUMN(),FALSE) = "","",VLOOKUP($A54,overview!$B$3:$AJ$154,COLUMN(AA54),FALSE))</f>
        <v/>
      </c>
      <c r="AB54" s="3" t="str">
        <f>IF(VLOOKUP($A54,overview!$B$3:$AJ$154,COLUMN(),FALSE) = "","",VLOOKUP($A54,overview!$B$3:$AJ$154,COLUMN(AB54),FALSE))</f>
        <v/>
      </c>
      <c r="AC54" s="3" t="str">
        <f>IF(VLOOKUP($A54,overview!$B$3:$AJ$154,COLUMN(),FALSE) = "","",VLOOKUP($A54,overview!$B$3:$AJ$154,COLUMN(AC54),FALSE))</f>
        <v/>
      </c>
      <c r="AD54" s="3" t="str">
        <f>IF(VLOOKUP($A54,overview!$B$3:$AJ$154,COLUMN(),FALSE) = "","",VLOOKUP($A54,overview!$B$3:$AJ$154,COLUMN(AD54),FALSE))</f>
        <v/>
      </c>
      <c r="AE54" s="3" t="str">
        <f>IF(VLOOKUP($A54,overview!$B$3:$AJ$154,COLUMN(),FALSE) = "","",VLOOKUP($A54,overview!$B$3:$AJ$154,COLUMN(AE54),FALSE))</f>
        <v/>
      </c>
      <c r="AF54" s="3" t="str">
        <f>IF(VLOOKUP($A54,overview!$B$3:$AJ$154,COLUMN(),FALSE) = "","",VLOOKUP($A54,overview!$B$3:$AJ$154,COLUMN(AF54),FALSE))</f>
        <v/>
      </c>
      <c r="AG54" s="3" t="str">
        <f>IF(VLOOKUP($A54,overview!$B$3:$AJ$154,COLUMN(),FALSE) = "","",VLOOKUP($A54,overview!$B$3:$AJ$154,COLUMN(AG54),FALSE))</f>
        <v/>
      </c>
      <c r="AH54" s="3" t="str">
        <f>IF(VLOOKUP($A54,overview!$B$3:$AJ$154,COLUMN(),FALSE) = "","",VLOOKUP($A54,overview!$B$3:$AJ$154,COLUMN(AH54),FALSE))</f>
        <v/>
      </c>
      <c r="AI54" s="3" t="str">
        <f>IF(VLOOKUP($A54,overview!$B$3:$AJ$154,COLUMN(),FALSE) = "","",VLOOKUP($A54,overview!$B$3:$AJ$154,COLUMN(AI54),FALSE))</f>
        <v>kgCO2</v>
      </c>
    </row>
    <row r="55" spans="1:35" ht="15.75" customHeight="1" x14ac:dyDescent="0.2">
      <c r="A55" s="8" t="s">
        <v>179</v>
      </c>
      <c r="B55" s="28">
        <f>IF(VLOOKUP($A55,overview!$B$3:$AJ$154,COLUMN(),FALSE) = "","",VLOOKUP($A55,overview!$B$3:$AJ$154,COLUMN(B55),FALSE))</f>
        <v>1500</v>
      </c>
      <c r="C55" s="3">
        <f>IF(VLOOKUP($A55,overview!$B$3:$AJ$154,COLUMN(),FALSE) = "","",VLOOKUP($A55,overview!$B$3:$AJ$154,COLUMN(C55),FALSE))</f>
        <v>1200</v>
      </c>
      <c r="D55" s="3">
        <f>IF(VLOOKUP($A55,overview!$B$3:$AJ$154,COLUMN(),FALSE) = "","",VLOOKUP($A55,overview!$B$3:$AJ$154,COLUMN(D55),FALSE))</f>
        <v>1800</v>
      </c>
      <c r="E55" s="28">
        <f>IF(VLOOKUP($A55,overview!$B$3:$AJ$154,COLUMN(),FALSE) = "","",VLOOKUP($A55,overview!$B$3:$AJ$154,COLUMN(E55),FALSE))</f>
        <v>1475</v>
      </c>
      <c r="F55" s="28">
        <f>IF(VLOOKUP($A55,overview!$B$3:$AJ$154,COLUMN(),FALSE) = "","",VLOOKUP($A55,overview!$B$3:$AJ$154,COLUMN(F55),FALSE))</f>
        <v>1450</v>
      </c>
      <c r="G55" s="28">
        <f>IF(VLOOKUP($A55,overview!$B$3:$AJ$154,COLUMN(),FALSE) = "","",VLOOKUP($A55,overview!$B$3:$AJ$154,COLUMN(G55),FALSE))</f>
        <v>1425</v>
      </c>
      <c r="H55" s="28">
        <f>IF(VLOOKUP($A55,overview!$B$3:$AJ$154,COLUMN(),FALSE) = "","",VLOOKUP($A55,overview!$B$3:$AJ$154,COLUMN(H55),FALSE))</f>
        <v>1400</v>
      </c>
      <c r="I55" s="28">
        <f>IF(VLOOKUP($A55,overview!$B$3:$AJ$154,COLUMN(),FALSE) = "","",VLOOKUP($A55,overview!$B$3:$AJ$154,COLUMN(I55),FALSE))</f>
        <v>1375</v>
      </c>
      <c r="J55" s="28">
        <f>IF(VLOOKUP($A55,overview!$B$3:$AJ$154,COLUMN(),FALSE) = "","",VLOOKUP($A55,overview!$B$3:$AJ$154,COLUMN(J55),FALSE))</f>
        <v>1350</v>
      </c>
      <c r="K55" s="28">
        <f>IF(VLOOKUP($A55,overview!$B$3:$AJ$154,COLUMN(),FALSE) = "","",VLOOKUP($A55,overview!$B$3:$AJ$154,COLUMN(K55),FALSE))</f>
        <v>1325</v>
      </c>
      <c r="L55" s="28">
        <f>IF(VLOOKUP($A55,overview!$B$3:$AJ$154,COLUMN(),FALSE) = "","",VLOOKUP($A55,overview!$B$3:$AJ$154,COLUMN(L55),FALSE))</f>
        <v>1300</v>
      </c>
      <c r="M55" s="28">
        <f>IF(VLOOKUP($A55,overview!$B$3:$AJ$154,COLUMN(),FALSE) = "","",VLOOKUP($A55,overview!$B$3:$AJ$154,COLUMN(M55),FALSE))</f>
        <v>1275</v>
      </c>
      <c r="N55" s="28">
        <f>IF(VLOOKUP($A55,overview!$B$3:$AJ$154,COLUMN(),FALSE) = "","",VLOOKUP($A55,overview!$B$3:$AJ$154,COLUMN(N55),FALSE))</f>
        <v>1250</v>
      </c>
      <c r="O55" s="28">
        <f>IF(VLOOKUP($A55,overview!$B$3:$AJ$154,COLUMN(),FALSE) = "","",VLOOKUP($A55,overview!$B$3:$AJ$154,COLUMN(O55),FALSE))</f>
        <v>1225</v>
      </c>
      <c r="P55" s="28">
        <f>IF(VLOOKUP($A55,overview!$B$3:$AJ$154,COLUMN(),FALSE) = "","",VLOOKUP($A55,overview!$B$3:$AJ$154,COLUMN(P55),FALSE))</f>
        <v>1200</v>
      </c>
      <c r="Q55" s="28">
        <f>IF(VLOOKUP($A55,overview!$B$3:$AJ$154,COLUMN(),FALSE) = "","",VLOOKUP($A55,overview!$B$3:$AJ$154,COLUMN(Q55),FALSE))</f>
        <v>1175</v>
      </c>
      <c r="R55" s="28">
        <f>IF(VLOOKUP($A55,overview!$B$3:$AJ$154,COLUMN(),FALSE) = "","",VLOOKUP($A55,overview!$B$3:$AJ$154,COLUMN(R55),FALSE))</f>
        <v>1150</v>
      </c>
      <c r="S55" s="28">
        <f>IF(VLOOKUP($A55,overview!$B$3:$AJ$154,COLUMN(),FALSE) = "","",VLOOKUP($A55,overview!$B$3:$AJ$154,COLUMN(S55),FALSE))</f>
        <v>1125</v>
      </c>
      <c r="T55" s="28">
        <f>IF(VLOOKUP($A55,overview!$B$3:$AJ$154,COLUMN(),FALSE) = "","",VLOOKUP($A55,overview!$B$3:$AJ$154,COLUMN(T55),FALSE))</f>
        <v>1100</v>
      </c>
      <c r="U55" s="28">
        <f>IF(VLOOKUP($A55,overview!$B$3:$AJ$154,COLUMN(),FALSE) = "","",VLOOKUP($A55,overview!$B$3:$AJ$154,COLUMN(U55),FALSE))</f>
        <v>1075</v>
      </c>
      <c r="V55" s="28">
        <f>IF(VLOOKUP($A55,overview!$B$3:$AJ$154,COLUMN(),FALSE) = "","",VLOOKUP($A55,overview!$B$3:$AJ$154,COLUMN(V55),FALSE))</f>
        <v>1050</v>
      </c>
      <c r="W55" s="28">
        <f>IF(VLOOKUP($A55,overview!$B$3:$AJ$154,COLUMN(),FALSE) = "","",VLOOKUP($A55,overview!$B$3:$AJ$154,COLUMN(W55),FALSE))</f>
        <v>1025</v>
      </c>
      <c r="X55" s="28">
        <f>IF(VLOOKUP($A55,overview!$B$3:$AJ$154,COLUMN(),FALSE) = "","",VLOOKUP($A55,overview!$B$3:$AJ$154,COLUMN(X55),FALSE))</f>
        <v>1000</v>
      </c>
      <c r="Y55" s="28">
        <f>IF(VLOOKUP($A55,overview!$B$3:$AJ$154,COLUMN(),FALSE) = "","",VLOOKUP($A55,overview!$B$3:$AJ$154,COLUMN(Y55),FALSE))</f>
        <v>975</v>
      </c>
      <c r="Z55" s="28">
        <f>IF(VLOOKUP($A55,overview!$B$3:$AJ$154,COLUMN(),FALSE) = "","",VLOOKUP($A55,overview!$B$3:$AJ$154,COLUMN(Z55),FALSE))</f>
        <v>950</v>
      </c>
      <c r="AA55" s="28">
        <f>IF(VLOOKUP($A55,overview!$B$3:$AJ$154,COLUMN(),FALSE) = "","",VLOOKUP($A55,overview!$B$3:$AJ$154,COLUMN(AA55),FALSE))</f>
        <v>926</v>
      </c>
      <c r="AB55" s="28">
        <f>IF(VLOOKUP($A55,overview!$B$3:$AJ$154,COLUMN(),FALSE) = "","",VLOOKUP($A55,overview!$B$3:$AJ$154,COLUMN(AB55),FALSE))</f>
        <v>901</v>
      </c>
      <c r="AC55" s="28">
        <f>IF(VLOOKUP($A55,overview!$B$3:$AJ$154,COLUMN(),FALSE) = "","",VLOOKUP($A55,overview!$B$3:$AJ$154,COLUMN(AC55),FALSE))</f>
        <v>876</v>
      </c>
      <c r="AD55" s="28">
        <f>IF(VLOOKUP($A55,overview!$B$3:$AJ$154,COLUMN(),FALSE) = "","",VLOOKUP($A55,overview!$B$3:$AJ$154,COLUMN(AD55),FALSE))</f>
        <v>851</v>
      </c>
      <c r="AE55" s="28">
        <f>IF(VLOOKUP($A55,overview!$B$3:$AJ$154,COLUMN(),FALSE) = "","",VLOOKUP($A55,overview!$B$3:$AJ$154,COLUMN(AE55),FALSE))</f>
        <v>826</v>
      </c>
      <c r="AF55" s="28">
        <f>IF(VLOOKUP($A55,overview!$B$3:$AJ$154,COLUMN(),FALSE) = "","",VLOOKUP($A55,overview!$B$3:$AJ$154,COLUMN(AF55),FALSE))</f>
        <v>801</v>
      </c>
      <c r="AG55" s="28">
        <f>IF(VLOOKUP($A55,overview!$B$3:$AJ$154,COLUMN(),FALSE) = "","",VLOOKUP($A55,overview!$B$3:$AJ$154,COLUMN(AG55),FALSE))</f>
        <v>776</v>
      </c>
      <c r="AH55" s="3">
        <f>IF(VLOOKUP($A55,overview!$B$3:$AJ$154,COLUMN(),FALSE) = "","",VLOOKUP($A55,overview!$B$3:$AJ$154,COLUMN(AH55),FALSE))</f>
        <v>750</v>
      </c>
      <c r="AI55" s="3" t="str">
        <f>IF(VLOOKUP($A55,overview!$B$3:$AJ$154,COLUMN(),FALSE) = "","",VLOOKUP($A55,overview!$B$3:$AJ$154,COLUMN(AI55),FALSE))</f>
        <v>EUR/t</v>
      </c>
    </row>
    <row r="56" spans="1:35" ht="15.75" customHeight="1" x14ac:dyDescent="0.2">
      <c r="A56" s="8" t="s">
        <v>182</v>
      </c>
      <c r="B56" s="3">
        <f>IF(VLOOKUP($A56,overview!$B$3:$AJ$154,COLUMN(),FALSE) = "","",VLOOKUP($A56,overview!$B$3:$AJ$154,COLUMN(B56),FALSE))</f>
        <v>2.5000000000000001E-2</v>
      </c>
      <c r="C56" s="3">
        <f>IF(VLOOKUP($A56,overview!$B$3:$AJ$154,COLUMN(),FALSE) = "","",VLOOKUP($A56,overview!$B$3:$AJ$154,COLUMN(C56),FALSE))</f>
        <v>0.02</v>
      </c>
      <c r="D56" s="3">
        <f>IF(VLOOKUP($A56,overview!$B$3:$AJ$154,COLUMN(),FALSE) = "","",VLOOKUP($A56,overview!$B$3:$AJ$154,COLUMN(D56),FALSE))</f>
        <v>0.03</v>
      </c>
      <c r="E56" s="3" t="str">
        <f>IF(VLOOKUP($A56,overview!$B$3:$AJ$154,COLUMN(),FALSE) = "","",VLOOKUP($A56,overview!$B$3:$AJ$154,COLUMN(E56),FALSE))</f>
        <v/>
      </c>
      <c r="F56" s="3" t="str">
        <f>IF(VLOOKUP($A56,overview!$B$3:$AJ$154,COLUMN(),FALSE) = "","",VLOOKUP($A56,overview!$B$3:$AJ$154,COLUMN(F56),FALSE))</f>
        <v/>
      </c>
      <c r="G56" s="3" t="str">
        <f>IF(VLOOKUP($A56,overview!$B$3:$AJ$154,COLUMN(),FALSE) = "","",VLOOKUP($A56,overview!$B$3:$AJ$154,COLUMN(G56),FALSE))</f>
        <v/>
      </c>
      <c r="H56" s="3" t="str">
        <f>IF(VLOOKUP($A56,overview!$B$3:$AJ$154,COLUMN(),FALSE) = "","",VLOOKUP($A56,overview!$B$3:$AJ$154,COLUMN(H56),FALSE))</f>
        <v/>
      </c>
      <c r="I56" s="3" t="str">
        <f>IF(VLOOKUP($A56,overview!$B$3:$AJ$154,COLUMN(),FALSE) = "","",VLOOKUP($A56,overview!$B$3:$AJ$154,COLUMN(I56),FALSE))</f>
        <v/>
      </c>
      <c r="J56" s="3" t="str">
        <f>IF(VLOOKUP($A56,overview!$B$3:$AJ$154,COLUMN(),FALSE) = "","",VLOOKUP($A56,overview!$B$3:$AJ$154,COLUMN(J56),FALSE))</f>
        <v/>
      </c>
      <c r="K56" s="3" t="str">
        <f>IF(VLOOKUP($A56,overview!$B$3:$AJ$154,COLUMN(),FALSE) = "","",VLOOKUP($A56,overview!$B$3:$AJ$154,COLUMN(K56),FALSE))</f>
        <v/>
      </c>
      <c r="L56" s="3" t="str">
        <f>IF(VLOOKUP($A56,overview!$B$3:$AJ$154,COLUMN(),FALSE) = "","",VLOOKUP($A56,overview!$B$3:$AJ$154,COLUMN(L56),FALSE))</f>
        <v/>
      </c>
      <c r="M56" s="3" t="str">
        <f>IF(VLOOKUP($A56,overview!$B$3:$AJ$154,COLUMN(),FALSE) = "","",VLOOKUP($A56,overview!$B$3:$AJ$154,COLUMN(M56),FALSE))</f>
        <v/>
      </c>
      <c r="N56" s="3" t="str">
        <f>IF(VLOOKUP($A56,overview!$B$3:$AJ$154,COLUMN(),FALSE) = "","",VLOOKUP($A56,overview!$B$3:$AJ$154,COLUMN(N56),FALSE))</f>
        <v/>
      </c>
      <c r="O56" s="3" t="str">
        <f>IF(VLOOKUP($A56,overview!$B$3:$AJ$154,COLUMN(),FALSE) = "","",VLOOKUP($A56,overview!$B$3:$AJ$154,COLUMN(O56),FALSE))</f>
        <v/>
      </c>
      <c r="P56" s="3" t="str">
        <f>IF(VLOOKUP($A56,overview!$B$3:$AJ$154,COLUMN(),FALSE) = "","",VLOOKUP($A56,overview!$B$3:$AJ$154,COLUMN(P56),FALSE))</f>
        <v/>
      </c>
      <c r="Q56" s="3" t="str">
        <f>IF(VLOOKUP($A56,overview!$B$3:$AJ$154,COLUMN(),FALSE) = "","",VLOOKUP($A56,overview!$B$3:$AJ$154,COLUMN(Q56),FALSE))</f>
        <v/>
      </c>
      <c r="R56" s="3" t="str">
        <f>IF(VLOOKUP($A56,overview!$B$3:$AJ$154,COLUMN(),FALSE) = "","",VLOOKUP($A56,overview!$B$3:$AJ$154,COLUMN(R56),FALSE))</f>
        <v/>
      </c>
      <c r="S56" s="3" t="str">
        <f>IF(VLOOKUP($A56,overview!$B$3:$AJ$154,COLUMN(),FALSE) = "","",VLOOKUP($A56,overview!$B$3:$AJ$154,COLUMN(S56),FALSE))</f>
        <v/>
      </c>
      <c r="T56" s="3" t="str">
        <f>IF(VLOOKUP($A56,overview!$B$3:$AJ$154,COLUMN(),FALSE) = "","",VLOOKUP($A56,overview!$B$3:$AJ$154,COLUMN(T56),FALSE))</f>
        <v/>
      </c>
      <c r="U56" s="3" t="str">
        <f>IF(VLOOKUP($A56,overview!$B$3:$AJ$154,COLUMN(),FALSE) = "","",VLOOKUP($A56,overview!$B$3:$AJ$154,COLUMN(U56),FALSE))</f>
        <v/>
      </c>
      <c r="V56" s="3" t="str">
        <f>IF(VLOOKUP($A56,overview!$B$3:$AJ$154,COLUMN(),FALSE) = "","",VLOOKUP($A56,overview!$B$3:$AJ$154,COLUMN(V56),FALSE))</f>
        <v/>
      </c>
      <c r="W56" s="3" t="str">
        <f>IF(VLOOKUP($A56,overview!$B$3:$AJ$154,COLUMN(),FALSE) = "","",VLOOKUP($A56,overview!$B$3:$AJ$154,COLUMN(W56),FALSE))</f>
        <v/>
      </c>
      <c r="X56" s="3" t="str">
        <f>IF(VLOOKUP($A56,overview!$B$3:$AJ$154,COLUMN(),FALSE) = "","",VLOOKUP($A56,overview!$B$3:$AJ$154,COLUMN(X56),FALSE))</f>
        <v/>
      </c>
      <c r="Y56" s="3" t="str">
        <f>IF(VLOOKUP($A56,overview!$B$3:$AJ$154,COLUMN(),FALSE) = "","",VLOOKUP($A56,overview!$B$3:$AJ$154,COLUMN(Y56),FALSE))</f>
        <v/>
      </c>
      <c r="Z56" s="3" t="str">
        <f>IF(VLOOKUP($A56,overview!$B$3:$AJ$154,COLUMN(),FALSE) = "","",VLOOKUP($A56,overview!$B$3:$AJ$154,COLUMN(Z56),FALSE))</f>
        <v/>
      </c>
      <c r="AA56" s="3" t="str">
        <f>IF(VLOOKUP($A56,overview!$B$3:$AJ$154,COLUMN(),FALSE) = "","",VLOOKUP($A56,overview!$B$3:$AJ$154,COLUMN(AA56),FALSE))</f>
        <v/>
      </c>
      <c r="AB56" s="3" t="str">
        <f>IF(VLOOKUP($A56,overview!$B$3:$AJ$154,COLUMN(),FALSE) = "","",VLOOKUP($A56,overview!$B$3:$AJ$154,COLUMN(AB56),FALSE))</f>
        <v/>
      </c>
      <c r="AC56" s="3" t="str">
        <f>IF(VLOOKUP($A56,overview!$B$3:$AJ$154,COLUMN(),FALSE) = "","",VLOOKUP($A56,overview!$B$3:$AJ$154,COLUMN(AC56),FALSE))</f>
        <v/>
      </c>
      <c r="AD56" s="3" t="str">
        <f>IF(VLOOKUP($A56,overview!$B$3:$AJ$154,COLUMN(),FALSE) = "","",VLOOKUP($A56,overview!$B$3:$AJ$154,COLUMN(AD56),FALSE))</f>
        <v/>
      </c>
      <c r="AE56" s="3" t="str">
        <f>IF(VLOOKUP($A56,overview!$B$3:$AJ$154,COLUMN(),FALSE) = "","",VLOOKUP($A56,overview!$B$3:$AJ$154,COLUMN(AE56),FALSE))</f>
        <v/>
      </c>
      <c r="AF56" s="3" t="str">
        <f>IF(VLOOKUP($A56,overview!$B$3:$AJ$154,COLUMN(),FALSE) = "","",VLOOKUP($A56,overview!$B$3:$AJ$154,COLUMN(AF56),FALSE))</f>
        <v/>
      </c>
      <c r="AG56" s="3" t="str">
        <f>IF(VLOOKUP($A56,overview!$B$3:$AJ$154,COLUMN(),FALSE) = "","",VLOOKUP($A56,overview!$B$3:$AJ$154,COLUMN(AG56),FALSE))</f>
        <v/>
      </c>
      <c r="AH56" s="3" t="str">
        <f>IF(VLOOKUP($A56,overview!$B$3:$AJ$154,COLUMN(),FALSE) = "","",VLOOKUP($A56,overview!$B$3:$AJ$154,COLUMN(AH56),FALSE))</f>
        <v/>
      </c>
      <c r="AI56" s="3" t="str">
        <f>IF(VLOOKUP($A56,overview!$B$3:$AJ$154,COLUMN(),FALSE) = "","",VLOOKUP($A56,overview!$B$3:$AJ$154,COLUMN(AI56),FALSE))</f>
        <v>Fraction of CAPEX p.a.</v>
      </c>
    </row>
    <row r="57" spans="1:35" ht="15.75" customHeight="1" x14ac:dyDescent="0.2">
      <c r="A57" s="8" t="s">
        <v>184</v>
      </c>
      <c r="B57" s="3">
        <f>IF(VLOOKUP($A57,overview!$B$3:$AJ$154,COLUMN(),FALSE) = "","",VLOOKUP($A57,overview!$B$3:$AJ$154,COLUMN(B57),FALSE))</f>
        <v>30</v>
      </c>
      <c r="C57" s="3" t="str">
        <f>IF(VLOOKUP($A57,overview!$B$3:$AJ$154,COLUMN(),FALSE) = "","",VLOOKUP($A57,overview!$B$3:$AJ$154,COLUMN(C57),FALSE))</f>
        <v/>
      </c>
      <c r="D57" s="3" t="str">
        <f>IF(VLOOKUP($A57,overview!$B$3:$AJ$154,COLUMN(),FALSE) = "","",VLOOKUP($A57,overview!$B$3:$AJ$154,COLUMN(D57),FALSE))</f>
        <v/>
      </c>
      <c r="E57" s="3" t="str">
        <f>IF(VLOOKUP($A57,overview!$B$3:$AJ$154,COLUMN(),FALSE) = "","",VLOOKUP($A57,overview!$B$3:$AJ$154,COLUMN(E57),FALSE))</f>
        <v/>
      </c>
      <c r="F57" s="3" t="str">
        <f>IF(VLOOKUP($A57,overview!$B$3:$AJ$154,COLUMN(),FALSE) = "","",VLOOKUP($A57,overview!$B$3:$AJ$154,COLUMN(F57),FALSE))</f>
        <v/>
      </c>
      <c r="G57" s="3" t="str">
        <f>IF(VLOOKUP($A57,overview!$B$3:$AJ$154,COLUMN(),FALSE) = "","",VLOOKUP($A57,overview!$B$3:$AJ$154,COLUMN(G57),FALSE))</f>
        <v/>
      </c>
      <c r="H57" s="3" t="str">
        <f>IF(VLOOKUP($A57,overview!$B$3:$AJ$154,COLUMN(),FALSE) = "","",VLOOKUP($A57,overview!$B$3:$AJ$154,COLUMN(H57),FALSE))</f>
        <v/>
      </c>
      <c r="I57" s="3" t="str">
        <f>IF(VLOOKUP($A57,overview!$B$3:$AJ$154,COLUMN(),FALSE) = "","",VLOOKUP($A57,overview!$B$3:$AJ$154,COLUMN(I57),FALSE))</f>
        <v/>
      </c>
      <c r="J57" s="3" t="str">
        <f>IF(VLOOKUP($A57,overview!$B$3:$AJ$154,COLUMN(),FALSE) = "","",VLOOKUP($A57,overview!$B$3:$AJ$154,COLUMN(J57),FALSE))</f>
        <v/>
      </c>
      <c r="K57" s="3" t="str">
        <f>IF(VLOOKUP($A57,overview!$B$3:$AJ$154,COLUMN(),FALSE) = "","",VLOOKUP($A57,overview!$B$3:$AJ$154,COLUMN(K57),FALSE))</f>
        <v/>
      </c>
      <c r="L57" s="3" t="str">
        <f>IF(VLOOKUP($A57,overview!$B$3:$AJ$154,COLUMN(),FALSE) = "","",VLOOKUP($A57,overview!$B$3:$AJ$154,COLUMN(L57),FALSE))</f>
        <v/>
      </c>
      <c r="M57" s="3" t="str">
        <f>IF(VLOOKUP($A57,overview!$B$3:$AJ$154,COLUMN(),FALSE) = "","",VLOOKUP($A57,overview!$B$3:$AJ$154,COLUMN(M57),FALSE))</f>
        <v/>
      </c>
      <c r="N57" s="3" t="str">
        <f>IF(VLOOKUP($A57,overview!$B$3:$AJ$154,COLUMN(),FALSE) = "","",VLOOKUP($A57,overview!$B$3:$AJ$154,COLUMN(N57),FALSE))</f>
        <v/>
      </c>
      <c r="O57" s="3" t="str">
        <f>IF(VLOOKUP($A57,overview!$B$3:$AJ$154,COLUMN(),FALSE) = "","",VLOOKUP($A57,overview!$B$3:$AJ$154,COLUMN(O57),FALSE))</f>
        <v/>
      </c>
      <c r="P57" s="3" t="str">
        <f>IF(VLOOKUP($A57,overview!$B$3:$AJ$154,COLUMN(),FALSE) = "","",VLOOKUP($A57,overview!$B$3:$AJ$154,COLUMN(P57),FALSE))</f>
        <v/>
      </c>
      <c r="Q57" s="3" t="str">
        <f>IF(VLOOKUP($A57,overview!$B$3:$AJ$154,COLUMN(),FALSE) = "","",VLOOKUP($A57,overview!$B$3:$AJ$154,COLUMN(Q57),FALSE))</f>
        <v/>
      </c>
      <c r="R57" s="3" t="str">
        <f>IF(VLOOKUP($A57,overview!$B$3:$AJ$154,COLUMN(),FALSE) = "","",VLOOKUP($A57,overview!$B$3:$AJ$154,COLUMN(R57),FALSE))</f>
        <v/>
      </c>
      <c r="S57" s="3" t="str">
        <f>IF(VLOOKUP($A57,overview!$B$3:$AJ$154,COLUMN(),FALSE) = "","",VLOOKUP($A57,overview!$B$3:$AJ$154,COLUMN(S57),FALSE))</f>
        <v/>
      </c>
      <c r="T57" s="3" t="str">
        <f>IF(VLOOKUP($A57,overview!$B$3:$AJ$154,COLUMN(),FALSE) = "","",VLOOKUP($A57,overview!$B$3:$AJ$154,COLUMN(T57),FALSE))</f>
        <v/>
      </c>
      <c r="U57" s="3" t="str">
        <f>IF(VLOOKUP($A57,overview!$B$3:$AJ$154,COLUMN(),FALSE) = "","",VLOOKUP($A57,overview!$B$3:$AJ$154,COLUMN(U57),FALSE))</f>
        <v/>
      </c>
      <c r="V57" s="3" t="str">
        <f>IF(VLOOKUP($A57,overview!$B$3:$AJ$154,COLUMN(),FALSE) = "","",VLOOKUP($A57,overview!$B$3:$AJ$154,COLUMN(V57),FALSE))</f>
        <v/>
      </c>
      <c r="W57" s="3" t="str">
        <f>IF(VLOOKUP($A57,overview!$B$3:$AJ$154,COLUMN(),FALSE) = "","",VLOOKUP($A57,overview!$B$3:$AJ$154,COLUMN(W57),FALSE))</f>
        <v/>
      </c>
      <c r="X57" s="3" t="str">
        <f>IF(VLOOKUP($A57,overview!$B$3:$AJ$154,COLUMN(),FALSE) = "","",VLOOKUP($A57,overview!$B$3:$AJ$154,COLUMN(X57),FALSE))</f>
        <v/>
      </c>
      <c r="Y57" s="3" t="str">
        <f>IF(VLOOKUP($A57,overview!$B$3:$AJ$154,COLUMN(),FALSE) = "","",VLOOKUP($A57,overview!$B$3:$AJ$154,COLUMN(Y57),FALSE))</f>
        <v/>
      </c>
      <c r="Z57" s="3" t="str">
        <f>IF(VLOOKUP($A57,overview!$B$3:$AJ$154,COLUMN(),FALSE) = "","",VLOOKUP($A57,overview!$B$3:$AJ$154,COLUMN(Z57),FALSE))</f>
        <v/>
      </c>
      <c r="AA57" s="3" t="str">
        <f>IF(VLOOKUP($A57,overview!$B$3:$AJ$154,COLUMN(),FALSE) = "","",VLOOKUP($A57,overview!$B$3:$AJ$154,COLUMN(AA57),FALSE))</f>
        <v/>
      </c>
      <c r="AB57" s="3" t="str">
        <f>IF(VLOOKUP($A57,overview!$B$3:$AJ$154,COLUMN(),FALSE) = "","",VLOOKUP($A57,overview!$B$3:$AJ$154,COLUMN(AB57),FALSE))</f>
        <v/>
      </c>
      <c r="AC57" s="3" t="str">
        <f>IF(VLOOKUP($A57,overview!$B$3:$AJ$154,COLUMN(),FALSE) = "","",VLOOKUP($A57,overview!$B$3:$AJ$154,COLUMN(AC57),FALSE))</f>
        <v/>
      </c>
      <c r="AD57" s="3" t="str">
        <f>IF(VLOOKUP($A57,overview!$B$3:$AJ$154,COLUMN(),FALSE) = "","",VLOOKUP($A57,overview!$B$3:$AJ$154,COLUMN(AD57),FALSE))</f>
        <v/>
      </c>
      <c r="AE57" s="3" t="str">
        <f>IF(VLOOKUP($A57,overview!$B$3:$AJ$154,COLUMN(),FALSE) = "","",VLOOKUP($A57,overview!$B$3:$AJ$154,COLUMN(AE57),FALSE))</f>
        <v/>
      </c>
      <c r="AF57" s="3" t="str">
        <f>IF(VLOOKUP($A57,overview!$B$3:$AJ$154,COLUMN(),FALSE) = "","",VLOOKUP($A57,overview!$B$3:$AJ$154,COLUMN(AF57),FALSE))</f>
        <v/>
      </c>
      <c r="AG57" s="3" t="str">
        <f>IF(VLOOKUP($A57,overview!$B$3:$AJ$154,COLUMN(),FALSE) = "","",VLOOKUP($A57,overview!$B$3:$AJ$154,COLUMN(AG57),FALSE))</f>
        <v/>
      </c>
      <c r="AH57" s="3" t="str">
        <f>IF(VLOOKUP($A57,overview!$B$3:$AJ$154,COLUMN(),FALSE) = "","",VLOOKUP($A57,overview!$B$3:$AJ$154,COLUMN(AH57),FALSE))</f>
        <v/>
      </c>
      <c r="AI57" s="3" t="str">
        <f>IF(VLOOKUP($A57,overview!$B$3:$AJ$154,COLUMN(),FALSE) = "","",VLOOKUP($A57,overview!$B$3:$AJ$154,COLUMN(AI57),FALSE))</f>
        <v/>
      </c>
    </row>
    <row r="58" spans="1:35" ht="15.75" customHeight="1" x14ac:dyDescent="0.2">
      <c r="A58" s="8" t="s">
        <v>186</v>
      </c>
      <c r="B58" s="27">
        <f>IF(VLOOKUP($A58,overview!$B$3:$AJ$154,COLUMN(),FALSE) = "","",VLOOKUP($A58,overview!$B$3:$AJ$154,COLUMN(B58),FALSE))</f>
        <v>100000</v>
      </c>
      <c r="C58" s="3" t="str">
        <f>IF(VLOOKUP($A58,overview!$B$3:$AJ$154,COLUMN(),FALSE) = "","",VLOOKUP($A58,overview!$B$3:$AJ$154,COLUMN(C58),FALSE))</f>
        <v/>
      </c>
      <c r="D58" s="3" t="str">
        <f>IF(VLOOKUP($A58,overview!$B$3:$AJ$154,COLUMN(),FALSE) = "","",VLOOKUP($A58,overview!$B$3:$AJ$154,COLUMN(D58),FALSE))</f>
        <v/>
      </c>
      <c r="E58" s="3" t="str">
        <f>IF(VLOOKUP($A58,overview!$B$3:$AJ$154,COLUMN(),FALSE) = "","",VLOOKUP($A58,overview!$B$3:$AJ$154,COLUMN(E58),FALSE))</f>
        <v/>
      </c>
      <c r="F58" s="3" t="str">
        <f>IF(VLOOKUP($A58,overview!$B$3:$AJ$154,COLUMN(),FALSE) = "","",VLOOKUP($A58,overview!$B$3:$AJ$154,COLUMN(F58),FALSE))</f>
        <v/>
      </c>
      <c r="G58" s="3" t="str">
        <f>IF(VLOOKUP($A58,overview!$B$3:$AJ$154,COLUMN(),FALSE) = "","",VLOOKUP($A58,overview!$B$3:$AJ$154,COLUMN(G58),FALSE))</f>
        <v/>
      </c>
      <c r="H58" s="3" t="str">
        <f>IF(VLOOKUP($A58,overview!$B$3:$AJ$154,COLUMN(),FALSE) = "","",VLOOKUP($A58,overview!$B$3:$AJ$154,COLUMN(H58),FALSE))</f>
        <v/>
      </c>
      <c r="I58" s="3" t="str">
        <f>IF(VLOOKUP($A58,overview!$B$3:$AJ$154,COLUMN(),FALSE) = "","",VLOOKUP($A58,overview!$B$3:$AJ$154,COLUMN(I58),FALSE))</f>
        <v/>
      </c>
      <c r="J58" s="3" t="str">
        <f>IF(VLOOKUP($A58,overview!$B$3:$AJ$154,COLUMN(),FALSE) = "","",VLOOKUP($A58,overview!$B$3:$AJ$154,COLUMN(J58),FALSE))</f>
        <v/>
      </c>
      <c r="K58" s="3" t="str">
        <f>IF(VLOOKUP($A58,overview!$B$3:$AJ$154,COLUMN(),FALSE) = "","",VLOOKUP($A58,overview!$B$3:$AJ$154,COLUMN(K58),FALSE))</f>
        <v/>
      </c>
      <c r="L58" s="3" t="str">
        <f>IF(VLOOKUP($A58,overview!$B$3:$AJ$154,COLUMN(),FALSE) = "","",VLOOKUP($A58,overview!$B$3:$AJ$154,COLUMN(L58),FALSE))</f>
        <v/>
      </c>
      <c r="M58" s="3" t="str">
        <f>IF(VLOOKUP($A58,overview!$B$3:$AJ$154,COLUMN(),FALSE) = "","",VLOOKUP($A58,overview!$B$3:$AJ$154,COLUMN(M58),FALSE))</f>
        <v/>
      </c>
      <c r="N58" s="3" t="str">
        <f>IF(VLOOKUP($A58,overview!$B$3:$AJ$154,COLUMN(),FALSE) = "","",VLOOKUP($A58,overview!$B$3:$AJ$154,COLUMN(N58),FALSE))</f>
        <v/>
      </c>
      <c r="O58" s="3" t="str">
        <f>IF(VLOOKUP($A58,overview!$B$3:$AJ$154,COLUMN(),FALSE) = "","",VLOOKUP($A58,overview!$B$3:$AJ$154,COLUMN(O58),FALSE))</f>
        <v/>
      </c>
      <c r="P58" s="3" t="str">
        <f>IF(VLOOKUP($A58,overview!$B$3:$AJ$154,COLUMN(),FALSE) = "","",VLOOKUP($A58,overview!$B$3:$AJ$154,COLUMN(P58),FALSE))</f>
        <v/>
      </c>
      <c r="Q58" s="3" t="str">
        <f>IF(VLOOKUP($A58,overview!$B$3:$AJ$154,COLUMN(),FALSE) = "","",VLOOKUP($A58,overview!$B$3:$AJ$154,COLUMN(Q58),FALSE))</f>
        <v/>
      </c>
      <c r="R58" s="3" t="str">
        <f>IF(VLOOKUP($A58,overview!$B$3:$AJ$154,COLUMN(),FALSE) = "","",VLOOKUP($A58,overview!$B$3:$AJ$154,COLUMN(R58),FALSE))</f>
        <v/>
      </c>
      <c r="S58" s="3" t="str">
        <f>IF(VLOOKUP($A58,overview!$B$3:$AJ$154,COLUMN(),FALSE) = "","",VLOOKUP($A58,overview!$B$3:$AJ$154,COLUMN(S58),FALSE))</f>
        <v/>
      </c>
      <c r="T58" s="3" t="str">
        <f>IF(VLOOKUP($A58,overview!$B$3:$AJ$154,COLUMN(),FALSE) = "","",VLOOKUP($A58,overview!$B$3:$AJ$154,COLUMN(T58),FALSE))</f>
        <v/>
      </c>
      <c r="U58" s="3" t="str">
        <f>IF(VLOOKUP($A58,overview!$B$3:$AJ$154,COLUMN(),FALSE) = "","",VLOOKUP($A58,overview!$B$3:$AJ$154,COLUMN(U58),FALSE))</f>
        <v/>
      </c>
      <c r="V58" s="3" t="str">
        <f>IF(VLOOKUP($A58,overview!$B$3:$AJ$154,COLUMN(),FALSE) = "","",VLOOKUP($A58,overview!$B$3:$AJ$154,COLUMN(V58),FALSE))</f>
        <v/>
      </c>
      <c r="W58" s="3" t="str">
        <f>IF(VLOOKUP($A58,overview!$B$3:$AJ$154,COLUMN(),FALSE) = "","",VLOOKUP($A58,overview!$B$3:$AJ$154,COLUMN(W58),FALSE))</f>
        <v/>
      </c>
      <c r="X58" s="3" t="str">
        <f>IF(VLOOKUP($A58,overview!$B$3:$AJ$154,COLUMN(),FALSE) = "","",VLOOKUP($A58,overview!$B$3:$AJ$154,COLUMN(X58),FALSE))</f>
        <v/>
      </c>
      <c r="Y58" s="3" t="str">
        <f>IF(VLOOKUP($A58,overview!$B$3:$AJ$154,COLUMN(),FALSE) = "","",VLOOKUP($A58,overview!$B$3:$AJ$154,COLUMN(Y58),FALSE))</f>
        <v/>
      </c>
      <c r="Z58" s="3" t="str">
        <f>IF(VLOOKUP($A58,overview!$B$3:$AJ$154,COLUMN(),FALSE) = "","",VLOOKUP($A58,overview!$B$3:$AJ$154,COLUMN(Z58),FALSE))</f>
        <v/>
      </c>
      <c r="AA58" s="3" t="str">
        <f>IF(VLOOKUP($A58,overview!$B$3:$AJ$154,COLUMN(),FALSE) = "","",VLOOKUP($A58,overview!$B$3:$AJ$154,COLUMN(AA58),FALSE))</f>
        <v/>
      </c>
      <c r="AB58" s="3" t="str">
        <f>IF(VLOOKUP($A58,overview!$B$3:$AJ$154,COLUMN(),FALSE) = "","",VLOOKUP($A58,overview!$B$3:$AJ$154,COLUMN(AB58),FALSE))</f>
        <v/>
      </c>
      <c r="AC58" s="3" t="str">
        <f>IF(VLOOKUP($A58,overview!$B$3:$AJ$154,COLUMN(),FALSE) = "","",VLOOKUP($A58,overview!$B$3:$AJ$154,COLUMN(AC58),FALSE))</f>
        <v/>
      </c>
      <c r="AD58" s="3" t="str">
        <f>IF(VLOOKUP($A58,overview!$B$3:$AJ$154,COLUMN(),FALSE) = "","",VLOOKUP($A58,overview!$B$3:$AJ$154,COLUMN(AD58),FALSE))</f>
        <v/>
      </c>
      <c r="AE58" s="3" t="str">
        <f>IF(VLOOKUP($A58,overview!$B$3:$AJ$154,COLUMN(),FALSE) = "","",VLOOKUP($A58,overview!$B$3:$AJ$154,COLUMN(AE58),FALSE))</f>
        <v/>
      </c>
      <c r="AF58" s="3" t="str">
        <f>IF(VLOOKUP($A58,overview!$B$3:$AJ$154,COLUMN(),FALSE) = "","",VLOOKUP($A58,overview!$B$3:$AJ$154,COLUMN(AF58),FALSE))</f>
        <v/>
      </c>
      <c r="AG58" s="3" t="str">
        <f>IF(VLOOKUP($A58,overview!$B$3:$AJ$154,COLUMN(),FALSE) = "","",VLOOKUP($A58,overview!$B$3:$AJ$154,COLUMN(AG58),FALSE))</f>
        <v/>
      </c>
      <c r="AH58" s="3" t="str">
        <f>IF(VLOOKUP($A58,overview!$B$3:$AJ$154,COLUMN(),FALSE) = "","",VLOOKUP($A58,overview!$B$3:$AJ$154,COLUMN(AH58),FALSE))</f>
        <v/>
      </c>
      <c r="AI58" s="3" t="str">
        <f>IF(VLOOKUP($A58,overview!$B$3:$AJ$154,COLUMN(),FALSE) = "","",VLOOKUP($A58,overview!$B$3:$AJ$154,COLUMN(AI58),FALSE))</f>
        <v>kW jet fuel output</v>
      </c>
    </row>
    <row r="59" spans="1:35" ht="15.75" customHeight="1" x14ac:dyDescent="0.2">
      <c r="A59" s="8" t="s">
        <v>188</v>
      </c>
      <c r="B59" s="3">
        <f>IF(VLOOKUP($A59,overview!$B$3:$AJ$154,COLUMN(),FALSE) = "","",VLOOKUP($A59,overview!$B$3:$AJ$154,COLUMN(B59),FALSE))</f>
        <v>0</v>
      </c>
      <c r="C59" s="3" t="str">
        <f>IF(VLOOKUP($A59,overview!$B$3:$AJ$154,COLUMN(),FALSE) = "","",VLOOKUP($A59,overview!$B$3:$AJ$154,COLUMN(C59),FALSE))</f>
        <v/>
      </c>
      <c r="D59" s="3" t="str">
        <f>IF(VLOOKUP($A59,overview!$B$3:$AJ$154,COLUMN(),FALSE) = "","",VLOOKUP($A59,overview!$B$3:$AJ$154,COLUMN(D59),FALSE))</f>
        <v/>
      </c>
      <c r="E59" s="3" t="str">
        <f>IF(VLOOKUP($A59,overview!$B$3:$AJ$154,COLUMN(),FALSE) = "","",VLOOKUP($A59,overview!$B$3:$AJ$154,COLUMN(E59),FALSE))</f>
        <v/>
      </c>
      <c r="F59" s="3" t="str">
        <f>IF(VLOOKUP($A59,overview!$B$3:$AJ$154,COLUMN(),FALSE) = "","",VLOOKUP($A59,overview!$B$3:$AJ$154,COLUMN(F59),FALSE))</f>
        <v/>
      </c>
      <c r="G59" s="3" t="str">
        <f>IF(VLOOKUP($A59,overview!$B$3:$AJ$154,COLUMN(),FALSE) = "","",VLOOKUP($A59,overview!$B$3:$AJ$154,COLUMN(G59),FALSE))</f>
        <v/>
      </c>
      <c r="H59" s="3" t="str">
        <f>IF(VLOOKUP($A59,overview!$B$3:$AJ$154,COLUMN(),FALSE) = "","",VLOOKUP($A59,overview!$B$3:$AJ$154,COLUMN(H59),FALSE))</f>
        <v/>
      </c>
      <c r="I59" s="3" t="str">
        <f>IF(VLOOKUP($A59,overview!$B$3:$AJ$154,COLUMN(),FALSE) = "","",VLOOKUP($A59,overview!$B$3:$AJ$154,COLUMN(I59),FALSE))</f>
        <v/>
      </c>
      <c r="J59" s="3" t="str">
        <f>IF(VLOOKUP($A59,overview!$B$3:$AJ$154,COLUMN(),FALSE) = "","",VLOOKUP($A59,overview!$B$3:$AJ$154,COLUMN(J59),FALSE))</f>
        <v/>
      </c>
      <c r="K59" s="3" t="str">
        <f>IF(VLOOKUP($A59,overview!$B$3:$AJ$154,COLUMN(),FALSE) = "","",VLOOKUP($A59,overview!$B$3:$AJ$154,COLUMN(K59),FALSE))</f>
        <v/>
      </c>
      <c r="L59" s="3" t="str">
        <f>IF(VLOOKUP($A59,overview!$B$3:$AJ$154,COLUMN(),FALSE) = "","",VLOOKUP($A59,overview!$B$3:$AJ$154,COLUMN(L59),FALSE))</f>
        <v/>
      </c>
      <c r="M59" s="3" t="str">
        <f>IF(VLOOKUP($A59,overview!$B$3:$AJ$154,COLUMN(),FALSE) = "","",VLOOKUP($A59,overview!$B$3:$AJ$154,COLUMN(M59),FALSE))</f>
        <v/>
      </c>
      <c r="N59" s="3" t="str">
        <f>IF(VLOOKUP($A59,overview!$B$3:$AJ$154,COLUMN(),FALSE) = "","",VLOOKUP($A59,overview!$B$3:$AJ$154,COLUMN(N59),FALSE))</f>
        <v/>
      </c>
      <c r="O59" s="3" t="str">
        <f>IF(VLOOKUP($A59,overview!$B$3:$AJ$154,COLUMN(),FALSE) = "","",VLOOKUP($A59,overview!$B$3:$AJ$154,COLUMN(O59),FALSE))</f>
        <v/>
      </c>
      <c r="P59" s="3" t="str">
        <f>IF(VLOOKUP($A59,overview!$B$3:$AJ$154,COLUMN(),FALSE) = "","",VLOOKUP($A59,overview!$B$3:$AJ$154,COLUMN(P59),FALSE))</f>
        <v/>
      </c>
      <c r="Q59" s="3" t="str">
        <f>IF(VLOOKUP($A59,overview!$B$3:$AJ$154,COLUMN(),FALSE) = "","",VLOOKUP($A59,overview!$B$3:$AJ$154,COLUMN(Q59),FALSE))</f>
        <v/>
      </c>
      <c r="R59" s="3" t="str">
        <f>IF(VLOOKUP($A59,overview!$B$3:$AJ$154,COLUMN(),FALSE) = "","",VLOOKUP($A59,overview!$B$3:$AJ$154,COLUMN(R59),FALSE))</f>
        <v/>
      </c>
      <c r="S59" s="3" t="str">
        <f>IF(VLOOKUP($A59,overview!$B$3:$AJ$154,COLUMN(),FALSE) = "","",VLOOKUP($A59,overview!$B$3:$AJ$154,COLUMN(S59),FALSE))</f>
        <v/>
      </c>
      <c r="T59" s="3" t="str">
        <f>IF(VLOOKUP($A59,overview!$B$3:$AJ$154,COLUMN(),FALSE) = "","",VLOOKUP($A59,overview!$B$3:$AJ$154,COLUMN(T59),FALSE))</f>
        <v/>
      </c>
      <c r="U59" s="3" t="str">
        <f>IF(VLOOKUP($A59,overview!$B$3:$AJ$154,COLUMN(),FALSE) = "","",VLOOKUP($A59,overview!$B$3:$AJ$154,COLUMN(U59),FALSE))</f>
        <v/>
      </c>
      <c r="V59" s="3" t="str">
        <f>IF(VLOOKUP($A59,overview!$B$3:$AJ$154,COLUMN(),FALSE) = "","",VLOOKUP($A59,overview!$B$3:$AJ$154,COLUMN(V59),FALSE))</f>
        <v/>
      </c>
      <c r="W59" s="3" t="str">
        <f>IF(VLOOKUP($A59,overview!$B$3:$AJ$154,COLUMN(),FALSE) = "","",VLOOKUP($A59,overview!$B$3:$AJ$154,COLUMN(W59),FALSE))</f>
        <v/>
      </c>
      <c r="X59" s="3" t="str">
        <f>IF(VLOOKUP($A59,overview!$B$3:$AJ$154,COLUMN(),FALSE) = "","",VLOOKUP($A59,overview!$B$3:$AJ$154,COLUMN(X59),FALSE))</f>
        <v/>
      </c>
      <c r="Y59" s="3" t="str">
        <f>IF(VLOOKUP($A59,overview!$B$3:$AJ$154,COLUMN(),FALSE) = "","",VLOOKUP($A59,overview!$B$3:$AJ$154,COLUMN(Y59),FALSE))</f>
        <v/>
      </c>
      <c r="Z59" s="3" t="str">
        <f>IF(VLOOKUP($A59,overview!$B$3:$AJ$154,COLUMN(),FALSE) = "","",VLOOKUP($A59,overview!$B$3:$AJ$154,COLUMN(Z59),FALSE))</f>
        <v/>
      </c>
      <c r="AA59" s="3" t="str">
        <f>IF(VLOOKUP($A59,overview!$B$3:$AJ$154,COLUMN(),FALSE) = "","",VLOOKUP($A59,overview!$B$3:$AJ$154,COLUMN(AA59),FALSE))</f>
        <v/>
      </c>
      <c r="AB59" s="3" t="str">
        <f>IF(VLOOKUP($A59,overview!$B$3:$AJ$154,COLUMN(),FALSE) = "","",VLOOKUP($A59,overview!$B$3:$AJ$154,COLUMN(AB59),FALSE))</f>
        <v/>
      </c>
      <c r="AC59" s="3" t="str">
        <f>IF(VLOOKUP($A59,overview!$B$3:$AJ$154,COLUMN(),FALSE) = "","",VLOOKUP($A59,overview!$B$3:$AJ$154,COLUMN(AC59),FALSE))</f>
        <v/>
      </c>
      <c r="AD59" s="3" t="str">
        <f>IF(VLOOKUP($A59,overview!$B$3:$AJ$154,COLUMN(),FALSE) = "","",VLOOKUP($A59,overview!$B$3:$AJ$154,COLUMN(AD59),FALSE))</f>
        <v/>
      </c>
      <c r="AE59" s="3" t="str">
        <f>IF(VLOOKUP($A59,overview!$B$3:$AJ$154,COLUMN(),FALSE) = "","",VLOOKUP($A59,overview!$B$3:$AJ$154,COLUMN(AE59),FALSE))</f>
        <v/>
      </c>
      <c r="AF59" s="3" t="str">
        <f>IF(VLOOKUP($A59,overview!$B$3:$AJ$154,COLUMN(),FALSE) = "","",VLOOKUP($A59,overview!$B$3:$AJ$154,COLUMN(AF59),FALSE))</f>
        <v/>
      </c>
      <c r="AG59" s="3" t="str">
        <f>IF(VLOOKUP($A59,overview!$B$3:$AJ$154,COLUMN(),FALSE) = "","",VLOOKUP($A59,overview!$B$3:$AJ$154,COLUMN(AG59),FALSE))</f>
        <v/>
      </c>
      <c r="AH59" s="3" t="str">
        <f>IF(VLOOKUP($A59,overview!$B$3:$AJ$154,COLUMN(),FALSE) = "","",VLOOKUP($A59,overview!$B$3:$AJ$154,COLUMN(AH59),FALSE))</f>
        <v/>
      </c>
      <c r="AI59" s="3" t="str">
        <f>IF(VLOOKUP($A59,overview!$B$3:$AJ$154,COLUMN(),FALSE) = "","",VLOOKUP($A59,overview!$B$3:$AJ$154,COLUMN(AI59),FALSE))</f>
        <v>kW jet fuel output</v>
      </c>
    </row>
    <row r="60" spans="1:35" ht="15.75" customHeight="1" x14ac:dyDescent="0.2">
      <c r="A60" s="3" t="s">
        <v>189</v>
      </c>
      <c r="B60" s="3">
        <f>IF(VLOOKUP($A60,overview!$B$3:$AJ$154,COLUMN(),FALSE) = "","",VLOOKUP($A60,overview!$B$3:$AJ$154,COLUMN(B60),FALSE))</f>
        <v>799</v>
      </c>
      <c r="C60" s="3">
        <f>IF(VLOOKUP($A60,overview!$B$3:$AJ$154,COLUMN(),FALSE) = "","",VLOOKUP($A60,overview!$B$3:$AJ$154,COLUMN(C60),FALSE))</f>
        <v>639.20000000000005</v>
      </c>
      <c r="D60" s="3">
        <f>IF(VLOOKUP($A60,overview!$B$3:$AJ$154,COLUMN(),FALSE) = "","",VLOOKUP($A60,overview!$B$3:$AJ$154,COLUMN(D60),FALSE))</f>
        <v>958.8</v>
      </c>
      <c r="E60" s="3">
        <f>IF(VLOOKUP($A60,overview!$B$3:$AJ$154,COLUMN(),FALSE) = "","",VLOOKUP($A60,overview!$B$3:$AJ$154,COLUMN(E60),FALSE))</f>
        <v>745.87355730923559</v>
      </c>
      <c r="F60" s="3">
        <f>IF(VLOOKUP($A60,overview!$B$3:$AJ$154,COLUMN(),FALSE) = "","",VLOOKUP($A60,overview!$B$3:$AJ$154,COLUMN(F60),FALSE))</f>
        <v>714.52019991744601</v>
      </c>
      <c r="G60" s="3">
        <f>IF(VLOOKUP($A60,overview!$B$3:$AJ$154,COLUMN(),FALSE) = "","",VLOOKUP($A60,overview!$B$3:$AJ$154,COLUMN(G60),FALSE))</f>
        <v>691.42997148645998</v>
      </c>
      <c r="H60" s="3">
        <f>IF(VLOOKUP($A60,overview!$B$3:$AJ$154,COLUMN(),FALSE) = "","",VLOOKUP($A60,overview!$B$3:$AJ$154,COLUMN(H60),FALSE))</f>
        <v>672.68117692128908</v>
      </c>
      <c r="I60" s="3">
        <f>IF(VLOOKUP($A60,overview!$B$3:$AJ$154,COLUMN(),FALSE) = "","",VLOOKUP($A60,overview!$B$3:$AJ$154,COLUMN(I60),FALSE))</f>
        <v>656.61186781632227</v>
      </c>
      <c r="J60" s="3">
        <f>IF(VLOOKUP($A60,overview!$B$3:$AJ$154,COLUMN(),FALSE) = "","",VLOOKUP($A60,overview!$B$3:$AJ$154,COLUMN(J60),FALSE))</f>
        <v>642.36791495500881</v>
      </c>
      <c r="K60" s="3">
        <f>IF(VLOOKUP($A60,overview!$B$3:$AJ$154,COLUMN(),FALSE) = "","",VLOOKUP($A60,overview!$B$3:$AJ$154,COLUMN(K60),FALSE))</f>
        <v>629.45429505375057</v>
      </c>
      <c r="L60" s="3">
        <f>IF(VLOOKUP($A60,overview!$B$3:$AJ$154,COLUMN(),FALSE) = "","",VLOOKUP($A60,overview!$B$3:$AJ$154,COLUMN(L60),FALSE))</f>
        <v>617.55928681013597</v>
      </c>
      <c r="M60" s="3">
        <f>IF(VLOOKUP($A60,overview!$B$3:$AJ$154,COLUMN(),FALSE) = "","",VLOOKUP($A60,overview!$B$3:$AJ$154,COLUMN(M60),FALSE))</f>
        <v>606.47422496808986</v>
      </c>
      <c r="N60" s="3">
        <f>IF(VLOOKUP($A60,overview!$B$3:$AJ$154,COLUMN(),FALSE) = "","",VLOOKUP($A60,overview!$B$3:$AJ$154,COLUMN(N60),FALSE))</f>
        <v>596.05269430011754</v>
      </c>
      <c r="O60" s="3">
        <f>IF(VLOOKUP($A60,overview!$B$3:$AJ$154,COLUMN(),FALSE) = "","",VLOOKUP($A60,overview!$B$3:$AJ$154,COLUMN(O60),FALSE))</f>
        <v>586.18802968129626</v>
      </c>
      <c r="P60" s="3">
        <f>IF(VLOOKUP($A60,overview!$B$3:$AJ$154,COLUMN(),FALSE) = "","",VLOOKUP($A60,overview!$B$3:$AJ$154,COLUMN(P60),FALSE))</f>
        <v>576.80010105025553</v>
      </c>
      <c r="Q60" s="3">
        <f>IF(VLOOKUP($A60,overview!$B$3:$AJ$154,COLUMN(),FALSE) = "","",VLOOKUP($A60,overview!$B$3:$AJ$154,COLUMN(Q60),FALSE))</f>
        <v>567.82714748374917</v>
      </c>
      <c r="R60" s="3">
        <f>IF(VLOOKUP($A60,overview!$B$3:$AJ$154,COLUMN(),FALSE) = "","",VLOOKUP($A60,overview!$B$3:$AJ$154,COLUMN(R60),FALSE))</f>
        <v>559.22051605497757</v>
      </c>
      <c r="S60" s="3">
        <f>IF(VLOOKUP($A60,overview!$B$3:$AJ$154,COLUMN(),FALSE) = "","",VLOOKUP($A60,overview!$B$3:$AJ$154,COLUMN(S60),FALSE))</f>
        <v>550.94115146891863</v>
      </c>
      <c r="T60" s="3">
        <f>IF(VLOOKUP($A60,overview!$B$3:$AJ$154,COLUMN(),FALSE) = "","",VLOOKUP($A60,overview!$B$3:$AJ$154,COLUMN(T60),FALSE))</f>
        <v>542.95718308525613</v>
      </c>
      <c r="U60" s="3">
        <f>IF(VLOOKUP($A60,overview!$B$3:$AJ$154,COLUMN(),FALSE) = "","",VLOOKUP($A60,overview!$B$3:$AJ$154,COLUMN(U60),FALSE))</f>
        <v>535.24222317804652</v>
      </c>
      <c r="V60" s="3">
        <f>IF(VLOOKUP($A60,overview!$B$3:$AJ$154,COLUMN(),FALSE) = "","",VLOOKUP($A60,overview!$B$3:$AJ$154,COLUMN(V60),FALSE))</f>
        <v>527.77413967997438</v>
      </c>
      <c r="W60" s="3">
        <f>IF(VLOOKUP($A60,overview!$B$3:$AJ$154,COLUMN(),FALSE) = "","",VLOOKUP($A60,overview!$B$3:$AJ$154,COLUMN(W60),FALSE))</f>
        <v>520.53415356030905</v>
      </c>
      <c r="X60" s="3">
        <f>IF(VLOOKUP($A60,overview!$B$3:$AJ$154,COLUMN(),FALSE) = "","",VLOOKUP($A60,overview!$B$3:$AJ$154,COLUMN(X60),FALSE))</f>
        <v>513.50616330756634</v>
      </c>
      <c r="Y60" s="3">
        <f>IF(VLOOKUP($A60,overview!$B$3:$AJ$154,COLUMN(),FALSE) = "","",VLOOKUP($A60,overview!$B$3:$AJ$154,COLUMN(Y60),FALSE))</f>
        <v>506.67623145832772</v>
      </c>
      <c r="Z60" s="3">
        <f>IF(VLOOKUP($A60,overview!$B$3:$AJ$154,COLUMN(),FALSE) = "","",VLOOKUP($A60,overview!$B$3:$AJ$154,COLUMN(Z60),FALSE))</f>
        <v>500.03218881187388</v>
      </c>
      <c r="AA60" s="3">
        <f>IF(VLOOKUP($A60,overview!$B$3:$AJ$154,COLUMN(),FALSE) = "","",VLOOKUP($A60,overview!$B$3:$AJ$154,COLUMN(AA60),FALSE))</f>
        <v>493.56332548345461</v>
      </c>
      <c r="AB60" s="3">
        <f>IF(VLOOKUP($A60,overview!$B$3:$AJ$154,COLUMN(),FALSE) = "","",VLOOKUP($A60,overview!$B$3:$AJ$154,COLUMN(AB60),FALSE))</f>
        <v>487.26014696264713</v>
      </c>
      <c r="AC60" s="3">
        <f>IF(VLOOKUP($A60,overview!$B$3:$AJ$154,COLUMN(),FALSE) = "","",VLOOKUP($A60,overview!$B$3:$AJ$154,COLUMN(AC60),FALSE))</f>
        <v>481.11417947317858</v>
      </c>
      <c r="AD60" s="3">
        <f>IF(VLOOKUP($A60,overview!$B$3:$AJ$154,COLUMN(),FALSE) = "","",VLOOKUP($A60,overview!$B$3:$AJ$154,COLUMN(AD60),FALSE))</f>
        <v>475.11781317331952</v>
      </c>
      <c r="AE60" s="3">
        <f>IF(VLOOKUP($A60,overview!$B$3:$AJ$154,COLUMN(),FALSE) = "","",VLOOKUP($A60,overview!$B$3:$AJ$154,COLUMN(AE60),FALSE))</f>
        <v>469.26417471994591</v>
      </c>
      <c r="AF60" s="3">
        <f>IF(VLOOKUP($A60,overview!$B$3:$AJ$154,COLUMN(),FALSE) = "","",VLOOKUP($A60,overview!$B$3:$AJ$154,COLUMN(AF60),FALSE))</f>
        <v>463.5470228490957</v>
      </c>
      <c r="AG60" s="3">
        <f>IF(VLOOKUP($A60,overview!$B$3:$AJ$154,COLUMN(),FALSE) = "","",VLOOKUP($A60,overview!$B$3:$AJ$154,COLUMN(AG60),FALSE))</f>
        <v>457.96066216650979</v>
      </c>
      <c r="AH60" s="3">
        <f>IF(VLOOKUP($A60,overview!$B$3:$AJ$154,COLUMN(),FALSE) = "","",VLOOKUP($A60,overview!$B$3:$AJ$154,COLUMN(AH60),FALSE))</f>
        <v>452.49987147014122</v>
      </c>
      <c r="AI60" s="3" t="str">
        <f>IF(VLOOKUP($A60,overview!$B$3:$AJ$154,COLUMN(),FALSE) = "","",VLOOKUP($A60,overview!$B$3:$AJ$154,COLUMN(AI60),FALSE))</f>
        <v>[EUR/kW fuel output]</v>
      </c>
    </row>
    <row r="61" spans="1:35" ht="15.75" customHeight="1" x14ac:dyDescent="0.2">
      <c r="A61" s="8" t="s">
        <v>192</v>
      </c>
      <c r="B61" s="3">
        <f>IF(VLOOKUP($A61,overview!$B$3:$AJ$154,COLUMN(),FALSE) = "","",VLOOKUP($A61,overview!$B$3:$AJ$154,COLUMN(B61),FALSE))</f>
        <v>2.5000000000000001E-2</v>
      </c>
      <c r="C61" s="3">
        <f>IF(VLOOKUP($A61,overview!$B$3:$AJ$154,COLUMN(),FALSE) = "","",VLOOKUP($A61,overview!$B$3:$AJ$154,COLUMN(C61),FALSE))</f>
        <v>0.02</v>
      </c>
      <c r="D61" s="3">
        <f>IF(VLOOKUP($A61,overview!$B$3:$AJ$154,COLUMN(),FALSE) = "","",VLOOKUP($A61,overview!$B$3:$AJ$154,COLUMN(D61),FALSE))</f>
        <v>0.03</v>
      </c>
      <c r="E61" s="3" t="str">
        <f>IF(VLOOKUP($A61,overview!$B$3:$AJ$154,COLUMN(),FALSE) = "","",VLOOKUP($A61,overview!$B$3:$AJ$154,COLUMN(E61),FALSE))</f>
        <v/>
      </c>
      <c r="F61" s="3" t="str">
        <f>IF(VLOOKUP($A61,overview!$B$3:$AJ$154,COLUMN(),FALSE) = "","",VLOOKUP($A61,overview!$B$3:$AJ$154,COLUMN(F61),FALSE))</f>
        <v/>
      </c>
      <c r="G61" s="3" t="str">
        <f>IF(VLOOKUP($A61,overview!$B$3:$AJ$154,COLUMN(),FALSE) = "","",VLOOKUP($A61,overview!$B$3:$AJ$154,COLUMN(G61),FALSE))</f>
        <v/>
      </c>
      <c r="H61" s="3" t="str">
        <f>IF(VLOOKUP($A61,overview!$B$3:$AJ$154,COLUMN(),FALSE) = "","",VLOOKUP($A61,overview!$B$3:$AJ$154,COLUMN(H61),FALSE))</f>
        <v/>
      </c>
      <c r="I61" s="3" t="str">
        <f>IF(VLOOKUP($A61,overview!$B$3:$AJ$154,COLUMN(),FALSE) = "","",VLOOKUP($A61,overview!$B$3:$AJ$154,COLUMN(I61),FALSE))</f>
        <v/>
      </c>
      <c r="J61" s="3" t="str">
        <f>IF(VLOOKUP($A61,overview!$B$3:$AJ$154,COLUMN(),FALSE) = "","",VLOOKUP($A61,overview!$B$3:$AJ$154,COLUMN(J61),FALSE))</f>
        <v/>
      </c>
      <c r="K61" s="3" t="str">
        <f>IF(VLOOKUP($A61,overview!$B$3:$AJ$154,COLUMN(),FALSE) = "","",VLOOKUP($A61,overview!$B$3:$AJ$154,COLUMN(K61),FALSE))</f>
        <v/>
      </c>
      <c r="L61" s="3" t="str">
        <f>IF(VLOOKUP($A61,overview!$B$3:$AJ$154,COLUMN(),FALSE) = "","",VLOOKUP($A61,overview!$B$3:$AJ$154,COLUMN(L61),FALSE))</f>
        <v/>
      </c>
      <c r="M61" s="3" t="str">
        <f>IF(VLOOKUP($A61,overview!$B$3:$AJ$154,COLUMN(),FALSE) = "","",VLOOKUP($A61,overview!$B$3:$AJ$154,COLUMN(M61),FALSE))</f>
        <v/>
      </c>
      <c r="N61" s="3" t="str">
        <f>IF(VLOOKUP($A61,overview!$B$3:$AJ$154,COLUMN(),FALSE) = "","",VLOOKUP($A61,overview!$B$3:$AJ$154,COLUMN(N61),FALSE))</f>
        <v/>
      </c>
      <c r="O61" s="3" t="str">
        <f>IF(VLOOKUP($A61,overview!$B$3:$AJ$154,COLUMN(),FALSE) = "","",VLOOKUP($A61,overview!$B$3:$AJ$154,COLUMN(O61),FALSE))</f>
        <v/>
      </c>
      <c r="P61" s="3" t="str">
        <f>IF(VLOOKUP($A61,overview!$B$3:$AJ$154,COLUMN(),FALSE) = "","",VLOOKUP($A61,overview!$B$3:$AJ$154,COLUMN(P61),FALSE))</f>
        <v/>
      </c>
      <c r="Q61" s="3" t="str">
        <f>IF(VLOOKUP($A61,overview!$B$3:$AJ$154,COLUMN(),FALSE) = "","",VLOOKUP($A61,overview!$B$3:$AJ$154,COLUMN(Q61),FALSE))</f>
        <v/>
      </c>
      <c r="R61" s="3" t="str">
        <f>IF(VLOOKUP($A61,overview!$B$3:$AJ$154,COLUMN(),FALSE) = "","",VLOOKUP($A61,overview!$B$3:$AJ$154,COLUMN(R61),FALSE))</f>
        <v/>
      </c>
      <c r="S61" s="3" t="str">
        <f>IF(VLOOKUP($A61,overview!$B$3:$AJ$154,COLUMN(),FALSE) = "","",VLOOKUP($A61,overview!$B$3:$AJ$154,COLUMN(S61),FALSE))</f>
        <v/>
      </c>
      <c r="T61" s="3" t="str">
        <f>IF(VLOOKUP($A61,overview!$B$3:$AJ$154,COLUMN(),FALSE) = "","",VLOOKUP($A61,overview!$B$3:$AJ$154,COLUMN(T61),FALSE))</f>
        <v/>
      </c>
      <c r="U61" s="3" t="str">
        <f>IF(VLOOKUP($A61,overview!$B$3:$AJ$154,COLUMN(),FALSE) = "","",VLOOKUP($A61,overview!$B$3:$AJ$154,COLUMN(U61),FALSE))</f>
        <v/>
      </c>
      <c r="V61" s="3" t="str">
        <f>IF(VLOOKUP($A61,overview!$B$3:$AJ$154,COLUMN(),FALSE) = "","",VLOOKUP($A61,overview!$B$3:$AJ$154,COLUMN(V61),FALSE))</f>
        <v/>
      </c>
      <c r="W61" s="3" t="str">
        <f>IF(VLOOKUP($A61,overview!$B$3:$AJ$154,COLUMN(),FALSE) = "","",VLOOKUP($A61,overview!$B$3:$AJ$154,COLUMN(W61),FALSE))</f>
        <v/>
      </c>
      <c r="X61" s="3" t="str">
        <f>IF(VLOOKUP($A61,overview!$B$3:$AJ$154,COLUMN(),FALSE) = "","",VLOOKUP($A61,overview!$B$3:$AJ$154,COLUMN(X61),FALSE))</f>
        <v/>
      </c>
      <c r="Y61" s="3" t="str">
        <f>IF(VLOOKUP($A61,overview!$B$3:$AJ$154,COLUMN(),FALSE) = "","",VLOOKUP($A61,overview!$B$3:$AJ$154,COLUMN(Y61),FALSE))</f>
        <v/>
      </c>
      <c r="Z61" s="3" t="str">
        <f>IF(VLOOKUP($A61,overview!$B$3:$AJ$154,COLUMN(),FALSE) = "","",VLOOKUP($A61,overview!$B$3:$AJ$154,COLUMN(Z61),FALSE))</f>
        <v/>
      </c>
      <c r="AA61" s="3" t="str">
        <f>IF(VLOOKUP($A61,overview!$B$3:$AJ$154,COLUMN(),FALSE) = "","",VLOOKUP($A61,overview!$B$3:$AJ$154,COLUMN(AA61),FALSE))</f>
        <v/>
      </c>
      <c r="AB61" s="3" t="str">
        <f>IF(VLOOKUP($A61,overview!$B$3:$AJ$154,COLUMN(),FALSE) = "","",VLOOKUP($A61,overview!$B$3:$AJ$154,COLUMN(AB61),FALSE))</f>
        <v/>
      </c>
      <c r="AC61" s="3" t="str">
        <f>IF(VLOOKUP($A61,overview!$B$3:$AJ$154,COLUMN(),FALSE) = "","",VLOOKUP($A61,overview!$B$3:$AJ$154,COLUMN(AC61),FALSE))</f>
        <v/>
      </c>
      <c r="AD61" s="3" t="str">
        <f>IF(VLOOKUP($A61,overview!$B$3:$AJ$154,COLUMN(),FALSE) = "","",VLOOKUP($A61,overview!$B$3:$AJ$154,COLUMN(AD61),FALSE))</f>
        <v/>
      </c>
      <c r="AE61" s="3" t="str">
        <f>IF(VLOOKUP($A61,overview!$B$3:$AJ$154,COLUMN(),FALSE) = "","",VLOOKUP($A61,overview!$B$3:$AJ$154,COLUMN(AE61),FALSE))</f>
        <v/>
      </c>
      <c r="AF61" s="3" t="str">
        <f>IF(VLOOKUP($A61,overview!$B$3:$AJ$154,COLUMN(),FALSE) = "","",VLOOKUP($A61,overview!$B$3:$AJ$154,COLUMN(AF61),FALSE))</f>
        <v/>
      </c>
      <c r="AG61" s="3" t="str">
        <f>IF(VLOOKUP($A61,overview!$B$3:$AJ$154,COLUMN(),FALSE) = "","",VLOOKUP($A61,overview!$B$3:$AJ$154,COLUMN(AG61),FALSE))</f>
        <v/>
      </c>
      <c r="AH61" s="3" t="str">
        <f>IF(VLOOKUP($A61,overview!$B$3:$AJ$154,COLUMN(),FALSE) = "","",VLOOKUP($A61,overview!$B$3:$AJ$154,COLUMN(AH61),FALSE))</f>
        <v/>
      </c>
      <c r="AI61" s="3" t="str">
        <f>IF(VLOOKUP($A61,overview!$B$3:$AJ$154,COLUMN(),FALSE) = "","",VLOOKUP($A61,overview!$B$3:$AJ$154,COLUMN(AI61),FALSE))</f>
        <v>Fraction of CAPEX p.a.</v>
      </c>
    </row>
    <row r="62" spans="1:35" ht="15.75" customHeight="1" x14ac:dyDescent="0.2">
      <c r="A62" s="8" t="s">
        <v>194</v>
      </c>
      <c r="B62" s="29">
        <f>IF(VLOOKUP($A62,overview!$B$3:$AJ$154,COLUMN(),FALSE) = "","",VLOOKUP($A62,overview!$B$3:$AJ$154,COLUMN(B62),FALSE))</f>
        <v>0.6678948416650069</v>
      </c>
      <c r="C62" s="29">
        <f>IF(VLOOKUP($A62,overview!$B$3:$AJ$154,COLUMN(),FALSE) = "","",VLOOKUP($A62,overview!$B$3:$AJ$154,COLUMN(C62),FALSE))</f>
        <v>0.6</v>
      </c>
      <c r="D62" s="29">
        <f>IF(VLOOKUP($A62,overview!$B$3:$AJ$154,COLUMN(),FALSE) = "","",VLOOKUP($A62,overview!$B$3:$AJ$154,COLUMN(D62),FALSE))</f>
        <v>0.7</v>
      </c>
      <c r="E62" s="29">
        <f>IF(VLOOKUP($A62,overview!$B$3:$AJ$154,COLUMN(),FALSE) = "","",VLOOKUP($A62,overview!$B$3:$AJ$154,COLUMN(E62),FALSE))</f>
        <v>0.67229834694283996</v>
      </c>
      <c r="F62" s="29">
        <f>IF(VLOOKUP($A62,overview!$B$3:$AJ$154,COLUMN(),FALSE) = "","",VLOOKUP($A62,overview!$B$3:$AJ$154,COLUMN(F62),FALSE))</f>
        <v>0.67670185222067314</v>
      </c>
      <c r="G62" s="29">
        <f>IF(VLOOKUP($A62,overview!$B$3:$AJ$154,COLUMN(),FALSE) = "","",VLOOKUP($A62,overview!$B$3:$AJ$154,COLUMN(G62),FALSE))</f>
        <v>0.6811053574985062</v>
      </c>
      <c r="H62" s="29">
        <f>IF(VLOOKUP($A62,overview!$B$3:$AJ$154,COLUMN(),FALSE) = "","",VLOOKUP($A62,overview!$B$3:$AJ$154,COLUMN(H62),FALSE))</f>
        <v>0.68550886277633927</v>
      </c>
      <c r="I62" s="29">
        <f>IF(VLOOKUP($A62,overview!$B$3:$AJ$154,COLUMN(),FALSE) = "","",VLOOKUP($A62,overview!$B$3:$AJ$154,COLUMN(I62),FALSE))</f>
        <v>0.68991236805417244</v>
      </c>
      <c r="J62" s="29">
        <f>IF(VLOOKUP($A62,overview!$B$3:$AJ$154,COLUMN(),FALSE) = "","",VLOOKUP($A62,overview!$B$3:$AJ$154,COLUMN(J62),FALSE))</f>
        <v>0.69431587333200551</v>
      </c>
      <c r="K62" s="29">
        <f>IF(VLOOKUP($A62,overview!$B$3:$AJ$154,COLUMN(),FALSE) = "","",VLOOKUP($A62,overview!$B$3:$AJ$154,COLUMN(K62),FALSE))</f>
        <v>0.69871937860983868</v>
      </c>
      <c r="L62" s="29">
        <f>IF(VLOOKUP($A62,overview!$B$3:$AJ$154,COLUMN(),FALSE) = "","",VLOOKUP($A62,overview!$B$3:$AJ$154,COLUMN(L62),FALSE))</f>
        <v>0.70312288388767175</v>
      </c>
      <c r="M62" s="29">
        <f>IF(VLOOKUP($A62,overview!$B$3:$AJ$154,COLUMN(),FALSE) = "","",VLOOKUP($A62,overview!$B$3:$AJ$154,COLUMN(M62),FALSE))</f>
        <v>0.70752638916550481</v>
      </c>
      <c r="N62" s="29">
        <f>IF(VLOOKUP($A62,overview!$B$3:$AJ$154,COLUMN(),FALSE) = "","",VLOOKUP($A62,overview!$B$3:$AJ$154,COLUMN(N62),FALSE))</f>
        <v>0.71192989444333798</v>
      </c>
      <c r="O62" s="29">
        <f>IF(VLOOKUP($A62,overview!$B$3:$AJ$154,COLUMN(),FALSE) = "","",VLOOKUP($A62,overview!$B$3:$AJ$154,COLUMN(O62),FALSE))</f>
        <v>0.71633339972117105</v>
      </c>
      <c r="P62" s="29">
        <f>IF(VLOOKUP($A62,overview!$B$3:$AJ$154,COLUMN(),FALSE) = "","",VLOOKUP($A62,overview!$B$3:$AJ$154,COLUMN(P62),FALSE))</f>
        <v>0.72073690499900411</v>
      </c>
      <c r="Q62" s="29">
        <f>IF(VLOOKUP($A62,overview!$B$3:$AJ$154,COLUMN(),FALSE) = "","",VLOOKUP($A62,overview!$B$3:$AJ$154,COLUMN(Q62),FALSE))</f>
        <v>0.72514041027683729</v>
      </c>
      <c r="R62" s="29">
        <f>IF(VLOOKUP($A62,overview!$B$3:$AJ$154,COLUMN(),FALSE) = "","",VLOOKUP($A62,overview!$B$3:$AJ$154,COLUMN(R62),FALSE))</f>
        <v>0.72954391555467035</v>
      </c>
      <c r="S62" s="29">
        <f>IF(VLOOKUP($A62,overview!$B$3:$AJ$154,COLUMN(),FALSE) = "","",VLOOKUP($A62,overview!$B$3:$AJ$154,COLUMN(S62),FALSE))</f>
        <v>0.73394742083250342</v>
      </c>
      <c r="T62" s="29">
        <f>IF(VLOOKUP($A62,overview!$B$3:$AJ$154,COLUMN(),FALSE) = "","",VLOOKUP($A62,overview!$B$3:$AJ$154,COLUMN(T62),FALSE))</f>
        <v>0.73835092611033659</v>
      </c>
      <c r="U62" s="29">
        <f>IF(VLOOKUP($A62,overview!$B$3:$AJ$154,COLUMN(),FALSE) = "","",VLOOKUP($A62,overview!$B$3:$AJ$154,COLUMN(U62),FALSE))</f>
        <v>0.74275443138816966</v>
      </c>
      <c r="V62" s="29">
        <f>IF(VLOOKUP($A62,overview!$B$3:$AJ$154,COLUMN(),FALSE) = "","",VLOOKUP($A62,overview!$B$3:$AJ$154,COLUMN(V62),FALSE))</f>
        <v>0.74715793666600283</v>
      </c>
      <c r="W62" s="29">
        <f>IF(VLOOKUP($A62,overview!$B$3:$AJ$154,COLUMN(),FALSE) = "","",VLOOKUP($A62,overview!$B$3:$AJ$154,COLUMN(W62),FALSE))</f>
        <v>0.7515614419438359</v>
      </c>
      <c r="X62" s="29">
        <f>IF(VLOOKUP($A62,overview!$B$3:$AJ$154,COLUMN(),FALSE) = "","",VLOOKUP($A62,overview!$B$3:$AJ$154,COLUMN(X62),FALSE))</f>
        <v>0.75596494722166896</v>
      </c>
      <c r="Y62" s="29">
        <f>IF(VLOOKUP($A62,overview!$B$3:$AJ$154,COLUMN(),FALSE) = "","",VLOOKUP($A62,overview!$B$3:$AJ$154,COLUMN(Y62),FALSE))</f>
        <v>0.76036845249950213</v>
      </c>
      <c r="Z62" s="29">
        <f>IF(VLOOKUP($A62,overview!$B$3:$AJ$154,COLUMN(),FALSE) = "","",VLOOKUP($A62,overview!$B$3:$AJ$154,COLUMN(Z62),FALSE))</f>
        <v>0.7647719577773352</v>
      </c>
      <c r="AA62" s="29">
        <f>IF(VLOOKUP($A62,overview!$B$3:$AJ$154,COLUMN(),FALSE) = "","",VLOOKUP($A62,overview!$B$3:$AJ$154,COLUMN(AA62),FALSE))</f>
        <v>0.76917546305516837</v>
      </c>
      <c r="AB62" s="29">
        <f>IF(VLOOKUP($A62,overview!$B$3:$AJ$154,COLUMN(),FALSE) = "","",VLOOKUP($A62,overview!$B$3:$AJ$154,COLUMN(AB62),FALSE))</f>
        <v>0.77357896833300144</v>
      </c>
      <c r="AC62" s="29">
        <f>IF(VLOOKUP($A62,overview!$B$3:$AJ$154,COLUMN(),FALSE) = "","",VLOOKUP($A62,overview!$B$3:$AJ$154,COLUMN(AC62),FALSE))</f>
        <v>0.7779824736108345</v>
      </c>
      <c r="AD62" s="29">
        <f>IF(VLOOKUP($A62,overview!$B$3:$AJ$154,COLUMN(),FALSE) = "","",VLOOKUP($A62,overview!$B$3:$AJ$154,COLUMN(AD62),FALSE))</f>
        <v>0.78238597888866768</v>
      </c>
      <c r="AE62" s="29">
        <f>IF(VLOOKUP($A62,overview!$B$3:$AJ$154,COLUMN(),FALSE) = "","",VLOOKUP($A62,overview!$B$3:$AJ$154,COLUMN(AE62),FALSE))</f>
        <v>0.78678948416650074</v>
      </c>
      <c r="AF62" s="29">
        <f>IF(VLOOKUP($A62,overview!$B$3:$AJ$154,COLUMN(),FALSE) = "","",VLOOKUP($A62,overview!$B$3:$AJ$154,COLUMN(AF62),FALSE))</f>
        <v>0.79119298944433381</v>
      </c>
      <c r="AG62" s="29">
        <f>IF(VLOOKUP($A62,overview!$B$3:$AJ$154,COLUMN(),FALSE) = "","",VLOOKUP($A62,overview!$B$3:$AJ$154,COLUMN(AG62),FALSE))</f>
        <v>0.79559649472216698</v>
      </c>
      <c r="AH62" s="29">
        <f>IF(VLOOKUP($A62,overview!$B$3:$AJ$154,COLUMN(),FALSE) = "","",VLOOKUP($A62,overview!$B$3:$AJ$154,COLUMN(AH62),FALSE))</f>
        <v>0.8</v>
      </c>
      <c r="AI62" s="3" t="str">
        <f>IF(VLOOKUP($A62,overview!$B$3:$AJ$154,COLUMN(),FALSE) = "","",VLOOKUP($A62,overview!$B$3:$AJ$154,COLUMN(AI62),FALSE))</f>
        <v>[kWh_fuel/kWh_H2] (LHV basis)</v>
      </c>
    </row>
    <row r="63" spans="1:35" ht="15.75" customHeight="1" x14ac:dyDescent="0.2">
      <c r="A63" s="22" t="s">
        <v>198</v>
      </c>
      <c r="B63" s="23">
        <f>IF(VLOOKUP($A63,overview!$B$3:$AJ$154,COLUMN(),FALSE) = "","",VLOOKUP($A63,overview!$B$3:$AJ$154,COLUMN(B63),FALSE))</f>
        <v>6.9181452214104669E-2</v>
      </c>
      <c r="C63" s="3" t="str">
        <f>IF(VLOOKUP($A63,overview!$B$3:$AJ$154,COLUMN(),FALSE) = "","",VLOOKUP($A63,overview!$B$3:$AJ$154,COLUMN(C63),FALSE))</f>
        <v/>
      </c>
      <c r="D63" s="3" t="str">
        <f>IF(VLOOKUP($A63,overview!$B$3:$AJ$154,COLUMN(),FALSE) = "","",VLOOKUP($A63,overview!$B$3:$AJ$154,COLUMN(D63),FALSE))</f>
        <v/>
      </c>
      <c r="E63" s="3" t="str">
        <f>IF(VLOOKUP($A63,overview!$B$3:$AJ$154,COLUMN(),FALSE) = "","",VLOOKUP($A63,overview!$B$3:$AJ$154,COLUMN(E63),FALSE))</f>
        <v/>
      </c>
      <c r="F63" s="3" t="str">
        <f>IF(VLOOKUP($A63,overview!$B$3:$AJ$154,COLUMN(),FALSE) = "","",VLOOKUP($A63,overview!$B$3:$AJ$154,COLUMN(F63),FALSE))</f>
        <v/>
      </c>
      <c r="G63" s="3" t="str">
        <f>IF(VLOOKUP($A63,overview!$B$3:$AJ$154,COLUMN(),FALSE) = "","",VLOOKUP($A63,overview!$B$3:$AJ$154,COLUMN(G63),FALSE))</f>
        <v/>
      </c>
      <c r="H63" s="3" t="str">
        <f>IF(VLOOKUP($A63,overview!$B$3:$AJ$154,COLUMN(),FALSE) = "","",VLOOKUP($A63,overview!$B$3:$AJ$154,COLUMN(H63),FALSE))</f>
        <v/>
      </c>
      <c r="I63" s="3" t="str">
        <f>IF(VLOOKUP($A63,overview!$B$3:$AJ$154,COLUMN(),FALSE) = "","",VLOOKUP($A63,overview!$B$3:$AJ$154,COLUMN(I63),FALSE))</f>
        <v/>
      </c>
      <c r="J63" s="3" t="str">
        <f>IF(VLOOKUP($A63,overview!$B$3:$AJ$154,COLUMN(),FALSE) = "","",VLOOKUP($A63,overview!$B$3:$AJ$154,COLUMN(J63),FALSE))</f>
        <v/>
      </c>
      <c r="K63" s="3" t="str">
        <f>IF(VLOOKUP($A63,overview!$B$3:$AJ$154,COLUMN(),FALSE) = "","",VLOOKUP($A63,overview!$B$3:$AJ$154,COLUMN(K63),FALSE))</f>
        <v/>
      </c>
      <c r="L63" s="3" t="str">
        <f>IF(VLOOKUP($A63,overview!$B$3:$AJ$154,COLUMN(),FALSE) = "","",VLOOKUP($A63,overview!$B$3:$AJ$154,COLUMN(L63),FALSE))</f>
        <v/>
      </c>
      <c r="M63" s="3" t="str">
        <f>IF(VLOOKUP($A63,overview!$B$3:$AJ$154,COLUMN(),FALSE) = "","",VLOOKUP($A63,overview!$B$3:$AJ$154,COLUMN(M63),FALSE))</f>
        <v/>
      </c>
      <c r="N63" s="3" t="str">
        <f>IF(VLOOKUP($A63,overview!$B$3:$AJ$154,COLUMN(),FALSE) = "","",VLOOKUP($A63,overview!$B$3:$AJ$154,COLUMN(N63),FALSE))</f>
        <v/>
      </c>
      <c r="O63" s="3" t="str">
        <f>IF(VLOOKUP($A63,overview!$B$3:$AJ$154,COLUMN(),FALSE) = "","",VLOOKUP($A63,overview!$B$3:$AJ$154,COLUMN(O63),FALSE))</f>
        <v/>
      </c>
      <c r="P63" s="3" t="str">
        <f>IF(VLOOKUP($A63,overview!$B$3:$AJ$154,COLUMN(),FALSE) = "","",VLOOKUP($A63,overview!$B$3:$AJ$154,COLUMN(P63),FALSE))</f>
        <v/>
      </c>
      <c r="Q63" s="3" t="str">
        <f>IF(VLOOKUP($A63,overview!$B$3:$AJ$154,COLUMN(),FALSE) = "","",VLOOKUP($A63,overview!$B$3:$AJ$154,COLUMN(Q63),FALSE))</f>
        <v/>
      </c>
      <c r="R63" s="3" t="str">
        <f>IF(VLOOKUP($A63,overview!$B$3:$AJ$154,COLUMN(),FALSE) = "","",VLOOKUP($A63,overview!$B$3:$AJ$154,COLUMN(R63),FALSE))</f>
        <v/>
      </c>
      <c r="S63" s="3" t="str">
        <f>IF(VLOOKUP($A63,overview!$B$3:$AJ$154,COLUMN(),FALSE) = "","",VLOOKUP($A63,overview!$B$3:$AJ$154,COLUMN(S63),FALSE))</f>
        <v/>
      </c>
      <c r="T63" s="3" t="str">
        <f>IF(VLOOKUP($A63,overview!$B$3:$AJ$154,COLUMN(),FALSE) = "","",VLOOKUP($A63,overview!$B$3:$AJ$154,COLUMN(T63),FALSE))</f>
        <v/>
      </c>
      <c r="U63" s="3" t="str">
        <f>IF(VLOOKUP($A63,overview!$B$3:$AJ$154,COLUMN(),FALSE) = "","",VLOOKUP($A63,overview!$B$3:$AJ$154,COLUMN(U63),FALSE))</f>
        <v/>
      </c>
      <c r="V63" s="3" t="str">
        <f>IF(VLOOKUP($A63,overview!$B$3:$AJ$154,COLUMN(),FALSE) = "","",VLOOKUP($A63,overview!$B$3:$AJ$154,COLUMN(V63),FALSE))</f>
        <v/>
      </c>
      <c r="W63" s="3" t="str">
        <f>IF(VLOOKUP($A63,overview!$B$3:$AJ$154,COLUMN(),FALSE) = "","",VLOOKUP($A63,overview!$B$3:$AJ$154,COLUMN(W63),FALSE))</f>
        <v/>
      </c>
      <c r="X63" s="3" t="str">
        <f>IF(VLOOKUP($A63,overview!$B$3:$AJ$154,COLUMN(),FALSE) = "","",VLOOKUP($A63,overview!$B$3:$AJ$154,COLUMN(X63),FALSE))</f>
        <v/>
      </c>
      <c r="Y63" s="3" t="str">
        <f>IF(VLOOKUP($A63,overview!$B$3:$AJ$154,COLUMN(),FALSE) = "","",VLOOKUP($A63,overview!$B$3:$AJ$154,COLUMN(Y63),FALSE))</f>
        <v/>
      </c>
      <c r="Z63" s="3" t="str">
        <f>IF(VLOOKUP($A63,overview!$B$3:$AJ$154,COLUMN(),FALSE) = "","",VLOOKUP($A63,overview!$B$3:$AJ$154,COLUMN(Z63),FALSE))</f>
        <v/>
      </c>
      <c r="AA63" s="3" t="str">
        <f>IF(VLOOKUP($A63,overview!$B$3:$AJ$154,COLUMN(),FALSE) = "","",VLOOKUP($A63,overview!$B$3:$AJ$154,COLUMN(AA63),FALSE))</f>
        <v/>
      </c>
      <c r="AB63" s="3" t="str">
        <f>IF(VLOOKUP($A63,overview!$B$3:$AJ$154,COLUMN(),FALSE) = "","",VLOOKUP($A63,overview!$B$3:$AJ$154,COLUMN(AB63),FALSE))</f>
        <v/>
      </c>
      <c r="AC63" s="3" t="str">
        <f>IF(VLOOKUP($A63,overview!$B$3:$AJ$154,COLUMN(),FALSE) = "","",VLOOKUP($A63,overview!$B$3:$AJ$154,COLUMN(AC63),FALSE))</f>
        <v/>
      </c>
      <c r="AD63" s="3" t="str">
        <f>IF(VLOOKUP($A63,overview!$B$3:$AJ$154,COLUMN(),FALSE) = "","",VLOOKUP($A63,overview!$B$3:$AJ$154,COLUMN(AD63),FALSE))</f>
        <v/>
      </c>
      <c r="AE63" s="3" t="str">
        <f>IF(VLOOKUP($A63,overview!$B$3:$AJ$154,COLUMN(),FALSE) = "","",VLOOKUP($A63,overview!$B$3:$AJ$154,COLUMN(AE63),FALSE))</f>
        <v/>
      </c>
      <c r="AF63" s="3" t="str">
        <f>IF(VLOOKUP($A63,overview!$B$3:$AJ$154,COLUMN(),FALSE) = "","",VLOOKUP($A63,overview!$B$3:$AJ$154,COLUMN(AF63),FALSE))</f>
        <v/>
      </c>
      <c r="AG63" s="3" t="str">
        <f>IF(VLOOKUP($A63,overview!$B$3:$AJ$154,COLUMN(),FALSE) = "","",VLOOKUP($A63,overview!$B$3:$AJ$154,COLUMN(AG63),FALSE))</f>
        <v/>
      </c>
      <c r="AH63" s="3" t="str">
        <f>IF(VLOOKUP($A63,overview!$B$3:$AJ$154,COLUMN(),FALSE) = "","",VLOOKUP($A63,overview!$B$3:$AJ$154,COLUMN(AH63),FALSE))</f>
        <v/>
      </c>
      <c r="AI63" s="3" t="str">
        <f>IF(VLOOKUP($A63,overview!$B$3:$AJ$154,COLUMN(),FALSE) = "","",VLOOKUP($A63,overview!$B$3:$AJ$154,COLUMN(AI63),FALSE))</f>
        <v>[kWh_el/kWh_fuel]</v>
      </c>
    </row>
    <row r="64" spans="1:35" ht="15.75" customHeight="1" x14ac:dyDescent="0.2">
      <c r="A64" s="8" t="s">
        <v>203</v>
      </c>
      <c r="B64" s="23">
        <f>IF(VLOOKUP($A64,overview!$B$3:$AJ$154,COLUMN(),FALSE) = "","",VLOOKUP($A64,overview!$B$3:$AJ$154,COLUMN(B64),FALSE))</f>
        <v>0.32592813478455346</v>
      </c>
      <c r="C64" s="3" t="str">
        <f>IF(VLOOKUP($A64,overview!$B$3:$AJ$154,COLUMN(),FALSE) = "","",VLOOKUP($A64,overview!$B$3:$AJ$154,COLUMN(C64),FALSE))</f>
        <v/>
      </c>
      <c r="D64" s="3" t="str">
        <f>IF(VLOOKUP($A64,overview!$B$3:$AJ$154,COLUMN(),FALSE) = "","",VLOOKUP($A64,overview!$B$3:$AJ$154,COLUMN(D64),FALSE))</f>
        <v/>
      </c>
      <c r="E64" s="3" t="str">
        <f>IF(VLOOKUP($A64,overview!$B$3:$AJ$154,COLUMN(),FALSE) = "","",VLOOKUP($A64,overview!$B$3:$AJ$154,COLUMN(E64),FALSE))</f>
        <v/>
      </c>
      <c r="F64" s="3" t="str">
        <f>IF(VLOOKUP($A64,overview!$B$3:$AJ$154,COLUMN(),FALSE) = "","",VLOOKUP($A64,overview!$B$3:$AJ$154,COLUMN(F64),FALSE))</f>
        <v/>
      </c>
      <c r="G64" s="3" t="str">
        <f>IF(VLOOKUP($A64,overview!$B$3:$AJ$154,COLUMN(),FALSE) = "","",VLOOKUP($A64,overview!$B$3:$AJ$154,COLUMN(G64),FALSE))</f>
        <v/>
      </c>
      <c r="H64" s="3" t="str">
        <f>IF(VLOOKUP($A64,overview!$B$3:$AJ$154,COLUMN(),FALSE) = "","",VLOOKUP($A64,overview!$B$3:$AJ$154,COLUMN(H64),FALSE))</f>
        <v/>
      </c>
      <c r="I64" s="3" t="str">
        <f>IF(VLOOKUP($A64,overview!$B$3:$AJ$154,COLUMN(),FALSE) = "","",VLOOKUP($A64,overview!$B$3:$AJ$154,COLUMN(I64),FALSE))</f>
        <v/>
      </c>
      <c r="J64" s="3" t="str">
        <f>IF(VLOOKUP($A64,overview!$B$3:$AJ$154,COLUMN(),FALSE) = "","",VLOOKUP($A64,overview!$B$3:$AJ$154,COLUMN(J64),FALSE))</f>
        <v/>
      </c>
      <c r="K64" s="3" t="str">
        <f>IF(VLOOKUP($A64,overview!$B$3:$AJ$154,COLUMN(),FALSE) = "","",VLOOKUP($A64,overview!$B$3:$AJ$154,COLUMN(K64),FALSE))</f>
        <v/>
      </c>
      <c r="L64" s="3" t="str">
        <f>IF(VLOOKUP($A64,overview!$B$3:$AJ$154,COLUMN(),FALSE) = "","",VLOOKUP($A64,overview!$B$3:$AJ$154,COLUMN(L64),FALSE))</f>
        <v/>
      </c>
      <c r="M64" s="3" t="str">
        <f>IF(VLOOKUP($A64,overview!$B$3:$AJ$154,COLUMN(),FALSE) = "","",VLOOKUP($A64,overview!$B$3:$AJ$154,COLUMN(M64),FALSE))</f>
        <v/>
      </c>
      <c r="N64" s="3" t="str">
        <f>IF(VLOOKUP($A64,overview!$B$3:$AJ$154,COLUMN(),FALSE) = "","",VLOOKUP($A64,overview!$B$3:$AJ$154,COLUMN(N64),FALSE))</f>
        <v/>
      </c>
      <c r="O64" s="3" t="str">
        <f>IF(VLOOKUP($A64,overview!$B$3:$AJ$154,COLUMN(),FALSE) = "","",VLOOKUP($A64,overview!$B$3:$AJ$154,COLUMN(O64),FALSE))</f>
        <v/>
      </c>
      <c r="P64" s="3" t="str">
        <f>IF(VLOOKUP($A64,overview!$B$3:$AJ$154,COLUMN(),FALSE) = "","",VLOOKUP($A64,overview!$B$3:$AJ$154,COLUMN(P64),FALSE))</f>
        <v/>
      </c>
      <c r="Q64" s="3" t="str">
        <f>IF(VLOOKUP($A64,overview!$B$3:$AJ$154,COLUMN(),FALSE) = "","",VLOOKUP($A64,overview!$B$3:$AJ$154,COLUMN(Q64),FALSE))</f>
        <v/>
      </c>
      <c r="R64" s="3" t="str">
        <f>IF(VLOOKUP($A64,overview!$B$3:$AJ$154,COLUMN(),FALSE) = "","",VLOOKUP($A64,overview!$B$3:$AJ$154,COLUMN(R64),FALSE))</f>
        <v/>
      </c>
      <c r="S64" s="3" t="str">
        <f>IF(VLOOKUP($A64,overview!$B$3:$AJ$154,COLUMN(),FALSE) = "","",VLOOKUP($A64,overview!$B$3:$AJ$154,COLUMN(S64),FALSE))</f>
        <v/>
      </c>
      <c r="T64" s="3" t="str">
        <f>IF(VLOOKUP($A64,overview!$B$3:$AJ$154,COLUMN(),FALSE) = "","",VLOOKUP($A64,overview!$B$3:$AJ$154,COLUMN(T64),FALSE))</f>
        <v/>
      </c>
      <c r="U64" s="3" t="str">
        <f>IF(VLOOKUP($A64,overview!$B$3:$AJ$154,COLUMN(),FALSE) = "","",VLOOKUP($A64,overview!$B$3:$AJ$154,COLUMN(U64),FALSE))</f>
        <v/>
      </c>
      <c r="V64" s="3" t="str">
        <f>IF(VLOOKUP($A64,overview!$B$3:$AJ$154,COLUMN(),FALSE) = "","",VLOOKUP($A64,overview!$B$3:$AJ$154,COLUMN(V64),FALSE))</f>
        <v/>
      </c>
      <c r="W64" s="3" t="str">
        <f>IF(VLOOKUP($A64,overview!$B$3:$AJ$154,COLUMN(),FALSE) = "","",VLOOKUP($A64,overview!$B$3:$AJ$154,COLUMN(W64),FALSE))</f>
        <v/>
      </c>
      <c r="X64" s="3" t="str">
        <f>IF(VLOOKUP($A64,overview!$B$3:$AJ$154,COLUMN(),FALSE) = "","",VLOOKUP($A64,overview!$B$3:$AJ$154,COLUMN(X64),FALSE))</f>
        <v/>
      </c>
      <c r="Y64" s="3" t="str">
        <f>IF(VLOOKUP($A64,overview!$B$3:$AJ$154,COLUMN(),FALSE) = "","",VLOOKUP($A64,overview!$B$3:$AJ$154,COLUMN(Y64),FALSE))</f>
        <v/>
      </c>
      <c r="Z64" s="3" t="str">
        <f>IF(VLOOKUP($A64,overview!$B$3:$AJ$154,COLUMN(),FALSE) = "","",VLOOKUP($A64,overview!$B$3:$AJ$154,COLUMN(Z64),FALSE))</f>
        <v/>
      </c>
      <c r="AA64" s="3" t="str">
        <f>IF(VLOOKUP($A64,overview!$B$3:$AJ$154,COLUMN(),FALSE) = "","",VLOOKUP($A64,overview!$B$3:$AJ$154,COLUMN(AA64),FALSE))</f>
        <v/>
      </c>
      <c r="AB64" s="3" t="str">
        <f>IF(VLOOKUP($A64,overview!$B$3:$AJ$154,COLUMN(),FALSE) = "","",VLOOKUP($A64,overview!$B$3:$AJ$154,COLUMN(AB64),FALSE))</f>
        <v/>
      </c>
      <c r="AC64" s="3" t="str">
        <f>IF(VLOOKUP($A64,overview!$B$3:$AJ$154,COLUMN(),FALSE) = "","",VLOOKUP($A64,overview!$B$3:$AJ$154,COLUMN(AC64),FALSE))</f>
        <v/>
      </c>
      <c r="AD64" s="3" t="str">
        <f>IF(VLOOKUP($A64,overview!$B$3:$AJ$154,COLUMN(),FALSE) = "","",VLOOKUP($A64,overview!$B$3:$AJ$154,COLUMN(AD64),FALSE))</f>
        <v/>
      </c>
      <c r="AE64" s="3" t="str">
        <f>IF(VLOOKUP($A64,overview!$B$3:$AJ$154,COLUMN(),FALSE) = "","",VLOOKUP($A64,overview!$B$3:$AJ$154,COLUMN(AE64),FALSE))</f>
        <v/>
      </c>
      <c r="AF64" s="3" t="str">
        <f>IF(VLOOKUP($A64,overview!$B$3:$AJ$154,COLUMN(),FALSE) = "","",VLOOKUP($A64,overview!$B$3:$AJ$154,COLUMN(AF64),FALSE))</f>
        <v/>
      </c>
      <c r="AG64" s="3" t="str">
        <f>IF(VLOOKUP($A64,overview!$B$3:$AJ$154,COLUMN(),FALSE) = "","",VLOOKUP($A64,overview!$B$3:$AJ$154,COLUMN(AG64),FALSE))</f>
        <v/>
      </c>
      <c r="AH64" s="3" t="str">
        <f>IF(VLOOKUP($A64,overview!$B$3:$AJ$154,COLUMN(),FALSE) = "","",VLOOKUP($A64,overview!$B$3:$AJ$154,COLUMN(AH64),FALSE))</f>
        <v/>
      </c>
      <c r="AI64" s="3" t="str">
        <f>IF(VLOOKUP($A64,overview!$B$3:$AJ$154,COLUMN(),FALSE) = "","",VLOOKUP($A64,overview!$B$3:$AJ$154,COLUMN(AI64),FALSE))</f>
        <v>[kWh_heat / kWh_fuel]</v>
      </c>
    </row>
    <row r="65" spans="1:35" ht="15.75" customHeight="1" x14ac:dyDescent="0.2">
      <c r="A65" s="8" t="s">
        <v>206</v>
      </c>
      <c r="B65" s="3">
        <f>IF(VLOOKUP($A65,overview!$B$3:$AJ$154,COLUMN(),FALSE) = "","",VLOOKUP($A65,overview!$B$3:$AJ$154,COLUMN(B65),FALSE))</f>
        <v>0.8</v>
      </c>
      <c r="C65" s="3">
        <f>IF(VLOOKUP($A65,overview!$B$3:$AJ$154,COLUMN(),FALSE) = "","",VLOOKUP($A65,overview!$B$3:$AJ$154,COLUMN(C65),FALSE))</f>
        <v>0.6</v>
      </c>
      <c r="D65" s="3">
        <f>IF(VLOOKUP($A65,overview!$B$3:$AJ$154,COLUMN(),FALSE) = "","",VLOOKUP($A65,overview!$B$3:$AJ$154,COLUMN(D65),FALSE))</f>
        <v>1</v>
      </c>
      <c r="E65" s="3" t="str">
        <f>IF(VLOOKUP($A65,overview!$B$3:$AJ$154,COLUMN(),FALSE) = "","",VLOOKUP($A65,overview!$B$3:$AJ$154,COLUMN(E65),FALSE))</f>
        <v/>
      </c>
      <c r="F65" s="3" t="str">
        <f>IF(VLOOKUP($A65,overview!$B$3:$AJ$154,COLUMN(),FALSE) = "","",VLOOKUP($A65,overview!$B$3:$AJ$154,COLUMN(F65),FALSE))</f>
        <v/>
      </c>
      <c r="G65" s="3" t="str">
        <f>IF(VLOOKUP($A65,overview!$B$3:$AJ$154,COLUMN(),FALSE) = "","",VLOOKUP($A65,overview!$B$3:$AJ$154,COLUMN(G65),FALSE))</f>
        <v/>
      </c>
      <c r="H65" s="3" t="str">
        <f>IF(VLOOKUP($A65,overview!$B$3:$AJ$154,COLUMN(),FALSE) = "","",VLOOKUP($A65,overview!$B$3:$AJ$154,COLUMN(H65),FALSE))</f>
        <v/>
      </c>
      <c r="I65" s="3" t="str">
        <f>IF(VLOOKUP($A65,overview!$B$3:$AJ$154,COLUMN(),FALSE) = "","",VLOOKUP($A65,overview!$B$3:$AJ$154,COLUMN(I65),FALSE))</f>
        <v/>
      </c>
      <c r="J65" s="3" t="str">
        <f>IF(VLOOKUP($A65,overview!$B$3:$AJ$154,COLUMN(),FALSE) = "","",VLOOKUP($A65,overview!$B$3:$AJ$154,COLUMN(J65),FALSE))</f>
        <v/>
      </c>
      <c r="K65" s="3" t="str">
        <f>IF(VLOOKUP($A65,overview!$B$3:$AJ$154,COLUMN(),FALSE) = "","",VLOOKUP($A65,overview!$B$3:$AJ$154,COLUMN(K65),FALSE))</f>
        <v/>
      </c>
      <c r="L65" s="3" t="str">
        <f>IF(VLOOKUP($A65,overview!$B$3:$AJ$154,COLUMN(),FALSE) = "","",VLOOKUP($A65,overview!$B$3:$AJ$154,COLUMN(L65),FALSE))</f>
        <v/>
      </c>
      <c r="M65" s="3" t="str">
        <f>IF(VLOOKUP($A65,overview!$B$3:$AJ$154,COLUMN(),FALSE) = "","",VLOOKUP($A65,overview!$B$3:$AJ$154,COLUMN(M65),FALSE))</f>
        <v/>
      </c>
      <c r="N65" s="3" t="str">
        <f>IF(VLOOKUP($A65,overview!$B$3:$AJ$154,COLUMN(),FALSE) = "","",VLOOKUP($A65,overview!$B$3:$AJ$154,COLUMN(N65),FALSE))</f>
        <v/>
      </c>
      <c r="O65" s="3" t="str">
        <f>IF(VLOOKUP($A65,overview!$B$3:$AJ$154,COLUMN(),FALSE) = "","",VLOOKUP($A65,overview!$B$3:$AJ$154,COLUMN(O65),FALSE))</f>
        <v/>
      </c>
      <c r="P65" s="3" t="str">
        <f>IF(VLOOKUP($A65,overview!$B$3:$AJ$154,COLUMN(),FALSE) = "","",VLOOKUP($A65,overview!$B$3:$AJ$154,COLUMN(P65),FALSE))</f>
        <v/>
      </c>
      <c r="Q65" s="3" t="str">
        <f>IF(VLOOKUP($A65,overview!$B$3:$AJ$154,COLUMN(),FALSE) = "","",VLOOKUP($A65,overview!$B$3:$AJ$154,COLUMN(Q65),FALSE))</f>
        <v/>
      </c>
      <c r="R65" s="3" t="str">
        <f>IF(VLOOKUP($A65,overview!$B$3:$AJ$154,COLUMN(),FALSE) = "","",VLOOKUP($A65,overview!$B$3:$AJ$154,COLUMN(R65),FALSE))</f>
        <v/>
      </c>
      <c r="S65" s="3" t="str">
        <f>IF(VLOOKUP($A65,overview!$B$3:$AJ$154,COLUMN(),FALSE) = "","",VLOOKUP($A65,overview!$B$3:$AJ$154,COLUMN(S65),FALSE))</f>
        <v/>
      </c>
      <c r="T65" s="3" t="str">
        <f>IF(VLOOKUP($A65,overview!$B$3:$AJ$154,COLUMN(),FALSE) = "","",VLOOKUP($A65,overview!$B$3:$AJ$154,COLUMN(T65),FALSE))</f>
        <v/>
      </c>
      <c r="U65" s="3" t="str">
        <f>IF(VLOOKUP($A65,overview!$B$3:$AJ$154,COLUMN(),FALSE) = "","",VLOOKUP($A65,overview!$B$3:$AJ$154,COLUMN(U65),FALSE))</f>
        <v/>
      </c>
      <c r="V65" s="3" t="str">
        <f>IF(VLOOKUP($A65,overview!$B$3:$AJ$154,COLUMN(),FALSE) = "","",VLOOKUP($A65,overview!$B$3:$AJ$154,COLUMN(V65),FALSE))</f>
        <v/>
      </c>
      <c r="W65" s="3" t="str">
        <f>IF(VLOOKUP($A65,overview!$B$3:$AJ$154,COLUMN(),FALSE) = "","",VLOOKUP($A65,overview!$B$3:$AJ$154,COLUMN(W65),FALSE))</f>
        <v/>
      </c>
      <c r="X65" s="3" t="str">
        <f>IF(VLOOKUP($A65,overview!$B$3:$AJ$154,COLUMN(),FALSE) = "","",VLOOKUP($A65,overview!$B$3:$AJ$154,COLUMN(X65),FALSE))</f>
        <v/>
      </c>
      <c r="Y65" s="3" t="str">
        <f>IF(VLOOKUP($A65,overview!$B$3:$AJ$154,COLUMN(),FALSE) = "","",VLOOKUP($A65,overview!$B$3:$AJ$154,COLUMN(Y65),FALSE))</f>
        <v/>
      </c>
      <c r="Z65" s="3" t="str">
        <f>IF(VLOOKUP($A65,overview!$B$3:$AJ$154,COLUMN(),FALSE) = "","",VLOOKUP($A65,overview!$B$3:$AJ$154,COLUMN(Z65),FALSE))</f>
        <v/>
      </c>
      <c r="AA65" s="3" t="str">
        <f>IF(VLOOKUP($A65,overview!$B$3:$AJ$154,COLUMN(),FALSE) = "","",VLOOKUP($A65,overview!$B$3:$AJ$154,COLUMN(AA65),FALSE))</f>
        <v/>
      </c>
      <c r="AB65" s="3" t="str">
        <f>IF(VLOOKUP($A65,overview!$B$3:$AJ$154,COLUMN(),FALSE) = "","",VLOOKUP($A65,overview!$B$3:$AJ$154,COLUMN(AB65),FALSE))</f>
        <v/>
      </c>
      <c r="AC65" s="3" t="str">
        <f>IF(VLOOKUP($A65,overview!$B$3:$AJ$154,COLUMN(),FALSE) = "","",VLOOKUP($A65,overview!$B$3:$AJ$154,COLUMN(AC65),FALSE))</f>
        <v/>
      </c>
      <c r="AD65" s="3" t="str">
        <f>IF(VLOOKUP($A65,overview!$B$3:$AJ$154,COLUMN(),FALSE) = "","",VLOOKUP($A65,overview!$B$3:$AJ$154,COLUMN(AD65),FALSE))</f>
        <v/>
      </c>
      <c r="AE65" s="3" t="str">
        <f>IF(VLOOKUP($A65,overview!$B$3:$AJ$154,COLUMN(),FALSE) = "","",VLOOKUP($A65,overview!$B$3:$AJ$154,COLUMN(AE65),FALSE))</f>
        <v/>
      </c>
      <c r="AF65" s="3" t="str">
        <f>IF(VLOOKUP($A65,overview!$B$3:$AJ$154,COLUMN(),FALSE) = "","",VLOOKUP($A65,overview!$B$3:$AJ$154,COLUMN(AF65),FALSE))</f>
        <v/>
      </c>
      <c r="AG65" s="3" t="str">
        <f>IF(VLOOKUP($A65,overview!$B$3:$AJ$154,COLUMN(),FALSE) = "","",VLOOKUP($A65,overview!$B$3:$AJ$154,COLUMN(AG65),FALSE))</f>
        <v/>
      </c>
      <c r="AH65" s="3" t="str">
        <f>IF(VLOOKUP($A65,overview!$B$3:$AJ$154,COLUMN(),FALSE) = "","",VLOOKUP($A65,overview!$B$3:$AJ$154,COLUMN(AH65),FALSE))</f>
        <v/>
      </c>
      <c r="AI65" s="3" t="str">
        <f>IF(VLOOKUP($A65,overview!$B$3:$AJ$154,COLUMN(),FALSE) = "","",VLOOKUP($A65,overview!$B$3:$AJ$154,COLUMN(AI65),FALSE))</f>
        <v>Fraction of rated jet fuel output</v>
      </c>
    </row>
    <row r="66" spans="1:35" ht="15.75" customHeight="1" x14ac:dyDescent="0.2">
      <c r="A66" s="8" t="s">
        <v>209</v>
      </c>
      <c r="B66" s="23">
        <f>IF(VLOOKUP($A66,overview!$B$3:$AJ$154,COLUMN(),FALSE) = "","",VLOOKUP($A66,overview!$B$3:$AJ$154,COLUMN(B66),FALSE))</f>
        <v>0.22754431388169688</v>
      </c>
      <c r="C66" s="3" t="str">
        <f>IF(VLOOKUP($A66,overview!$B$3:$AJ$154,COLUMN(),FALSE) = "","",VLOOKUP($A66,overview!$B$3:$AJ$154,COLUMN(C66),FALSE))</f>
        <v/>
      </c>
      <c r="D66" s="3" t="str">
        <f>IF(VLOOKUP($A66,overview!$B$3:$AJ$154,COLUMN(),FALSE) = "","",VLOOKUP($A66,overview!$B$3:$AJ$154,COLUMN(D66),FALSE))</f>
        <v/>
      </c>
      <c r="E66" s="3" t="str">
        <f>IF(VLOOKUP($A66,overview!$B$3:$AJ$154,COLUMN(),FALSE) = "","",VLOOKUP($A66,overview!$B$3:$AJ$154,COLUMN(E66),FALSE))</f>
        <v/>
      </c>
      <c r="F66" s="3" t="str">
        <f>IF(VLOOKUP($A66,overview!$B$3:$AJ$154,COLUMN(),FALSE) = "","",VLOOKUP($A66,overview!$B$3:$AJ$154,COLUMN(F66),FALSE))</f>
        <v/>
      </c>
      <c r="G66" s="3" t="str">
        <f>IF(VLOOKUP($A66,overview!$B$3:$AJ$154,COLUMN(),FALSE) = "","",VLOOKUP($A66,overview!$B$3:$AJ$154,COLUMN(G66),FALSE))</f>
        <v/>
      </c>
      <c r="H66" s="3" t="str">
        <f>IF(VLOOKUP($A66,overview!$B$3:$AJ$154,COLUMN(),FALSE) = "","",VLOOKUP($A66,overview!$B$3:$AJ$154,COLUMN(H66),FALSE))</f>
        <v/>
      </c>
      <c r="I66" s="3" t="str">
        <f>IF(VLOOKUP($A66,overview!$B$3:$AJ$154,COLUMN(),FALSE) = "","",VLOOKUP($A66,overview!$B$3:$AJ$154,COLUMN(I66),FALSE))</f>
        <v/>
      </c>
      <c r="J66" s="3" t="str">
        <f>IF(VLOOKUP($A66,overview!$B$3:$AJ$154,COLUMN(),FALSE) = "","",VLOOKUP($A66,overview!$B$3:$AJ$154,COLUMN(J66),FALSE))</f>
        <v/>
      </c>
      <c r="K66" s="3" t="str">
        <f>IF(VLOOKUP($A66,overview!$B$3:$AJ$154,COLUMN(),FALSE) = "","",VLOOKUP($A66,overview!$B$3:$AJ$154,COLUMN(K66),FALSE))</f>
        <v/>
      </c>
      <c r="L66" s="3" t="str">
        <f>IF(VLOOKUP($A66,overview!$B$3:$AJ$154,COLUMN(),FALSE) = "","",VLOOKUP($A66,overview!$B$3:$AJ$154,COLUMN(L66),FALSE))</f>
        <v/>
      </c>
      <c r="M66" s="3" t="str">
        <f>IF(VLOOKUP($A66,overview!$B$3:$AJ$154,COLUMN(),FALSE) = "","",VLOOKUP($A66,overview!$B$3:$AJ$154,COLUMN(M66),FALSE))</f>
        <v/>
      </c>
      <c r="N66" s="3" t="str">
        <f>IF(VLOOKUP($A66,overview!$B$3:$AJ$154,COLUMN(),FALSE) = "","",VLOOKUP($A66,overview!$B$3:$AJ$154,COLUMN(N66),FALSE))</f>
        <v/>
      </c>
      <c r="O66" s="3" t="str">
        <f>IF(VLOOKUP($A66,overview!$B$3:$AJ$154,COLUMN(),FALSE) = "","",VLOOKUP($A66,overview!$B$3:$AJ$154,COLUMN(O66),FALSE))</f>
        <v/>
      </c>
      <c r="P66" s="3" t="str">
        <f>IF(VLOOKUP($A66,overview!$B$3:$AJ$154,COLUMN(),FALSE) = "","",VLOOKUP($A66,overview!$B$3:$AJ$154,COLUMN(P66),FALSE))</f>
        <v/>
      </c>
      <c r="Q66" s="3" t="str">
        <f>IF(VLOOKUP($A66,overview!$B$3:$AJ$154,COLUMN(),FALSE) = "","",VLOOKUP($A66,overview!$B$3:$AJ$154,COLUMN(Q66),FALSE))</f>
        <v/>
      </c>
      <c r="R66" s="3" t="str">
        <f>IF(VLOOKUP($A66,overview!$B$3:$AJ$154,COLUMN(),FALSE) = "","",VLOOKUP($A66,overview!$B$3:$AJ$154,COLUMN(R66),FALSE))</f>
        <v/>
      </c>
      <c r="S66" s="3" t="str">
        <f>IF(VLOOKUP($A66,overview!$B$3:$AJ$154,COLUMN(),FALSE) = "","",VLOOKUP($A66,overview!$B$3:$AJ$154,COLUMN(S66),FALSE))</f>
        <v/>
      </c>
      <c r="T66" s="3" t="str">
        <f>IF(VLOOKUP($A66,overview!$B$3:$AJ$154,COLUMN(),FALSE) = "","",VLOOKUP($A66,overview!$B$3:$AJ$154,COLUMN(T66),FALSE))</f>
        <v/>
      </c>
      <c r="U66" s="3" t="str">
        <f>IF(VLOOKUP($A66,overview!$B$3:$AJ$154,COLUMN(),FALSE) = "","",VLOOKUP($A66,overview!$B$3:$AJ$154,COLUMN(U66),FALSE))</f>
        <v/>
      </c>
      <c r="V66" s="3" t="str">
        <f>IF(VLOOKUP($A66,overview!$B$3:$AJ$154,COLUMN(),FALSE) = "","",VLOOKUP($A66,overview!$B$3:$AJ$154,COLUMN(V66),FALSE))</f>
        <v/>
      </c>
      <c r="W66" s="3" t="str">
        <f>IF(VLOOKUP($A66,overview!$B$3:$AJ$154,COLUMN(),FALSE) = "","",VLOOKUP($A66,overview!$B$3:$AJ$154,COLUMN(W66),FALSE))</f>
        <v/>
      </c>
      <c r="X66" s="3" t="str">
        <f>IF(VLOOKUP($A66,overview!$B$3:$AJ$154,COLUMN(),FALSE) = "","",VLOOKUP($A66,overview!$B$3:$AJ$154,COLUMN(X66),FALSE))</f>
        <v/>
      </c>
      <c r="Y66" s="3" t="str">
        <f>IF(VLOOKUP($A66,overview!$B$3:$AJ$154,COLUMN(),FALSE) = "","",VLOOKUP($A66,overview!$B$3:$AJ$154,COLUMN(Y66),FALSE))</f>
        <v/>
      </c>
      <c r="Z66" s="3" t="str">
        <f>IF(VLOOKUP($A66,overview!$B$3:$AJ$154,COLUMN(),FALSE) = "","",VLOOKUP($A66,overview!$B$3:$AJ$154,COLUMN(Z66),FALSE))</f>
        <v/>
      </c>
      <c r="AA66" s="3" t="str">
        <f>IF(VLOOKUP($A66,overview!$B$3:$AJ$154,COLUMN(),FALSE) = "","",VLOOKUP($A66,overview!$B$3:$AJ$154,COLUMN(AA66),FALSE))</f>
        <v/>
      </c>
      <c r="AB66" s="3" t="str">
        <f>IF(VLOOKUP($A66,overview!$B$3:$AJ$154,COLUMN(),FALSE) = "","",VLOOKUP($A66,overview!$B$3:$AJ$154,COLUMN(AB66),FALSE))</f>
        <v/>
      </c>
      <c r="AC66" s="3" t="str">
        <f>IF(VLOOKUP($A66,overview!$B$3:$AJ$154,COLUMN(),FALSE) = "","",VLOOKUP($A66,overview!$B$3:$AJ$154,COLUMN(AC66),FALSE))</f>
        <v/>
      </c>
      <c r="AD66" s="3" t="str">
        <f>IF(VLOOKUP($A66,overview!$B$3:$AJ$154,COLUMN(),FALSE) = "","",VLOOKUP($A66,overview!$B$3:$AJ$154,COLUMN(AD66),FALSE))</f>
        <v/>
      </c>
      <c r="AE66" s="3" t="str">
        <f>IF(VLOOKUP($A66,overview!$B$3:$AJ$154,COLUMN(),FALSE) = "","",VLOOKUP($A66,overview!$B$3:$AJ$154,COLUMN(AE66),FALSE))</f>
        <v/>
      </c>
      <c r="AF66" s="3" t="str">
        <f>IF(VLOOKUP($A66,overview!$B$3:$AJ$154,COLUMN(),FALSE) = "","",VLOOKUP($A66,overview!$B$3:$AJ$154,COLUMN(AF66),FALSE))</f>
        <v/>
      </c>
      <c r="AG66" s="3" t="str">
        <f>IF(VLOOKUP($A66,overview!$B$3:$AJ$154,COLUMN(),FALSE) = "","",VLOOKUP($A66,overview!$B$3:$AJ$154,COLUMN(AG66),FALSE))</f>
        <v/>
      </c>
      <c r="AH66" s="3" t="str">
        <f>IF(VLOOKUP($A66,overview!$B$3:$AJ$154,COLUMN(),FALSE) = "","",VLOOKUP($A66,overview!$B$3:$AJ$154,COLUMN(AH66),FALSE))</f>
        <v/>
      </c>
      <c r="AI66" s="3" t="str">
        <f>IF(VLOOKUP($A66,overview!$B$3:$AJ$154,COLUMN(),FALSE) = "","",VLOOKUP($A66,overview!$B$3:$AJ$154,COLUMN(AI66),FALSE))</f>
        <v>kg_CO2/kWh_H2</v>
      </c>
    </row>
    <row r="67" spans="1:35" ht="15.75" customHeight="1" x14ac:dyDescent="0.2">
      <c r="A67" s="8" t="s">
        <v>213</v>
      </c>
      <c r="B67" s="3">
        <f>IF(VLOOKUP($A67,overview!$B$3:$AJ$154,COLUMN(),FALSE) = "","",VLOOKUP($A67,overview!$B$3:$AJ$154,COLUMN(B67),FALSE))</f>
        <v>30</v>
      </c>
      <c r="C67" s="3" t="str">
        <f>IF(VLOOKUP($A67,overview!$B$3:$AJ$154,COLUMN(),FALSE) = "","",VLOOKUP($A67,overview!$B$3:$AJ$154,COLUMN(C67),FALSE))</f>
        <v/>
      </c>
      <c r="D67" s="3" t="str">
        <f>IF(VLOOKUP($A67,overview!$B$3:$AJ$154,COLUMN(),FALSE) = "","",VLOOKUP($A67,overview!$B$3:$AJ$154,COLUMN(D67),FALSE))</f>
        <v/>
      </c>
      <c r="E67" s="3" t="str">
        <f>IF(VLOOKUP($A67,overview!$B$3:$AJ$154,COLUMN(),FALSE) = "","",VLOOKUP($A67,overview!$B$3:$AJ$154,COLUMN(E67),FALSE))</f>
        <v/>
      </c>
      <c r="F67" s="3" t="str">
        <f>IF(VLOOKUP($A67,overview!$B$3:$AJ$154,COLUMN(),FALSE) = "","",VLOOKUP($A67,overview!$B$3:$AJ$154,COLUMN(F67),FALSE))</f>
        <v/>
      </c>
      <c r="G67" s="3" t="str">
        <f>IF(VLOOKUP($A67,overview!$B$3:$AJ$154,COLUMN(),FALSE) = "","",VLOOKUP($A67,overview!$B$3:$AJ$154,COLUMN(G67),FALSE))</f>
        <v/>
      </c>
      <c r="H67" s="3" t="str">
        <f>IF(VLOOKUP($A67,overview!$B$3:$AJ$154,COLUMN(),FALSE) = "","",VLOOKUP($A67,overview!$B$3:$AJ$154,COLUMN(H67),FALSE))</f>
        <v/>
      </c>
      <c r="I67" s="3" t="str">
        <f>IF(VLOOKUP($A67,overview!$B$3:$AJ$154,COLUMN(),FALSE) = "","",VLOOKUP($A67,overview!$B$3:$AJ$154,COLUMN(I67),FALSE))</f>
        <v/>
      </c>
      <c r="J67" s="3" t="str">
        <f>IF(VLOOKUP($A67,overview!$B$3:$AJ$154,COLUMN(),FALSE) = "","",VLOOKUP($A67,overview!$B$3:$AJ$154,COLUMN(J67),FALSE))</f>
        <v/>
      </c>
      <c r="K67" s="3" t="str">
        <f>IF(VLOOKUP($A67,overview!$B$3:$AJ$154,COLUMN(),FALSE) = "","",VLOOKUP($A67,overview!$B$3:$AJ$154,COLUMN(K67),FALSE))</f>
        <v/>
      </c>
      <c r="L67" s="3" t="str">
        <f>IF(VLOOKUP($A67,overview!$B$3:$AJ$154,COLUMN(),FALSE) = "","",VLOOKUP($A67,overview!$B$3:$AJ$154,COLUMN(L67),FALSE))</f>
        <v/>
      </c>
      <c r="M67" s="3" t="str">
        <f>IF(VLOOKUP($A67,overview!$B$3:$AJ$154,COLUMN(),FALSE) = "","",VLOOKUP($A67,overview!$B$3:$AJ$154,COLUMN(M67),FALSE))</f>
        <v/>
      </c>
      <c r="N67" s="3" t="str">
        <f>IF(VLOOKUP($A67,overview!$B$3:$AJ$154,COLUMN(),FALSE) = "","",VLOOKUP($A67,overview!$B$3:$AJ$154,COLUMN(N67),FALSE))</f>
        <v/>
      </c>
      <c r="O67" s="3" t="str">
        <f>IF(VLOOKUP($A67,overview!$B$3:$AJ$154,COLUMN(),FALSE) = "","",VLOOKUP($A67,overview!$B$3:$AJ$154,COLUMN(O67),FALSE))</f>
        <v/>
      </c>
      <c r="P67" s="3" t="str">
        <f>IF(VLOOKUP($A67,overview!$B$3:$AJ$154,COLUMN(),FALSE) = "","",VLOOKUP($A67,overview!$B$3:$AJ$154,COLUMN(P67),FALSE))</f>
        <v/>
      </c>
      <c r="Q67" s="3" t="str">
        <f>IF(VLOOKUP($A67,overview!$B$3:$AJ$154,COLUMN(),FALSE) = "","",VLOOKUP($A67,overview!$B$3:$AJ$154,COLUMN(Q67),FALSE))</f>
        <v/>
      </c>
      <c r="R67" s="3" t="str">
        <f>IF(VLOOKUP($A67,overview!$B$3:$AJ$154,COLUMN(),FALSE) = "","",VLOOKUP($A67,overview!$B$3:$AJ$154,COLUMN(R67),FALSE))</f>
        <v/>
      </c>
      <c r="S67" s="3" t="str">
        <f>IF(VLOOKUP($A67,overview!$B$3:$AJ$154,COLUMN(),FALSE) = "","",VLOOKUP($A67,overview!$B$3:$AJ$154,COLUMN(S67),FALSE))</f>
        <v/>
      </c>
      <c r="T67" s="3" t="str">
        <f>IF(VLOOKUP($A67,overview!$B$3:$AJ$154,COLUMN(),FALSE) = "","",VLOOKUP($A67,overview!$B$3:$AJ$154,COLUMN(T67),FALSE))</f>
        <v/>
      </c>
      <c r="U67" s="3" t="str">
        <f>IF(VLOOKUP($A67,overview!$B$3:$AJ$154,COLUMN(),FALSE) = "","",VLOOKUP($A67,overview!$B$3:$AJ$154,COLUMN(U67),FALSE))</f>
        <v/>
      </c>
      <c r="V67" s="3" t="str">
        <f>IF(VLOOKUP($A67,overview!$B$3:$AJ$154,COLUMN(),FALSE) = "","",VLOOKUP($A67,overview!$B$3:$AJ$154,COLUMN(V67),FALSE))</f>
        <v/>
      </c>
      <c r="W67" s="3" t="str">
        <f>IF(VLOOKUP($A67,overview!$B$3:$AJ$154,COLUMN(),FALSE) = "","",VLOOKUP($A67,overview!$B$3:$AJ$154,COLUMN(W67),FALSE))</f>
        <v/>
      </c>
      <c r="X67" s="3" t="str">
        <f>IF(VLOOKUP($A67,overview!$B$3:$AJ$154,COLUMN(),FALSE) = "","",VLOOKUP($A67,overview!$B$3:$AJ$154,COLUMN(X67),FALSE))</f>
        <v/>
      </c>
      <c r="Y67" s="3" t="str">
        <f>IF(VLOOKUP($A67,overview!$B$3:$AJ$154,COLUMN(),FALSE) = "","",VLOOKUP($A67,overview!$B$3:$AJ$154,COLUMN(Y67),FALSE))</f>
        <v/>
      </c>
      <c r="Z67" s="3" t="str">
        <f>IF(VLOOKUP($A67,overview!$B$3:$AJ$154,COLUMN(),FALSE) = "","",VLOOKUP($A67,overview!$B$3:$AJ$154,COLUMN(Z67),FALSE))</f>
        <v/>
      </c>
      <c r="AA67" s="3" t="str">
        <f>IF(VLOOKUP($A67,overview!$B$3:$AJ$154,COLUMN(),FALSE) = "","",VLOOKUP($A67,overview!$B$3:$AJ$154,COLUMN(AA67),FALSE))</f>
        <v/>
      </c>
      <c r="AB67" s="3" t="str">
        <f>IF(VLOOKUP($A67,overview!$B$3:$AJ$154,COLUMN(),FALSE) = "","",VLOOKUP($A67,overview!$B$3:$AJ$154,COLUMN(AB67),FALSE))</f>
        <v/>
      </c>
      <c r="AC67" s="3" t="str">
        <f>IF(VLOOKUP($A67,overview!$B$3:$AJ$154,COLUMN(),FALSE) = "","",VLOOKUP($A67,overview!$B$3:$AJ$154,COLUMN(AC67),FALSE))</f>
        <v/>
      </c>
      <c r="AD67" s="3" t="str">
        <f>IF(VLOOKUP($A67,overview!$B$3:$AJ$154,COLUMN(),FALSE) = "","",VLOOKUP($A67,overview!$B$3:$AJ$154,COLUMN(AD67),FALSE))</f>
        <v/>
      </c>
      <c r="AE67" s="3" t="str">
        <f>IF(VLOOKUP($A67,overview!$B$3:$AJ$154,COLUMN(),FALSE) = "","",VLOOKUP($A67,overview!$B$3:$AJ$154,COLUMN(AE67),FALSE))</f>
        <v/>
      </c>
      <c r="AF67" s="3" t="str">
        <f>IF(VLOOKUP($A67,overview!$B$3:$AJ$154,COLUMN(),FALSE) = "","",VLOOKUP($A67,overview!$B$3:$AJ$154,COLUMN(AF67),FALSE))</f>
        <v/>
      </c>
      <c r="AG67" s="3" t="str">
        <f>IF(VLOOKUP($A67,overview!$B$3:$AJ$154,COLUMN(),FALSE) = "","",VLOOKUP($A67,overview!$B$3:$AJ$154,COLUMN(AG67),FALSE))</f>
        <v/>
      </c>
      <c r="AH67" s="3" t="str">
        <f>IF(VLOOKUP($A67,overview!$B$3:$AJ$154,COLUMN(),FALSE) = "","",VLOOKUP($A67,overview!$B$3:$AJ$154,COLUMN(AH67),FALSE))</f>
        <v/>
      </c>
      <c r="AI67" s="3" t="str">
        <f>IF(VLOOKUP($A67,overview!$B$3:$AJ$154,COLUMN(),FALSE) = "","",VLOOKUP($A67,overview!$B$3:$AJ$154,COLUMN(AI67),FALSE))</f>
        <v>years</v>
      </c>
    </row>
    <row r="68" spans="1:35" ht="15.75" customHeight="1" x14ac:dyDescent="0.2">
      <c r="A68" s="8" t="s">
        <v>217</v>
      </c>
      <c r="B68" s="27">
        <f>IF(VLOOKUP($A68,overview!$B$3:$AJ$154,COLUMN(),FALSE) = "","",VLOOKUP($A68,overview!$B$3:$AJ$154,COLUMN(B68),FALSE))</f>
        <v>44100000</v>
      </c>
      <c r="C68" s="3" t="str">
        <f>IF(VLOOKUP($A68,overview!$B$3:$AJ$154,COLUMN(),FALSE) = "","",VLOOKUP($A68,overview!$B$3:$AJ$154,COLUMN(C68),FALSE))</f>
        <v/>
      </c>
      <c r="D68" s="3" t="str">
        <f>IF(VLOOKUP($A68,overview!$B$3:$AJ$154,COLUMN(),FALSE) = "","",VLOOKUP($A68,overview!$B$3:$AJ$154,COLUMN(D68),FALSE))</f>
        <v/>
      </c>
      <c r="E68" s="3" t="str">
        <f>IF(VLOOKUP($A68,overview!$B$3:$AJ$154,COLUMN(),FALSE) = "","",VLOOKUP($A68,overview!$B$3:$AJ$154,COLUMN(E68),FALSE))</f>
        <v/>
      </c>
      <c r="F68" s="3" t="str">
        <f>IF(VLOOKUP($A68,overview!$B$3:$AJ$154,COLUMN(),FALSE) = "","",VLOOKUP($A68,overview!$B$3:$AJ$154,COLUMN(F68),FALSE))</f>
        <v/>
      </c>
      <c r="G68" s="3" t="str">
        <f>IF(VLOOKUP($A68,overview!$B$3:$AJ$154,COLUMN(),FALSE) = "","",VLOOKUP($A68,overview!$B$3:$AJ$154,COLUMN(G68),FALSE))</f>
        <v/>
      </c>
      <c r="H68" s="3" t="str">
        <f>IF(VLOOKUP($A68,overview!$B$3:$AJ$154,COLUMN(),FALSE) = "","",VLOOKUP($A68,overview!$B$3:$AJ$154,COLUMN(H68),FALSE))</f>
        <v/>
      </c>
      <c r="I68" s="3" t="str">
        <f>IF(VLOOKUP($A68,overview!$B$3:$AJ$154,COLUMN(),FALSE) = "","",VLOOKUP($A68,overview!$B$3:$AJ$154,COLUMN(I68),FALSE))</f>
        <v/>
      </c>
      <c r="J68" s="3" t="str">
        <f>IF(VLOOKUP($A68,overview!$B$3:$AJ$154,COLUMN(),FALSE) = "","",VLOOKUP($A68,overview!$B$3:$AJ$154,COLUMN(J68),FALSE))</f>
        <v/>
      </c>
      <c r="K68" s="3" t="str">
        <f>IF(VLOOKUP($A68,overview!$B$3:$AJ$154,COLUMN(),FALSE) = "","",VLOOKUP($A68,overview!$B$3:$AJ$154,COLUMN(K68),FALSE))</f>
        <v/>
      </c>
      <c r="L68" s="3" t="str">
        <f>IF(VLOOKUP($A68,overview!$B$3:$AJ$154,COLUMN(),FALSE) = "","",VLOOKUP($A68,overview!$B$3:$AJ$154,COLUMN(L68),FALSE))</f>
        <v/>
      </c>
      <c r="M68" s="3" t="str">
        <f>IF(VLOOKUP($A68,overview!$B$3:$AJ$154,COLUMN(),FALSE) = "","",VLOOKUP($A68,overview!$B$3:$AJ$154,COLUMN(M68),FALSE))</f>
        <v/>
      </c>
      <c r="N68" s="3" t="str">
        <f>IF(VLOOKUP($A68,overview!$B$3:$AJ$154,COLUMN(),FALSE) = "","",VLOOKUP($A68,overview!$B$3:$AJ$154,COLUMN(N68),FALSE))</f>
        <v/>
      </c>
      <c r="O68" s="3" t="str">
        <f>IF(VLOOKUP($A68,overview!$B$3:$AJ$154,COLUMN(),FALSE) = "","",VLOOKUP($A68,overview!$B$3:$AJ$154,COLUMN(O68),FALSE))</f>
        <v/>
      </c>
      <c r="P68" s="3" t="str">
        <f>IF(VLOOKUP($A68,overview!$B$3:$AJ$154,COLUMN(),FALSE) = "","",VLOOKUP($A68,overview!$B$3:$AJ$154,COLUMN(P68),FALSE))</f>
        <v/>
      </c>
      <c r="Q68" s="3" t="str">
        <f>IF(VLOOKUP($A68,overview!$B$3:$AJ$154,COLUMN(),FALSE) = "","",VLOOKUP($A68,overview!$B$3:$AJ$154,COLUMN(Q68),FALSE))</f>
        <v/>
      </c>
      <c r="R68" s="3" t="str">
        <f>IF(VLOOKUP($A68,overview!$B$3:$AJ$154,COLUMN(),FALSE) = "","",VLOOKUP($A68,overview!$B$3:$AJ$154,COLUMN(R68),FALSE))</f>
        <v/>
      </c>
      <c r="S68" s="3" t="str">
        <f>IF(VLOOKUP($A68,overview!$B$3:$AJ$154,COLUMN(),FALSE) = "","",VLOOKUP($A68,overview!$B$3:$AJ$154,COLUMN(S68),FALSE))</f>
        <v/>
      </c>
      <c r="T68" s="3" t="str">
        <f>IF(VLOOKUP($A68,overview!$B$3:$AJ$154,COLUMN(),FALSE) = "","",VLOOKUP($A68,overview!$B$3:$AJ$154,COLUMN(T68),FALSE))</f>
        <v/>
      </c>
      <c r="U68" s="3" t="str">
        <f>IF(VLOOKUP($A68,overview!$B$3:$AJ$154,COLUMN(),FALSE) = "","",VLOOKUP($A68,overview!$B$3:$AJ$154,COLUMN(U68),FALSE))</f>
        <v/>
      </c>
      <c r="V68" s="3" t="str">
        <f>IF(VLOOKUP($A68,overview!$B$3:$AJ$154,COLUMN(),FALSE) = "","",VLOOKUP($A68,overview!$B$3:$AJ$154,COLUMN(V68),FALSE))</f>
        <v/>
      </c>
      <c r="W68" s="3" t="str">
        <f>IF(VLOOKUP($A68,overview!$B$3:$AJ$154,COLUMN(),FALSE) = "","",VLOOKUP($A68,overview!$B$3:$AJ$154,COLUMN(W68),FALSE))</f>
        <v/>
      </c>
      <c r="X68" s="3" t="str">
        <f>IF(VLOOKUP($A68,overview!$B$3:$AJ$154,COLUMN(),FALSE) = "","",VLOOKUP($A68,overview!$B$3:$AJ$154,COLUMN(X68),FALSE))</f>
        <v/>
      </c>
      <c r="Y68" s="3" t="str">
        <f>IF(VLOOKUP($A68,overview!$B$3:$AJ$154,COLUMN(),FALSE) = "","",VLOOKUP($A68,overview!$B$3:$AJ$154,COLUMN(Y68),FALSE))</f>
        <v/>
      </c>
      <c r="Z68" s="3" t="str">
        <f>IF(VLOOKUP($A68,overview!$B$3:$AJ$154,COLUMN(),FALSE) = "","",VLOOKUP($A68,overview!$B$3:$AJ$154,COLUMN(Z68),FALSE))</f>
        <v/>
      </c>
      <c r="AA68" s="3" t="str">
        <f>IF(VLOOKUP($A68,overview!$B$3:$AJ$154,COLUMN(),FALSE) = "","",VLOOKUP($A68,overview!$B$3:$AJ$154,COLUMN(AA68),FALSE))</f>
        <v/>
      </c>
      <c r="AB68" s="3" t="str">
        <f>IF(VLOOKUP($A68,overview!$B$3:$AJ$154,COLUMN(),FALSE) = "","",VLOOKUP($A68,overview!$B$3:$AJ$154,COLUMN(AB68),FALSE))</f>
        <v/>
      </c>
      <c r="AC68" s="3" t="str">
        <f>IF(VLOOKUP($A68,overview!$B$3:$AJ$154,COLUMN(),FALSE) = "","",VLOOKUP($A68,overview!$B$3:$AJ$154,COLUMN(AC68),FALSE))</f>
        <v/>
      </c>
      <c r="AD68" s="3" t="str">
        <f>IF(VLOOKUP($A68,overview!$B$3:$AJ$154,COLUMN(),FALSE) = "","",VLOOKUP($A68,overview!$B$3:$AJ$154,COLUMN(AD68),FALSE))</f>
        <v/>
      </c>
      <c r="AE68" s="3" t="str">
        <f>IF(VLOOKUP($A68,overview!$B$3:$AJ$154,COLUMN(),FALSE) = "","",VLOOKUP($A68,overview!$B$3:$AJ$154,COLUMN(AE68),FALSE))</f>
        <v/>
      </c>
      <c r="AF68" s="3" t="str">
        <f>IF(VLOOKUP($A68,overview!$B$3:$AJ$154,COLUMN(),FALSE) = "","",VLOOKUP($A68,overview!$B$3:$AJ$154,COLUMN(AF68),FALSE))</f>
        <v/>
      </c>
      <c r="AG68" s="3" t="str">
        <f>IF(VLOOKUP($A68,overview!$B$3:$AJ$154,COLUMN(),FALSE) = "","",VLOOKUP($A68,overview!$B$3:$AJ$154,COLUMN(AG68),FALSE))</f>
        <v/>
      </c>
      <c r="AH68" s="3" t="str">
        <f>IF(VLOOKUP($A68,overview!$B$3:$AJ$154,COLUMN(),FALSE) = "","",VLOOKUP($A68,overview!$B$3:$AJ$154,COLUMN(AH68),FALSE))</f>
        <v/>
      </c>
      <c r="AI68" s="3" t="str">
        <f>IF(VLOOKUP($A68,overview!$B$3:$AJ$154,COLUMN(),FALSE) = "","",VLOOKUP($A68,overview!$B$3:$AJ$154,COLUMN(AI68),FALSE))</f>
        <v>J/kg</v>
      </c>
    </row>
    <row r="69" spans="1:35" ht="15.75" customHeight="1" x14ac:dyDescent="0.2">
      <c r="A69" s="8" t="s">
        <v>221</v>
      </c>
      <c r="B69" s="27">
        <f>IF(VLOOKUP($A69,overview!$B$3:$AJ$154,COLUMN(),FALSE) = "","",VLOOKUP($A69,overview!$B$3:$AJ$154,COLUMN(B69),FALSE))</f>
        <v>44300000</v>
      </c>
      <c r="C69" s="3" t="str">
        <f>IF(VLOOKUP($A69,overview!$B$3:$AJ$154,COLUMN(),FALSE) = "","",VLOOKUP($A69,overview!$B$3:$AJ$154,COLUMN(C69),FALSE))</f>
        <v/>
      </c>
      <c r="D69" s="3" t="str">
        <f>IF(VLOOKUP($A69,overview!$B$3:$AJ$154,COLUMN(),FALSE) = "","",VLOOKUP($A69,overview!$B$3:$AJ$154,COLUMN(D69),FALSE))</f>
        <v/>
      </c>
      <c r="E69" s="3" t="str">
        <f>IF(VLOOKUP($A69,overview!$B$3:$AJ$154,COLUMN(),FALSE) = "","",VLOOKUP($A69,overview!$B$3:$AJ$154,COLUMN(E69),FALSE))</f>
        <v/>
      </c>
      <c r="F69" s="3" t="str">
        <f>IF(VLOOKUP($A69,overview!$B$3:$AJ$154,COLUMN(),FALSE) = "","",VLOOKUP($A69,overview!$B$3:$AJ$154,COLUMN(F69),FALSE))</f>
        <v/>
      </c>
      <c r="G69" s="3" t="str">
        <f>IF(VLOOKUP($A69,overview!$B$3:$AJ$154,COLUMN(),FALSE) = "","",VLOOKUP($A69,overview!$B$3:$AJ$154,COLUMN(G69),FALSE))</f>
        <v/>
      </c>
      <c r="H69" s="3" t="str">
        <f>IF(VLOOKUP($A69,overview!$B$3:$AJ$154,COLUMN(),FALSE) = "","",VLOOKUP($A69,overview!$B$3:$AJ$154,COLUMN(H69),FALSE))</f>
        <v/>
      </c>
      <c r="I69" s="3" t="str">
        <f>IF(VLOOKUP($A69,overview!$B$3:$AJ$154,COLUMN(),FALSE) = "","",VLOOKUP($A69,overview!$B$3:$AJ$154,COLUMN(I69),FALSE))</f>
        <v/>
      </c>
      <c r="J69" s="3" t="str">
        <f>IF(VLOOKUP($A69,overview!$B$3:$AJ$154,COLUMN(),FALSE) = "","",VLOOKUP($A69,overview!$B$3:$AJ$154,COLUMN(J69),FALSE))</f>
        <v/>
      </c>
      <c r="K69" s="3" t="str">
        <f>IF(VLOOKUP($A69,overview!$B$3:$AJ$154,COLUMN(),FALSE) = "","",VLOOKUP($A69,overview!$B$3:$AJ$154,COLUMN(K69),FALSE))</f>
        <v/>
      </c>
      <c r="L69" s="3" t="str">
        <f>IF(VLOOKUP($A69,overview!$B$3:$AJ$154,COLUMN(),FALSE) = "","",VLOOKUP($A69,overview!$B$3:$AJ$154,COLUMN(L69),FALSE))</f>
        <v/>
      </c>
      <c r="M69" s="3" t="str">
        <f>IF(VLOOKUP($A69,overview!$B$3:$AJ$154,COLUMN(),FALSE) = "","",VLOOKUP($A69,overview!$B$3:$AJ$154,COLUMN(M69),FALSE))</f>
        <v/>
      </c>
      <c r="N69" s="3" t="str">
        <f>IF(VLOOKUP($A69,overview!$B$3:$AJ$154,COLUMN(),FALSE) = "","",VLOOKUP($A69,overview!$B$3:$AJ$154,COLUMN(N69),FALSE))</f>
        <v/>
      </c>
      <c r="O69" s="3" t="str">
        <f>IF(VLOOKUP($A69,overview!$B$3:$AJ$154,COLUMN(),FALSE) = "","",VLOOKUP($A69,overview!$B$3:$AJ$154,COLUMN(O69),FALSE))</f>
        <v/>
      </c>
      <c r="P69" s="3" t="str">
        <f>IF(VLOOKUP($A69,overview!$B$3:$AJ$154,COLUMN(),FALSE) = "","",VLOOKUP($A69,overview!$B$3:$AJ$154,COLUMN(P69),FALSE))</f>
        <v/>
      </c>
      <c r="Q69" s="3" t="str">
        <f>IF(VLOOKUP($A69,overview!$B$3:$AJ$154,COLUMN(),FALSE) = "","",VLOOKUP($A69,overview!$B$3:$AJ$154,COLUMN(Q69),FALSE))</f>
        <v/>
      </c>
      <c r="R69" s="3" t="str">
        <f>IF(VLOOKUP($A69,overview!$B$3:$AJ$154,COLUMN(),FALSE) = "","",VLOOKUP($A69,overview!$B$3:$AJ$154,COLUMN(R69),FALSE))</f>
        <v/>
      </c>
      <c r="S69" s="3" t="str">
        <f>IF(VLOOKUP($A69,overview!$B$3:$AJ$154,COLUMN(),FALSE) = "","",VLOOKUP($A69,overview!$B$3:$AJ$154,COLUMN(S69),FALSE))</f>
        <v/>
      </c>
      <c r="T69" s="3" t="str">
        <f>IF(VLOOKUP($A69,overview!$B$3:$AJ$154,COLUMN(),FALSE) = "","",VLOOKUP($A69,overview!$B$3:$AJ$154,COLUMN(T69),FALSE))</f>
        <v/>
      </c>
      <c r="U69" s="3" t="str">
        <f>IF(VLOOKUP($A69,overview!$B$3:$AJ$154,COLUMN(),FALSE) = "","",VLOOKUP($A69,overview!$B$3:$AJ$154,COLUMN(U69),FALSE))</f>
        <v/>
      </c>
      <c r="V69" s="3" t="str">
        <f>IF(VLOOKUP($A69,overview!$B$3:$AJ$154,COLUMN(),FALSE) = "","",VLOOKUP($A69,overview!$B$3:$AJ$154,COLUMN(V69),FALSE))</f>
        <v/>
      </c>
      <c r="W69" s="3" t="str">
        <f>IF(VLOOKUP($A69,overview!$B$3:$AJ$154,COLUMN(),FALSE) = "","",VLOOKUP($A69,overview!$B$3:$AJ$154,COLUMN(W69),FALSE))</f>
        <v/>
      </c>
      <c r="X69" s="3" t="str">
        <f>IF(VLOOKUP($A69,overview!$B$3:$AJ$154,COLUMN(),FALSE) = "","",VLOOKUP($A69,overview!$B$3:$AJ$154,COLUMN(X69),FALSE))</f>
        <v/>
      </c>
      <c r="Y69" s="3" t="str">
        <f>IF(VLOOKUP($A69,overview!$B$3:$AJ$154,COLUMN(),FALSE) = "","",VLOOKUP($A69,overview!$B$3:$AJ$154,COLUMN(Y69),FALSE))</f>
        <v/>
      </c>
      <c r="Z69" s="3" t="str">
        <f>IF(VLOOKUP($A69,overview!$B$3:$AJ$154,COLUMN(),FALSE) = "","",VLOOKUP($A69,overview!$B$3:$AJ$154,COLUMN(Z69),FALSE))</f>
        <v/>
      </c>
      <c r="AA69" s="3" t="str">
        <f>IF(VLOOKUP($A69,overview!$B$3:$AJ$154,COLUMN(),FALSE) = "","",VLOOKUP($A69,overview!$B$3:$AJ$154,COLUMN(AA69),FALSE))</f>
        <v/>
      </c>
      <c r="AB69" s="3" t="str">
        <f>IF(VLOOKUP($A69,overview!$B$3:$AJ$154,COLUMN(),FALSE) = "","",VLOOKUP($A69,overview!$B$3:$AJ$154,COLUMN(AB69),FALSE))</f>
        <v/>
      </c>
      <c r="AC69" s="3" t="str">
        <f>IF(VLOOKUP($A69,overview!$B$3:$AJ$154,COLUMN(),FALSE) = "","",VLOOKUP($A69,overview!$B$3:$AJ$154,COLUMN(AC69),FALSE))</f>
        <v/>
      </c>
      <c r="AD69" s="3" t="str">
        <f>IF(VLOOKUP($A69,overview!$B$3:$AJ$154,COLUMN(),FALSE) = "","",VLOOKUP($A69,overview!$B$3:$AJ$154,COLUMN(AD69),FALSE))</f>
        <v/>
      </c>
      <c r="AE69" s="3" t="str">
        <f>IF(VLOOKUP($A69,overview!$B$3:$AJ$154,COLUMN(),FALSE) = "","",VLOOKUP($A69,overview!$B$3:$AJ$154,COLUMN(AE69),FALSE))</f>
        <v/>
      </c>
      <c r="AF69" s="3" t="str">
        <f>IF(VLOOKUP($A69,overview!$B$3:$AJ$154,COLUMN(),FALSE) = "","",VLOOKUP($A69,overview!$B$3:$AJ$154,COLUMN(AF69),FALSE))</f>
        <v/>
      </c>
      <c r="AG69" s="3" t="str">
        <f>IF(VLOOKUP($A69,overview!$B$3:$AJ$154,COLUMN(),FALSE) = "","",VLOOKUP($A69,overview!$B$3:$AJ$154,COLUMN(AG69),FALSE))</f>
        <v/>
      </c>
      <c r="AH69" s="3" t="str">
        <f>IF(VLOOKUP($A69,overview!$B$3:$AJ$154,COLUMN(),FALSE) = "","",VLOOKUP($A69,overview!$B$3:$AJ$154,COLUMN(AH69),FALSE))</f>
        <v/>
      </c>
      <c r="AI69" s="3" t="str">
        <f>IF(VLOOKUP($A69,overview!$B$3:$AJ$154,COLUMN(),FALSE) = "","",VLOOKUP($A69,overview!$B$3:$AJ$154,COLUMN(AI69),FALSE))</f>
        <v>J/kg</v>
      </c>
    </row>
    <row r="70" spans="1:35" ht="15.75" customHeight="1" x14ac:dyDescent="0.2">
      <c r="A70" s="8" t="s">
        <v>223</v>
      </c>
      <c r="B70" s="27">
        <f>IF(VLOOKUP($A70,overview!$B$3:$AJ$154,COLUMN(),FALSE) = "","",VLOOKUP($A70,overview!$B$3:$AJ$154,COLUMN(B70),FALSE))</f>
        <v>43000000</v>
      </c>
      <c r="C70" s="3" t="str">
        <f>IF(VLOOKUP($A70,overview!$B$3:$AJ$154,COLUMN(),FALSE) = "","",VLOOKUP($A70,overview!$B$3:$AJ$154,COLUMN(C70),FALSE))</f>
        <v/>
      </c>
      <c r="D70" s="3" t="str">
        <f>IF(VLOOKUP($A70,overview!$B$3:$AJ$154,COLUMN(),FALSE) = "","",VLOOKUP($A70,overview!$B$3:$AJ$154,COLUMN(D70),FALSE))</f>
        <v/>
      </c>
      <c r="E70" s="3" t="str">
        <f>IF(VLOOKUP($A70,overview!$B$3:$AJ$154,COLUMN(),FALSE) = "","",VLOOKUP($A70,overview!$B$3:$AJ$154,COLUMN(E70),FALSE))</f>
        <v/>
      </c>
      <c r="F70" s="3" t="str">
        <f>IF(VLOOKUP($A70,overview!$B$3:$AJ$154,COLUMN(),FALSE) = "","",VLOOKUP($A70,overview!$B$3:$AJ$154,COLUMN(F70),FALSE))</f>
        <v/>
      </c>
      <c r="G70" s="3" t="str">
        <f>IF(VLOOKUP($A70,overview!$B$3:$AJ$154,COLUMN(),FALSE) = "","",VLOOKUP($A70,overview!$B$3:$AJ$154,COLUMN(G70),FALSE))</f>
        <v/>
      </c>
      <c r="H70" s="3" t="str">
        <f>IF(VLOOKUP($A70,overview!$B$3:$AJ$154,COLUMN(),FALSE) = "","",VLOOKUP($A70,overview!$B$3:$AJ$154,COLUMN(H70),FALSE))</f>
        <v/>
      </c>
      <c r="I70" s="3" t="str">
        <f>IF(VLOOKUP($A70,overview!$B$3:$AJ$154,COLUMN(),FALSE) = "","",VLOOKUP($A70,overview!$B$3:$AJ$154,COLUMN(I70),FALSE))</f>
        <v/>
      </c>
      <c r="J70" s="3" t="str">
        <f>IF(VLOOKUP($A70,overview!$B$3:$AJ$154,COLUMN(),FALSE) = "","",VLOOKUP($A70,overview!$B$3:$AJ$154,COLUMN(J70),FALSE))</f>
        <v/>
      </c>
      <c r="K70" s="3" t="str">
        <f>IF(VLOOKUP($A70,overview!$B$3:$AJ$154,COLUMN(),FALSE) = "","",VLOOKUP($A70,overview!$B$3:$AJ$154,COLUMN(K70),FALSE))</f>
        <v/>
      </c>
      <c r="L70" s="3" t="str">
        <f>IF(VLOOKUP($A70,overview!$B$3:$AJ$154,COLUMN(),FALSE) = "","",VLOOKUP($A70,overview!$B$3:$AJ$154,COLUMN(L70),FALSE))</f>
        <v/>
      </c>
      <c r="M70" s="3" t="str">
        <f>IF(VLOOKUP($A70,overview!$B$3:$AJ$154,COLUMN(),FALSE) = "","",VLOOKUP($A70,overview!$B$3:$AJ$154,COLUMN(M70),FALSE))</f>
        <v/>
      </c>
      <c r="N70" s="3" t="str">
        <f>IF(VLOOKUP($A70,overview!$B$3:$AJ$154,COLUMN(),FALSE) = "","",VLOOKUP($A70,overview!$B$3:$AJ$154,COLUMN(N70),FALSE))</f>
        <v/>
      </c>
      <c r="O70" s="3" t="str">
        <f>IF(VLOOKUP($A70,overview!$B$3:$AJ$154,COLUMN(),FALSE) = "","",VLOOKUP($A70,overview!$B$3:$AJ$154,COLUMN(O70),FALSE))</f>
        <v/>
      </c>
      <c r="P70" s="3" t="str">
        <f>IF(VLOOKUP($A70,overview!$B$3:$AJ$154,COLUMN(),FALSE) = "","",VLOOKUP($A70,overview!$B$3:$AJ$154,COLUMN(P70),FALSE))</f>
        <v/>
      </c>
      <c r="Q70" s="3" t="str">
        <f>IF(VLOOKUP($A70,overview!$B$3:$AJ$154,COLUMN(),FALSE) = "","",VLOOKUP($A70,overview!$B$3:$AJ$154,COLUMN(Q70),FALSE))</f>
        <v/>
      </c>
      <c r="R70" s="3" t="str">
        <f>IF(VLOOKUP($A70,overview!$B$3:$AJ$154,COLUMN(),FALSE) = "","",VLOOKUP($A70,overview!$B$3:$AJ$154,COLUMN(R70),FALSE))</f>
        <v/>
      </c>
      <c r="S70" s="3" t="str">
        <f>IF(VLOOKUP($A70,overview!$B$3:$AJ$154,COLUMN(),FALSE) = "","",VLOOKUP($A70,overview!$B$3:$AJ$154,COLUMN(S70),FALSE))</f>
        <v/>
      </c>
      <c r="T70" s="3" t="str">
        <f>IF(VLOOKUP($A70,overview!$B$3:$AJ$154,COLUMN(),FALSE) = "","",VLOOKUP($A70,overview!$B$3:$AJ$154,COLUMN(T70),FALSE))</f>
        <v/>
      </c>
      <c r="U70" s="3" t="str">
        <f>IF(VLOOKUP($A70,overview!$B$3:$AJ$154,COLUMN(),FALSE) = "","",VLOOKUP($A70,overview!$B$3:$AJ$154,COLUMN(U70),FALSE))</f>
        <v/>
      </c>
      <c r="V70" s="3" t="str">
        <f>IF(VLOOKUP($A70,overview!$B$3:$AJ$154,COLUMN(),FALSE) = "","",VLOOKUP($A70,overview!$B$3:$AJ$154,COLUMN(V70),FALSE))</f>
        <v/>
      </c>
      <c r="W70" s="3" t="str">
        <f>IF(VLOOKUP($A70,overview!$B$3:$AJ$154,COLUMN(),FALSE) = "","",VLOOKUP($A70,overview!$B$3:$AJ$154,COLUMN(W70),FALSE))</f>
        <v/>
      </c>
      <c r="X70" s="3" t="str">
        <f>IF(VLOOKUP($A70,overview!$B$3:$AJ$154,COLUMN(),FALSE) = "","",VLOOKUP($A70,overview!$B$3:$AJ$154,COLUMN(X70),FALSE))</f>
        <v/>
      </c>
      <c r="Y70" s="3" t="str">
        <f>IF(VLOOKUP($A70,overview!$B$3:$AJ$154,COLUMN(),FALSE) = "","",VLOOKUP($A70,overview!$B$3:$AJ$154,COLUMN(Y70),FALSE))</f>
        <v/>
      </c>
      <c r="Z70" s="3" t="str">
        <f>IF(VLOOKUP($A70,overview!$B$3:$AJ$154,COLUMN(),FALSE) = "","",VLOOKUP($A70,overview!$B$3:$AJ$154,COLUMN(Z70),FALSE))</f>
        <v/>
      </c>
      <c r="AA70" s="3" t="str">
        <f>IF(VLOOKUP($A70,overview!$B$3:$AJ$154,COLUMN(),FALSE) = "","",VLOOKUP($A70,overview!$B$3:$AJ$154,COLUMN(AA70),FALSE))</f>
        <v/>
      </c>
      <c r="AB70" s="3" t="str">
        <f>IF(VLOOKUP($A70,overview!$B$3:$AJ$154,COLUMN(),FALSE) = "","",VLOOKUP($A70,overview!$B$3:$AJ$154,COLUMN(AB70),FALSE))</f>
        <v/>
      </c>
      <c r="AC70" s="3" t="str">
        <f>IF(VLOOKUP($A70,overview!$B$3:$AJ$154,COLUMN(),FALSE) = "","",VLOOKUP($A70,overview!$B$3:$AJ$154,COLUMN(AC70),FALSE))</f>
        <v/>
      </c>
      <c r="AD70" s="3" t="str">
        <f>IF(VLOOKUP($A70,overview!$B$3:$AJ$154,COLUMN(),FALSE) = "","",VLOOKUP($A70,overview!$B$3:$AJ$154,COLUMN(AD70),FALSE))</f>
        <v/>
      </c>
      <c r="AE70" s="3" t="str">
        <f>IF(VLOOKUP($A70,overview!$B$3:$AJ$154,COLUMN(),FALSE) = "","",VLOOKUP($A70,overview!$B$3:$AJ$154,COLUMN(AE70),FALSE))</f>
        <v/>
      </c>
      <c r="AF70" s="3" t="str">
        <f>IF(VLOOKUP($A70,overview!$B$3:$AJ$154,COLUMN(),FALSE) = "","",VLOOKUP($A70,overview!$B$3:$AJ$154,COLUMN(AF70),FALSE))</f>
        <v/>
      </c>
      <c r="AG70" s="3" t="str">
        <f>IF(VLOOKUP($A70,overview!$B$3:$AJ$154,COLUMN(),FALSE) = "","",VLOOKUP($A70,overview!$B$3:$AJ$154,COLUMN(AG70),FALSE))</f>
        <v/>
      </c>
      <c r="AH70" s="3" t="str">
        <f>IF(VLOOKUP($A70,overview!$B$3:$AJ$154,COLUMN(),FALSE) = "","",VLOOKUP($A70,overview!$B$3:$AJ$154,COLUMN(AH70),FALSE))</f>
        <v/>
      </c>
      <c r="AI70" s="3" t="str">
        <f>IF(VLOOKUP($A70,overview!$B$3:$AJ$154,COLUMN(),FALSE) = "","",VLOOKUP($A70,overview!$B$3:$AJ$154,COLUMN(AI70),FALSE))</f>
        <v>J/kg</v>
      </c>
    </row>
    <row r="71" spans="1:35" ht="15.75" customHeight="1" x14ac:dyDescent="0.2">
      <c r="A71" s="3" t="s">
        <v>225</v>
      </c>
      <c r="B71" s="23">
        <f>IF(VLOOKUP($A71,overview!$B$3:$AJ$154,COLUMN(),FALSE) = "","",VLOOKUP($A71,overview!$B$3:$AJ$154,COLUMN(B71),FALSE))</f>
        <v>0.43900984193259768</v>
      </c>
      <c r="C71" s="3" t="str">
        <f>IF(VLOOKUP($A71,overview!$B$3:$AJ$154,COLUMN(),FALSE) = "","",VLOOKUP($A71,overview!$B$3:$AJ$154,COLUMN(C71),FALSE))</f>
        <v/>
      </c>
      <c r="D71" s="3" t="str">
        <f>IF(VLOOKUP($A71,overview!$B$3:$AJ$154,COLUMN(),FALSE) = "","",VLOOKUP($A71,overview!$B$3:$AJ$154,COLUMN(D71),FALSE))</f>
        <v/>
      </c>
      <c r="E71" s="3" t="str">
        <f>IF(VLOOKUP($A71,overview!$B$3:$AJ$154,COLUMN(),FALSE) = "","",VLOOKUP($A71,overview!$B$3:$AJ$154,COLUMN(E71),FALSE))</f>
        <v/>
      </c>
      <c r="F71" s="3" t="str">
        <f>IF(VLOOKUP($A71,overview!$B$3:$AJ$154,COLUMN(),FALSE) = "","",VLOOKUP($A71,overview!$B$3:$AJ$154,COLUMN(F71),FALSE))</f>
        <v/>
      </c>
      <c r="G71" s="3" t="str">
        <f>IF(VLOOKUP($A71,overview!$B$3:$AJ$154,COLUMN(),FALSE) = "","",VLOOKUP($A71,overview!$B$3:$AJ$154,COLUMN(G71),FALSE))</f>
        <v/>
      </c>
      <c r="H71" s="3" t="str">
        <f>IF(VLOOKUP($A71,overview!$B$3:$AJ$154,COLUMN(),FALSE) = "","",VLOOKUP($A71,overview!$B$3:$AJ$154,COLUMN(H71),FALSE))</f>
        <v/>
      </c>
      <c r="I71" s="3" t="str">
        <f>IF(VLOOKUP($A71,overview!$B$3:$AJ$154,COLUMN(),FALSE) = "","",VLOOKUP($A71,overview!$B$3:$AJ$154,COLUMN(I71),FALSE))</f>
        <v/>
      </c>
      <c r="J71" s="3" t="str">
        <f>IF(VLOOKUP($A71,overview!$B$3:$AJ$154,COLUMN(),FALSE) = "","",VLOOKUP($A71,overview!$B$3:$AJ$154,COLUMN(J71),FALSE))</f>
        <v/>
      </c>
      <c r="K71" s="3" t="str">
        <f>IF(VLOOKUP($A71,overview!$B$3:$AJ$154,COLUMN(),FALSE) = "","",VLOOKUP($A71,overview!$B$3:$AJ$154,COLUMN(K71),FALSE))</f>
        <v/>
      </c>
      <c r="L71" s="3" t="str">
        <f>IF(VLOOKUP($A71,overview!$B$3:$AJ$154,COLUMN(),FALSE) = "","",VLOOKUP($A71,overview!$B$3:$AJ$154,COLUMN(L71),FALSE))</f>
        <v/>
      </c>
      <c r="M71" s="3" t="str">
        <f>IF(VLOOKUP($A71,overview!$B$3:$AJ$154,COLUMN(),FALSE) = "","",VLOOKUP($A71,overview!$B$3:$AJ$154,COLUMN(M71),FALSE))</f>
        <v/>
      </c>
      <c r="N71" s="3" t="str">
        <f>IF(VLOOKUP($A71,overview!$B$3:$AJ$154,COLUMN(),FALSE) = "","",VLOOKUP($A71,overview!$B$3:$AJ$154,COLUMN(N71),FALSE))</f>
        <v/>
      </c>
      <c r="O71" s="3" t="str">
        <f>IF(VLOOKUP($A71,overview!$B$3:$AJ$154,COLUMN(),FALSE) = "","",VLOOKUP($A71,overview!$B$3:$AJ$154,COLUMN(O71),FALSE))</f>
        <v/>
      </c>
      <c r="P71" s="3" t="str">
        <f>IF(VLOOKUP($A71,overview!$B$3:$AJ$154,COLUMN(),FALSE) = "","",VLOOKUP($A71,overview!$B$3:$AJ$154,COLUMN(P71),FALSE))</f>
        <v/>
      </c>
      <c r="Q71" s="3" t="str">
        <f>IF(VLOOKUP($A71,overview!$B$3:$AJ$154,COLUMN(),FALSE) = "","",VLOOKUP($A71,overview!$B$3:$AJ$154,COLUMN(Q71),FALSE))</f>
        <v/>
      </c>
      <c r="R71" s="3" t="str">
        <f>IF(VLOOKUP($A71,overview!$B$3:$AJ$154,COLUMN(),FALSE) = "","",VLOOKUP($A71,overview!$B$3:$AJ$154,COLUMN(R71),FALSE))</f>
        <v/>
      </c>
      <c r="S71" s="3" t="str">
        <f>IF(VLOOKUP($A71,overview!$B$3:$AJ$154,COLUMN(),FALSE) = "","",VLOOKUP($A71,overview!$B$3:$AJ$154,COLUMN(S71),FALSE))</f>
        <v/>
      </c>
      <c r="T71" s="3" t="str">
        <f>IF(VLOOKUP($A71,overview!$B$3:$AJ$154,COLUMN(),FALSE) = "","",VLOOKUP($A71,overview!$B$3:$AJ$154,COLUMN(T71),FALSE))</f>
        <v/>
      </c>
      <c r="U71" s="3" t="str">
        <f>IF(VLOOKUP($A71,overview!$B$3:$AJ$154,COLUMN(),FALSE) = "","",VLOOKUP($A71,overview!$B$3:$AJ$154,COLUMN(U71),FALSE))</f>
        <v/>
      </c>
      <c r="V71" s="3" t="str">
        <f>IF(VLOOKUP($A71,overview!$B$3:$AJ$154,COLUMN(),FALSE) = "","",VLOOKUP($A71,overview!$B$3:$AJ$154,COLUMN(V71),FALSE))</f>
        <v/>
      </c>
      <c r="W71" s="3" t="str">
        <f>IF(VLOOKUP($A71,overview!$B$3:$AJ$154,COLUMN(),FALSE) = "","",VLOOKUP($A71,overview!$B$3:$AJ$154,COLUMN(W71),FALSE))</f>
        <v/>
      </c>
      <c r="X71" s="3" t="str">
        <f>IF(VLOOKUP($A71,overview!$B$3:$AJ$154,COLUMN(),FALSE) = "","",VLOOKUP($A71,overview!$B$3:$AJ$154,COLUMN(X71),FALSE))</f>
        <v/>
      </c>
      <c r="Y71" s="3" t="str">
        <f>IF(VLOOKUP($A71,overview!$B$3:$AJ$154,COLUMN(),FALSE) = "","",VLOOKUP($A71,overview!$B$3:$AJ$154,COLUMN(Y71),FALSE))</f>
        <v/>
      </c>
      <c r="Z71" s="3" t="str">
        <f>IF(VLOOKUP($A71,overview!$B$3:$AJ$154,COLUMN(),FALSE) = "","",VLOOKUP($A71,overview!$B$3:$AJ$154,COLUMN(Z71),FALSE))</f>
        <v/>
      </c>
      <c r="AA71" s="3" t="str">
        <f>IF(VLOOKUP($A71,overview!$B$3:$AJ$154,COLUMN(),FALSE) = "","",VLOOKUP($A71,overview!$B$3:$AJ$154,COLUMN(AA71),FALSE))</f>
        <v/>
      </c>
      <c r="AB71" s="3" t="str">
        <f>IF(VLOOKUP($A71,overview!$B$3:$AJ$154,COLUMN(),FALSE) = "","",VLOOKUP($A71,overview!$B$3:$AJ$154,COLUMN(AB71),FALSE))</f>
        <v/>
      </c>
      <c r="AC71" s="3" t="str">
        <f>IF(VLOOKUP($A71,overview!$B$3:$AJ$154,COLUMN(),FALSE) = "","",VLOOKUP($A71,overview!$B$3:$AJ$154,COLUMN(AC71),FALSE))</f>
        <v/>
      </c>
      <c r="AD71" s="3" t="str">
        <f>IF(VLOOKUP($A71,overview!$B$3:$AJ$154,COLUMN(),FALSE) = "","",VLOOKUP($A71,overview!$B$3:$AJ$154,COLUMN(AD71),FALSE))</f>
        <v/>
      </c>
      <c r="AE71" s="3" t="str">
        <f>IF(VLOOKUP($A71,overview!$B$3:$AJ$154,COLUMN(),FALSE) = "","",VLOOKUP($A71,overview!$B$3:$AJ$154,COLUMN(AE71),FALSE))</f>
        <v/>
      </c>
      <c r="AF71" s="3" t="str">
        <f>IF(VLOOKUP($A71,overview!$B$3:$AJ$154,COLUMN(),FALSE) = "","",VLOOKUP($A71,overview!$B$3:$AJ$154,COLUMN(AF71),FALSE))</f>
        <v/>
      </c>
      <c r="AG71" s="3" t="str">
        <f>IF(VLOOKUP($A71,overview!$B$3:$AJ$154,COLUMN(),FALSE) = "","",VLOOKUP($A71,overview!$B$3:$AJ$154,COLUMN(AG71),FALSE))</f>
        <v/>
      </c>
      <c r="AH71" s="3" t="str">
        <f>IF(VLOOKUP($A71,overview!$B$3:$AJ$154,COLUMN(),FALSE) = "","",VLOOKUP($A71,overview!$B$3:$AJ$154,COLUMN(AH71),FALSE))</f>
        <v/>
      </c>
      <c r="AI71" s="3" t="str">
        <f>IF(VLOOKUP($A71,overview!$B$3:$AJ$154,COLUMN(),FALSE) = "","",VLOOKUP($A71,overview!$B$3:$AJ$154,COLUMN(AI71),FALSE))</f>
        <v/>
      </c>
    </row>
    <row r="72" spans="1:35" ht="15.75" customHeight="1" x14ac:dyDescent="0.2">
      <c r="A72" s="3" t="s">
        <v>227</v>
      </c>
      <c r="B72" s="23">
        <f>IF(VLOOKUP($A72,overview!$B$3:$AJ$154,COLUMN(),FALSE) = "","",VLOOKUP($A72,overview!$B$3:$AJ$154,COLUMN(B72),FALSE))</f>
        <v>0.3124067998807038</v>
      </c>
      <c r="C72" s="3" t="str">
        <f>IF(VLOOKUP($A72,overview!$B$3:$AJ$154,COLUMN(),FALSE) = "","",VLOOKUP($A72,overview!$B$3:$AJ$154,COLUMN(C72),FALSE))</f>
        <v/>
      </c>
      <c r="D72" s="3" t="str">
        <f>IF(VLOOKUP($A72,overview!$B$3:$AJ$154,COLUMN(),FALSE) = "","",VLOOKUP($A72,overview!$B$3:$AJ$154,COLUMN(D72),FALSE))</f>
        <v/>
      </c>
      <c r="E72" s="3" t="str">
        <f>IF(VLOOKUP($A72,overview!$B$3:$AJ$154,COLUMN(),FALSE) = "","",VLOOKUP($A72,overview!$B$3:$AJ$154,COLUMN(E72),FALSE))</f>
        <v/>
      </c>
      <c r="F72" s="3" t="str">
        <f>IF(VLOOKUP($A72,overview!$B$3:$AJ$154,COLUMN(),FALSE) = "","",VLOOKUP($A72,overview!$B$3:$AJ$154,COLUMN(F72),FALSE))</f>
        <v/>
      </c>
      <c r="G72" s="3" t="str">
        <f>IF(VLOOKUP($A72,overview!$B$3:$AJ$154,COLUMN(),FALSE) = "","",VLOOKUP($A72,overview!$B$3:$AJ$154,COLUMN(G72),FALSE))</f>
        <v/>
      </c>
      <c r="H72" s="3" t="str">
        <f>IF(VLOOKUP($A72,overview!$B$3:$AJ$154,COLUMN(),FALSE) = "","",VLOOKUP($A72,overview!$B$3:$AJ$154,COLUMN(H72),FALSE))</f>
        <v/>
      </c>
      <c r="I72" s="3" t="str">
        <f>IF(VLOOKUP($A72,overview!$B$3:$AJ$154,COLUMN(),FALSE) = "","",VLOOKUP($A72,overview!$B$3:$AJ$154,COLUMN(I72),FALSE))</f>
        <v/>
      </c>
      <c r="J72" s="3" t="str">
        <f>IF(VLOOKUP($A72,overview!$B$3:$AJ$154,COLUMN(),FALSE) = "","",VLOOKUP($A72,overview!$B$3:$AJ$154,COLUMN(J72),FALSE))</f>
        <v/>
      </c>
      <c r="K72" s="3" t="str">
        <f>IF(VLOOKUP($A72,overview!$B$3:$AJ$154,COLUMN(),FALSE) = "","",VLOOKUP($A72,overview!$B$3:$AJ$154,COLUMN(K72),FALSE))</f>
        <v/>
      </c>
      <c r="L72" s="3" t="str">
        <f>IF(VLOOKUP($A72,overview!$B$3:$AJ$154,COLUMN(),FALSE) = "","",VLOOKUP($A72,overview!$B$3:$AJ$154,COLUMN(L72),FALSE))</f>
        <v/>
      </c>
      <c r="M72" s="3" t="str">
        <f>IF(VLOOKUP($A72,overview!$B$3:$AJ$154,COLUMN(),FALSE) = "","",VLOOKUP($A72,overview!$B$3:$AJ$154,COLUMN(M72),FALSE))</f>
        <v/>
      </c>
      <c r="N72" s="3" t="str">
        <f>IF(VLOOKUP($A72,overview!$B$3:$AJ$154,COLUMN(),FALSE) = "","",VLOOKUP($A72,overview!$B$3:$AJ$154,COLUMN(N72),FALSE))</f>
        <v/>
      </c>
      <c r="O72" s="3" t="str">
        <f>IF(VLOOKUP($A72,overview!$B$3:$AJ$154,COLUMN(),FALSE) = "","",VLOOKUP($A72,overview!$B$3:$AJ$154,COLUMN(O72),FALSE))</f>
        <v/>
      </c>
      <c r="P72" s="3" t="str">
        <f>IF(VLOOKUP($A72,overview!$B$3:$AJ$154,COLUMN(),FALSE) = "","",VLOOKUP($A72,overview!$B$3:$AJ$154,COLUMN(P72),FALSE))</f>
        <v/>
      </c>
      <c r="Q72" s="3" t="str">
        <f>IF(VLOOKUP($A72,overview!$B$3:$AJ$154,COLUMN(),FALSE) = "","",VLOOKUP($A72,overview!$B$3:$AJ$154,COLUMN(Q72),FALSE))</f>
        <v/>
      </c>
      <c r="R72" s="3" t="str">
        <f>IF(VLOOKUP($A72,overview!$B$3:$AJ$154,COLUMN(),FALSE) = "","",VLOOKUP($A72,overview!$B$3:$AJ$154,COLUMN(R72),FALSE))</f>
        <v/>
      </c>
      <c r="S72" s="3" t="str">
        <f>IF(VLOOKUP($A72,overview!$B$3:$AJ$154,COLUMN(),FALSE) = "","",VLOOKUP($A72,overview!$B$3:$AJ$154,COLUMN(S72),FALSE))</f>
        <v/>
      </c>
      <c r="T72" s="3" t="str">
        <f>IF(VLOOKUP($A72,overview!$B$3:$AJ$154,COLUMN(),FALSE) = "","",VLOOKUP($A72,overview!$B$3:$AJ$154,COLUMN(T72),FALSE))</f>
        <v/>
      </c>
      <c r="U72" s="3" t="str">
        <f>IF(VLOOKUP($A72,overview!$B$3:$AJ$154,COLUMN(),FALSE) = "","",VLOOKUP($A72,overview!$B$3:$AJ$154,COLUMN(U72),FALSE))</f>
        <v/>
      </c>
      <c r="V72" s="3" t="str">
        <f>IF(VLOOKUP($A72,overview!$B$3:$AJ$154,COLUMN(),FALSE) = "","",VLOOKUP($A72,overview!$B$3:$AJ$154,COLUMN(V72),FALSE))</f>
        <v/>
      </c>
      <c r="W72" s="3" t="str">
        <f>IF(VLOOKUP($A72,overview!$B$3:$AJ$154,COLUMN(),FALSE) = "","",VLOOKUP($A72,overview!$B$3:$AJ$154,COLUMN(W72),FALSE))</f>
        <v/>
      </c>
      <c r="X72" s="3" t="str">
        <f>IF(VLOOKUP($A72,overview!$B$3:$AJ$154,COLUMN(),FALSE) = "","",VLOOKUP($A72,overview!$B$3:$AJ$154,COLUMN(X72),FALSE))</f>
        <v/>
      </c>
      <c r="Y72" s="3" t="str">
        <f>IF(VLOOKUP($A72,overview!$B$3:$AJ$154,COLUMN(),FALSE) = "","",VLOOKUP($A72,overview!$B$3:$AJ$154,COLUMN(Y72),FALSE))</f>
        <v/>
      </c>
      <c r="Z72" s="3" t="str">
        <f>IF(VLOOKUP($A72,overview!$B$3:$AJ$154,COLUMN(),FALSE) = "","",VLOOKUP($A72,overview!$B$3:$AJ$154,COLUMN(Z72),FALSE))</f>
        <v/>
      </c>
      <c r="AA72" s="3" t="str">
        <f>IF(VLOOKUP($A72,overview!$B$3:$AJ$154,COLUMN(),FALSE) = "","",VLOOKUP($A72,overview!$B$3:$AJ$154,COLUMN(AA72),FALSE))</f>
        <v/>
      </c>
      <c r="AB72" s="3" t="str">
        <f>IF(VLOOKUP($A72,overview!$B$3:$AJ$154,COLUMN(),FALSE) = "","",VLOOKUP($A72,overview!$B$3:$AJ$154,COLUMN(AB72),FALSE))</f>
        <v/>
      </c>
      <c r="AC72" s="3" t="str">
        <f>IF(VLOOKUP($A72,overview!$B$3:$AJ$154,COLUMN(),FALSE) = "","",VLOOKUP($A72,overview!$B$3:$AJ$154,COLUMN(AC72),FALSE))</f>
        <v/>
      </c>
      <c r="AD72" s="3" t="str">
        <f>IF(VLOOKUP($A72,overview!$B$3:$AJ$154,COLUMN(),FALSE) = "","",VLOOKUP($A72,overview!$B$3:$AJ$154,COLUMN(AD72),FALSE))</f>
        <v/>
      </c>
      <c r="AE72" s="3" t="str">
        <f>IF(VLOOKUP($A72,overview!$B$3:$AJ$154,COLUMN(),FALSE) = "","",VLOOKUP($A72,overview!$B$3:$AJ$154,COLUMN(AE72),FALSE))</f>
        <v/>
      </c>
      <c r="AF72" s="3" t="str">
        <f>IF(VLOOKUP($A72,overview!$B$3:$AJ$154,COLUMN(),FALSE) = "","",VLOOKUP($A72,overview!$B$3:$AJ$154,COLUMN(AF72),FALSE))</f>
        <v/>
      </c>
      <c r="AG72" s="3" t="str">
        <f>IF(VLOOKUP($A72,overview!$B$3:$AJ$154,COLUMN(),FALSE) = "","",VLOOKUP($A72,overview!$B$3:$AJ$154,COLUMN(AG72),FALSE))</f>
        <v/>
      </c>
      <c r="AH72" s="3" t="str">
        <f>IF(VLOOKUP($A72,overview!$B$3:$AJ$154,COLUMN(),FALSE) = "","",VLOOKUP($A72,overview!$B$3:$AJ$154,COLUMN(AH72),FALSE))</f>
        <v/>
      </c>
      <c r="AI72" s="3" t="str">
        <f>IF(VLOOKUP($A72,overview!$B$3:$AJ$154,COLUMN(),FALSE) = "","",VLOOKUP($A72,overview!$B$3:$AJ$154,COLUMN(AI72),FALSE))</f>
        <v/>
      </c>
    </row>
    <row r="73" spans="1:35" ht="15.75" customHeight="1" x14ac:dyDescent="0.2">
      <c r="A73" s="3" t="s">
        <v>229</v>
      </c>
      <c r="B73" s="23">
        <f>IF(VLOOKUP($A73,overview!$B$3:$AJ$154,COLUMN(),FALSE) = "","",VLOOKUP($A73,overview!$B$3:$AJ$154,COLUMN(B73),FALSE))</f>
        <v>0.24858335818669849</v>
      </c>
      <c r="C73" s="3" t="str">
        <f>IF(VLOOKUP($A73,overview!$B$3:$AJ$154,COLUMN(),FALSE) = "","",VLOOKUP($A73,overview!$B$3:$AJ$154,COLUMN(C73),FALSE))</f>
        <v/>
      </c>
      <c r="D73" s="3" t="str">
        <f>IF(VLOOKUP($A73,overview!$B$3:$AJ$154,COLUMN(),FALSE) = "","",VLOOKUP($A73,overview!$B$3:$AJ$154,COLUMN(D73),FALSE))</f>
        <v/>
      </c>
      <c r="E73" s="3" t="str">
        <f>IF(VLOOKUP($A73,overview!$B$3:$AJ$154,COLUMN(),FALSE) = "","",VLOOKUP($A73,overview!$B$3:$AJ$154,COLUMN(E73),FALSE))</f>
        <v/>
      </c>
      <c r="F73" s="3" t="str">
        <f>IF(VLOOKUP($A73,overview!$B$3:$AJ$154,COLUMN(),FALSE) = "","",VLOOKUP($A73,overview!$B$3:$AJ$154,COLUMN(F73),FALSE))</f>
        <v/>
      </c>
      <c r="G73" s="3" t="str">
        <f>IF(VLOOKUP($A73,overview!$B$3:$AJ$154,COLUMN(),FALSE) = "","",VLOOKUP($A73,overview!$B$3:$AJ$154,COLUMN(G73),FALSE))</f>
        <v/>
      </c>
      <c r="H73" s="3" t="str">
        <f>IF(VLOOKUP($A73,overview!$B$3:$AJ$154,COLUMN(),FALSE) = "","",VLOOKUP($A73,overview!$B$3:$AJ$154,COLUMN(H73),FALSE))</f>
        <v/>
      </c>
      <c r="I73" s="3" t="str">
        <f>IF(VLOOKUP($A73,overview!$B$3:$AJ$154,COLUMN(),FALSE) = "","",VLOOKUP($A73,overview!$B$3:$AJ$154,COLUMN(I73),FALSE))</f>
        <v/>
      </c>
      <c r="J73" s="3" t="str">
        <f>IF(VLOOKUP($A73,overview!$B$3:$AJ$154,COLUMN(),FALSE) = "","",VLOOKUP($A73,overview!$B$3:$AJ$154,COLUMN(J73),FALSE))</f>
        <v/>
      </c>
      <c r="K73" s="3" t="str">
        <f>IF(VLOOKUP($A73,overview!$B$3:$AJ$154,COLUMN(),FALSE) = "","",VLOOKUP($A73,overview!$B$3:$AJ$154,COLUMN(K73),FALSE))</f>
        <v/>
      </c>
      <c r="L73" s="3" t="str">
        <f>IF(VLOOKUP($A73,overview!$B$3:$AJ$154,COLUMN(),FALSE) = "","",VLOOKUP($A73,overview!$B$3:$AJ$154,COLUMN(L73),FALSE))</f>
        <v/>
      </c>
      <c r="M73" s="3" t="str">
        <f>IF(VLOOKUP($A73,overview!$B$3:$AJ$154,COLUMN(),FALSE) = "","",VLOOKUP($A73,overview!$B$3:$AJ$154,COLUMN(M73),FALSE))</f>
        <v/>
      </c>
      <c r="N73" s="3" t="str">
        <f>IF(VLOOKUP($A73,overview!$B$3:$AJ$154,COLUMN(),FALSE) = "","",VLOOKUP($A73,overview!$B$3:$AJ$154,COLUMN(N73),FALSE))</f>
        <v/>
      </c>
      <c r="O73" s="3" t="str">
        <f>IF(VLOOKUP($A73,overview!$B$3:$AJ$154,COLUMN(),FALSE) = "","",VLOOKUP($A73,overview!$B$3:$AJ$154,COLUMN(O73),FALSE))</f>
        <v/>
      </c>
      <c r="P73" s="3" t="str">
        <f>IF(VLOOKUP($A73,overview!$B$3:$AJ$154,COLUMN(),FALSE) = "","",VLOOKUP($A73,overview!$B$3:$AJ$154,COLUMN(P73),FALSE))</f>
        <v/>
      </c>
      <c r="Q73" s="3" t="str">
        <f>IF(VLOOKUP($A73,overview!$B$3:$AJ$154,COLUMN(),FALSE) = "","",VLOOKUP($A73,overview!$B$3:$AJ$154,COLUMN(Q73),FALSE))</f>
        <v/>
      </c>
      <c r="R73" s="3" t="str">
        <f>IF(VLOOKUP($A73,overview!$B$3:$AJ$154,COLUMN(),FALSE) = "","",VLOOKUP($A73,overview!$B$3:$AJ$154,COLUMN(R73),FALSE))</f>
        <v/>
      </c>
      <c r="S73" s="3" t="str">
        <f>IF(VLOOKUP($A73,overview!$B$3:$AJ$154,COLUMN(),FALSE) = "","",VLOOKUP($A73,overview!$B$3:$AJ$154,COLUMN(S73),FALSE))</f>
        <v/>
      </c>
      <c r="T73" s="3" t="str">
        <f>IF(VLOOKUP($A73,overview!$B$3:$AJ$154,COLUMN(),FALSE) = "","",VLOOKUP($A73,overview!$B$3:$AJ$154,COLUMN(T73),FALSE))</f>
        <v/>
      </c>
      <c r="U73" s="3" t="str">
        <f>IF(VLOOKUP($A73,overview!$B$3:$AJ$154,COLUMN(),FALSE) = "","",VLOOKUP($A73,overview!$B$3:$AJ$154,COLUMN(U73),FALSE))</f>
        <v/>
      </c>
      <c r="V73" s="3" t="str">
        <f>IF(VLOOKUP($A73,overview!$B$3:$AJ$154,COLUMN(),FALSE) = "","",VLOOKUP($A73,overview!$B$3:$AJ$154,COLUMN(V73),FALSE))</f>
        <v/>
      </c>
      <c r="W73" s="3" t="str">
        <f>IF(VLOOKUP($A73,overview!$B$3:$AJ$154,COLUMN(),FALSE) = "","",VLOOKUP($A73,overview!$B$3:$AJ$154,COLUMN(W73),FALSE))</f>
        <v/>
      </c>
      <c r="X73" s="3" t="str">
        <f>IF(VLOOKUP($A73,overview!$B$3:$AJ$154,COLUMN(),FALSE) = "","",VLOOKUP($A73,overview!$B$3:$AJ$154,COLUMN(X73),FALSE))</f>
        <v/>
      </c>
      <c r="Y73" s="3" t="str">
        <f>IF(VLOOKUP($A73,overview!$B$3:$AJ$154,COLUMN(),FALSE) = "","",VLOOKUP($A73,overview!$B$3:$AJ$154,COLUMN(Y73),FALSE))</f>
        <v/>
      </c>
      <c r="Z73" s="3" t="str">
        <f>IF(VLOOKUP($A73,overview!$B$3:$AJ$154,COLUMN(),FALSE) = "","",VLOOKUP($A73,overview!$B$3:$AJ$154,COLUMN(Z73),FALSE))</f>
        <v/>
      </c>
      <c r="AA73" s="3" t="str">
        <f>IF(VLOOKUP($A73,overview!$B$3:$AJ$154,COLUMN(),FALSE) = "","",VLOOKUP($A73,overview!$B$3:$AJ$154,COLUMN(AA73),FALSE))</f>
        <v/>
      </c>
      <c r="AB73" s="3" t="str">
        <f>IF(VLOOKUP($A73,overview!$B$3:$AJ$154,COLUMN(),FALSE) = "","",VLOOKUP($A73,overview!$B$3:$AJ$154,COLUMN(AB73),FALSE))</f>
        <v/>
      </c>
      <c r="AC73" s="3" t="str">
        <f>IF(VLOOKUP($A73,overview!$B$3:$AJ$154,COLUMN(),FALSE) = "","",VLOOKUP($A73,overview!$B$3:$AJ$154,COLUMN(AC73),FALSE))</f>
        <v/>
      </c>
      <c r="AD73" s="3" t="str">
        <f>IF(VLOOKUP($A73,overview!$B$3:$AJ$154,COLUMN(),FALSE) = "","",VLOOKUP($A73,overview!$B$3:$AJ$154,COLUMN(AD73),FALSE))</f>
        <v/>
      </c>
      <c r="AE73" s="3" t="str">
        <f>IF(VLOOKUP($A73,overview!$B$3:$AJ$154,COLUMN(),FALSE) = "","",VLOOKUP($A73,overview!$B$3:$AJ$154,COLUMN(AE73),FALSE))</f>
        <v/>
      </c>
      <c r="AF73" s="3" t="str">
        <f>IF(VLOOKUP($A73,overview!$B$3:$AJ$154,COLUMN(),FALSE) = "","",VLOOKUP($A73,overview!$B$3:$AJ$154,COLUMN(AF73),FALSE))</f>
        <v/>
      </c>
      <c r="AG73" s="3" t="str">
        <f>IF(VLOOKUP($A73,overview!$B$3:$AJ$154,COLUMN(),FALSE) = "","",VLOOKUP($A73,overview!$B$3:$AJ$154,COLUMN(AG73),FALSE))</f>
        <v/>
      </c>
      <c r="AH73" s="3" t="str">
        <f>IF(VLOOKUP($A73,overview!$B$3:$AJ$154,COLUMN(),FALSE) = "","",VLOOKUP($A73,overview!$B$3:$AJ$154,COLUMN(AH73),FALSE))</f>
        <v/>
      </c>
      <c r="AI73" s="3" t="str">
        <f>IF(VLOOKUP($A73,overview!$B$3:$AJ$154,COLUMN(),FALSE) = "","",VLOOKUP($A73,overview!$B$3:$AJ$154,COLUMN(AI73),FALSE))</f>
        <v/>
      </c>
    </row>
    <row r="74" spans="1:35" ht="16.5" customHeight="1" x14ac:dyDescent="0.2">
      <c r="A74" s="1" t="s">
        <v>232</v>
      </c>
      <c r="B74" s="3">
        <f>IF(VLOOKUP($A74,overview!$B$3:$AJ$154,COLUMN(),FALSE) = "","",VLOOKUP($A74,overview!$B$3:$AJ$154,COLUMN(B74),FALSE))</f>
        <v>0.05</v>
      </c>
      <c r="C74" s="3">
        <f>IF(VLOOKUP($A74,overview!$B$3:$AJ$154,COLUMN(),FALSE) = "","",VLOOKUP($A74,overview!$B$3:$AJ$154,COLUMN(C74),FALSE))</f>
        <v>0.03</v>
      </c>
      <c r="D74" s="3">
        <f>IF(VLOOKUP($A74,overview!$B$3:$AJ$154,COLUMN(),FALSE) = "","",VLOOKUP($A74,overview!$B$3:$AJ$154,COLUMN(D74),FALSE))</f>
        <v>7.0000000000000007E-2</v>
      </c>
      <c r="E74" s="3" t="str">
        <f>IF(VLOOKUP($A74,overview!$B$3:$AJ$154,COLUMN(),FALSE) = "","",VLOOKUP($A74,overview!$B$3:$AJ$154,COLUMN(E74),FALSE))</f>
        <v/>
      </c>
      <c r="F74" s="3" t="str">
        <f>IF(VLOOKUP($A74,overview!$B$3:$AJ$154,COLUMN(),FALSE) = "","",VLOOKUP($A74,overview!$B$3:$AJ$154,COLUMN(F74),FALSE))</f>
        <v/>
      </c>
      <c r="G74" s="3" t="str">
        <f>IF(VLOOKUP($A74,overview!$B$3:$AJ$154,COLUMN(),FALSE) = "","",VLOOKUP($A74,overview!$B$3:$AJ$154,COLUMN(G74),FALSE))</f>
        <v/>
      </c>
      <c r="H74" s="3" t="str">
        <f>IF(VLOOKUP($A74,overview!$B$3:$AJ$154,COLUMN(),FALSE) = "","",VLOOKUP($A74,overview!$B$3:$AJ$154,COLUMN(H74),FALSE))</f>
        <v/>
      </c>
      <c r="I74" s="3" t="str">
        <f>IF(VLOOKUP($A74,overview!$B$3:$AJ$154,COLUMN(),FALSE) = "","",VLOOKUP($A74,overview!$B$3:$AJ$154,COLUMN(I74),FALSE))</f>
        <v/>
      </c>
      <c r="J74" s="3" t="str">
        <f>IF(VLOOKUP($A74,overview!$B$3:$AJ$154,COLUMN(),FALSE) = "","",VLOOKUP($A74,overview!$B$3:$AJ$154,COLUMN(J74),FALSE))</f>
        <v/>
      </c>
      <c r="K74" s="3" t="str">
        <f>IF(VLOOKUP($A74,overview!$B$3:$AJ$154,COLUMN(),FALSE) = "","",VLOOKUP($A74,overview!$B$3:$AJ$154,COLUMN(K74),FALSE))</f>
        <v/>
      </c>
      <c r="L74" s="3" t="str">
        <f>IF(VLOOKUP($A74,overview!$B$3:$AJ$154,COLUMN(),FALSE) = "","",VLOOKUP($A74,overview!$B$3:$AJ$154,COLUMN(L74),FALSE))</f>
        <v/>
      </c>
      <c r="M74" s="3" t="str">
        <f>IF(VLOOKUP($A74,overview!$B$3:$AJ$154,COLUMN(),FALSE) = "","",VLOOKUP($A74,overview!$B$3:$AJ$154,COLUMN(M74),FALSE))</f>
        <v/>
      </c>
      <c r="N74" s="3" t="str">
        <f>IF(VLOOKUP($A74,overview!$B$3:$AJ$154,COLUMN(),FALSE) = "","",VLOOKUP($A74,overview!$B$3:$AJ$154,COLUMN(N74),FALSE))</f>
        <v/>
      </c>
      <c r="O74" s="3" t="str">
        <f>IF(VLOOKUP($A74,overview!$B$3:$AJ$154,COLUMN(),FALSE) = "","",VLOOKUP($A74,overview!$B$3:$AJ$154,COLUMN(O74),FALSE))</f>
        <v/>
      </c>
      <c r="P74" s="3" t="str">
        <f>IF(VLOOKUP($A74,overview!$B$3:$AJ$154,COLUMN(),FALSE) = "","",VLOOKUP($A74,overview!$B$3:$AJ$154,COLUMN(P74),FALSE))</f>
        <v/>
      </c>
      <c r="Q74" s="3" t="str">
        <f>IF(VLOOKUP($A74,overview!$B$3:$AJ$154,COLUMN(),FALSE) = "","",VLOOKUP($A74,overview!$B$3:$AJ$154,COLUMN(Q74),FALSE))</f>
        <v/>
      </c>
      <c r="R74" s="3" t="str">
        <f>IF(VLOOKUP($A74,overview!$B$3:$AJ$154,COLUMN(),FALSE) = "","",VLOOKUP($A74,overview!$B$3:$AJ$154,COLUMN(R74),FALSE))</f>
        <v/>
      </c>
      <c r="S74" s="3" t="str">
        <f>IF(VLOOKUP($A74,overview!$B$3:$AJ$154,COLUMN(),FALSE) = "","",VLOOKUP($A74,overview!$B$3:$AJ$154,COLUMN(S74),FALSE))</f>
        <v/>
      </c>
      <c r="T74" s="3" t="str">
        <f>IF(VLOOKUP($A74,overview!$B$3:$AJ$154,COLUMN(),FALSE) = "","",VLOOKUP($A74,overview!$B$3:$AJ$154,COLUMN(T74),FALSE))</f>
        <v/>
      </c>
      <c r="U74" s="3" t="str">
        <f>IF(VLOOKUP($A74,overview!$B$3:$AJ$154,COLUMN(),FALSE) = "","",VLOOKUP($A74,overview!$B$3:$AJ$154,COLUMN(U74),FALSE))</f>
        <v/>
      </c>
      <c r="V74" s="3" t="str">
        <f>IF(VLOOKUP($A74,overview!$B$3:$AJ$154,COLUMN(),FALSE) = "","",VLOOKUP($A74,overview!$B$3:$AJ$154,COLUMN(V74),FALSE))</f>
        <v/>
      </c>
      <c r="W74" s="3" t="str">
        <f>IF(VLOOKUP($A74,overview!$B$3:$AJ$154,COLUMN(),FALSE) = "","",VLOOKUP($A74,overview!$B$3:$AJ$154,COLUMN(W74),FALSE))</f>
        <v/>
      </c>
      <c r="X74" s="3" t="str">
        <f>IF(VLOOKUP($A74,overview!$B$3:$AJ$154,COLUMN(),FALSE) = "","",VLOOKUP($A74,overview!$B$3:$AJ$154,COLUMN(X74),FALSE))</f>
        <v/>
      </c>
      <c r="Y74" s="3" t="str">
        <f>IF(VLOOKUP($A74,overview!$B$3:$AJ$154,COLUMN(),FALSE) = "","",VLOOKUP($A74,overview!$B$3:$AJ$154,COLUMN(Y74),FALSE))</f>
        <v/>
      </c>
      <c r="Z74" s="3" t="str">
        <f>IF(VLOOKUP($A74,overview!$B$3:$AJ$154,COLUMN(),FALSE) = "","",VLOOKUP($A74,overview!$B$3:$AJ$154,COLUMN(Z74),FALSE))</f>
        <v/>
      </c>
      <c r="AA74" s="3" t="str">
        <f>IF(VLOOKUP($A74,overview!$B$3:$AJ$154,COLUMN(),FALSE) = "","",VLOOKUP($A74,overview!$B$3:$AJ$154,COLUMN(AA74),FALSE))</f>
        <v/>
      </c>
      <c r="AB74" s="3" t="str">
        <f>IF(VLOOKUP($A74,overview!$B$3:$AJ$154,COLUMN(),FALSE) = "","",VLOOKUP($A74,overview!$B$3:$AJ$154,COLUMN(AB74),FALSE))</f>
        <v/>
      </c>
      <c r="AC74" s="3" t="str">
        <f>IF(VLOOKUP($A74,overview!$B$3:$AJ$154,COLUMN(),FALSE) = "","",VLOOKUP($A74,overview!$B$3:$AJ$154,COLUMN(AC74),FALSE))</f>
        <v/>
      </c>
      <c r="AD74" s="3" t="str">
        <f>IF(VLOOKUP($A74,overview!$B$3:$AJ$154,COLUMN(),FALSE) = "","",VLOOKUP($A74,overview!$B$3:$AJ$154,COLUMN(AD74),FALSE))</f>
        <v/>
      </c>
      <c r="AE74" s="3" t="str">
        <f>IF(VLOOKUP($A74,overview!$B$3:$AJ$154,COLUMN(),FALSE) = "","",VLOOKUP($A74,overview!$B$3:$AJ$154,COLUMN(AE74),FALSE))</f>
        <v/>
      </c>
      <c r="AF74" s="3" t="str">
        <f>IF(VLOOKUP($A74,overview!$B$3:$AJ$154,COLUMN(),FALSE) = "","",VLOOKUP($A74,overview!$B$3:$AJ$154,COLUMN(AF74),FALSE))</f>
        <v/>
      </c>
      <c r="AG74" s="3" t="str">
        <f>IF(VLOOKUP($A74,overview!$B$3:$AJ$154,COLUMN(),FALSE) = "","",VLOOKUP($A74,overview!$B$3:$AJ$154,COLUMN(AG74),FALSE))</f>
        <v/>
      </c>
      <c r="AH74" s="3" t="str">
        <f>IF(VLOOKUP($A74,overview!$B$3:$AJ$154,COLUMN(),FALSE) = "","",VLOOKUP($A74,overview!$B$3:$AJ$154,COLUMN(AH74),FALSE))</f>
        <v/>
      </c>
      <c r="AI74" s="3" t="str">
        <f>IF(VLOOKUP($A74,overview!$B$3:$AJ$154,COLUMN(),FALSE) = "","",VLOOKUP($A74,overview!$B$3:$AJ$154,COLUMN(AI74),FALSE))</f>
        <v/>
      </c>
    </row>
    <row r="75" spans="1:35" ht="15.75" customHeight="1" x14ac:dyDescent="0.2">
      <c r="A75" s="3" t="s">
        <v>102</v>
      </c>
      <c r="B75" s="3">
        <f>IF(VLOOKUP($A75,overview!$B$3:$AJ$154,COLUMN(),FALSE) = "","",VLOOKUP($A75,overview!$B$3:$AJ$154,COLUMN(B75),FALSE))</f>
        <v>30</v>
      </c>
      <c r="C75" s="3" t="str">
        <f>IF(VLOOKUP($A75,overview!$B$3:$AJ$154,COLUMN(),FALSE) = "","",VLOOKUP($A75,overview!$B$3:$AJ$154,COLUMN(C75),FALSE))</f>
        <v/>
      </c>
      <c r="D75" s="3" t="str">
        <f>IF(VLOOKUP($A75,overview!$B$3:$AJ$154,COLUMN(),FALSE) = "","",VLOOKUP($A75,overview!$B$3:$AJ$154,COLUMN(D75),FALSE))</f>
        <v/>
      </c>
      <c r="E75" s="3" t="str">
        <f>IF(VLOOKUP($A75,overview!$B$3:$AJ$154,COLUMN(),FALSE) = "","",VLOOKUP($A75,overview!$B$3:$AJ$154,COLUMN(E75),FALSE))</f>
        <v/>
      </c>
      <c r="F75" s="3" t="str">
        <f>IF(VLOOKUP($A75,overview!$B$3:$AJ$154,COLUMN(),FALSE) = "","",VLOOKUP($A75,overview!$B$3:$AJ$154,COLUMN(F75),FALSE))</f>
        <v/>
      </c>
      <c r="G75" s="3" t="str">
        <f>IF(VLOOKUP($A75,overview!$B$3:$AJ$154,COLUMN(),FALSE) = "","",VLOOKUP($A75,overview!$B$3:$AJ$154,COLUMN(G75),FALSE))</f>
        <v/>
      </c>
      <c r="H75" s="3" t="str">
        <f>IF(VLOOKUP($A75,overview!$B$3:$AJ$154,COLUMN(),FALSE) = "","",VLOOKUP($A75,overview!$B$3:$AJ$154,COLUMN(H75),FALSE))</f>
        <v/>
      </c>
      <c r="I75" s="3" t="str">
        <f>IF(VLOOKUP($A75,overview!$B$3:$AJ$154,COLUMN(),FALSE) = "","",VLOOKUP($A75,overview!$B$3:$AJ$154,COLUMN(I75),FALSE))</f>
        <v/>
      </c>
      <c r="J75" s="3" t="str">
        <f>IF(VLOOKUP($A75,overview!$B$3:$AJ$154,COLUMN(),FALSE) = "","",VLOOKUP($A75,overview!$B$3:$AJ$154,COLUMN(J75),FALSE))</f>
        <v/>
      </c>
      <c r="K75" s="3" t="str">
        <f>IF(VLOOKUP($A75,overview!$B$3:$AJ$154,COLUMN(),FALSE) = "","",VLOOKUP($A75,overview!$B$3:$AJ$154,COLUMN(K75),FALSE))</f>
        <v/>
      </c>
      <c r="L75" s="3" t="str">
        <f>IF(VLOOKUP($A75,overview!$B$3:$AJ$154,COLUMN(),FALSE) = "","",VLOOKUP($A75,overview!$B$3:$AJ$154,COLUMN(L75),FALSE))</f>
        <v/>
      </c>
      <c r="M75" s="3" t="str">
        <f>IF(VLOOKUP($A75,overview!$B$3:$AJ$154,COLUMN(),FALSE) = "","",VLOOKUP($A75,overview!$B$3:$AJ$154,COLUMN(M75),FALSE))</f>
        <v/>
      </c>
      <c r="N75" s="3" t="str">
        <f>IF(VLOOKUP($A75,overview!$B$3:$AJ$154,COLUMN(),FALSE) = "","",VLOOKUP($A75,overview!$B$3:$AJ$154,COLUMN(N75),FALSE))</f>
        <v/>
      </c>
      <c r="O75" s="3" t="str">
        <f>IF(VLOOKUP($A75,overview!$B$3:$AJ$154,COLUMN(),FALSE) = "","",VLOOKUP($A75,overview!$B$3:$AJ$154,COLUMN(O75),FALSE))</f>
        <v/>
      </c>
      <c r="P75" s="3" t="str">
        <f>IF(VLOOKUP($A75,overview!$B$3:$AJ$154,COLUMN(),FALSE) = "","",VLOOKUP($A75,overview!$B$3:$AJ$154,COLUMN(P75),FALSE))</f>
        <v/>
      </c>
      <c r="Q75" s="3" t="str">
        <f>IF(VLOOKUP($A75,overview!$B$3:$AJ$154,COLUMN(),FALSE) = "","",VLOOKUP($A75,overview!$B$3:$AJ$154,COLUMN(Q75),FALSE))</f>
        <v/>
      </c>
      <c r="R75" s="3" t="str">
        <f>IF(VLOOKUP($A75,overview!$B$3:$AJ$154,COLUMN(),FALSE) = "","",VLOOKUP($A75,overview!$B$3:$AJ$154,COLUMN(R75),FALSE))</f>
        <v/>
      </c>
      <c r="S75" s="3" t="str">
        <f>IF(VLOOKUP($A75,overview!$B$3:$AJ$154,COLUMN(),FALSE) = "","",VLOOKUP($A75,overview!$B$3:$AJ$154,COLUMN(S75),FALSE))</f>
        <v/>
      </c>
      <c r="T75" s="3" t="str">
        <f>IF(VLOOKUP($A75,overview!$B$3:$AJ$154,COLUMN(),FALSE) = "","",VLOOKUP($A75,overview!$B$3:$AJ$154,COLUMN(T75),FALSE))</f>
        <v/>
      </c>
      <c r="U75" s="3" t="str">
        <f>IF(VLOOKUP($A75,overview!$B$3:$AJ$154,COLUMN(),FALSE) = "","",VLOOKUP($A75,overview!$B$3:$AJ$154,COLUMN(U75),FALSE))</f>
        <v/>
      </c>
      <c r="V75" s="3" t="str">
        <f>IF(VLOOKUP($A75,overview!$B$3:$AJ$154,COLUMN(),FALSE) = "","",VLOOKUP($A75,overview!$B$3:$AJ$154,COLUMN(V75),FALSE))</f>
        <v/>
      </c>
      <c r="W75" s="3" t="str">
        <f>IF(VLOOKUP($A75,overview!$B$3:$AJ$154,COLUMN(),FALSE) = "","",VLOOKUP($A75,overview!$B$3:$AJ$154,COLUMN(W75),FALSE))</f>
        <v/>
      </c>
      <c r="X75" s="3" t="str">
        <f>IF(VLOOKUP($A75,overview!$B$3:$AJ$154,COLUMN(),FALSE) = "","",VLOOKUP($A75,overview!$B$3:$AJ$154,COLUMN(X75),FALSE))</f>
        <v/>
      </c>
      <c r="Y75" s="3" t="str">
        <f>IF(VLOOKUP($A75,overview!$B$3:$AJ$154,COLUMN(),FALSE) = "","",VLOOKUP($A75,overview!$B$3:$AJ$154,COLUMN(Y75),FALSE))</f>
        <v/>
      </c>
      <c r="Z75" s="3" t="str">
        <f>IF(VLOOKUP($A75,overview!$B$3:$AJ$154,COLUMN(),FALSE) = "","",VLOOKUP($A75,overview!$B$3:$AJ$154,COLUMN(Z75),FALSE))</f>
        <v/>
      </c>
      <c r="AA75" s="3" t="str">
        <f>IF(VLOOKUP($A75,overview!$B$3:$AJ$154,COLUMN(),FALSE) = "","",VLOOKUP($A75,overview!$B$3:$AJ$154,COLUMN(AA75),FALSE))</f>
        <v/>
      </c>
      <c r="AB75" s="3" t="str">
        <f>IF(VLOOKUP($A75,overview!$B$3:$AJ$154,COLUMN(),FALSE) = "","",VLOOKUP($A75,overview!$B$3:$AJ$154,COLUMN(AB75),FALSE))</f>
        <v/>
      </c>
      <c r="AC75" s="3" t="str">
        <f>IF(VLOOKUP($A75,overview!$B$3:$AJ$154,COLUMN(),FALSE) = "","",VLOOKUP($A75,overview!$B$3:$AJ$154,COLUMN(AC75),FALSE))</f>
        <v/>
      </c>
      <c r="AD75" s="3" t="str">
        <f>IF(VLOOKUP($A75,overview!$B$3:$AJ$154,COLUMN(),FALSE) = "","",VLOOKUP($A75,overview!$B$3:$AJ$154,COLUMN(AD75),FALSE))</f>
        <v/>
      </c>
      <c r="AE75" s="3" t="str">
        <f>IF(VLOOKUP($A75,overview!$B$3:$AJ$154,COLUMN(),FALSE) = "","",VLOOKUP($A75,overview!$B$3:$AJ$154,COLUMN(AE75),FALSE))</f>
        <v/>
      </c>
      <c r="AF75" s="3" t="str">
        <f>IF(VLOOKUP($A75,overview!$B$3:$AJ$154,COLUMN(),FALSE) = "","",VLOOKUP($A75,overview!$B$3:$AJ$154,COLUMN(AF75),FALSE))</f>
        <v/>
      </c>
      <c r="AG75" s="3" t="str">
        <f>IF(VLOOKUP($A75,overview!$B$3:$AJ$154,COLUMN(),FALSE) = "","",VLOOKUP($A75,overview!$B$3:$AJ$154,COLUMN(AG75),FALSE))</f>
        <v/>
      </c>
      <c r="AH75" s="3" t="str">
        <f>IF(VLOOKUP($A75,overview!$B$3:$AJ$154,COLUMN(),FALSE) = "","",VLOOKUP($A75,overview!$B$3:$AJ$154,COLUMN(AH75),FALSE))</f>
        <v/>
      </c>
      <c r="AI75" s="3" t="str">
        <f>IF(VLOOKUP($A75,overview!$B$3:$AJ$154,COLUMN(),FALSE) = "","",VLOOKUP($A75,overview!$B$3:$AJ$154,COLUMN(AI75),FALSE))</f>
        <v>years</v>
      </c>
    </row>
    <row r="76" spans="1:35" ht="15.75" customHeight="1" x14ac:dyDescent="0.2">
      <c r="A76" s="3" t="s">
        <v>39</v>
      </c>
      <c r="B76" s="3">
        <f>IF(VLOOKUP($A76,overview!$B$3:$AJ$154,COLUMN(),FALSE) = "","",VLOOKUP($A76,overview!$B$3:$AJ$154,COLUMN(B76),FALSE))</f>
        <v>10</v>
      </c>
      <c r="C76" s="3" t="str">
        <f>IF(VLOOKUP($A76,overview!$B$3:$AJ$154,COLUMN(),FALSE) = "","",VLOOKUP($A76,overview!$B$3:$AJ$154,COLUMN(C76),FALSE))</f>
        <v/>
      </c>
      <c r="D76" s="3" t="str">
        <f>IF(VLOOKUP($A76,overview!$B$3:$AJ$154,COLUMN(),FALSE) = "","",VLOOKUP($A76,overview!$B$3:$AJ$154,COLUMN(D76),FALSE))</f>
        <v/>
      </c>
      <c r="E76" s="3" t="str">
        <f>IF(VLOOKUP($A76,overview!$B$3:$AJ$154,COLUMN(),FALSE) = "","",VLOOKUP($A76,overview!$B$3:$AJ$154,COLUMN(E76),FALSE))</f>
        <v/>
      </c>
      <c r="F76" s="3" t="str">
        <f>IF(VLOOKUP($A76,overview!$B$3:$AJ$154,COLUMN(),FALSE) = "","",VLOOKUP($A76,overview!$B$3:$AJ$154,COLUMN(F76),FALSE))</f>
        <v/>
      </c>
      <c r="G76" s="3" t="str">
        <f>IF(VLOOKUP($A76,overview!$B$3:$AJ$154,COLUMN(),FALSE) = "","",VLOOKUP($A76,overview!$B$3:$AJ$154,COLUMN(G76),FALSE))</f>
        <v/>
      </c>
      <c r="H76" s="3" t="str">
        <f>IF(VLOOKUP($A76,overview!$B$3:$AJ$154,COLUMN(),FALSE) = "","",VLOOKUP($A76,overview!$B$3:$AJ$154,COLUMN(H76),FALSE))</f>
        <v/>
      </c>
      <c r="I76" s="3" t="str">
        <f>IF(VLOOKUP($A76,overview!$B$3:$AJ$154,COLUMN(),FALSE) = "","",VLOOKUP($A76,overview!$B$3:$AJ$154,COLUMN(I76),FALSE))</f>
        <v/>
      </c>
      <c r="J76" s="3" t="str">
        <f>IF(VLOOKUP($A76,overview!$B$3:$AJ$154,COLUMN(),FALSE) = "","",VLOOKUP($A76,overview!$B$3:$AJ$154,COLUMN(J76),FALSE))</f>
        <v/>
      </c>
      <c r="K76" s="3" t="str">
        <f>IF(VLOOKUP($A76,overview!$B$3:$AJ$154,COLUMN(),FALSE) = "","",VLOOKUP($A76,overview!$B$3:$AJ$154,COLUMN(K76),FALSE))</f>
        <v/>
      </c>
      <c r="L76" s="3" t="str">
        <f>IF(VLOOKUP($A76,overview!$B$3:$AJ$154,COLUMN(),FALSE) = "","",VLOOKUP($A76,overview!$B$3:$AJ$154,COLUMN(L76),FALSE))</f>
        <v/>
      </c>
      <c r="M76" s="3" t="str">
        <f>IF(VLOOKUP($A76,overview!$B$3:$AJ$154,COLUMN(),FALSE) = "","",VLOOKUP($A76,overview!$B$3:$AJ$154,COLUMN(M76),FALSE))</f>
        <v/>
      </c>
      <c r="N76" s="3" t="str">
        <f>IF(VLOOKUP($A76,overview!$B$3:$AJ$154,COLUMN(),FALSE) = "","",VLOOKUP($A76,overview!$B$3:$AJ$154,COLUMN(N76),FALSE))</f>
        <v/>
      </c>
      <c r="O76" s="3" t="str">
        <f>IF(VLOOKUP($A76,overview!$B$3:$AJ$154,COLUMN(),FALSE) = "","",VLOOKUP($A76,overview!$B$3:$AJ$154,COLUMN(O76),FALSE))</f>
        <v/>
      </c>
      <c r="P76" s="3" t="str">
        <f>IF(VLOOKUP($A76,overview!$B$3:$AJ$154,COLUMN(),FALSE) = "","",VLOOKUP($A76,overview!$B$3:$AJ$154,COLUMN(P76),FALSE))</f>
        <v/>
      </c>
      <c r="Q76" s="3" t="str">
        <f>IF(VLOOKUP($A76,overview!$B$3:$AJ$154,COLUMN(),FALSE) = "","",VLOOKUP($A76,overview!$B$3:$AJ$154,COLUMN(Q76),FALSE))</f>
        <v/>
      </c>
      <c r="R76" s="3" t="str">
        <f>IF(VLOOKUP($A76,overview!$B$3:$AJ$154,COLUMN(),FALSE) = "","",VLOOKUP($A76,overview!$B$3:$AJ$154,COLUMN(R76),FALSE))</f>
        <v/>
      </c>
      <c r="S76" s="3" t="str">
        <f>IF(VLOOKUP($A76,overview!$B$3:$AJ$154,COLUMN(),FALSE) = "","",VLOOKUP($A76,overview!$B$3:$AJ$154,COLUMN(S76),FALSE))</f>
        <v/>
      </c>
      <c r="T76" s="3" t="str">
        <f>IF(VLOOKUP($A76,overview!$B$3:$AJ$154,COLUMN(),FALSE) = "","",VLOOKUP($A76,overview!$B$3:$AJ$154,COLUMN(T76),FALSE))</f>
        <v/>
      </c>
      <c r="U76" s="3" t="str">
        <f>IF(VLOOKUP($A76,overview!$B$3:$AJ$154,COLUMN(),FALSE) = "","",VLOOKUP($A76,overview!$B$3:$AJ$154,COLUMN(U76),FALSE))</f>
        <v/>
      </c>
      <c r="V76" s="3" t="str">
        <f>IF(VLOOKUP($A76,overview!$B$3:$AJ$154,COLUMN(),FALSE) = "","",VLOOKUP($A76,overview!$B$3:$AJ$154,COLUMN(V76),FALSE))</f>
        <v/>
      </c>
      <c r="W76" s="3" t="str">
        <f>IF(VLOOKUP($A76,overview!$B$3:$AJ$154,COLUMN(),FALSE) = "","",VLOOKUP($A76,overview!$B$3:$AJ$154,COLUMN(W76),FALSE))</f>
        <v/>
      </c>
      <c r="X76" s="3" t="str">
        <f>IF(VLOOKUP($A76,overview!$B$3:$AJ$154,COLUMN(),FALSE) = "","",VLOOKUP($A76,overview!$B$3:$AJ$154,COLUMN(X76),FALSE))</f>
        <v/>
      </c>
      <c r="Y76" s="3" t="str">
        <f>IF(VLOOKUP($A76,overview!$B$3:$AJ$154,COLUMN(),FALSE) = "","",VLOOKUP($A76,overview!$B$3:$AJ$154,COLUMN(Y76),FALSE))</f>
        <v/>
      </c>
      <c r="Z76" s="3" t="str">
        <f>IF(VLOOKUP($A76,overview!$B$3:$AJ$154,COLUMN(),FALSE) = "","",VLOOKUP($A76,overview!$B$3:$AJ$154,COLUMN(Z76),FALSE))</f>
        <v/>
      </c>
      <c r="AA76" s="3" t="str">
        <f>IF(VLOOKUP($A76,overview!$B$3:$AJ$154,COLUMN(),FALSE) = "","",VLOOKUP($A76,overview!$B$3:$AJ$154,COLUMN(AA76),FALSE))</f>
        <v/>
      </c>
      <c r="AB76" s="3" t="str">
        <f>IF(VLOOKUP($A76,overview!$B$3:$AJ$154,COLUMN(),FALSE) = "","",VLOOKUP($A76,overview!$B$3:$AJ$154,COLUMN(AB76),FALSE))</f>
        <v/>
      </c>
      <c r="AC76" s="3" t="str">
        <f>IF(VLOOKUP($A76,overview!$B$3:$AJ$154,COLUMN(),FALSE) = "","",VLOOKUP($A76,overview!$B$3:$AJ$154,COLUMN(AC76),FALSE))</f>
        <v/>
      </c>
      <c r="AD76" s="3" t="str">
        <f>IF(VLOOKUP($A76,overview!$B$3:$AJ$154,COLUMN(),FALSE) = "","",VLOOKUP($A76,overview!$B$3:$AJ$154,COLUMN(AD76),FALSE))</f>
        <v/>
      </c>
      <c r="AE76" s="3" t="str">
        <f>IF(VLOOKUP($A76,overview!$B$3:$AJ$154,COLUMN(),FALSE) = "","",VLOOKUP($A76,overview!$B$3:$AJ$154,COLUMN(AE76),FALSE))</f>
        <v/>
      </c>
      <c r="AF76" s="3" t="str">
        <f>IF(VLOOKUP($A76,overview!$B$3:$AJ$154,COLUMN(),FALSE) = "","",VLOOKUP($A76,overview!$B$3:$AJ$154,COLUMN(AF76),FALSE))</f>
        <v/>
      </c>
      <c r="AG76" s="3" t="str">
        <f>IF(VLOOKUP($A76,overview!$B$3:$AJ$154,COLUMN(),FALSE) = "","",VLOOKUP($A76,overview!$B$3:$AJ$154,COLUMN(AG76),FALSE))</f>
        <v/>
      </c>
      <c r="AH76" s="3" t="str">
        <f>IF(VLOOKUP($A76,overview!$B$3:$AJ$154,COLUMN(),FALSE) = "","",VLOOKUP($A76,overview!$B$3:$AJ$154,COLUMN(AH76),FALSE))</f>
        <v/>
      </c>
      <c r="AI76" s="3" t="str">
        <f>IF(VLOOKUP($A76,overview!$B$3:$AJ$154,COLUMN(),FALSE) = "","",VLOOKUP($A76,overview!$B$3:$AJ$154,COLUMN(AI76),FALSE))</f>
        <v>GWh</v>
      </c>
    </row>
    <row r="77" spans="1:35" ht="15.75" customHeight="1" x14ac:dyDescent="0.2">
      <c r="A77" s="3" t="s">
        <v>69</v>
      </c>
      <c r="B77" s="3">
        <f>IF(VLOOKUP($A77,overview!$B$3:$AJ$154,COLUMN(),FALSE) = "","",VLOOKUP($A77,overview!$B$3:$AJ$154,COLUMN(B77),FALSE))</f>
        <v>2890</v>
      </c>
      <c r="C77" s="3">
        <f>IF(VLOOKUP($A77,overview!$B$3:$AJ$154,COLUMN(),FALSE) = "","",VLOOKUP($A77,overview!$B$3:$AJ$154,COLUMN(C77),FALSE))</f>
        <v>2312</v>
      </c>
      <c r="D77" s="3">
        <f>IF(VLOOKUP($A77,overview!$B$3:$AJ$154,COLUMN(),FALSE) = "","",VLOOKUP($A77,overview!$B$3:$AJ$154,COLUMN(D77),FALSE))</f>
        <v>3468</v>
      </c>
      <c r="E77" s="3">
        <f>IF(VLOOKUP($A77,overview!$B$3:$AJ$154,COLUMN(),FALSE) = "","",VLOOKUP($A77,overview!$B$3:$AJ$154,COLUMN(E77),FALSE))</f>
        <v>2779.5743189955169</v>
      </c>
      <c r="F77" s="3">
        <f>IF(VLOOKUP($A77,overview!$B$3:$AJ$154,COLUMN(),FALSE) = "","",VLOOKUP($A77,overview!$B$3:$AJ$154,COLUMN(F77),FALSE))</f>
        <v>2712.1862279514521</v>
      </c>
      <c r="G77" s="3">
        <f>IF(VLOOKUP($A77,overview!$B$3:$AJ$154,COLUMN(),FALSE) = "","",VLOOKUP($A77,overview!$B$3:$AJ$154,COLUMN(G77),FALSE))</f>
        <v>2661.6851805619999</v>
      </c>
      <c r="H77" s="3">
        <f>IF(VLOOKUP($A77,overview!$B$3:$AJ$154,COLUMN(),FALSE) = "","",VLOOKUP($A77,overview!$B$3:$AJ$154,COLUMN(H77),FALSE))</f>
        <v>2620.2204346522039</v>
      </c>
      <c r="I77" s="3">
        <f>IF(VLOOKUP($A77,overview!$B$3:$AJ$154,COLUMN(),FALSE) = "","",VLOOKUP($A77,overview!$B$3:$AJ$154,COLUMN(I77),FALSE))</f>
        <v>2584.3919270758738</v>
      </c>
      <c r="J77" s="3">
        <f>IF(VLOOKUP($A77,overview!$B$3:$AJ$154,COLUMN(),FALSE) = "","",VLOOKUP($A77,overview!$B$3:$AJ$154,COLUMN(J77),FALSE))</f>
        <v>2552.4239418091538</v>
      </c>
      <c r="K77" s="3">
        <f>IF(VLOOKUP($A77,overview!$B$3:$AJ$154,COLUMN(),FALSE) = "","",VLOOKUP($A77,overview!$B$3:$AJ$154,COLUMN(K77),FALSE))</f>
        <v>2523.274354659447</v>
      </c>
      <c r="L77" s="3">
        <f>IF(VLOOKUP($A77,overview!$B$3:$AJ$154,COLUMN(),FALSE) = "","",VLOOKUP($A77,overview!$B$3:$AJ$154,COLUMN(L77),FALSE))</f>
        <v>2496.280347401369</v>
      </c>
      <c r="M77" s="3">
        <f>IF(VLOOKUP($A77,overview!$B$3:$AJ$154,COLUMN(),FALSE) = "","",VLOOKUP($A77,overview!$B$3:$AJ$154,COLUMN(M77),FALSE))</f>
        <v>2470.9946856514298</v>
      </c>
      <c r="N77" s="3">
        <f>IF(VLOOKUP($A77,overview!$B$3:$AJ$154,COLUMN(),FALSE) = "","",VLOOKUP($A77,overview!$B$3:$AJ$154,COLUMN(N77),FALSE))</f>
        <v>2447.1015848242382</v>
      </c>
      <c r="O77" s="3">
        <f>IF(VLOOKUP($A77,overview!$B$3:$AJ$154,COLUMN(),FALSE) = "","",VLOOKUP($A77,overview!$B$3:$AJ$154,COLUMN(O77),FALSE))</f>
        <v>2424.369892295143</v>
      </c>
      <c r="P77" s="3">
        <f>IF(VLOOKUP($A77,overview!$B$3:$AJ$154,COLUMN(),FALSE) = "","",VLOOKUP($A77,overview!$B$3:$AJ$154,COLUMN(P77),FALSE))</f>
        <v>2402.6253646600971</v>
      </c>
      <c r="Q77" s="3">
        <f>IF(VLOOKUP($A77,overview!$B$3:$AJ$154,COLUMN(),FALSE) = "","",VLOOKUP($A77,overview!$B$3:$AJ$154,COLUMN(Q77),FALSE))</f>
        <v>2381.733411094026</v>
      </c>
      <c r="R77" s="3">
        <f>IF(VLOOKUP($A77,overview!$B$3:$AJ$154,COLUMN(),FALSE) = "","",VLOOKUP($A77,overview!$B$3:$AJ$154,COLUMN(R77),FALSE))</f>
        <v>2361.587900929886</v>
      </c>
      <c r="S77" s="3">
        <f>IF(VLOOKUP($A77,overview!$B$3:$AJ$154,COLUMN(),FALSE) = "","",VLOOKUP($A77,overview!$B$3:$AJ$154,COLUMN(S77),FALSE))</f>
        <v>2342.1036500854598</v>
      </c>
      <c r="T77" s="3">
        <f>IF(VLOOKUP($A77,overview!$B$3:$AJ$154,COLUMN(),FALSE) = "","",VLOOKUP($A77,overview!$B$3:$AJ$154,COLUMN(T77),FALSE))</f>
        <v>2323.211227203396</v>
      </c>
      <c r="U77" s="3">
        <f>IF(VLOOKUP($A77,overview!$B$3:$AJ$154,COLUMN(),FALSE) = "","",VLOOKUP($A77,overview!$B$3:$AJ$154,COLUMN(U77),FALSE))</f>
        <v>2304.8532715748838</v>
      </c>
      <c r="V77" s="3">
        <f>IF(VLOOKUP($A77,overview!$B$3:$AJ$154,COLUMN(),FALSE) = "","",VLOOKUP($A77,overview!$B$3:$AJ$154,COLUMN(V77),FALSE))</f>
        <v>2286.9818248196229</v>
      </c>
      <c r="W77" s="3">
        <f>IF(VLOOKUP($A77,overview!$B$3:$AJ$154,COLUMN(),FALSE) = "","",VLOOKUP($A77,overview!$B$3:$AJ$154,COLUMN(W77),FALSE))</f>
        <v>2269.5563595087428</v>
      </c>
      <c r="X77" s="3">
        <f>IF(VLOOKUP($A77,overview!$B$3:$AJ$154,COLUMN(),FALSE) = "","",VLOOKUP($A77,overview!$B$3:$AJ$154,COLUMN(X77),FALSE))</f>
        <v>2252.5422975612942</v>
      </c>
      <c r="Y77" s="3">
        <f>IF(VLOOKUP($A77,overview!$B$3:$AJ$154,COLUMN(),FALSE) = "","",VLOOKUP($A77,overview!$B$3:$AJ$154,COLUMN(Y77),FALSE))</f>
        <v>2235.909879603601</v>
      </c>
      <c r="Z77" s="3">
        <f>IF(VLOOKUP($A77,overview!$B$3:$AJ$154,COLUMN(),FALSE) = "","",VLOOKUP($A77,overview!$B$3:$AJ$154,COLUMN(Z77),FALSE))</f>
        <v>2219.633290245557</v>
      </c>
      <c r="AA77" s="3">
        <f>IF(VLOOKUP($A77,overview!$B$3:$AJ$154,COLUMN(),FALSE) = "","",VLOOKUP($A77,overview!$B$3:$AJ$154,COLUMN(AA77),FALSE))</f>
        <v>2203.6899729181382</v>
      </c>
      <c r="AB77" s="3">
        <f>IF(VLOOKUP($A77,overview!$B$3:$AJ$154,COLUMN(),FALSE) = "","",VLOOKUP($A77,overview!$B$3:$AJ$154,COLUMN(AB77),FALSE))</f>
        <v>2188.0600871282072</v>
      </c>
      <c r="AC77" s="3">
        <f>IF(VLOOKUP($A77,overview!$B$3:$AJ$154,COLUMN(),FALSE) = "","",VLOOKUP($A77,overview!$B$3:$AJ$154,COLUMN(AC77),FALSE))</f>
        <v>2172.7260741006121</v>
      </c>
      <c r="AD77" s="3">
        <f>IF(VLOOKUP($A77,overview!$B$3:$AJ$154,COLUMN(),FALSE) = "","",VLOOKUP($A77,overview!$B$3:$AJ$154,COLUMN(AD77),FALSE))</f>
        <v>2157.6723058862658</v>
      </c>
      <c r="AE77" s="3">
        <f>IF(VLOOKUP($A77,overview!$B$3:$AJ$154,COLUMN(),FALSE) = "","",VLOOKUP($A77,overview!$B$3:$AJ$154,COLUMN(AE77),FALSE))</f>
        <v>2142.8847994428911</v>
      </c>
      <c r="AF77" s="3">
        <f>IF(VLOOKUP($A77,overview!$B$3:$AJ$154,COLUMN(),FALSE) = "","",VLOOKUP($A77,overview!$B$3:$AJ$154,COLUMN(AF77),FALSE))</f>
        <v>2128.3509817976951</v>
      </c>
      <c r="AG77" s="3">
        <f>IF(VLOOKUP($A77,overview!$B$3:$AJ$154,COLUMN(),FALSE) = "","",VLOOKUP($A77,overview!$B$3:$AJ$154,COLUMN(AG77),FALSE))</f>
        <v>2114.0594957412068</v>
      </c>
      <c r="AH77" s="3">
        <f>IF(VLOOKUP($A77,overview!$B$3:$AJ$154,COLUMN(),FALSE) = "","",VLOOKUP($A77,overview!$B$3:$AJ$154,COLUMN(AH77),FALSE))</f>
        <v>2100.0000379551179</v>
      </c>
      <c r="AI77" s="3" t="str">
        <f>IF(VLOOKUP($A77,overview!$B$3:$AJ$154,COLUMN(),FALSE) = "","",VLOOKUP($A77,overview!$B$3:$AJ$154,COLUMN(AI77),FALSE))</f>
        <v>[EUR/kW rated]</v>
      </c>
    </row>
    <row r="78" spans="1:35" ht="15.75" customHeight="1" x14ac:dyDescent="0.2">
      <c r="A78" s="3" t="s">
        <v>71</v>
      </c>
      <c r="B78" s="3">
        <f>IF(VLOOKUP($A78,overview!$B$3:$AJ$154,COLUMN(),FALSE) = "","",VLOOKUP($A78,overview!$B$3:$AJ$154,COLUMN(B78),FALSE))</f>
        <v>2970</v>
      </c>
      <c r="C78" s="3">
        <f>IF(VLOOKUP($A78,overview!$B$3:$AJ$154,COLUMN(),FALSE) = "","",VLOOKUP($A78,overview!$B$3:$AJ$154,COLUMN(C78),FALSE))</f>
        <v>2376</v>
      </c>
      <c r="D78" s="3">
        <f>IF(VLOOKUP($A78,overview!$B$3:$AJ$154,COLUMN(),FALSE) = "","",VLOOKUP($A78,overview!$B$3:$AJ$154,COLUMN(D78),FALSE))</f>
        <v>3564</v>
      </c>
      <c r="E78" s="3">
        <f>IF(VLOOKUP($A78,overview!$B$3:$AJ$154,COLUMN(),FALSE) = "","",VLOOKUP($A78,overview!$B$3:$AJ$154,COLUMN(E78),FALSE))</f>
        <v>2856.8160354301999</v>
      </c>
      <c r="F78" s="3">
        <f>IF(VLOOKUP($A78,overview!$B$3:$AJ$154,COLUMN(),FALSE) = "","",VLOOKUP($A78,overview!$B$3:$AJ$154,COLUMN(F78),FALSE))</f>
        <v>2787.736613886264</v>
      </c>
      <c r="G78" s="3">
        <f>IF(VLOOKUP($A78,overview!$B$3:$AJ$154,COLUMN(),FALSE) = "","",VLOOKUP($A78,overview!$B$3:$AJ$154,COLUMN(G78),FALSE))</f>
        <v>2735.9648859138638</v>
      </c>
      <c r="H78" s="3">
        <f>IF(VLOOKUP($A78,overview!$B$3:$AJ$154,COLUMN(),FALSE) = "","",VLOOKUP($A78,overview!$B$3:$AJ$154,COLUMN(H78),FALSE))</f>
        <v>2693.4551422991199</v>
      </c>
      <c r="I78" s="3">
        <f>IF(VLOOKUP($A78,overview!$B$3:$AJ$154,COLUMN(),FALSE) = "","",VLOOKUP($A78,overview!$B$3:$AJ$154,COLUMN(I78),FALSE))</f>
        <v>2656.7226181194278</v>
      </c>
      <c r="J78" s="3">
        <f>IF(VLOOKUP($A78,overview!$B$3:$AJ$154,COLUMN(),FALSE) = "","",VLOOKUP($A78,overview!$B$3:$AJ$154,COLUMN(J78),FALSE))</f>
        <v>2623.9472582114099</v>
      </c>
      <c r="K78" s="3">
        <f>IF(VLOOKUP($A78,overview!$B$3:$AJ$154,COLUMN(),FALSE) = "","",VLOOKUP($A78,overview!$B$3:$AJ$154,COLUMN(K78),FALSE))</f>
        <v>2594.0608691889188</v>
      </c>
      <c r="L78" s="3">
        <f>IF(VLOOKUP($A78,overview!$B$3:$AJ$154,COLUMN(),FALSE) = "","",VLOOKUP($A78,overview!$B$3:$AJ$154,COLUMN(L78),FALSE))</f>
        <v>2566.3840275694638</v>
      </c>
      <c r="M78" s="3">
        <f>IF(VLOOKUP($A78,overview!$B$3:$AJ$154,COLUMN(),FALSE) = "","",VLOOKUP($A78,overview!$B$3:$AJ$154,COLUMN(M78),FALSE))</f>
        <v>2540.4582810464549</v>
      </c>
      <c r="N78" s="3">
        <f>IF(VLOOKUP($A78,overview!$B$3:$AJ$154,COLUMN(),FALSE) = "","",VLOOKUP($A78,overview!$B$3:$AJ$154,COLUMN(N78),FALSE))</f>
        <v>2515.959916404649</v>
      </c>
      <c r="O78" s="3">
        <f>IF(VLOOKUP($A78,overview!$B$3:$AJ$154,COLUMN(),FALSE) = "","",VLOOKUP($A78,overview!$B$3:$AJ$154,COLUMN(O78),FALSE))</f>
        <v>2492.651972664466</v>
      </c>
      <c r="P78" s="3">
        <f>IF(VLOOKUP($A78,overview!$B$3:$AJ$154,COLUMN(),FALSE) = "","",VLOOKUP($A78,overview!$B$3:$AJ$154,COLUMN(P78),FALSE))</f>
        <v>2470.3558253148099</v>
      </c>
      <c r="Q78" s="3">
        <f>IF(VLOOKUP($A78,overview!$B$3:$AJ$154,COLUMN(),FALSE) = "","",VLOOKUP($A78,overview!$B$3:$AJ$154,COLUMN(Q78),FALSE))</f>
        <v>2448.9334978305519</v>
      </c>
      <c r="R78" s="3">
        <f>IF(VLOOKUP($A78,overview!$B$3:$AJ$154,COLUMN(),FALSE) = "","",VLOOKUP($A78,overview!$B$3:$AJ$154,COLUMN(R78),FALSE))</f>
        <v>2428.276188899521</v>
      </c>
      <c r="S78" s="3">
        <f>IF(VLOOKUP($A78,overview!$B$3:$AJ$154,COLUMN(),FALSE) = "","",VLOOKUP($A78,overview!$B$3:$AJ$154,COLUMN(S78),FALSE))</f>
        <v>2408.2965704825829</v>
      </c>
      <c r="T78" s="3">
        <f>IF(VLOOKUP($A78,overview!$B$3:$AJ$154,COLUMN(),FALSE) = "","",VLOOKUP($A78,overview!$B$3:$AJ$154,COLUMN(T78),FALSE))</f>
        <v>2388.9234636380111</v>
      </c>
      <c r="U78" s="3">
        <f>IF(VLOOKUP($A78,overview!$B$3:$AJ$154,COLUMN(),FALSE) = "","",VLOOKUP($A78,overview!$B$3:$AJ$154,COLUMN(U78),FALSE))</f>
        <v>2370.098063991742</v>
      </c>
      <c r="V78" s="3">
        <f>IF(VLOOKUP($A78,overview!$B$3:$AJ$154,COLUMN(),FALSE) = "","",VLOOKUP($A78,overview!$B$3:$AJ$154,COLUMN(V78),FALSE))</f>
        <v>2351.7712063718068</v>
      </c>
      <c r="W78" s="3">
        <f>IF(VLOOKUP($A78,overview!$B$3:$AJ$154,COLUMN(),FALSE) = "","",VLOOKUP($A78,overview!$B$3:$AJ$154,COLUMN(W78),FALSE))</f>
        <v>2333.9013438652</v>
      </c>
      <c r="X78" s="3">
        <f>IF(VLOOKUP($A78,overview!$B$3:$AJ$154,COLUMN(),FALSE) = "","",VLOOKUP($A78,overview!$B$3:$AJ$154,COLUMN(X78),FALSE))</f>
        <v>2316.4530289398658</v>
      </c>
      <c r="Y78" s="3">
        <f>IF(VLOOKUP($A78,overview!$B$3:$AJ$154,COLUMN(),FALSE) = "","",VLOOKUP($A78,overview!$B$3:$AJ$154,COLUMN(Y78),FALSE))</f>
        <v>2299.39575434278</v>
      </c>
      <c r="Z78" s="3">
        <f>IF(VLOOKUP($A78,overview!$B$3:$AJ$154,COLUMN(),FALSE) = "","",VLOOKUP($A78,overview!$B$3:$AJ$154,COLUMN(Z78),FALSE))</f>
        <v>2282.7030563451358</v>
      </c>
      <c r="AA78" s="3">
        <f>IF(VLOOKUP($A78,overview!$B$3:$AJ$154,COLUMN(),FALSE) = "","",VLOOKUP($A78,overview!$B$3:$AJ$154,COLUMN(AA78),FALSE))</f>
        <v>2266.3518123142571</v>
      </c>
      <c r="AB78" s="3">
        <f>IF(VLOOKUP($A78,overview!$B$3:$AJ$154,COLUMN(),FALSE) = "","",VLOOKUP($A78,overview!$B$3:$AJ$154,COLUMN(AB78),FALSE))</f>
        <v>2250.3216842849729</v>
      </c>
      <c r="AC78" s="3">
        <f>IF(VLOOKUP($A78,overview!$B$3:$AJ$154,COLUMN(),FALSE) = "","",VLOOKUP($A78,overview!$B$3:$AJ$154,COLUMN(AC78),FALSE))</f>
        <v>2234.594673645865</v>
      </c>
      <c r="AD78" s="3">
        <f>IF(VLOOKUP($A78,overview!$B$3:$AJ$154,COLUMN(),FALSE) = "","",VLOOKUP($A78,overview!$B$3:$AJ$154,COLUMN(AD78),FALSE))</f>
        <v>2219.1547613929051</v>
      </c>
      <c r="AE78" s="3">
        <f>IF(VLOOKUP($A78,overview!$B$3:$AJ$154,COLUMN(),FALSE) = "","",VLOOKUP($A78,overview!$B$3:$AJ$154,COLUMN(AE78),FALSE))</f>
        <v>2203.9876149923189</v>
      </c>
      <c r="AF78" s="3">
        <f>IF(VLOOKUP($A78,overview!$B$3:$AJ$154,COLUMN(),FALSE) = "","",VLOOKUP($A78,overview!$B$3:$AJ$154,COLUMN(AF78),FALSE))</f>
        <v>2189.0803476125961</v>
      </c>
      <c r="AG78" s="3">
        <f>IF(VLOOKUP($A78,overview!$B$3:$AJ$154,COLUMN(),FALSE) = "","",VLOOKUP($A78,overview!$B$3:$AJ$154,COLUMN(AG78),FALSE))</f>
        <v>2174.4213189094321</v>
      </c>
      <c r="AH78" s="3">
        <f>IF(VLOOKUP($A78,overview!$B$3:$AJ$154,COLUMN(),FALSE) = "","",VLOOKUP($A78,overview!$B$3:$AJ$154,COLUMN(AH78),FALSE))</f>
        <v>2159.999969062661</v>
      </c>
      <c r="AI78" s="3" t="str">
        <f>IF(VLOOKUP($A78,overview!$B$3:$AJ$154,COLUMN(),FALSE) = "","",VLOOKUP($A78,overview!$B$3:$AJ$154,COLUMN(AI78),FALSE))</f>
        <v>[EUR/kW rated]</v>
      </c>
    </row>
    <row r="79" spans="1:35" ht="15.75" customHeight="1" x14ac:dyDescent="0.2">
      <c r="A79" s="3" t="s">
        <v>73</v>
      </c>
      <c r="B79" s="3">
        <f>IF(VLOOKUP($A79,overview!$B$3:$AJ$154,COLUMN(),FALSE) = "","",VLOOKUP($A79,overview!$B$3:$AJ$154,COLUMN(B79),FALSE))</f>
        <v>4540</v>
      </c>
      <c r="C79" s="3">
        <f>IF(VLOOKUP($A79,overview!$B$3:$AJ$154,COLUMN(),FALSE) = "","",VLOOKUP($A79,overview!$B$3:$AJ$154,COLUMN(C79),FALSE))</f>
        <v>3632</v>
      </c>
      <c r="D79" s="3">
        <f>IF(VLOOKUP($A79,overview!$B$3:$AJ$154,COLUMN(),FALSE) = "","",VLOOKUP($A79,overview!$B$3:$AJ$154,COLUMN(D79),FALSE))</f>
        <v>5448</v>
      </c>
      <c r="E79" s="3">
        <f>IF(VLOOKUP($A79,overview!$B$3:$AJ$154,COLUMN(),FALSE) = "","",VLOOKUP($A79,overview!$B$3:$AJ$154,COLUMN(E79),FALSE))</f>
        <v>4366.6943112107183</v>
      </c>
      <c r="F79" s="3">
        <f>IF(VLOOKUP($A79,overview!$B$3:$AJ$154,COLUMN(),FALSE) = "","",VLOOKUP($A79,overview!$B$3:$AJ$154,COLUMN(F79),FALSE))</f>
        <v>4260.9287401918727</v>
      </c>
      <c r="G79" s="3">
        <f>IF(VLOOKUP($A79,overview!$B$3:$AJ$154,COLUMN(),FALSE) = "","",VLOOKUP($A79,overview!$B$3:$AJ$154,COLUMN(G79),FALSE))</f>
        <v>4181.6656015099416</v>
      </c>
      <c r="H79" s="3">
        <f>IF(VLOOKUP($A79,overview!$B$3:$AJ$154,COLUMN(),FALSE) = "","",VLOOKUP($A79,overview!$B$3:$AJ$154,COLUMN(H79),FALSE))</f>
        <v>4116.5843134916977</v>
      </c>
      <c r="I79" s="3">
        <f>IF(VLOOKUP($A79,overview!$B$3:$AJ$154,COLUMN(),FALSE) = "","",VLOOKUP($A79,overview!$B$3:$AJ$154,COLUMN(I79),FALSE))</f>
        <v>4060.3488317877109</v>
      </c>
      <c r="J79" s="3">
        <f>IF(VLOOKUP($A79,overview!$B$3:$AJ$154,COLUMN(),FALSE) = "","",VLOOKUP($A79,overview!$B$3:$AJ$154,COLUMN(J79),FALSE))</f>
        <v>4010.1722981667908</v>
      </c>
      <c r="K79" s="3">
        <f>IF(VLOOKUP($A79,overview!$B$3:$AJ$154,COLUMN(),FALSE) = "","",VLOOKUP($A79,overview!$B$3:$AJ$154,COLUMN(K79),FALSE))</f>
        <v>3964.4191473624428</v>
      </c>
      <c r="L79" s="3">
        <f>IF(VLOOKUP($A79,overview!$B$3:$AJ$154,COLUMN(),FALSE) = "","",VLOOKUP($A79,overview!$B$3:$AJ$154,COLUMN(L79),FALSE))</f>
        <v>3922.0491034461411</v>
      </c>
      <c r="M79" s="3">
        <f>IF(VLOOKUP($A79,overview!$B$3:$AJ$154,COLUMN(),FALSE) = "","",VLOOKUP($A79,overview!$B$3:$AJ$154,COLUMN(M79),FALSE))</f>
        <v>3882.3602361546009</v>
      </c>
      <c r="N79" s="3">
        <f>IF(VLOOKUP($A79,overview!$B$3:$AJ$154,COLUMN(),FALSE) = "","",VLOOKUP($A79,overview!$B$3:$AJ$154,COLUMN(N79),FALSE))</f>
        <v>3844.8569201131049</v>
      </c>
      <c r="O79" s="3">
        <f>IF(VLOOKUP($A79,overview!$B$3:$AJ$154,COLUMN(),FALSE) = "","",VLOOKUP($A79,overview!$B$3:$AJ$154,COLUMN(O79),FALSE))</f>
        <v>3809.1763576218359</v>
      </c>
      <c r="P79" s="3">
        <f>IF(VLOOKUP($A79,overview!$B$3:$AJ$154,COLUMN(),FALSE) = "","",VLOOKUP($A79,overview!$B$3:$AJ$154,COLUMN(P79),FALSE))</f>
        <v>3775.0450693705789</v>
      </c>
      <c r="Q79" s="3">
        <f>IF(VLOOKUP($A79,overview!$B$3:$AJ$154,COLUMN(),FALSE) = "","",VLOOKUP($A79,overview!$B$3:$AJ$154,COLUMN(Q79),FALSE))</f>
        <v>3742.2518108570998</v>
      </c>
      <c r="R79" s="3">
        <f>IF(VLOOKUP($A79,overview!$B$3:$AJ$154,COLUMN(),FALSE) = "","",VLOOKUP($A79,overview!$B$3:$AJ$154,COLUMN(R79),FALSE))</f>
        <v>3710.6300061997881</v>
      </c>
      <c r="S79" s="3">
        <f>IF(VLOOKUP($A79,overview!$B$3:$AJ$154,COLUMN(),FALSE) = "","",VLOOKUP($A79,overview!$B$3:$AJ$154,COLUMN(S79),FALSE))</f>
        <v>3680.0459557063559</v>
      </c>
      <c r="T79" s="3">
        <f>IF(VLOOKUP($A79,overview!$B$3:$AJ$154,COLUMN(),FALSE) = "","",VLOOKUP($A79,overview!$B$3:$AJ$154,COLUMN(T79),FALSE))</f>
        <v>3650.3906841366602</v>
      </c>
      <c r="U79" s="3">
        <f>IF(VLOOKUP($A79,overview!$B$3:$AJ$154,COLUMN(),FALSE) = "","",VLOOKUP($A79,overview!$B$3:$AJ$154,COLUMN(U79),FALSE))</f>
        <v>3621.5741616640248</v>
      </c>
      <c r="V79" s="3">
        <f>IF(VLOOKUP($A79,overview!$B$3:$AJ$154,COLUMN(),FALSE) = "","",VLOOKUP($A79,overview!$B$3:$AJ$154,COLUMN(V79),FALSE))</f>
        <v>3593.521115906638</v>
      </c>
      <c r="W79" s="3">
        <f>IF(VLOOKUP($A79,overview!$B$3:$AJ$154,COLUMN(),FALSE) = "","",VLOOKUP($A79,overview!$B$3:$AJ$154,COLUMN(W79),FALSE))</f>
        <v>3566.1679378034851</v>
      </c>
      <c r="X79" s="3">
        <f>IF(VLOOKUP($A79,overview!$B$3:$AJ$154,COLUMN(),FALSE) = "","",VLOOKUP($A79,overview!$B$3:$AJ$154,COLUMN(X79),FALSE))</f>
        <v>3539.4603561891131</v>
      </c>
      <c r="Y79" s="3">
        <f>IF(VLOOKUP($A79,overview!$B$3:$AJ$154,COLUMN(),FALSE) = "","",VLOOKUP($A79,overview!$B$3:$AJ$154,COLUMN(Y79),FALSE))</f>
        <v>3513.3516632069918</v>
      </c>
      <c r="Z79" s="3">
        <f>IF(VLOOKUP($A79,overview!$B$3:$AJ$154,COLUMN(),FALSE) = "","",VLOOKUP($A79,overview!$B$3:$AJ$154,COLUMN(Z79),FALSE))</f>
        <v>3487.8013413883091</v>
      </c>
      <c r="AA79" s="3">
        <f>IF(VLOOKUP($A79,overview!$B$3:$AJ$154,COLUMN(),FALSE) = "","",VLOOKUP($A79,overview!$B$3:$AJ$154,COLUMN(AA79),FALSE))</f>
        <v>3462.7739882513411</v>
      </c>
      <c r="AB79" s="3">
        <f>IF(VLOOKUP($A79,overview!$B$3:$AJ$154,COLUMN(),FALSE) = "","",VLOOKUP($A79,overview!$B$3:$AJ$154,COLUMN(AB79),FALSE))</f>
        <v>3438.2384644290109</v>
      </c>
      <c r="AC79" s="3">
        <f>IF(VLOOKUP($A79,overview!$B$3:$AJ$154,COLUMN(),FALSE) = "","",VLOOKUP($A79,overview!$B$3:$AJ$154,COLUMN(AC79),FALSE))</f>
        <v>3414.1672119142472</v>
      </c>
      <c r="AD79" s="3">
        <f>IF(VLOOKUP($A79,overview!$B$3:$AJ$154,COLUMN(),FALSE) = "","",VLOOKUP($A79,overview!$B$3:$AJ$154,COLUMN(AD79),FALSE))</f>
        <v>3390.5357033088121</v>
      </c>
      <c r="AE79" s="3">
        <f>IF(VLOOKUP($A79,overview!$B$3:$AJ$154,COLUMN(),FALSE) = "","",VLOOKUP($A79,overview!$B$3:$AJ$154,COLUMN(AE79),FALSE))</f>
        <v>3367.3219930499372</v>
      </c>
      <c r="AF79" s="3">
        <f>IF(VLOOKUP($A79,overview!$B$3:$AJ$154,COLUMN(),FALSE) = "","",VLOOKUP($A79,overview!$B$3:$AJ$154,COLUMN(AF79),FALSE))</f>
        <v>3344.5063488129031</v>
      </c>
      <c r="AG79" s="3">
        <f>IF(VLOOKUP($A79,overview!$B$3:$AJ$154,COLUMN(),FALSE) = "","",VLOOKUP($A79,overview!$B$3:$AJ$154,COLUMN(AG79),FALSE))</f>
        <v>3322.070946529735</v>
      </c>
      <c r="AH79" s="3">
        <f>IF(VLOOKUP($A79,overview!$B$3:$AJ$154,COLUMN(),FALSE) = "","",VLOOKUP($A79,overview!$B$3:$AJ$154,COLUMN(AH79),FALSE))</f>
        <v>3299.9996163152691</v>
      </c>
      <c r="AI79" s="3" t="str">
        <f>IF(VLOOKUP($A79,overview!$B$3:$AJ$154,COLUMN(),FALSE) = "","",VLOOKUP($A79,overview!$B$3:$AJ$154,COLUMN(AI79),FALSE))</f>
        <v>[EUR/kW rated]</v>
      </c>
    </row>
    <row r="80" spans="1:35" ht="15.75" customHeight="1" x14ac:dyDescent="0.2">
      <c r="A80" s="3" t="s">
        <v>70</v>
      </c>
      <c r="B80" s="3">
        <f>IF(VLOOKUP($A80,overview!$B$3:$AJ$154,COLUMN(),FALSE) = "","",VLOOKUP($A80,overview!$B$3:$AJ$154,COLUMN(B80),FALSE))</f>
        <v>2.5000000000000001E-2</v>
      </c>
      <c r="C80" s="3">
        <f>IF(VLOOKUP($A80,overview!$B$3:$AJ$154,COLUMN(),FALSE) = "","",VLOOKUP($A80,overview!$B$3:$AJ$154,COLUMN(C80),FALSE))</f>
        <v>0.02</v>
      </c>
      <c r="D80" s="3">
        <f>IF(VLOOKUP($A80,overview!$B$3:$AJ$154,COLUMN(),FALSE) = "","",VLOOKUP($A80,overview!$B$3:$AJ$154,COLUMN(D80),FALSE))</f>
        <v>0.03</v>
      </c>
      <c r="E80" s="3" t="str">
        <f>IF(VLOOKUP($A80,overview!$B$3:$AJ$154,COLUMN(),FALSE) = "","",VLOOKUP($A80,overview!$B$3:$AJ$154,COLUMN(E80),FALSE))</f>
        <v/>
      </c>
      <c r="F80" s="3" t="str">
        <f>IF(VLOOKUP($A80,overview!$B$3:$AJ$154,COLUMN(),FALSE) = "","",VLOOKUP($A80,overview!$B$3:$AJ$154,COLUMN(F80),FALSE))</f>
        <v/>
      </c>
      <c r="G80" s="3" t="str">
        <f>IF(VLOOKUP($A80,overview!$B$3:$AJ$154,COLUMN(),FALSE) = "","",VLOOKUP($A80,overview!$B$3:$AJ$154,COLUMN(G80),FALSE))</f>
        <v/>
      </c>
      <c r="H80" s="3" t="str">
        <f>IF(VLOOKUP($A80,overview!$B$3:$AJ$154,COLUMN(),FALSE) = "","",VLOOKUP($A80,overview!$B$3:$AJ$154,COLUMN(H80),FALSE))</f>
        <v/>
      </c>
      <c r="I80" s="3" t="str">
        <f>IF(VLOOKUP($A80,overview!$B$3:$AJ$154,COLUMN(),FALSE) = "","",VLOOKUP($A80,overview!$B$3:$AJ$154,COLUMN(I80),FALSE))</f>
        <v/>
      </c>
      <c r="J80" s="3" t="str">
        <f>IF(VLOOKUP($A80,overview!$B$3:$AJ$154,COLUMN(),FALSE) = "","",VLOOKUP($A80,overview!$B$3:$AJ$154,COLUMN(J80),FALSE))</f>
        <v/>
      </c>
      <c r="K80" s="3" t="str">
        <f>IF(VLOOKUP($A80,overview!$B$3:$AJ$154,COLUMN(),FALSE) = "","",VLOOKUP($A80,overview!$B$3:$AJ$154,COLUMN(K80),FALSE))</f>
        <v/>
      </c>
      <c r="L80" s="3" t="str">
        <f>IF(VLOOKUP($A80,overview!$B$3:$AJ$154,COLUMN(),FALSE) = "","",VLOOKUP($A80,overview!$B$3:$AJ$154,COLUMN(L80),FALSE))</f>
        <v/>
      </c>
      <c r="M80" s="3" t="str">
        <f>IF(VLOOKUP($A80,overview!$B$3:$AJ$154,COLUMN(),FALSE) = "","",VLOOKUP($A80,overview!$B$3:$AJ$154,COLUMN(M80),FALSE))</f>
        <v/>
      </c>
      <c r="N80" s="3" t="str">
        <f>IF(VLOOKUP($A80,overview!$B$3:$AJ$154,COLUMN(),FALSE) = "","",VLOOKUP($A80,overview!$B$3:$AJ$154,COLUMN(N80),FALSE))</f>
        <v/>
      </c>
      <c r="O80" s="3" t="str">
        <f>IF(VLOOKUP($A80,overview!$B$3:$AJ$154,COLUMN(),FALSE) = "","",VLOOKUP($A80,overview!$B$3:$AJ$154,COLUMN(O80),FALSE))</f>
        <v/>
      </c>
      <c r="P80" s="3" t="str">
        <f>IF(VLOOKUP($A80,overview!$B$3:$AJ$154,COLUMN(),FALSE) = "","",VLOOKUP($A80,overview!$B$3:$AJ$154,COLUMN(P80),FALSE))</f>
        <v/>
      </c>
      <c r="Q80" s="3" t="str">
        <f>IF(VLOOKUP($A80,overview!$B$3:$AJ$154,COLUMN(),FALSE) = "","",VLOOKUP($A80,overview!$B$3:$AJ$154,COLUMN(Q80),FALSE))</f>
        <v/>
      </c>
      <c r="R80" s="3" t="str">
        <f>IF(VLOOKUP($A80,overview!$B$3:$AJ$154,COLUMN(),FALSE) = "","",VLOOKUP($A80,overview!$B$3:$AJ$154,COLUMN(R80),FALSE))</f>
        <v/>
      </c>
      <c r="S80" s="3" t="str">
        <f>IF(VLOOKUP($A80,overview!$B$3:$AJ$154,COLUMN(),FALSE) = "","",VLOOKUP($A80,overview!$B$3:$AJ$154,COLUMN(S80),FALSE))</f>
        <v/>
      </c>
      <c r="T80" s="3" t="str">
        <f>IF(VLOOKUP($A80,overview!$B$3:$AJ$154,COLUMN(),FALSE) = "","",VLOOKUP($A80,overview!$B$3:$AJ$154,COLUMN(T80),FALSE))</f>
        <v/>
      </c>
      <c r="U80" s="3" t="str">
        <f>IF(VLOOKUP($A80,overview!$B$3:$AJ$154,COLUMN(),FALSE) = "","",VLOOKUP($A80,overview!$B$3:$AJ$154,COLUMN(U80),FALSE))</f>
        <v/>
      </c>
      <c r="V80" s="3" t="str">
        <f>IF(VLOOKUP($A80,overview!$B$3:$AJ$154,COLUMN(),FALSE) = "","",VLOOKUP($A80,overview!$B$3:$AJ$154,COLUMN(V80),FALSE))</f>
        <v/>
      </c>
      <c r="W80" s="3" t="str">
        <f>IF(VLOOKUP($A80,overview!$B$3:$AJ$154,COLUMN(),FALSE) = "","",VLOOKUP($A80,overview!$B$3:$AJ$154,COLUMN(W80),FALSE))</f>
        <v/>
      </c>
      <c r="X80" s="3" t="str">
        <f>IF(VLOOKUP($A80,overview!$B$3:$AJ$154,COLUMN(),FALSE) = "","",VLOOKUP($A80,overview!$B$3:$AJ$154,COLUMN(X80),FALSE))</f>
        <v/>
      </c>
      <c r="Y80" s="3" t="str">
        <f>IF(VLOOKUP($A80,overview!$B$3:$AJ$154,COLUMN(),FALSE) = "","",VLOOKUP($A80,overview!$B$3:$AJ$154,COLUMN(Y80),FALSE))</f>
        <v/>
      </c>
      <c r="Z80" s="3" t="str">
        <f>IF(VLOOKUP($A80,overview!$B$3:$AJ$154,COLUMN(),FALSE) = "","",VLOOKUP($A80,overview!$B$3:$AJ$154,COLUMN(Z80),FALSE))</f>
        <v/>
      </c>
      <c r="AA80" s="3" t="str">
        <f>IF(VLOOKUP($A80,overview!$B$3:$AJ$154,COLUMN(),FALSE) = "","",VLOOKUP($A80,overview!$B$3:$AJ$154,COLUMN(AA80),FALSE))</f>
        <v/>
      </c>
      <c r="AB80" s="3" t="str">
        <f>IF(VLOOKUP($A80,overview!$B$3:$AJ$154,COLUMN(),FALSE) = "","",VLOOKUP($A80,overview!$B$3:$AJ$154,COLUMN(AB80),FALSE))</f>
        <v/>
      </c>
      <c r="AC80" s="3" t="str">
        <f>IF(VLOOKUP($A80,overview!$B$3:$AJ$154,COLUMN(),FALSE) = "","",VLOOKUP($A80,overview!$B$3:$AJ$154,COLUMN(AC80),FALSE))</f>
        <v/>
      </c>
      <c r="AD80" s="3" t="str">
        <f>IF(VLOOKUP($A80,overview!$B$3:$AJ$154,COLUMN(),FALSE) = "","",VLOOKUP($A80,overview!$B$3:$AJ$154,COLUMN(AD80),FALSE))</f>
        <v/>
      </c>
      <c r="AE80" s="3" t="str">
        <f>IF(VLOOKUP($A80,overview!$B$3:$AJ$154,COLUMN(),FALSE) = "","",VLOOKUP($A80,overview!$B$3:$AJ$154,COLUMN(AE80),FALSE))</f>
        <v/>
      </c>
      <c r="AF80" s="3" t="str">
        <f>IF(VLOOKUP($A80,overview!$B$3:$AJ$154,COLUMN(),FALSE) = "","",VLOOKUP($A80,overview!$B$3:$AJ$154,COLUMN(AF80),FALSE))</f>
        <v/>
      </c>
      <c r="AG80" s="3" t="str">
        <f>IF(VLOOKUP($A80,overview!$B$3:$AJ$154,COLUMN(),FALSE) = "","",VLOOKUP($A80,overview!$B$3:$AJ$154,COLUMN(AG80),FALSE))</f>
        <v/>
      </c>
      <c r="AH80" s="3" t="str">
        <f>IF(VLOOKUP($A80,overview!$B$3:$AJ$154,COLUMN(),FALSE) = "","",VLOOKUP($A80,overview!$B$3:$AJ$154,COLUMN(AH80),FALSE))</f>
        <v/>
      </c>
      <c r="AI80" s="3" t="str">
        <f>IF(VLOOKUP($A80,overview!$B$3:$AJ$154,COLUMN(),FALSE) = "","",VLOOKUP($A80,overview!$B$3:$AJ$154,COLUMN(AI80),FALSE))</f>
        <v>Fraction of CAPEX p.a.</v>
      </c>
    </row>
    <row r="81" spans="1:35" ht="15.75" customHeight="1" x14ac:dyDescent="0.2">
      <c r="A81" s="3" t="s">
        <v>72</v>
      </c>
      <c r="B81" s="3">
        <f>IF(VLOOKUP($A81,overview!$B$3:$AJ$154,COLUMN(),FALSE) = "","",VLOOKUP($A81,overview!$B$3:$AJ$154,COLUMN(B81),FALSE))</f>
        <v>2.5000000000000001E-2</v>
      </c>
      <c r="C81" s="3">
        <f>IF(VLOOKUP($A81,overview!$B$3:$AJ$154,COLUMN(),FALSE) = "","",VLOOKUP($A81,overview!$B$3:$AJ$154,COLUMN(C81),FALSE))</f>
        <v>0.02</v>
      </c>
      <c r="D81" s="3">
        <f>IF(VLOOKUP($A81,overview!$B$3:$AJ$154,COLUMN(),FALSE) = "","",VLOOKUP($A81,overview!$B$3:$AJ$154,COLUMN(D81),FALSE))</f>
        <v>0.03</v>
      </c>
      <c r="E81" s="3" t="str">
        <f>IF(VLOOKUP($A81,overview!$B$3:$AJ$154,COLUMN(),FALSE) = "","",VLOOKUP($A81,overview!$B$3:$AJ$154,COLUMN(E81),FALSE))</f>
        <v/>
      </c>
      <c r="F81" s="3" t="str">
        <f>IF(VLOOKUP($A81,overview!$B$3:$AJ$154,COLUMN(),FALSE) = "","",VLOOKUP($A81,overview!$B$3:$AJ$154,COLUMN(F81),FALSE))</f>
        <v/>
      </c>
      <c r="G81" s="3" t="str">
        <f>IF(VLOOKUP($A81,overview!$B$3:$AJ$154,COLUMN(),FALSE) = "","",VLOOKUP($A81,overview!$B$3:$AJ$154,COLUMN(G81),FALSE))</f>
        <v/>
      </c>
      <c r="H81" s="3" t="str">
        <f>IF(VLOOKUP($A81,overview!$B$3:$AJ$154,COLUMN(),FALSE) = "","",VLOOKUP($A81,overview!$B$3:$AJ$154,COLUMN(H81),FALSE))</f>
        <v/>
      </c>
      <c r="I81" s="3" t="str">
        <f>IF(VLOOKUP($A81,overview!$B$3:$AJ$154,COLUMN(),FALSE) = "","",VLOOKUP($A81,overview!$B$3:$AJ$154,COLUMN(I81),FALSE))</f>
        <v/>
      </c>
      <c r="J81" s="3" t="str">
        <f>IF(VLOOKUP($A81,overview!$B$3:$AJ$154,COLUMN(),FALSE) = "","",VLOOKUP($A81,overview!$B$3:$AJ$154,COLUMN(J81),FALSE))</f>
        <v/>
      </c>
      <c r="K81" s="3" t="str">
        <f>IF(VLOOKUP($A81,overview!$B$3:$AJ$154,COLUMN(),FALSE) = "","",VLOOKUP($A81,overview!$B$3:$AJ$154,COLUMN(K81),FALSE))</f>
        <v/>
      </c>
      <c r="L81" s="3" t="str">
        <f>IF(VLOOKUP($A81,overview!$B$3:$AJ$154,COLUMN(),FALSE) = "","",VLOOKUP($A81,overview!$B$3:$AJ$154,COLUMN(L81),FALSE))</f>
        <v/>
      </c>
      <c r="M81" s="3" t="str">
        <f>IF(VLOOKUP($A81,overview!$B$3:$AJ$154,COLUMN(),FALSE) = "","",VLOOKUP($A81,overview!$B$3:$AJ$154,COLUMN(M81),FALSE))</f>
        <v/>
      </c>
      <c r="N81" s="3" t="str">
        <f>IF(VLOOKUP($A81,overview!$B$3:$AJ$154,COLUMN(),FALSE) = "","",VLOOKUP($A81,overview!$B$3:$AJ$154,COLUMN(N81),FALSE))</f>
        <v/>
      </c>
      <c r="O81" s="3" t="str">
        <f>IF(VLOOKUP($A81,overview!$B$3:$AJ$154,COLUMN(),FALSE) = "","",VLOOKUP($A81,overview!$B$3:$AJ$154,COLUMN(O81),FALSE))</f>
        <v/>
      </c>
      <c r="P81" s="3" t="str">
        <f>IF(VLOOKUP($A81,overview!$B$3:$AJ$154,COLUMN(),FALSE) = "","",VLOOKUP($A81,overview!$B$3:$AJ$154,COLUMN(P81),FALSE))</f>
        <v/>
      </c>
      <c r="Q81" s="3" t="str">
        <f>IF(VLOOKUP($A81,overview!$B$3:$AJ$154,COLUMN(),FALSE) = "","",VLOOKUP($A81,overview!$B$3:$AJ$154,COLUMN(Q81),FALSE))</f>
        <v/>
      </c>
      <c r="R81" s="3" t="str">
        <f>IF(VLOOKUP($A81,overview!$B$3:$AJ$154,COLUMN(),FALSE) = "","",VLOOKUP($A81,overview!$B$3:$AJ$154,COLUMN(R81),FALSE))</f>
        <v/>
      </c>
      <c r="S81" s="3" t="str">
        <f>IF(VLOOKUP($A81,overview!$B$3:$AJ$154,COLUMN(),FALSE) = "","",VLOOKUP($A81,overview!$B$3:$AJ$154,COLUMN(S81),FALSE))</f>
        <v/>
      </c>
      <c r="T81" s="3" t="str">
        <f>IF(VLOOKUP($A81,overview!$B$3:$AJ$154,COLUMN(),FALSE) = "","",VLOOKUP($A81,overview!$B$3:$AJ$154,COLUMN(T81),FALSE))</f>
        <v/>
      </c>
      <c r="U81" s="3" t="str">
        <f>IF(VLOOKUP($A81,overview!$B$3:$AJ$154,COLUMN(),FALSE) = "","",VLOOKUP($A81,overview!$B$3:$AJ$154,COLUMN(U81),FALSE))</f>
        <v/>
      </c>
      <c r="V81" s="3" t="str">
        <f>IF(VLOOKUP($A81,overview!$B$3:$AJ$154,COLUMN(),FALSE) = "","",VLOOKUP($A81,overview!$B$3:$AJ$154,COLUMN(V81),FALSE))</f>
        <v/>
      </c>
      <c r="W81" s="3" t="str">
        <f>IF(VLOOKUP($A81,overview!$B$3:$AJ$154,COLUMN(),FALSE) = "","",VLOOKUP($A81,overview!$B$3:$AJ$154,COLUMN(W81),FALSE))</f>
        <v/>
      </c>
      <c r="X81" s="3" t="str">
        <f>IF(VLOOKUP($A81,overview!$B$3:$AJ$154,COLUMN(),FALSE) = "","",VLOOKUP($A81,overview!$B$3:$AJ$154,COLUMN(X81),FALSE))</f>
        <v/>
      </c>
      <c r="Y81" s="3" t="str">
        <f>IF(VLOOKUP($A81,overview!$B$3:$AJ$154,COLUMN(),FALSE) = "","",VLOOKUP($A81,overview!$B$3:$AJ$154,COLUMN(Y81),FALSE))</f>
        <v/>
      </c>
      <c r="Z81" s="3" t="str">
        <f>IF(VLOOKUP($A81,overview!$B$3:$AJ$154,COLUMN(),FALSE) = "","",VLOOKUP($A81,overview!$B$3:$AJ$154,COLUMN(Z81),FALSE))</f>
        <v/>
      </c>
      <c r="AA81" s="3" t="str">
        <f>IF(VLOOKUP($A81,overview!$B$3:$AJ$154,COLUMN(),FALSE) = "","",VLOOKUP($A81,overview!$B$3:$AJ$154,COLUMN(AA81),FALSE))</f>
        <v/>
      </c>
      <c r="AB81" s="3" t="str">
        <f>IF(VLOOKUP($A81,overview!$B$3:$AJ$154,COLUMN(),FALSE) = "","",VLOOKUP($A81,overview!$B$3:$AJ$154,COLUMN(AB81),FALSE))</f>
        <v/>
      </c>
      <c r="AC81" s="3" t="str">
        <f>IF(VLOOKUP($A81,overview!$B$3:$AJ$154,COLUMN(),FALSE) = "","",VLOOKUP($A81,overview!$B$3:$AJ$154,COLUMN(AC81),FALSE))</f>
        <v/>
      </c>
      <c r="AD81" s="3" t="str">
        <f>IF(VLOOKUP($A81,overview!$B$3:$AJ$154,COLUMN(),FALSE) = "","",VLOOKUP($A81,overview!$B$3:$AJ$154,COLUMN(AD81),FALSE))</f>
        <v/>
      </c>
      <c r="AE81" s="3" t="str">
        <f>IF(VLOOKUP($A81,overview!$B$3:$AJ$154,COLUMN(),FALSE) = "","",VLOOKUP($A81,overview!$B$3:$AJ$154,COLUMN(AE81),FALSE))</f>
        <v/>
      </c>
      <c r="AF81" s="3" t="str">
        <f>IF(VLOOKUP($A81,overview!$B$3:$AJ$154,COLUMN(),FALSE) = "","",VLOOKUP($A81,overview!$B$3:$AJ$154,COLUMN(AF81),FALSE))</f>
        <v/>
      </c>
      <c r="AG81" s="3" t="str">
        <f>IF(VLOOKUP($A81,overview!$B$3:$AJ$154,COLUMN(),FALSE) = "","",VLOOKUP($A81,overview!$B$3:$AJ$154,COLUMN(AG81),FALSE))</f>
        <v/>
      </c>
      <c r="AH81" s="3" t="str">
        <f>IF(VLOOKUP($A81,overview!$B$3:$AJ$154,COLUMN(),FALSE) = "","",VLOOKUP($A81,overview!$B$3:$AJ$154,COLUMN(AH81),FALSE))</f>
        <v/>
      </c>
      <c r="AI81" s="3" t="str">
        <f>IF(VLOOKUP($A81,overview!$B$3:$AJ$154,COLUMN(),FALSE) = "","",VLOOKUP($A81,overview!$B$3:$AJ$154,COLUMN(AI81),FALSE))</f>
        <v>Fraction of CAPEX p.a.</v>
      </c>
    </row>
    <row r="82" spans="1:35" ht="15.75" customHeight="1" x14ac:dyDescent="0.2">
      <c r="A82" s="3" t="s">
        <v>74</v>
      </c>
      <c r="B82" s="3">
        <f>IF(VLOOKUP($A82,overview!$B$3:$AJ$154,COLUMN(),FALSE) = "","",VLOOKUP($A82,overview!$B$3:$AJ$154,COLUMN(B82),FALSE))</f>
        <v>2.5000000000000001E-2</v>
      </c>
      <c r="C82" s="3">
        <f>IF(VLOOKUP($A82,overview!$B$3:$AJ$154,COLUMN(),FALSE) = "","",VLOOKUP($A82,overview!$B$3:$AJ$154,COLUMN(C82),FALSE))</f>
        <v>0.02</v>
      </c>
      <c r="D82" s="3">
        <f>IF(VLOOKUP($A82,overview!$B$3:$AJ$154,COLUMN(),FALSE) = "","",VLOOKUP($A82,overview!$B$3:$AJ$154,COLUMN(D82),FALSE))</f>
        <v>0.03</v>
      </c>
      <c r="E82" s="3" t="str">
        <f>IF(VLOOKUP($A82,overview!$B$3:$AJ$154,COLUMN(),FALSE) = "","",VLOOKUP($A82,overview!$B$3:$AJ$154,COLUMN(E82),FALSE))</f>
        <v/>
      </c>
      <c r="F82" s="3" t="str">
        <f>IF(VLOOKUP($A82,overview!$B$3:$AJ$154,COLUMN(),FALSE) = "","",VLOOKUP($A82,overview!$B$3:$AJ$154,COLUMN(F82),FALSE))</f>
        <v/>
      </c>
      <c r="G82" s="3" t="str">
        <f>IF(VLOOKUP($A82,overview!$B$3:$AJ$154,COLUMN(),FALSE) = "","",VLOOKUP($A82,overview!$B$3:$AJ$154,COLUMN(G82),FALSE))</f>
        <v/>
      </c>
      <c r="H82" s="3" t="str">
        <f>IF(VLOOKUP($A82,overview!$B$3:$AJ$154,COLUMN(),FALSE) = "","",VLOOKUP($A82,overview!$B$3:$AJ$154,COLUMN(H82),FALSE))</f>
        <v/>
      </c>
      <c r="I82" s="3" t="str">
        <f>IF(VLOOKUP($A82,overview!$B$3:$AJ$154,COLUMN(),FALSE) = "","",VLOOKUP($A82,overview!$B$3:$AJ$154,COLUMN(I82),FALSE))</f>
        <v/>
      </c>
      <c r="J82" s="3" t="str">
        <f>IF(VLOOKUP($A82,overview!$B$3:$AJ$154,COLUMN(),FALSE) = "","",VLOOKUP($A82,overview!$B$3:$AJ$154,COLUMN(J82),FALSE))</f>
        <v/>
      </c>
      <c r="K82" s="3" t="str">
        <f>IF(VLOOKUP($A82,overview!$B$3:$AJ$154,COLUMN(),FALSE) = "","",VLOOKUP($A82,overview!$B$3:$AJ$154,COLUMN(K82),FALSE))</f>
        <v/>
      </c>
      <c r="L82" s="3" t="str">
        <f>IF(VLOOKUP($A82,overview!$B$3:$AJ$154,COLUMN(),FALSE) = "","",VLOOKUP($A82,overview!$B$3:$AJ$154,COLUMN(L82),FALSE))</f>
        <v/>
      </c>
      <c r="M82" s="3" t="str">
        <f>IF(VLOOKUP($A82,overview!$B$3:$AJ$154,COLUMN(),FALSE) = "","",VLOOKUP($A82,overview!$B$3:$AJ$154,COLUMN(M82),FALSE))</f>
        <v/>
      </c>
      <c r="N82" s="3" t="str">
        <f>IF(VLOOKUP($A82,overview!$B$3:$AJ$154,COLUMN(),FALSE) = "","",VLOOKUP($A82,overview!$B$3:$AJ$154,COLUMN(N82),FALSE))</f>
        <v/>
      </c>
      <c r="O82" s="3" t="str">
        <f>IF(VLOOKUP($A82,overview!$B$3:$AJ$154,COLUMN(),FALSE) = "","",VLOOKUP($A82,overview!$B$3:$AJ$154,COLUMN(O82),FALSE))</f>
        <v/>
      </c>
      <c r="P82" s="3" t="str">
        <f>IF(VLOOKUP($A82,overview!$B$3:$AJ$154,COLUMN(),FALSE) = "","",VLOOKUP($A82,overview!$B$3:$AJ$154,COLUMN(P82),FALSE))</f>
        <v/>
      </c>
      <c r="Q82" s="3" t="str">
        <f>IF(VLOOKUP($A82,overview!$B$3:$AJ$154,COLUMN(),FALSE) = "","",VLOOKUP($A82,overview!$B$3:$AJ$154,COLUMN(Q82),FALSE))</f>
        <v/>
      </c>
      <c r="R82" s="3" t="str">
        <f>IF(VLOOKUP($A82,overview!$B$3:$AJ$154,COLUMN(),FALSE) = "","",VLOOKUP($A82,overview!$B$3:$AJ$154,COLUMN(R82),FALSE))</f>
        <v/>
      </c>
      <c r="S82" s="3" t="str">
        <f>IF(VLOOKUP($A82,overview!$B$3:$AJ$154,COLUMN(),FALSE) = "","",VLOOKUP($A82,overview!$B$3:$AJ$154,COLUMN(S82),FALSE))</f>
        <v/>
      </c>
      <c r="T82" s="3" t="str">
        <f>IF(VLOOKUP($A82,overview!$B$3:$AJ$154,COLUMN(),FALSE) = "","",VLOOKUP($A82,overview!$B$3:$AJ$154,COLUMN(T82),FALSE))</f>
        <v/>
      </c>
      <c r="U82" s="3" t="str">
        <f>IF(VLOOKUP($A82,overview!$B$3:$AJ$154,COLUMN(),FALSE) = "","",VLOOKUP($A82,overview!$B$3:$AJ$154,COLUMN(U82),FALSE))</f>
        <v/>
      </c>
      <c r="V82" s="3" t="str">
        <f>IF(VLOOKUP($A82,overview!$B$3:$AJ$154,COLUMN(),FALSE) = "","",VLOOKUP($A82,overview!$B$3:$AJ$154,COLUMN(V82),FALSE))</f>
        <v/>
      </c>
      <c r="W82" s="3" t="str">
        <f>IF(VLOOKUP($A82,overview!$B$3:$AJ$154,COLUMN(),FALSE) = "","",VLOOKUP($A82,overview!$B$3:$AJ$154,COLUMN(W82),FALSE))</f>
        <v/>
      </c>
      <c r="X82" s="3" t="str">
        <f>IF(VLOOKUP($A82,overview!$B$3:$AJ$154,COLUMN(),FALSE) = "","",VLOOKUP($A82,overview!$B$3:$AJ$154,COLUMN(X82),FALSE))</f>
        <v/>
      </c>
      <c r="Y82" s="3" t="str">
        <f>IF(VLOOKUP($A82,overview!$B$3:$AJ$154,COLUMN(),FALSE) = "","",VLOOKUP($A82,overview!$B$3:$AJ$154,COLUMN(Y82),FALSE))</f>
        <v/>
      </c>
      <c r="Z82" s="3" t="str">
        <f>IF(VLOOKUP($A82,overview!$B$3:$AJ$154,COLUMN(),FALSE) = "","",VLOOKUP($A82,overview!$B$3:$AJ$154,COLUMN(Z82),FALSE))</f>
        <v/>
      </c>
      <c r="AA82" s="3" t="str">
        <f>IF(VLOOKUP($A82,overview!$B$3:$AJ$154,COLUMN(),FALSE) = "","",VLOOKUP($A82,overview!$B$3:$AJ$154,COLUMN(AA82),FALSE))</f>
        <v/>
      </c>
      <c r="AB82" s="3" t="str">
        <f>IF(VLOOKUP($A82,overview!$B$3:$AJ$154,COLUMN(),FALSE) = "","",VLOOKUP($A82,overview!$B$3:$AJ$154,COLUMN(AB82),FALSE))</f>
        <v/>
      </c>
      <c r="AC82" s="3" t="str">
        <f>IF(VLOOKUP($A82,overview!$B$3:$AJ$154,COLUMN(),FALSE) = "","",VLOOKUP($A82,overview!$B$3:$AJ$154,COLUMN(AC82),FALSE))</f>
        <v/>
      </c>
      <c r="AD82" s="3" t="str">
        <f>IF(VLOOKUP($A82,overview!$B$3:$AJ$154,COLUMN(),FALSE) = "","",VLOOKUP($A82,overview!$B$3:$AJ$154,COLUMN(AD82),FALSE))</f>
        <v/>
      </c>
      <c r="AE82" s="3" t="str">
        <f>IF(VLOOKUP($A82,overview!$B$3:$AJ$154,COLUMN(),FALSE) = "","",VLOOKUP($A82,overview!$B$3:$AJ$154,COLUMN(AE82),FALSE))</f>
        <v/>
      </c>
      <c r="AF82" s="3" t="str">
        <f>IF(VLOOKUP($A82,overview!$B$3:$AJ$154,COLUMN(),FALSE) = "","",VLOOKUP($A82,overview!$B$3:$AJ$154,COLUMN(AF82),FALSE))</f>
        <v/>
      </c>
      <c r="AG82" s="3" t="str">
        <f>IF(VLOOKUP($A82,overview!$B$3:$AJ$154,COLUMN(),FALSE) = "","",VLOOKUP($A82,overview!$B$3:$AJ$154,COLUMN(AG82),FALSE))</f>
        <v/>
      </c>
      <c r="AH82" s="3" t="str">
        <f>IF(VLOOKUP($A82,overview!$B$3:$AJ$154,COLUMN(),FALSE) = "","",VLOOKUP($A82,overview!$B$3:$AJ$154,COLUMN(AH82),FALSE))</f>
        <v/>
      </c>
      <c r="AI82" s="3" t="str">
        <f>IF(VLOOKUP($A82,overview!$B$3:$AJ$154,COLUMN(),FALSE) = "","",VLOOKUP($A82,overview!$B$3:$AJ$154,COLUMN(AI82),FALSE))</f>
        <v>Fraction of CAPEX p.a.</v>
      </c>
    </row>
    <row r="83" spans="1:35" ht="15.75" customHeight="1" x14ac:dyDescent="0.2"/>
    <row r="84" spans="1:35" ht="15.75" customHeight="1" x14ac:dyDescent="0.2"/>
    <row r="85" spans="1:35" ht="15.75" customHeight="1" x14ac:dyDescent="0.2"/>
    <row r="86" spans="1:35" ht="15.75" customHeight="1" x14ac:dyDescent="0.2"/>
    <row r="87" spans="1:35" ht="15.75" customHeight="1" x14ac:dyDescent="0.2"/>
    <row r="88" spans="1:35" ht="15.75" customHeight="1" x14ac:dyDescent="0.2"/>
    <row r="89" spans="1:35" ht="15.75" customHeight="1" x14ac:dyDescent="0.2"/>
    <row r="90" spans="1:35" ht="15.75" customHeight="1" x14ac:dyDescent="0.2"/>
    <row r="91" spans="1:35" ht="15.75" customHeight="1" x14ac:dyDescent="0.2"/>
    <row r="92" spans="1:35" ht="15.75" customHeight="1" x14ac:dyDescent="0.2"/>
    <row r="93" spans="1:35" ht="15.75" customHeight="1" x14ac:dyDescent="0.2"/>
    <row r="94" spans="1:35" ht="15.75" customHeight="1" x14ac:dyDescent="0.2"/>
    <row r="95" spans="1:35" ht="15.75" customHeight="1" x14ac:dyDescent="0.2"/>
    <row r="96" spans="1:35"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dataValidations count="1">
    <dataValidation type="list" allowBlank="1" showErrorMessage="1" sqref="A74" xr:uid="{00000000-0002-0000-0100-000000000000}">
      <formula1>$A$2:$A$127</formula1>
    </dataValidation>
  </dataValidations>
  <pageMargins left="0.7" right="0.7" top="0.75" bottom="0.75" header="0" footer="0"/>
  <pageSetup orientation="landscape"/>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9"/>
  </sheetPr>
  <dimension ref="A1:Z1000"/>
  <sheetViews>
    <sheetView workbookViewId="0"/>
  </sheetViews>
  <sheetFormatPr baseColWidth="10" defaultColWidth="11.1640625" defaultRowHeight="15" customHeight="1" x14ac:dyDescent="0.2"/>
  <cols>
    <col min="1" max="1" width="10.5" customWidth="1"/>
    <col min="2" max="2" width="17" customWidth="1"/>
    <col min="3" max="3" width="35.1640625" customWidth="1"/>
    <col min="4" max="4" width="11.33203125" customWidth="1"/>
    <col min="5" max="5" width="5" customWidth="1"/>
    <col min="6" max="6" width="28.5" customWidth="1"/>
    <col min="7" max="8" width="21" customWidth="1"/>
    <col min="9" max="9" width="4.33203125" customWidth="1"/>
    <col min="10" max="10" width="31" customWidth="1"/>
    <col min="11" max="13" width="28.5" customWidth="1"/>
    <col min="14" max="14" width="14.6640625" customWidth="1"/>
    <col min="15" max="15" width="31" customWidth="1"/>
    <col min="16" max="26" width="10.5" customWidth="1"/>
  </cols>
  <sheetData>
    <row r="1" spans="1:26" ht="15.75" customHeight="1" x14ac:dyDescent="0.2"/>
    <row r="2" spans="1:26" ht="15.75" customHeight="1" x14ac:dyDescent="0.2">
      <c r="A2" s="5"/>
      <c r="B2" s="130" t="s">
        <v>521</v>
      </c>
      <c r="C2" s="131"/>
      <c r="D2" s="131"/>
      <c r="E2" s="132"/>
      <c r="F2" s="130" t="s">
        <v>499</v>
      </c>
      <c r="G2" s="131"/>
      <c r="H2" s="131"/>
      <c r="I2" s="142"/>
      <c r="J2" s="140" t="s">
        <v>500</v>
      </c>
      <c r="K2" s="131"/>
      <c r="L2" s="131"/>
      <c r="M2" s="131"/>
      <c r="N2" s="130" t="s">
        <v>522</v>
      </c>
      <c r="O2" s="131"/>
      <c r="P2" s="131"/>
      <c r="Q2" s="132"/>
    </row>
    <row r="3" spans="1:26" ht="15.75" customHeight="1" x14ac:dyDescent="0.2">
      <c r="A3" s="5" t="s">
        <v>501</v>
      </c>
      <c r="B3" s="92" t="str">
        <f>Agora2019!B19</f>
        <v>Agora, 2019 (reference scenario)</v>
      </c>
      <c r="C3" s="93" t="str">
        <f>lit_review_raw!A31</f>
        <v>IEA, 2019</v>
      </c>
      <c r="D3" s="93" t="str">
        <f>lit_review_raw!A48</f>
        <v>Runge, 2020</v>
      </c>
      <c r="E3" s="93"/>
      <c r="F3" s="92" t="str">
        <f t="shared" ref="F3:F4" si="0">B3</f>
        <v>Agora, 2019 (reference scenario)</v>
      </c>
      <c r="G3" s="5" t="str">
        <f>$C$3</f>
        <v>IEA, 2019</v>
      </c>
      <c r="H3" s="5" t="str">
        <f>D3</f>
        <v>Runge, 2020</v>
      </c>
      <c r="I3" s="5"/>
      <c r="J3" s="92" t="str">
        <f t="shared" ref="J3:J4" si="1">B3</f>
        <v>Agora, 2019 (reference scenario)</v>
      </c>
      <c r="K3" s="5" t="str">
        <f>$C$3</f>
        <v>IEA, 2019</v>
      </c>
      <c r="L3" s="5" t="str">
        <f>H3</f>
        <v>Runge, 2020</v>
      </c>
      <c r="M3" s="5"/>
      <c r="N3" s="119" t="str">
        <f t="shared" ref="N3:N4" si="2">B3</f>
        <v>Agora, 2019 (reference scenario)</v>
      </c>
      <c r="O3" s="5" t="str">
        <f>$C$3</f>
        <v>IEA, 2019</v>
      </c>
      <c r="P3" s="5" t="str">
        <f>L3</f>
        <v>Runge, 2020</v>
      </c>
      <c r="Q3" s="5"/>
    </row>
    <row r="4" spans="1:26" ht="15.75" customHeight="1" x14ac:dyDescent="0.2">
      <c r="A4" s="120" t="s">
        <v>502</v>
      </c>
      <c r="B4" s="121" t="str">
        <f>Agora2019!A14</f>
        <v>liquid fuel conversion: methanol synthesis OR FT (same costs, FT incl. RWGS)</v>
      </c>
      <c r="C4" s="120" t="str">
        <f>lit_review_raw!C31</f>
        <v>'today' assumed to be 2020, 'long-term' assumed to be 2050, unclear whether FT is with or without RWGS, FT efficeincy values LHV-based, no information on electrolysis type</v>
      </c>
      <c r="D4" s="120"/>
      <c r="E4" s="120"/>
      <c r="F4" s="121" t="str">
        <f t="shared" si="0"/>
        <v>liquid fuel conversion: methanol synthesis OR FT (same costs, FT incl. RWGS)</v>
      </c>
      <c r="G4" s="120" t="str">
        <f>$C$4</f>
        <v>'today' assumed to be 2020, 'long-term' assumed to be 2050, unclear whether FT is with or without RWGS, FT efficeincy values LHV-based, no information on electrolysis type</v>
      </c>
      <c r="H4" s="120"/>
      <c r="I4" s="120"/>
      <c r="J4" s="121" t="str">
        <f t="shared" si="1"/>
        <v>liquid fuel conversion: methanol synthesis OR FT (same costs, FT incl. RWGS)</v>
      </c>
      <c r="K4" s="120" t="str">
        <f>$C$4</f>
        <v>'today' assumed to be 2020, 'long-term' assumed to be 2050, unclear whether FT is with or without RWGS, FT efficeincy values LHV-based, no information on electrolysis type</v>
      </c>
      <c r="L4" s="120"/>
      <c r="M4" s="120"/>
      <c r="N4" s="121" t="str">
        <f t="shared" si="2"/>
        <v>liquid fuel conversion: methanol synthesis OR FT (same costs, FT incl. RWGS)</v>
      </c>
      <c r="O4" s="120" t="str">
        <f>$C$4</f>
        <v>'today' assumed to be 2020, 'long-term' assumed to be 2050, unclear whether FT is with or without RWGS, FT efficeincy values LHV-based, no information on electrolysis type</v>
      </c>
      <c r="P4" s="120"/>
      <c r="Q4" s="120"/>
      <c r="R4" s="11"/>
      <c r="S4" s="11"/>
      <c r="T4" s="11"/>
      <c r="U4" s="11"/>
      <c r="V4" s="11"/>
      <c r="W4" s="11"/>
      <c r="X4" s="11"/>
      <c r="Y4" s="11"/>
      <c r="Z4" s="11"/>
    </row>
    <row r="5" spans="1:26" ht="15.75" customHeight="1" x14ac:dyDescent="0.2">
      <c r="A5" s="3">
        <v>2015</v>
      </c>
      <c r="B5" s="95"/>
      <c r="F5" s="96"/>
      <c r="G5" s="97"/>
      <c r="H5" s="97"/>
      <c r="I5" s="97"/>
      <c r="J5" s="98" t="s">
        <v>273</v>
      </c>
      <c r="K5" s="14">
        <f>lit_review_raw!AG31</f>
        <v>30</v>
      </c>
      <c r="L5" s="14"/>
      <c r="M5" s="122"/>
    </row>
    <row r="6" spans="1:26" ht="15.75" customHeight="1" x14ac:dyDescent="0.2">
      <c r="A6" s="3">
        <v>2016</v>
      </c>
      <c r="B6" s="95"/>
      <c r="F6" s="96"/>
      <c r="G6" s="97"/>
      <c r="H6" s="97"/>
      <c r="I6" s="97"/>
      <c r="J6" s="96"/>
      <c r="K6" s="97"/>
      <c r="L6" s="97"/>
      <c r="M6" s="107"/>
    </row>
    <row r="7" spans="1:26" ht="15.75" customHeight="1" x14ac:dyDescent="0.2">
      <c r="A7" s="3">
        <v>2017</v>
      </c>
      <c r="B7" s="95"/>
      <c r="F7" s="96"/>
      <c r="G7" s="97"/>
      <c r="H7" s="97"/>
      <c r="I7" s="97"/>
      <c r="J7" s="95"/>
      <c r="K7" s="1"/>
      <c r="L7" s="1"/>
      <c r="M7" s="107"/>
    </row>
    <row r="8" spans="1:26" ht="15.75" customHeight="1" x14ac:dyDescent="0.2">
      <c r="A8" s="3">
        <v>2018</v>
      </c>
      <c r="B8" s="95"/>
      <c r="F8" s="96"/>
      <c r="G8" s="97"/>
      <c r="H8" s="97"/>
      <c r="I8" s="97"/>
      <c r="J8" s="95"/>
      <c r="N8" s="115"/>
      <c r="O8" s="58"/>
    </row>
    <row r="9" spans="1:26" ht="15.75" customHeight="1" x14ac:dyDescent="0.2">
      <c r="A9" s="3">
        <v>2019</v>
      </c>
      <c r="B9" s="95"/>
      <c r="F9" s="96"/>
      <c r="G9" s="97"/>
      <c r="H9" s="97"/>
      <c r="I9" s="97"/>
      <c r="J9" s="95"/>
      <c r="N9" s="115"/>
      <c r="O9" s="58"/>
    </row>
    <row r="10" spans="1:26" ht="15.75" customHeight="1" x14ac:dyDescent="0.2">
      <c r="A10" s="3">
        <v>2020</v>
      </c>
      <c r="B10" s="95">
        <f>Agora2019!D14</f>
        <v>788</v>
      </c>
      <c r="C10" s="3">
        <f>lit_review_raw!AD31</f>
        <v>810</v>
      </c>
      <c r="F10" s="96">
        <f>Agora2019!D15</f>
        <v>0.03</v>
      </c>
      <c r="G10" s="97">
        <f>lit_review_raw!AE31</f>
        <v>1.4999999999999999E-2</v>
      </c>
      <c r="H10" s="97"/>
      <c r="I10" s="97"/>
      <c r="J10" s="95"/>
      <c r="N10" s="115">
        <f>Agora2019!D16</f>
        <v>0.8</v>
      </c>
      <c r="O10" s="58">
        <f>lit_review_raw!AJ31</f>
        <v>0.64</v>
      </c>
    </row>
    <row r="11" spans="1:26" ht="15.75" customHeight="1" x14ac:dyDescent="0.2">
      <c r="A11" s="3">
        <v>2021</v>
      </c>
      <c r="B11" s="95"/>
      <c r="F11" s="96"/>
      <c r="G11" s="97"/>
      <c r="H11" s="97"/>
      <c r="I11" s="97"/>
      <c r="J11" s="95"/>
      <c r="N11" s="115"/>
      <c r="O11" s="58"/>
    </row>
    <row r="12" spans="1:26" ht="15.75" customHeight="1" x14ac:dyDescent="0.2">
      <c r="A12" s="3">
        <v>2022</v>
      </c>
      <c r="B12" s="95"/>
      <c r="F12" s="96"/>
      <c r="G12" s="97"/>
      <c r="H12" s="97"/>
      <c r="I12" s="97"/>
      <c r="J12" s="95"/>
      <c r="K12" s="1"/>
      <c r="L12" s="1"/>
      <c r="M12" s="1"/>
      <c r="N12" s="115"/>
      <c r="O12" s="58"/>
    </row>
    <row r="13" spans="1:26" ht="15.75" customHeight="1" x14ac:dyDescent="0.2">
      <c r="A13" s="3">
        <v>2023</v>
      </c>
      <c r="B13" s="95"/>
      <c r="F13" s="96"/>
      <c r="G13" s="97"/>
      <c r="H13" s="97"/>
      <c r="I13" s="97"/>
      <c r="J13" s="95"/>
      <c r="K13" s="1"/>
      <c r="L13" s="1"/>
      <c r="M13" s="1"/>
      <c r="N13" s="115"/>
      <c r="O13" s="58"/>
    </row>
    <row r="14" spans="1:26" ht="15.75" customHeight="1" x14ac:dyDescent="0.2">
      <c r="A14" s="3">
        <v>2024</v>
      </c>
      <c r="B14" s="95"/>
      <c r="F14" s="96"/>
      <c r="G14" s="97"/>
      <c r="H14" s="97"/>
      <c r="I14" s="97"/>
      <c r="J14" s="95"/>
      <c r="K14" s="1"/>
      <c r="L14" s="1"/>
      <c r="M14" s="1"/>
      <c r="N14" s="115"/>
      <c r="O14" s="58"/>
    </row>
    <row r="15" spans="1:26" ht="15.75" customHeight="1" x14ac:dyDescent="0.2">
      <c r="A15" s="3">
        <v>2025</v>
      </c>
      <c r="B15" s="95"/>
      <c r="F15" s="96"/>
      <c r="G15" s="97"/>
      <c r="H15" s="97"/>
      <c r="I15" s="97"/>
      <c r="J15" s="95"/>
      <c r="K15" s="1"/>
      <c r="L15" s="1"/>
      <c r="M15" s="1"/>
      <c r="N15" s="115"/>
      <c r="O15" s="58"/>
    </row>
    <row r="16" spans="1:26" ht="15.75" customHeight="1" x14ac:dyDescent="0.2">
      <c r="A16" s="3">
        <v>2026</v>
      </c>
      <c r="B16" s="95"/>
      <c r="F16" s="96"/>
      <c r="G16" s="97"/>
      <c r="H16" s="97"/>
      <c r="I16" s="97"/>
      <c r="J16" s="95"/>
      <c r="K16" s="1"/>
      <c r="L16" s="1"/>
      <c r="M16" s="1"/>
      <c r="N16" s="115"/>
      <c r="O16" s="58"/>
    </row>
    <row r="17" spans="1:16" ht="15.75" customHeight="1" x14ac:dyDescent="0.2">
      <c r="A17" s="3">
        <v>2027</v>
      </c>
      <c r="B17" s="95"/>
      <c r="F17" s="96"/>
      <c r="G17" s="97"/>
      <c r="H17" s="97"/>
      <c r="I17" s="97"/>
      <c r="J17" s="95"/>
      <c r="K17" s="1"/>
      <c r="L17" s="1"/>
      <c r="M17" s="1"/>
      <c r="N17" s="115"/>
      <c r="O17" s="58"/>
    </row>
    <row r="18" spans="1:16" ht="15.75" customHeight="1" x14ac:dyDescent="0.2">
      <c r="A18" s="3">
        <v>2028</v>
      </c>
      <c r="B18" s="95"/>
      <c r="F18" s="96"/>
      <c r="G18" s="97"/>
      <c r="H18" s="97"/>
      <c r="I18" s="97"/>
      <c r="J18" s="95"/>
      <c r="K18" s="1"/>
      <c r="L18" s="1"/>
      <c r="M18" s="1"/>
      <c r="N18" s="115"/>
      <c r="O18" s="58"/>
    </row>
    <row r="19" spans="1:16" ht="15.75" customHeight="1" x14ac:dyDescent="0.2">
      <c r="A19" s="3">
        <v>2029</v>
      </c>
      <c r="B19" s="95"/>
      <c r="F19" s="96"/>
      <c r="G19" s="97"/>
      <c r="H19" s="97"/>
      <c r="I19" s="97"/>
      <c r="J19" s="95"/>
      <c r="K19" s="1"/>
      <c r="L19" s="1"/>
      <c r="M19" s="1"/>
      <c r="N19" s="115"/>
      <c r="O19" s="58"/>
    </row>
    <row r="20" spans="1:16" ht="15.75" customHeight="1" x14ac:dyDescent="0.2">
      <c r="A20" s="3">
        <v>2030</v>
      </c>
      <c r="B20" s="95">
        <f>Agora2019!E14</f>
        <v>677</v>
      </c>
      <c r="C20" s="3">
        <f>lit_review_raw!AD32</f>
        <v>630</v>
      </c>
      <c r="F20" s="96">
        <f>Agora2019!E15</f>
        <v>0.03</v>
      </c>
      <c r="G20" s="97">
        <f>lit_review_raw!AE32</f>
        <v>1.4999999999999999E-2</v>
      </c>
      <c r="H20" s="97"/>
      <c r="I20" s="97"/>
      <c r="J20" s="95"/>
      <c r="K20" s="1"/>
      <c r="L20" s="1"/>
      <c r="M20" s="1"/>
      <c r="N20" s="115">
        <f>N10</f>
        <v>0.8</v>
      </c>
      <c r="O20" s="58">
        <f>lit_review_raw!AJ32</f>
        <v>0.69</v>
      </c>
    </row>
    <row r="21" spans="1:16" ht="15.75" customHeight="1" x14ac:dyDescent="0.2">
      <c r="A21" s="3">
        <v>2031</v>
      </c>
      <c r="B21" s="95"/>
      <c r="F21" s="96"/>
      <c r="G21" s="97"/>
      <c r="H21" s="97"/>
      <c r="I21" s="97"/>
      <c r="J21" s="95"/>
      <c r="K21" s="1"/>
      <c r="L21" s="1"/>
      <c r="M21" s="1"/>
      <c r="N21" s="115"/>
      <c r="O21" s="58"/>
    </row>
    <row r="22" spans="1:16" ht="15.75" customHeight="1" x14ac:dyDescent="0.2">
      <c r="A22" s="3">
        <v>2032</v>
      </c>
      <c r="B22" s="95"/>
      <c r="F22" s="96"/>
      <c r="G22" s="97"/>
      <c r="H22" s="97"/>
      <c r="I22" s="97"/>
      <c r="J22" s="95"/>
      <c r="K22" s="1"/>
      <c r="L22" s="1"/>
      <c r="M22" s="1"/>
      <c r="N22" s="115"/>
      <c r="O22" s="58"/>
    </row>
    <row r="23" spans="1:16" ht="15.75" customHeight="1" x14ac:dyDescent="0.2">
      <c r="A23" s="3">
        <v>2033</v>
      </c>
      <c r="B23" s="95"/>
      <c r="F23" s="96"/>
      <c r="G23" s="97"/>
      <c r="H23" s="97"/>
      <c r="I23" s="97"/>
      <c r="J23" s="95"/>
      <c r="K23" s="1"/>
      <c r="L23" s="1"/>
      <c r="M23" s="1"/>
      <c r="N23" s="115"/>
      <c r="O23" s="58"/>
    </row>
    <row r="24" spans="1:16" ht="15.75" customHeight="1" x14ac:dyDescent="0.2">
      <c r="A24" s="3">
        <v>2034</v>
      </c>
      <c r="B24" s="95"/>
      <c r="D24" s="48">
        <f>D25</f>
        <v>183</v>
      </c>
      <c r="F24" s="96"/>
      <c r="G24" s="97"/>
      <c r="H24" s="116">
        <f>H25</f>
        <v>0.04</v>
      </c>
      <c r="I24" s="97"/>
      <c r="J24" s="95"/>
      <c r="K24" s="1"/>
      <c r="L24" s="1"/>
      <c r="M24" s="1"/>
      <c r="N24" s="115"/>
      <c r="O24" s="58"/>
      <c r="P24" s="51">
        <f>P25</f>
        <v>0.83399999999999996</v>
      </c>
    </row>
    <row r="25" spans="1:16" ht="15.75" customHeight="1" x14ac:dyDescent="0.2">
      <c r="A25" s="3">
        <v>2035</v>
      </c>
      <c r="B25" s="95"/>
      <c r="D25" s="3">
        <f>lit_review_raw!BA48</f>
        <v>183</v>
      </c>
      <c r="F25" s="96"/>
      <c r="G25" s="97"/>
      <c r="H25" s="97">
        <f>lit_review_raw!BB48</f>
        <v>0.04</v>
      </c>
      <c r="I25" s="97"/>
      <c r="J25" s="95"/>
      <c r="K25" s="1"/>
      <c r="L25" s="1">
        <f>lit_review_raw!BE48</f>
        <v>20</v>
      </c>
      <c r="M25" s="1"/>
      <c r="N25" s="115"/>
      <c r="O25" s="58"/>
      <c r="P25" s="58">
        <f>lit_review_raw!BC48</f>
        <v>0.83399999999999996</v>
      </c>
    </row>
    <row r="26" spans="1:16" ht="15.75" customHeight="1" x14ac:dyDescent="0.2">
      <c r="A26" s="3">
        <v>2036</v>
      </c>
      <c r="B26" s="95"/>
      <c r="F26" s="96"/>
      <c r="G26" s="97"/>
      <c r="H26" s="97"/>
      <c r="I26" s="97"/>
      <c r="J26" s="95"/>
      <c r="K26" s="1"/>
      <c r="L26" s="1"/>
      <c r="M26" s="1"/>
      <c r="N26" s="115"/>
      <c r="O26" s="58"/>
    </row>
    <row r="27" spans="1:16" ht="15.75" customHeight="1" x14ac:dyDescent="0.2">
      <c r="A27" s="3">
        <v>2037</v>
      </c>
      <c r="B27" s="95"/>
      <c r="F27" s="96"/>
      <c r="G27" s="97"/>
      <c r="H27" s="97"/>
      <c r="I27" s="97"/>
      <c r="J27" s="95"/>
      <c r="K27" s="1"/>
      <c r="L27" s="1"/>
      <c r="M27" s="1"/>
      <c r="N27" s="115"/>
      <c r="O27" s="58"/>
    </row>
    <row r="28" spans="1:16" ht="15.75" customHeight="1" x14ac:dyDescent="0.2">
      <c r="A28" s="3">
        <v>2038</v>
      </c>
      <c r="B28" s="95"/>
      <c r="F28" s="96"/>
      <c r="G28" s="97"/>
      <c r="H28" s="97"/>
      <c r="I28" s="97"/>
      <c r="J28" s="95"/>
      <c r="K28" s="1"/>
      <c r="L28" s="1"/>
      <c r="M28" s="1"/>
      <c r="N28" s="115"/>
      <c r="O28" s="58"/>
    </row>
    <row r="29" spans="1:16" ht="15.75" customHeight="1" x14ac:dyDescent="0.2">
      <c r="A29" s="3">
        <v>2039</v>
      </c>
      <c r="B29" s="95"/>
      <c r="F29" s="96"/>
      <c r="G29" s="97"/>
      <c r="H29" s="97"/>
      <c r="I29" s="97"/>
      <c r="J29" s="95"/>
      <c r="K29" s="1"/>
      <c r="L29" s="1"/>
      <c r="M29" s="1"/>
      <c r="N29" s="115"/>
      <c r="O29" s="58"/>
    </row>
    <row r="30" spans="1:16" ht="15.75" customHeight="1" x14ac:dyDescent="0.2">
      <c r="A30" s="3">
        <v>2040</v>
      </c>
      <c r="B30" s="95"/>
      <c r="F30" s="96"/>
      <c r="G30" s="97"/>
      <c r="H30" s="97"/>
      <c r="I30" s="97"/>
      <c r="J30" s="95"/>
      <c r="K30" s="1"/>
      <c r="L30" s="1"/>
      <c r="M30" s="1"/>
      <c r="N30" s="115"/>
      <c r="O30" s="58"/>
    </row>
    <row r="31" spans="1:16" ht="15.75" customHeight="1" x14ac:dyDescent="0.2">
      <c r="A31" s="3">
        <v>2041</v>
      </c>
      <c r="B31" s="95"/>
      <c r="F31" s="96"/>
      <c r="G31" s="97"/>
      <c r="H31" s="97"/>
      <c r="I31" s="97"/>
      <c r="J31" s="95"/>
      <c r="K31" s="1"/>
      <c r="L31" s="1"/>
      <c r="M31" s="1"/>
      <c r="N31" s="115"/>
      <c r="O31" s="58"/>
    </row>
    <row r="32" spans="1:16" ht="15.75" customHeight="1" x14ac:dyDescent="0.2">
      <c r="A32" s="3">
        <v>2042</v>
      </c>
      <c r="B32" s="95"/>
      <c r="F32" s="96"/>
      <c r="G32" s="97"/>
      <c r="H32" s="97"/>
      <c r="I32" s="97"/>
      <c r="J32" s="95"/>
      <c r="K32" s="1"/>
      <c r="L32" s="1"/>
      <c r="M32" s="1"/>
      <c r="N32" s="115"/>
      <c r="O32" s="58"/>
    </row>
    <row r="33" spans="1:15" ht="15.75" customHeight="1" x14ac:dyDescent="0.2">
      <c r="A33" s="3">
        <v>2043</v>
      </c>
      <c r="B33" s="95"/>
      <c r="F33" s="96"/>
      <c r="G33" s="97"/>
      <c r="H33" s="97"/>
      <c r="I33" s="97"/>
      <c r="J33" s="95"/>
      <c r="K33" s="1"/>
      <c r="L33" s="1"/>
      <c r="M33" s="1"/>
      <c r="N33" s="115"/>
      <c r="O33" s="58"/>
    </row>
    <row r="34" spans="1:15" ht="15.75" customHeight="1" x14ac:dyDescent="0.2">
      <c r="A34" s="3">
        <v>2044</v>
      </c>
      <c r="B34" s="95"/>
      <c r="F34" s="96"/>
      <c r="G34" s="97"/>
      <c r="H34" s="97"/>
      <c r="I34" s="97"/>
      <c r="J34" s="95"/>
      <c r="K34" s="1"/>
      <c r="L34" s="1"/>
      <c r="M34" s="1"/>
      <c r="N34" s="115"/>
      <c r="O34" s="58"/>
    </row>
    <row r="35" spans="1:15" ht="15.75" customHeight="1" x14ac:dyDescent="0.2">
      <c r="A35" s="3">
        <v>2045</v>
      </c>
      <c r="B35" s="95"/>
      <c r="F35" s="96"/>
      <c r="G35" s="97"/>
      <c r="H35" s="97"/>
      <c r="I35" s="97"/>
      <c r="J35" s="95"/>
      <c r="K35" s="1"/>
      <c r="L35" s="1"/>
      <c r="M35" s="1"/>
      <c r="N35" s="115"/>
      <c r="O35" s="58"/>
    </row>
    <row r="36" spans="1:15" ht="15.75" customHeight="1" x14ac:dyDescent="0.2">
      <c r="A36" s="3">
        <v>2046</v>
      </c>
      <c r="B36" s="95"/>
      <c r="F36" s="96"/>
      <c r="G36" s="97"/>
      <c r="H36" s="97"/>
      <c r="I36" s="97"/>
      <c r="J36" s="95"/>
      <c r="K36" s="1"/>
      <c r="L36" s="1"/>
      <c r="M36" s="1"/>
      <c r="N36" s="115"/>
      <c r="O36" s="58"/>
    </row>
    <row r="37" spans="1:15" ht="15.75" customHeight="1" x14ac:dyDescent="0.2">
      <c r="A37" s="3">
        <v>2047</v>
      </c>
      <c r="B37" s="95"/>
      <c r="F37" s="96"/>
      <c r="G37" s="97"/>
      <c r="H37" s="97"/>
      <c r="I37" s="97"/>
      <c r="J37" s="95"/>
      <c r="K37" s="1"/>
      <c r="L37" s="1"/>
      <c r="M37" s="1"/>
      <c r="N37" s="115"/>
      <c r="O37" s="58"/>
    </row>
    <row r="38" spans="1:15" ht="15.75" customHeight="1" x14ac:dyDescent="0.2">
      <c r="A38" s="3">
        <v>2048</v>
      </c>
      <c r="B38" s="95"/>
      <c r="F38" s="96"/>
      <c r="G38" s="97"/>
      <c r="H38" s="97"/>
      <c r="I38" s="97"/>
      <c r="J38" s="95"/>
      <c r="K38" s="1"/>
      <c r="L38" s="1"/>
      <c r="M38" s="1"/>
      <c r="N38" s="115"/>
      <c r="O38" s="58"/>
    </row>
    <row r="39" spans="1:15" ht="15.75" customHeight="1" x14ac:dyDescent="0.2">
      <c r="A39" s="3">
        <v>2049</v>
      </c>
      <c r="B39" s="95"/>
      <c r="F39" s="96"/>
      <c r="G39" s="97"/>
      <c r="H39" s="97"/>
      <c r="I39" s="97"/>
      <c r="J39" s="95"/>
      <c r="K39" s="1"/>
      <c r="L39" s="1"/>
      <c r="M39" s="1"/>
      <c r="N39" s="115"/>
      <c r="O39" s="58"/>
    </row>
    <row r="40" spans="1:15" ht="15.75" customHeight="1" x14ac:dyDescent="0.2">
      <c r="A40" s="3">
        <v>2050</v>
      </c>
      <c r="B40" s="95">
        <f>Agora2019!F14</f>
        <v>500</v>
      </c>
      <c r="C40" s="3">
        <f>lit_review_raw!AD33</f>
        <v>405</v>
      </c>
      <c r="F40" s="96">
        <f>Agora2019!F15</f>
        <v>0.03</v>
      </c>
      <c r="G40" s="97">
        <f>lit_review_raw!AE33</f>
        <v>1.4999999999999999E-2</v>
      </c>
      <c r="H40" s="97"/>
      <c r="I40" s="97"/>
      <c r="J40" s="95"/>
      <c r="K40" s="1"/>
      <c r="L40" s="1"/>
      <c r="M40" s="1"/>
      <c r="N40" s="115">
        <f>N10</f>
        <v>0.8</v>
      </c>
      <c r="O40" s="58">
        <f>lit_review_raw!AJ33</f>
        <v>0.74</v>
      </c>
    </row>
    <row r="41" spans="1:15" ht="15.75" customHeight="1" x14ac:dyDescent="0.2">
      <c r="N41" s="58"/>
      <c r="O41" s="58"/>
    </row>
    <row r="42" spans="1:15" ht="15.75" customHeight="1" x14ac:dyDescent="0.2"/>
    <row r="43" spans="1:15" ht="15.75" customHeight="1" x14ac:dyDescent="0.2"/>
    <row r="44" spans="1:15" ht="15.75" customHeight="1" x14ac:dyDescent="0.2"/>
    <row r="45" spans="1:15" ht="15.75" customHeight="1" x14ac:dyDescent="0.2"/>
    <row r="46" spans="1:15" ht="15.75" customHeight="1" x14ac:dyDescent="0.2"/>
    <row r="47" spans="1:15" ht="15.75" customHeight="1" x14ac:dyDescent="0.2"/>
    <row r="48" spans="1:15" ht="15.75" customHeight="1" x14ac:dyDescent="0.2"/>
    <row r="49" spans="2:15" ht="15.75" customHeight="1" x14ac:dyDescent="0.2"/>
    <row r="50" spans="2:15" ht="15.75" customHeight="1" x14ac:dyDescent="0.2"/>
    <row r="51" spans="2:15" ht="15.75" customHeight="1" x14ac:dyDescent="0.2"/>
    <row r="52" spans="2:15" ht="15.75" customHeight="1" x14ac:dyDescent="0.2"/>
    <row r="53" spans="2:15" ht="15.75" customHeight="1" x14ac:dyDescent="0.2"/>
    <row r="54" spans="2:15" ht="15.75" customHeight="1" x14ac:dyDescent="0.2"/>
    <row r="55" spans="2:15" ht="15.75" customHeight="1" x14ac:dyDescent="0.2"/>
    <row r="56" spans="2:15" ht="15.75" customHeight="1" x14ac:dyDescent="0.2"/>
    <row r="57" spans="2:15" ht="15.75" customHeight="1" x14ac:dyDescent="0.2"/>
    <row r="58" spans="2:15" ht="15.75" customHeight="1" x14ac:dyDescent="0.2"/>
    <row r="59" spans="2:15" ht="15.75" customHeight="1" x14ac:dyDescent="0.2"/>
    <row r="60" spans="2:15" ht="15.75" customHeight="1" x14ac:dyDescent="0.2"/>
    <row r="61" spans="2:15" ht="15.75" customHeight="1" x14ac:dyDescent="0.2"/>
    <row r="62" spans="2:15" ht="15.75" customHeight="1" x14ac:dyDescent="0.2"/>
    <row r="63" spans="2:15" ht="15.75" customHeight="1" x14ac:dyDescent="0.25">
      <c r="B63" s="143" t="s">
        <v>503</v>
      </c>
      <c r="C63" s="135"/>
      <c r="D63" s="135"/>
      <c r="E63" s="135"/>
      <c r="F63" s="135"/>
      <c r="G63" s="135"/>
      <c r="H63" s="135"/>
      <c r="I63" s="135"/>
      <c r="J63" s="135"/>
      <c r="K63" s="135"/>
      <c r="L63" s="135"/>
      <c r="M63" s="135"/>
      <c r="N63" s="135"/>
      <c r="O63" s="135"/>
    </row>
    <row r="64" spans="2:15" ht="15.75" customHeight="1" x14ac:dyDescent="0.2"/>
    <row r="65" spans="2:15" ht="15.75" customHeight="1" x14ac:dyDescent="0.2">
      <c r="B65" s="101" t="s">
        <v>504</v>
      </c>
      <c r="C65" s="34"/>
      <c r="D65" s="34"/>
      <c r="E65" s="34"/>
      <c r="F65" s="35"/>
      <c r="J65" s="101" t="s">
        <v>505</v>
      </c>
      <c r="K65" s="34"/>
      <c r="L65" s="34"/>
      <c r="M65" s="34"/>
      <c r="N65" s="34"/>
      <c r="O65" s="35"/>
    </row>
    <row r="66" spans="2:15" ht="18" customHeight="1" x14ac:dyDescent="0.2">
      <c r="B66" s="137" t="s">
        <v>523</v>
      </c>
      <c r="C66" s="138"/>
      <c r="D66" s="138"/>
      <c r="E66" s="138"/>
      <c r="F66" s="139"/>
      <c r="J66" s="123" t="s">
        <v>524</v>
      </c>
      <c r="K66" s="77" t="str">
        <f>B3</f>
        <v>Agora, 2019 (reference scenario)</v>
      </c>
      <c r="L66" s="77"/>
      <c r="M66" s="77"/>
      <c r="N66" s="84" t="s">
        <v>525</v>
      </c>
      <c r="O66" s="78" t="str">
        <f>C3</f>
        <v>IEA, 2019</v>
      </c>
    </row>
    <row r="67" spans="2:15" ht="15.75" customHeight="1" x14ac:dyDescent="0.2"/>
    <row r="68" spans="2:15" ht="15.75" customHeight="1" x14ac:dyDescent="0.2"/>
    <row r="69" spans="2:15" ht="15.75" customHeight="1" x14ac:dyDescent="0.2"/>
    <row r="70" spans="2:15" ht="15.75" customHeight="1" x14ac:dyDescent="0.2"/>
    <row r="71" spans="2:15" ht="15.75" customHeight="1" x14ac:dyDescent="0.2"/>
    <row r="72" spans="2:15" ht="15.75" customHeight="1" x14ac:dyDescent="0.2"/>
    <row r="73" spans="2:15" ht="15.75" customHeight="1" x14ac:dyDescent="0.2"/>
    <row r="74" spans="2:15" ht="15.75" customHeight="1" x14ac:dyDescent="0.2"/>
    <row r="75" spans="2:15" ht="15.75" customHeight="1" x14ac:dyDescent="0.2"/>
    <row r="76" spans="2:15" ht="15.75" customHeight="1" x14ac:dyDescent="0.2"/>
    <row r="77" spans="2:15" ht="15.75" customHeight="1" x14ac:dyDescent="0.2"/>
    <row r="78" spans="2:15" ht="15.75" customHeight="1" x14ac:dyDescent="0.2"/>
    <row r="79" spans="2:15" ht="15.75" customHeight="1" x14ac:dyDescent="0.2"/>
    <row r="80" spans="2:15"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6">
    <mergeCell ref="B66:F66"/>
    <mergeCell ref="B2:E2"/>
    <mergeCell ref="F2:I2"/>
    <mergeCell ref="J2:M2"/>
    <mergeCell ref="N2:Q2"/>
    <mergeCell ref="B63:O63"/>
  </mergeCells>
  <pageMargins left="0.7" right="0.7" top="0.78740157499999996" bottom="0.78740157499999996" header="0" footer="0"/>
  <pageSetup orientation="landscape"/>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1000"/>
  <sheetViews>
    <sheetView workbookViewId="0"/>
  </sheetViews>
  <sheetFormatPr baseColWidth="10" defaultColWidth="11.1640625" defaultRowHeight="15" customHeight="1" x14ac:dyDescent="0.2"/>
  <cols>
    <col min="1" max="1" width="12.1640625" customWidth="1"/>
    <col min="2" max="26" width="10.5" customWidth="1"/>
  </cols>
  <sheetData>
    <row r="1" spans="1:6" ht="15.75" customHeight="1" x14ac:dyDescent="0.2">
      <c r="A1" s="3" t="s">
        <v>526</v>
      </c>
    </row>
    <row r="2" spans="1:6" ht="15.75" customHeight="1" x14ac:dyDescent="0.2">
      <c r="A2" s="3" t="s">
        <v>527</v>
      </c>
      <c r="B2" s="3" t="s">
        <v>528</v>
      </c>
      <c r="C2" s="3" t="s">
        <v>529</v>
      </c>
      <c r="D2" s="3" t="s">
        <v>237</v>
      </c>
      <c r="E2" s="3" t="s">
        <v>530</v>
      </c>
    </row>
    <row r="3" spans="1:6" ht="15.75" customHeight="1" x14ac:dyDescent="0.2">
      <c r="A3" s="3" t="s">
        <v>531</v>
      </c>
      <c r="B3" s="3" t="s">
        <v>532</v>
      </c>
      <c r="C3" s="3">
        <v>42</v>
      </c>
      <c r="D3" s="3" t="s">
        <v>533</v>
      </c>
    </row>
    <row r="4" spans="1:6" ht="15.75" customHeight="1" x14ac:dyDescent="0.2">
      <c r="A4" s="3" t="s">
        <v>534</v>
      </c>
      <c r="B4" s="3" t="s">
        <v>535</v>
      </c>
      <c r="C4" s="3">
        <v>0.9</v>
      </c>
      <c r="D4" s="3" t="s">
        <v>536</v>
      </c>
    </row>
    <row r="5" spans="1:6" ht="15.75" customHeight="1" x14ac:dyDescent="0.2">
      <c r="A5" s="3" t="s">
        <v>537</v>
      </c>
      <c r="B5" s="3" t="s">
        <v>538</v>
      </c>
      <c r="C5" s="16">
        <f>1/33.3</f>
        <v>3.0030030030030033E-2</v>
      </c>
      <c r="D5" s="3" t="s">
        <v>539</v>
      </c>
      <c r="F5" s="124" t="s">
        <v>540</v>
      </c>
    </row>
    <row r="6" spans="1:6" ht="15.75" customHeight="1" x14ac:dyDescent="0.2">
      <c r="A6" s="3" t="s">
        <v>537</v>
      </c>
      <c r="B6" s="3" t="s">
        <v>541</v>
      </c>
      <c r="C6" s="3">
        <v>0.09</v>
      </c>
      <c r="D6" s="3" t="s">
        <v>542</v>
      </c>
      <c r="F6" s="124" t="s">
        <v>540</v>
      </c>
    </row>
    <row r="7" spans="1:6" ht="15.75" customHeight="1" x14ac:dyDescent="0.2">
      <c r="A7" s="3" t="s">
        <v>543</v>
      </c>
      <c r="B7" s="3" t="s">
        <v>535</v>
      </c>
      <c r="C7" s="3">
        <v>1.1499999999999999</v>
      </c>
      <c r="D7" s="3" t="s">
        <v>544</v>
      </c>
    </row>
    <row r="8" spans="1:6" ht="15.75" customHeight="1" x14ac:dyDescent="0.2">
      <c r="A8" s="3" t="s">
        <v>545</v>
      </c>
      <c r="B8" s="3" t="s">
        <v>546</v>
      </c>
      <c r="C8" s="3">
        <v>1.8360000000000001</v>
      </c>
      <c r="D8" s="3" t="s">
        <v>542</v>
      </c>
    </row>
    <row r="9" spans="1:6" ht="15.75" customHeight="1" x14ac:dyDescent="0.2"/>
    <row r="10" spans="1:6" ht="15.75" customHeight="1" x14ac:dyDescent="0.2"/>
    <row r="11" spans="1:6" ht="15.75" customHeight="1" x14ac:dyDescent="0.2"/>
    <row r="12" spans="1:6" ht="15.75" customHeight="1" x14ac:dyDescent="0.2"/>
    <row r="13" spans="1:6" ht="15.75" customHeight="1" x14ac:dyDescent="0.2"/>
    <row r="14" spans="1:6" ht="15.75" customHeight="1" x14ac:dyDescent="0.2"/>
    <row r="15" spans="1:6" ht="15.75" customHeight="1" x14ac:dyDescent="0.2"/>
    <row r="16" spans="1: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F5" r:id="rId1" xr:uid="{00000000-0004-0000-1300-000000000000}"/>
    <hyperlink ref="F6" r:id="rId2" xr:uid="{00000000-0004-0000-1300-000001000000}"/>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44089-88EE-7A4B-ACDF-745D7D802DA6}">
  <dimension ref="A1:E15"/>
  <sheetViews>
    <sheetView workbookViewId="0">
      <selection activeCell="B15" sqref="B15"/>
    </sheetView>
  </sheetViews>
  <sheetFormatPr baseColWidth="10" defaultRowHeight="16" x14ac:dyDescent="0.2"/>
  <cols>
    <col min="1" max="1" width="13.83203125" bestFit="1" customWidth="1"/>
    <col min="4" max="4" width="10.83203125" style="125"/>
  </cols>
  <sheetData>
    <row r="1" spans="1:5" x14ac:dyDescent="0.2">
      <c r="A1" s="127" t="s">
        <v>548</v>
      </c>
      <c r="B1" s="127" t="s">
        <v>549</v>
      </c>
      <c r="C1" s="127" t="s">
        <v>550</v>
      </c>
      <c r="D1" s="127" t="s">
        <v>562</v>
      </c>
      <c r="E1" s="127" t="s">
        <v>561</v>
      </c>
    </row>
    <row r="2" spans="1:5" x14ac:dyDescent="0.2">
      <c r="A2" s="126" t="s">
        <v>558</v>
      </c>
      <c r="B2" s="128">
        <f>overview!C3</f>
        <v>10</v>
      </c>
      <c r="C2" s="126" t="s">
        <v>551</v>
      </c>
      <c r="D2" s="126" t="s">
        <v>563</v>
      </c>
    </row>
    <row r="3" spans="1:5" x14ac:dyDescent="0.2">
      <c r="A3" s="126" t="s">
        <v>558</v>
      </c>
      <c r="B3" s="128">
        <f>(overview!C3/overview!C102)*overview!C103</f>
        <v>7.1161684782608683</v>
      </c>
      <c r="C3" s="126" t="s">
        <v>552</v>
      </c>
      <c r="D3" s="126" t="s">
        <v>563</v>
      </c>
    </row>
    <row r="4" spans="1:5" x14ac:dyDescent="0.2">
      <c r="A4" s="126" t="s">
        <v>558</v>
      </c>
      <c r="B4" s="128">
        <f>(overview!C3/overview!C102)*overview!C104</f>
        <v>5.6623641304347831</v>
      </c>
      <c r="C4" s="126" t="s">
        <v>553</v>
      </c>
      <c r="D4" s="126" t="s">
        <v>563</v>
      </c>
    </row>
    <row r="5" spans="1:5" x14ac:dyDescent="0.2">
      <c r="A5" s="126" t="s">
        <v>559</v>
      </c>
      <c r="B5" s="128">
        <f>SUM(B2:B4)/overview!C91</f>
        <v>34.104968608397456</v>
      </c>
      <c r="C5" s="126" t="s">
        <v>558</v>
      </c>
      <c r="D5" s="126" t="s">
        <v>554</v>
      </c>
    </row>
    <row r="6" spans="1:5" x14ac:dyDescent="0.2">
      <c r="A6" s="126" t="s">
        <v>557</v>
      </c>
      <c r="B6" s="128">
        <f>B5/overview!C51</f>
        <v>56.841614347329099</v>
      </c>
      <c r="C6" s="126" t="s">
        <v>559</v>
      </c>
      <c r="D6" s="126" t="s">
        <v>556</v>
      </c>
    </row>
    <row r="7" spans="1:5" x14ac:dyDescent="0.2">
      <c r="A7" s="126" t="s">
        <v>559</v>
      </c>
      <c r="B7" s="128">
        <f>B6-B5</f>
        <v>22.736645738931642</v>
      </c>
      <c r="C7" s="126" t="s">
        <v>555</v>
      </c>
      <c r="D7" s="126" t="s">
        <v>555</v>
      </c>
    </row>
    <row r="8" spans="1:5" s="125" customFormat="1" x14ac:dyDescent="0.2">
      <c r="A8" s="126" t="s">
        <v>560</v>
      </c>
      <c r="B8" s="128">
        <f>B5*overview!C95*overview!C67</f>
        <v>3.1041566727818442</v>
      </c>
      <c r="C8" s="126" t="s">
        <v>555</v>
      </c>
      <c r="D8" s="126" t="s">
        <v>555</v>
      </c>
      <c r="E8" s="126" t="s">
        <v>556</v>
      </c>
    </row>
    <row r="9" spans="1:5" x14ac:dyDescent="0.2">
      <c r="A9" s="126" t="s">
        <v>560</v>
      </c>
      <c r="B9" s="128">
        <f>B5*overview!C95*overview!C68</f>
        <v>12.416626691127377</v>
      </c>
      <c r="C9" s="126" t="s">
        <v>555</v>
      </c>
      <c r="D9" s="126" t="s">
        <v>555</v>
      </c>
      <c r="E9" s="126" t="s">
        <v>564</v>
      </c>
    </row>
    <row r="10" spans="1:5" x14ac:dyDescent="0.2">
      <c r="A10" s="126" t="s">
        <v>557</v>
      </c>
      <c r="B10" s="128">
        <f>B8</f>
        <v>3.1041566727818442</v>
      </c>
      <c r="C10" s="126" t="s">
        <v>560</v>
      </c>
      <c r="D10" s="126" t="s">
        <v>556</v>
      </c>
    </row>
    <row r="11" spans="1:5" s="125" customFormat="1" x14ac:dyDescent="0.2">
      <c r="A11" s="126" t="s">
        <v>558</v>
      </c>
      <c r="B11" s="128">
        <f>SUM(B2:B4)*overview!C93</f>
        <v>7.4241646462813016</v>
      </c>
      <c r="C11" s="126" t="s">
        <v>560</v>
      </c>
      <c r="D11" s="126" t="s">
        <v>564</v>
      </c>
    </row>
    <row r="12" spans="1:5" x14ac:dyDescent="0.2">
      <c r="A12" s="126" t="s">
        <v>565</v>
      </c>
      <c r="B12" s="128">
        <f>B9-B11</f>
        <v>4.992462044846075</v>
      </c>
      <c r="C12" s="126" t="s">
        <v>560</v>
      </c>
      <c r="D12" s="126" t="s">
        <v>564</v>
      </c>
    </row>
    <row r="13" spans="1:5" x14ac:dyDescent="0.2">
      <c r="A13" s="126" t="s">
        <v>557</v>
      </c>
      <c r="B13" s="128">
        <f>B12</f>
        <v>4.992462044846075</v>
      </c>
      <c r="C13" s="126" t="s">
        <v>565</v>
      </c>
      <c r="D13" s="126" t="s">
        <v>556</v>
      </c>
    </row>
    <row r="14" spans="1:5" s="125" customFormat="1" x14ac:dyDescent="0.2">
      <c r="A14" s="126" t="s">
        <v>558</v>
      </c>
      <c r="B14" s="128">
        <f>B5+B15-B11-SUM(B2:B4)</f>
        <v>5.4781233185964062</v>
      </c>
      <c r="C14" s="126" t="s">
        <v>555</v>
      </c>
      <c r="D14" s="126" t="s">
        <v>555</v>
      </c>
    </row>
    <row r="15" spans="1:5" x14ac:dyDescent="0.2">
      <c r="A15" s="126" t="s">
        <v>557</v>
      </c>
      <c r="B15" s="128">
        <f>SUM(B2:B4)*overview!C92</f>
        <v>1.5758519651759031</v>
      </c>
      <c r="C15" s="126" t="s">
        <v>558</v>
      </c>
      <c r="D15" s="126" t="s">
        <v>556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sheetPr>
  <dimension ref="A1:BZ1000"/>
  <sheetViews>
    <sheetView workbookViewId="0">
      <pane xSplit="3" ySplit="3" topLeftCell="D4" activePane="bottomRight" state="frozen"/>
      <selection pane="topRight" activeCell="D1" sqref="D1"/>
      <selection pane="bottomLeft" activeCell="A4" sqref="A4"/>
      <selection pane="bottomRight" activeCell="D4" sqref="D4"/>
    </sheetView>
  </sheetViews>
  <sheetFormatPr baseColWidth="10" defaultColWidth="11.1640625" defaultRowHeight="15" customHeight="1" x14ac:dyDescent="0.2"/>
  <cols>
    <col min="1" max="1" width="39.5" customWidth="1"/>
    <col min="2" max="2" width="10.5" customWidth="1"/>
    <col min="3" max="4" width="31.1640625" customWidth="1"/>
    <col min="5" max="5" width="18" customWidth="1"/>
    <col min="6" max="6" width="9.83203125" customWidth="1"/>
    <col min="7" max="7" width="9.5" customWidth="1"/>
    <col min="8" max="8" width="9.6640625" customWidth="1"/>
    <col min="9" max="9" width="18.33203125" customWidth="1"/>
    <col min="10" max="10" width="9.83203125" customWidth="1"/>
    <col min="11" max="11" width="9.5" customWidth="1"/>
    <col min="12" max="12" width="9.6640625" customWidth="1"/>
    <col min="13" max="13" width="6.33203125" customWidth="1"/>
    <col min="14" max="14" width="21" customWidth="1"/>
    <col min="15" max="15" width="16" customWidth="1"/>
    <col min="16" max="16" width="11.83203125" customWidth="1"/>
    <col min="17" max="17" width="11.5" customWidth="1"/>
    <col min="18" max="22" width="11.6640625" customWidth="1"/>
    <col min="23" max="23" width="27.1640625" customWidth="1"/>
    <col min="24" max="24" width="8.83203125" customWidth="1"/>
    <col min="25" max="25" width="8.5" customWidth="1"/>
    <col min="26" max="26" width="7.6640625" customWidth="1"/>
    <col min="27" max="27" width="14" customWidth="1"/>
    <col min="28" max="28" width="11.33203125" customWidth="1"/>
    <col min="29" max="29" width="26.1640625" customWidth="1"/>
    <col min="30" max="30" width="9.83203125" customWidth="1"/>
    <col min="31" max="32" width="9.5" customWidth="1"/>
    <col min="33" max="33" width="17.83203125" customWidth="1"/>
    <col min="34" max="35" width="20.1640625" customWidth="1"/>
    <col min="36" max="36" width="19.6640625" customWidth="1"/>
    <col min="37" max="38" width="26.6640625" customWidth="1"/>
    <col min="39" max="39" width="10.6640625" customWidth="1"/>
    <col min="40" max="40" width="9.6640625" customWidth="1"/>
    <col min="41" max="41" width="19.1640625" customWidth="1"/>
    <col min="42" max="42" width="24.83203125" customWidth="1"/>
    <col min="43" max="43" width="11.83203125" customWidth="1"/>
    <col min="44" max="44" width="12.5" customWidth="1"/>
    <col min="45" max="46" width="13.6640625" customWidth="1"/>
    <col min="47" max="47" width="11.5" customWidth="1"/>
    <col min="48" max="48" width="9.1640625" customWidth="1"/>
    <col min="49" max="49" width="18.5" customWidth="1"/>
    <col min="50" max="50" width="7.6640625" customWidth="1"/>
    <col min="51" max="51" width="24.6640625" customWidth="1"/>
    <col min="52" max="52" width="10.1640625" customWidth="1"/>
    <col min="53" max="53" width="7.6640625" customWidth="1"/>
    <col min="54" max="54" width="8.6640625" customWidth="1"/>
    <col min="55" max="55" width="15.6640625" customWidth="1"/>
    <col min="56" max="56" width="14.1640625" customWidth="1"/>
    <col min="57" max="57" width="7.6640625" customWidth="1"/>
    <col min="58" max="58" width="16.83203125" customWidth="1"/>
    <col min="59" max="59" width="17.33203125" customWidth="1"/>
    <col min="60" max="60" width="8.1640625" customWidth="1"/>
    <col min="61" max="61" width="19" customWidth="1"/>
    <col min="62" max="62" width="18.6640625" customWidth="1"/>
    <col min="63" max="63" width="16.33203125" customWidth="1"/>
    <col min="64" max="64" width="14.1640625" customWidth="1"/>
    <col min="65" max="65" width="16" customWidth="1"/>
    <col min="66" max="66" width="17.1640625" customWidth="1"/>
    <col min="67" max="67" width="15" customWidth="1"/>
    <col min="68" max="68" width="7.6640625" customWidth="1"/>
    <col min="69" max="69" width="10.5" customWidth="1"/>
    <col min="70" max="70" width="10.1640625" customWidth="1"/>
    <col min="71" max="71" width="7.6640625" customWidth="1"/>
    <col min="72" max="73" width="10.5" customWidth="1"/>
    <col min="74" max="75" width="6.5" customWidth="1"/>
    <col min="76" max="76" width="10.1640625" customWidth="1"/>
    <col min="77" max="77" width="18.5" customWidth="1"/>
    <col min="78" max="78" width="7.6640625" customWidth="1"/>
  </cols>
  <sheetData>
    <row r="1" spans="1:78" ht="15.75" customHeight="1" x14ac:dyDescent="0.2">
      <c r="E1" s="130" t="s">
        <v>45</v>
      </c>
      <c r="F1" s="131"/>
      <c r="G1" s="131"/>
      <c r="H1" s="131"/>
      <c r="I1" s="130" t="s">
        <v>68</v>
      </c>
      <c r="J1" s="131"/>
      <c r="K1" s="131"/>
      <c r="L1" s="131"/>
      <c r="M1" s="132"/>
      <c r="N1" s="133" t="s">
        <v>76</v>
      </c>
      <c r="O1" s="131"/>
      <c r="P1" s="131"/>
      <c r="Q1" s="131"/>
      <c r="R1" s="131"/>
      <c r="S1" s="130" t="s">
        <v>238</v>
      </c>
      <c r="T1" s="131"/>
      <c r="U1" s="131"/>
      <c r="V1" s="132"/>
      <c r="W1" s="133" t="s">
        <v>91</v>
      </c>
      <c r="X1" s="131"/>
      <c r="Y1" s="131"/>
      <c r="Z1" s="131"/>
      <c r="AA1" s="131"/>
      <c r="AB1" s="132"/>
      <c r="AC1" s="133" t="s">
        <v>239</v>
      </c>
      <c r="AD1" s="131"/>
      <c r="AE1" s="131"/>
      <c r="AF1" s="131"/>
      <c r="AG1" s="131"/>
      <c r="AH1" s="131"/>
      <c r="AI1" s="131"/>
      <c r="AJ1" s="131"/>
      <c r="AK1" s="130" t="s">
        <v>135</v>
      </c>
      <c r="AL1" s="131"/>
      <c r="AM1" s="131"/>
      <c r="AN1" s="131"/>
      <c r="AO1" s="131"/>
      <c r="AP1" s="131"/>
      <c r="AQ1" s="130" t="s">
        <v>240</v>
      </c>
      <c r="AR1" s="131"/>
      <c r="AS1" s="131"/>
      <c r="AT1" s="131"/>
      <c r="AU1" s="131"/>
      <c r="AV1" s="131"/>
      <c r="AW1" s="131"/>
      <c r="AX1" s="132"/>
      <c r="AY1" s="133" t="s">
        <v>185</v>
      </c>
      <c r="AZ1" s="131"/>
      <c r="BA1" s="131"/>
      <c r="BB1" s="131"/>
      <c r="BC1" s="131"/>
      <c r="BD1" s="131"/>
      <c r="BE1" s="131"/>
      <c r="BF1" s="131"/>
      <c r="BG1" s="131"/>
      <c r="BH1" s="131"/>
      <c r="BI1" s="131"/>
      <c r="BJ1" s="131"/>
      <c r="BK1" s="132"/>
      <c r="BL1" s="130" t="s">
        <v>241</v>
      </c>
      <c r="BM1" s="131"/>
      <c r="BN1" s="131"/>
      <c r="BO1" s="131"/>
      <c r="BP1" s="132"/>
      <c r="BQ1" s="130" t="s">
        <v>242</v>
      </c>
      <c r="BR1" s="131"/>
      <c r="BS1" s="131"/>
      <c r="BT1" s="132"/>
      <c r="BU1" s="130" t="s">
        <v>243</v>
      </c>
      <c r="BV1" s="131"/>
      <c r="BW1" s="131"/>
      <c r="BX1" s="131"/>
      <c r="BY1" s="131"/>
      <c r="BZ1" s="132"/>
    </row>
    <row r="2" spans="1:78" ht="15.75" customHeight="1" x14ac:dyDescent="0.2">
      <c r="C2" s="32" t="s">
        <v>244</v>
      </c>
      <c r="D2" s="32"/>
      <c r="E2" s="33" t="s">
        <v>46</v>
      </c>
      <c r="F2" s="34" t="s">
        <v>52</v>
      </c>
      <c r="G2" s="34" t="s">
        <v>56</v>
      </c>
      <c r="H2" s="34" t="s">
        <v>64</v>
      </c>
      <c r="I2" s="33" t="s">
        <v>46</v>
      </c>
      <c r="J2" s="34" t="s">
        <v>52</v>
      </c>
      <c r="K2" s="34" t="s">
        <v>56</v>
      </c>
      <c r="L2" s="34" t="s">
        <v>64</v>
      </c>
      <c r="M2" s="35" t="s">
        <v>245</v>
      </c>
      <c r="N2" s="34" t="s">
        <v>246</v>
      </c>
      <c r="O2" s="34" t="s">
        <v>80</v>
      </c>
      <c r="P2" s="34" t="s">
        <v>83</v>
      </c>
      <c r="Q2" s="34" t="s">
        <v>87</v>
      </c>
      <c r="R2" s="34" t="s">
        <v>89</v>
      </c>
      <c r="S2" s="33" t="s">
        <v>246</v>
      </c>
      <c r="T2" s="34" t="s">
        <v>83</v>
      </c>
      <c r="U2" s="34" t="s">
        <v>87</v>
      </c>
      <c r="V2" s="35" t="s">
        <v>89</v>
      </c>
      <c r="W2" s="34" t="s">
        <v>247</v>
      </c>
      <c r="X2" s="34" t="s">
        <v>95</v>
      </c>
      <c r="Y2" s="34" t="s">
        <v>99</v>
      </c>
      <c r="Z2" s="34" t="s">
        <v>102</v>
      </c>
      <c r="AA2" s="34" t="s">
        <v>105</v>
      </c>
      <c r="AB2" s="35" t="s">
        <v>108</v>
      </c>
      <c r="AC2" s="34" t="s">
        <v>248</v>
      </c>
      <c r="AD2" s="34" t="s">
        <v>52</v>
      </c>
      <c r="AE2" s="34" t="s">
        <v>56</v>
      </c>
      <c r="AF2" s="34" t="s">
        <v>249</v>
      </c>
      <c r="AG2" s="34" t="s">
        <v>249</v>
      </c>
      <c r="AH2" s="34" t="s">
        <v>250</v>
      </c>
      <c r="AI2" s="34" t="s">
        <v>251</v>
      </c>
      <c r="AJ2" s="34" t="s">
        <v>252</v>
      </c>
      <c r="AK2" s="33" t="s">
        <v>253</v>
      </c>
      <c r="AL2" s="34" t="s">
        <v>254</v>
      </c>
      <c r="AM2" s="34" t="s">
        <v>138</v>
      </c>
      <c r="AN2" s="34" t="s">
        <v>142</v>
      </c>
      <c r="AO2" s="34" t="s">
        <v>102</v>
      </c>
      <c r="AP2" s="34" t="s">
        <v>255</v>
      </c>
      <c r="AQ2" s="33" t="s">
        <v>138</v>
      </c>
      <c r="AR2" s="1" t="s">
        <v>138</v>
      </c>
      <c r="AS2" s="1" t="s">
        <v>138</v>
      </c>
      <c r="AT2" s="1" t="s">
        <v>138</v>
      </c>
      <c r="AU2" s="1" t="s">
        <v>142</v>
      </c>
      <c r="AV2" s="1" t="s">
        <v>124</v>
      </c>
      <c r="AW2" s="1" t="s">
        <v>256</v>
      </c>
      <c r="AX2" s="36" t="s">
        <v>102</v>
      </c>
      <c r="AY2" s="34" t="s">
        <v>257</v>
      </c>
      <c r="AZ2" s="34" t="s">
        <v>258</v>
      </c>
      <c r="BA2" s="34" t="s">
        <v>138</v>
      </c>
      <c r="BB2" s="34" t="s">
        <v>142</v>
      </c>
      <c r="BC2" s="34" t="s">
        <v>259</v>
      </c>
      <c r="BD2" s="34" t="s">
        <v>205</v>
      </c>
      <c r="BE2" s="34" t="s">
        <v>102</v>
      </c>
      <c r="BF2" s="34" t="s">
        <v>260</v>
      </c>
      <c r="BG2" s="34" t="s">
        <v>261</v>
      </c>
      <c r="BH2" s="34" t="s">
        <v>262</v>
      </c>
      <c r="BI2" s="34" t="s">
        <v>263</v>
      </c>
      <c r="BJ2" s="34" t="s">
        <v>264</v>
      </c>
      <c r="BK2" s="35" t="s">
        <v>265</v>
      </c>
      <c r="BL2" s="34" t="s">
        <v>138</v>
      </c>
      <c r="BM2" s="1" t="s">
        <v>142</v>
      </c>
      <c r="BN2" s="1" t="s">
        <v>266</v>
      </c>
      <c r="BO2" s="34" t="s">
        <v>267</v>
      </c>
      <c r="BP2" s="34"/>
      <c r="BQ2" s="33" t="s">
        <v>138</v>
      </c>
      <c r="BR2" s="34" t="s">
        <v>142</v>
      </c>
      <c r="BS2" s="34" t="s">
        <v>102</v>
      </c>
      <c r="BT2" s="35"/>
      <c r="BU2" s="33" t="s">
        <v>138</v>
      </c>
      <c r="BV2" s="1" t="s">
        <v>138</v>
      </c>
      <c r="BW2" s="1" t="s">
        <v>138</v>
      </c>
      <c r="BX2" s="1" t="s">
        <v>142</v>
      </c>
      <c r="BY2" s="1" t="s">
        <v>256</v>
      </c>
      <c r="BZ2" s="36" t="s">
        <v>102</v>
      </c>
    </row>
    <row r="3" spans="1:78" ht="66.75" customHeight="1" x14ac:dyDescent="0.2">
      <c r="A3" s="11"/>
      <c r="B3" s="11"/>
      <c r="C3" s="37" t="s">
        <v>268</v>
      </c>
      <c r="D3" s="37" t="s">
        <v>269</v>
      </c>
      <c r="E3" s="38" t="s">
        <v>47</v>
      </c>
      <c r="F3" s="39" t="s">
        <v>54</v>
      </c>
      <c r="G3" s="39" t="s">
        <v>58</v>
      </c>
      <c r="H3" s="39" t="s">
        <v>66</v>
      </c>
      <c r="I3" s="38" t="s">
        <v>47</v>
      </c>
      <c r="J3" s="39" t="s">
        <v>54</v>
      </c>
      <c r="K3" s="39" t="s">
        <v>58</v>
      </c>
      <c r="L3" s="39" t="s">
        <v>58</v>
      </c>
      <c r="M3" s="40" t="s">
        <v>58</v>
      </c>
      <c r="N3" s="39" t="s">
        <v>78</v>
      </c>
      <c r="O3" s="39" t="s">
        <v>82</v>
      </c>
      <c r="P3" s="39" t="s">
        <v>85</v>
      </c>
      <c r="Q3" s="39" t="s">
        <v>58</v>
      </c>
      <c r="R3" s="39" t="s">
        <v>66</v>
      </c>
      <c r="S3" s="38" t="s">
        <v>78</v>
      </c>
      <c r="T3" s="39" t="s">
        <v>85</v>
      </c>
      <c r="U3" s="39" t="s">
        <v>58</v>
      </c>
      <c r="V3" s="40" t="s">
        <v>66</v>
      </c>
      <c r="W3" s="39" t="s">
        <v>93</v>
      </c>
      <c r="X3" s="39" t="s">
        <v>97</v>
      </c>
      <c r="Y3" s="39" t="s">
        <v>58</v>
      </c>
      <c r="Z3" s="39" t="s">
        <v>66</v>
      </c>
      <c r="AA3" s="39" t="s">
        <v>75</v>
      </c>
      <c r="AB3" s="40" t="s">
        <v>110</v>
      </c>
      <c r="AC3" s="39" t="s">
        <v>78</v>
      </c>
      <c r="AD3" s="39" t="s">
        <v>116</v>
      </c>
      <c r="AE3" s="39" t="s">
        <v>58</v>
      </c>
      <c r="AF3" s="39" t="s">
        <v>270</v>
      </c>
      <c r="AG3" s="39" t="s">
        <v>66</v>
      </c>
      <c r="AH3" s="39" t="s">
        <v>123</v>
      </c>
      <c r="AI3" s="39" t="s">
        <v>271</v>
      </c>
      <c r="AJ3" s="39" t="s">
        <v>272</v>
      </c>
      <c r="AK3" s="38" t="s">
        <v>93</v>
      </c>
      <c r="AL3" s="39" t="s">
        <v>273</v>
      </c>
      <c r="AM3" s="39" t="s">
        <v>140</v>
      </c>
      <c r="AN3" s="39" t="s">
        <v>58</v>
      </c>
      <c r="AO3" s="39" t="s">
        <v>66</v>
      </c>
      <c r="AP3" s="39"/>
      <c r="AQ3" s="38" t="s">
        <v>274</v>
      </c>
      <c r="AR3" s="39" t="s">
        <v>275</v>
      </c>
      <c r="AS3" s="39" t="s">
        <v>140</v>
      </c>
      <c r="AT3" s="39" t="s">
        <v>276</v>
      </c>
      <c r="AU3" s="39" t="s">
        <v>58</v>
      </c>
      <c r="AV3" s="39" t="s">
        <v>277</v>
      </c>
      <c r="AW3" s="39" t="s">
        <v>278</v>
      </c>
      <c r="AX3" s="40" t="s">
        <v>66</v>
      </c>
      <c r="AY3" s="39" t="s">
        <v>187</v>
      </c>
      <c r="AZ3" s="39" t="s">
        <v>279</v>
      </c>
      <c r="BA3" s="39" t="s">
        <v>190</v>
      </c>
      <c r="BB3" s="39" t="s">
        <v>58</v>
      </c>
      <c r="BC3" s="39" t="s">
        <v>280</v>
      </c>
      <c r="BD3" s="39" t="s">
        <v>207</v>
      </c>
      <c r="BE3" s="39" t="s">
        <v>66</v>
      </c>
      <c r="BF3" s="39" t="s">
        <v>281</v>
      </c>
      <c r="BG3" s="39" t="s">
        <v>277</v>
      </c>
      <c r="BH3" s="39" t="s">
        <v>282</v>
      </c>
      <c r="BI3" s="39"/>
      <c r="BJ3" s="39"/>
      <c r="BK3" s="40"/>
      <c r="BL3" s="38" t="s">
        <v>283</v>
      </c>
      <c r="BM3" s="39" t="s">
        <v>58</v>
      </c>
      <c r="BN3" s="39" t="s">
        <v>284</v>
      </c>
      <c r="BO3" s="39" t="s">
        <v>285</v>
      </c>
      <c r="BP3" s="39" t="s">
        <v>102</v>
      </c>
      <c r="BQ3" s="38" t="s">
        <v>286</v>
      </c>
      <c r="BR3" s="39" t="s">
        <v>58</v>
      </c>
      <c r="BS3" s="39" t="s">
        <v>66</v>
      </c>
      <c r="BT3" s="40"/>
      <c r="BU3" s="38" t="s">
        <v>283</v>
      </c>
      <c r="BV3" s="39" t="s">
        <v>287</v>
      </c>
      <c r="BW3" s="39" t="s">
        <v>287</v>
      </c>
      <c r="BX3" s="39" t="s">
        <v>58</v>
      </c>
      <c r="BY3" s="39" t="s">
        <v>288</v>
      </c>
      <c r="BZ3" s="40" t="s">
        <v>66</v>
      </c>
    </row>
    <row r="4" spans="1:78" ht="15.75" customHeight="1" x14ac:dyDescent="0.2">
      <c r="A4" s="5" t="s">
        <v>289</v>
      </c>
      <c r="B4" s="5" t="s">
        <v>290</v>
      </c>
      <c r="C4" s="5" t="s">
        <v>291</v>
      </c>
      <c r="D4" s="5"/>
      <c r="E4" s="33"/>
      <c r="F4" s="34"/>
      <c r="G4" s="34"/>
      <c r="H4" s="34"/>
      <c r="I4" s="33"/>
      <c r="J4" s="34"/>
      <c r="K4" s="34"/>
      <c r="L4" s="34"/>
      <c r="M4" s="35"/>
      <c r="N4" s="4">
        <v>1</v>
      </c>
      <c r="O4" s="1"/>
      <c r="P4" s="1"/>
      <c r="Q4" s="1"/>
      <c r="R4" s="1"/>
      <c r="S4" s="33"/>
      <c r="T4" s="34"/>
      <c r="U4" s="34"/>
      <c r="V4" s="35"/>
      <c r="W4" s="4">
        <v>1</v>
      </c>
      <c r="X4" s="1"/>
      <c r="Y4" s="1"/>
      <c r="Z4" s="1"/>
      <c r="AA4" s="1"/>
      <c r="AB4" s="1"/>
      <c r="AC4" s="41">
        <v>1</v>
      </c>
      <c r="AD4" s="34"/>
      <c r="AE4" s="34"/>
      <c r="AF4" s="34"/>
      <c r="AG4" s="34"/>
      <c r="AH4" s="42">
        <v>0.1</v>
      </c>
      <c r="AI4" s="43"/>
      <c r="AJ4" s="44"/>
      <c r="AK4" s="4">
        <v>1</v>
      </c>
      <c r="AL4" s="4"/>
      <c r="AM4" s="1"/>
      <c r="AN4" s="45">
        <v>0</v>
      </c>
      <c r="AO4" s="45"/>
      <c r="AQ4" s="46"/>
      <c r="AY4" s="33">
        <v>1</v>
      </c>
      <c r="AZ4" s="34"/>
      <c r="BA4" s="34"/>
      <c r="BB4" s="34"/>
      <c r="BC4" s="34"/>
      <c r="BD4" s="47">
        <v>0.8</v>
      </c>
      <c r="BE4" s="34"/>
      <c r="BF4" s="34"/>
      <c r="BG4" s="34"/>
      <c r="BH4" s="34"/>
      <c r="BI4" s="34"/>
      <c r="BJ4" s="34"/>
      <c r="BK4" s="35"/>
      <c r="BL4" s="1"/>
      <c r="BM4" s="1"/>
      <c r="BN4" s="1"/>
      <c r="BO4" s="1"/>
      <c r="BP4" s="1"/>
      <c r="BQ4" s="46"/>
      <c r="BR4" s="1"/>
      <c r="BS4" s="1"/>
      <c r="BT4" s="36"/>
      <c r="BU4" s="46"/>
      <c r="BV4" s="1"/>
      <c r="BW4" s="1"/>
      <c r="BX4" s="1"/>
      <c r="BY4" s="1"/>
      <c r="BZ4" s="36"/>
    </row>
    <row r="5" spans="1:78" ht="15.75" customHeight="1" x14ac:dyDescent="0.2">
      <c r="A5" s="48" t="s">
        <v>292</v>
      </c>
      <c r="B5" s="48" t="s">
        <v>293</v>
      </c>
      <c r="C5" s="48"/>
      <c r="D5" s="48" t="s">
        <v>294</v>
      </c>
      <c r="E5" s="49">
        <v>5</v>
      </c>
      <c r="F5" s="48"/>
      <c r="G5" s="48"/>
      <c r="H5" s="48"/>
      <c r="I5" s="49"/>
      <c r="J5" s="48"/>
      <c r="K5" s="48"/>
      <c r="L5" s="48"/>
      <c r="M5" s="50"/>
      <c r="N5" s="48"/>
      <c r="O5" s="48"/>
      <c r="P5" s="48"/>
      <c r="Q5" s="48"/>
      <c r="R5" s="48"/>
      <c r="S5" s="49"/>
      <c r="T5" s="48"/>
      <c r="U5" s="48"/>
      <c r="V5" s="50"/>
      <c r="W5" s="48"/>
      <c r="X5" s="48"/>
      <c r="Y5" s="48"/>
      <c r="Z5" s="48"/>
      <c r="AA5" s="48"/>
      <c r="AB5" s="48"/>
      <c r="AC5" s="49"/>
      <c r="AD5" s="48"/>
      <c r="AE5" s="48"/>
      <c r="AF5" s="48"/>
      <c r="AG5" s="48"/>
      <c r="AH5" s="48"/>
      <c r="AI5" s="51"/>
      <c r="AJ5" s="52"/>
      <c r="AK5" s="48"/>
      <c r="AL5" s="48"/>
      <c r="AM5" s="48"/>
      <c r="AN5" s="48"/>
      <c r="AO5" s="48"/>
      <c r="AP5" s="48"/>
      <c r="AQ5" s="49"/>
      <c r="AR5" s="48"/>
      <c r="AS5" s="48"/>
      <c r="AT5" s="48"/>
      <c r="AU5" s="48"/>
      <c r="AV5" s="48"/>
      <c r="AW5" s="48"/>
      <c r="AX5" s="48"/>
      <c r="AY5" s="49"/>
      <c r="AZ5" s="48"/>
      <c r="BA5" s="48"/>
      <c r="BB5" s="48"/>
      <c r="BC5" s="48"/>
      <c r="BD5" s="48"/>
      <c r="BE5" s="48"/>
      <c r="BF5" s="48"/>
      <c r="BG5" s="48"/>
      <c r="BH5" s="48"/>
      <c r="BI5" s="48"/>
      <c r="BJ5" s="48"/>
      <c r="BK5" s="50"/>
      <c r="BL5" s="48"/>
      <c r="BM5" s="48"/>
      <c r="BN5" s="48"/>
      <c r="BO5" s="48"/>
      <c r="BP5" s="48"/>
      <c r="BQ5" s="49"/>
      <c r="BR5" s="48"/>
      <c r="BS5" s="48"/>
      <c r="BT5" s="50"/>
      <c r="BU5" s="49"/>
      <c r="BV5" s="48"/>
      <c r="BW5" s="48"/>
      <c r="BX5" s="48"/>
      <c r="BY5" s="48"/>
      <c r="BZ5" s="50"/>
    </row>
    <row r="6" spans="1:78" ht="15.75" customHeight="1" x14ac:dyDescent="0.2">
      <c r="A6" s="48" t="s">
        <v>212</v>
      </c>
      <c r="B6" s="48" t="s">
        <v>293</v>
      </c>
      <c r="C6" s="48"/>
      <c r="D6" s="48" t="s">
        <v>294</v>
      </c>
      <c r="E6" s="49" t="s">
        <v>295</v>
      </c>
      <c r="F6" s="48">
        <v>1000</v>
      </c>
      <c r="G6" s="48">
        <v>0.02</v>
      </c>
      <c r="H6" s="48">
        <v>25</v>
      </c>
      <c r="I6" s="49"/>
      <c r="J6" s="48"/>
      <c r="K6" s="48"/>
      <c r="L6" s="48"/>
      <c r="M6" s="50"/>
      <c r="N6" s="48"/>
      <c r="O6" s="48"/>
      <c r="P6" s="48"/>
      <c r="Q6" s="48"/>
      <c r="R6" s="48"/>
      <c r="S6" s="49"/>
      <c r="T6" s="48"/>
      <c r="U6" s="48"/>
      <c r="V6" s="50"/>
      <c r="W6" s="48"/>
      <c r="X6" s="48">
        <v>150</v>
      </c>
      <c r="Y6" s="48">
        <v>0.06</v>
      </c>
      <c r="Z6" s="48">
        <v>15</v>
      </c>
      <c r="AA6" s="48">
        <v>0.9</v>
      </c>
      <c r="AB6" s="48"/>
      <c r="AC6" s="49"/>
      <c r="AD6" s="48"/>
      <c r="AE6" s="48"/>
      <c r="AF6" s="48"/>
      <c r="AG6" s="48">
        <v>30</v>
      </c>
      <c r="AH6" s="48"/>
      <c r="AI6" s="51">
        <v>0.86299999999999999</v>
      </c>
      <c r="AJ6" s="52"/>
      <c r="AK6" s="48"/>
      <c r="AL6" s="48" t="s">
        <v>296</v>
      </c>
      <c r="AM6" s="48">
        <v>1.4999999999999999E-2</v>
      </c>
      <c r="AN6" s="48"/>
      <c r="AO6" s="48"/>
      <c r="AP6" s="48"/>
      <c r="AQ6" s="49"/>
      <c r="AR6" s="48"/>
      <c r="AS6" s="48"/>
      <c r="AT6" s="48"/>
      <c r="AU6" s="48"/>
      <c r="AV6" s="48"/>
      <c r="AW6" s="48"/>
      <c r="AX6" s="48"/>
      <c r="AY6" s="49"/>
      <c r="AZ6" s="48">
        <v>60000</v>
      </c>
      <c r="BA6" s="48"/>
      <c r="BB6" s="48">
        <v>0.03</v>
      </c>
      <c r="BC6" s="48">
        <v>0.65</v>
      </c>
      <c r="BD6" s="48"/>
      <c r="BE6" s="48"/>
      <c r="BF6" s="48"/>
      <c r="BG6" s="48"/>
      <c r="BH6" s="48"/>
      <c r="BI6" s="48">
        <v>0.5</v>
      </c>
      <c r="BJ6" s="48">
        <v>0.25</v>
      </c>
      <c r="BK6" s="50">
        <v>0.25</v>
      </c>
      <c r="BL6" s="48"/>
      <c r="BM6" s="48"/>
      <c r="BN6" s="48"/>
      <c r="BO6" s="48"/>
      <c r="BP6" s="48"/>
      <c r="BQ6" s="49"/>
      <c r="BR6" s="48"/>
      <c r="BS6" s="48"/>
      <c r="BT6" s="50"/>
      <c r="BU6" s="49"/>
      <c r="BV6" s="48"/>
      <c r="BW6" s="48"/>
      <c r="BX6" s="48"/>
      <c r="BY6" s="48"/>
      <c r="BZ6" s="50"/>
    </row>
    <row r="7" spans="1:78" ht="15.75" customHeight="1" x14ac:dyDescent="0.2">
      <c r="A7" s="48" t="s">
        <v>297</v>
      </c>
      <c r="B7" s="48"/>
      <c r="C7" s="48"/>
      <c r="D7" s="48" t="s">
        <v>298</v>
      </c>
      <c r="E7" s="49" t="s">
        <v>295</v>
      </c>
      <c r="F7" s="48"/>
      <c r="G7" s="48"/>
      <c r="H7" s="48"/>
      <c r="I7" s="53">
        <v>7</v>
      </c>
      <c r="J7" s="54">
        <f>ROUND(383000000/125000,0)</f>
        <v>3064</v>
      </c>
      <c r="K7" s="54">
        <f>ROUND(97/500.46,2)</f>
        <v>0.19</v>
      </c>
      <c r="L7" s="55" t="s">
        <v>299</v>
      </c>
      <c r="M7" s="56">
        <f>ROUND(20.403/500.46,2)</f>
        <v>0.04</v>
      </c>
      <c r="N7" s="48"/>
      <c r="O7" s="48"/>
      <c r="P7" s="48">
        <v>550</v>
      </c>
      <c r="Q7" s="48">
        <v>1.4999999999999999E-2</v>
      </c>
      <c r="R7" s="48">
        <v>35</v>
      </c>
      <c r="S7" s="49"/>
      <c r="T7" s="48"/>
      <c r="U7" s="48"/>
      <c r="V7" s="50"/>
      <c r="W7" s="48"/>
      <c r="X7" s="48"/>
      <c r="Y7" s="48"/>
      <c r="Z7" s="48"/>
      <c r="AA7" s="48"/>
      <c r="AB7" s="48"/>
      <c r="AC7" s="49"/>
      <c r="AD7" s="48"/>
      <c r="AE7" s="48"/>
      <c r="AF7" s="48"/>
      <c r="AG7" s="48"/>
      <c r="AH7" s="48"/>
      <c r="AI7" s="51"/>
      <c r="AJ7" s="52"/>
      <c r="AK7" s="48"/>
      <c r="AL7" s="48"/>
      <c r="AM7" s="48"/>
      <c r="AN7" s="48"/>
      <c r="AO7" s="48"/>
      <c r="AP7" s="48"/>
      <c r="AQ7" s="49"/>
      <c r="AR7" s="48"/>
      <c r="AS7" s="48"/>
      <c r="AT7" s="48"/>
      <c r="AU7" s="48"/>
      <c r="AV7" s="48"/>
      <c r="AW7" s="48"/>
      <c r="AX7" s="48"/>
      <c r="AY7" s="49"/>
      <c r="AZ7" s="48"/>
      <c r="BA7" s="48"/>
      <c r="BB7" s="48"/>
      <c r="BC7" s="48"/>
      <c r="BD7" s="48"/>
      <c r="BE7" s="48"/>
      <c r="BF7" s="48"/>
      <c r="BG7" s="48"/>
      <c r="BH7" s="48"/>
      <c r="BI7" s="48"/>
      <c r="BJ7" s="48"/>
      <c r="BK7" s="50"/>
      <c r="BL7" s="48"/>
      <c r="BM7" s="48"/>
      <c r="BN7" s="48"/>
      <c r="BO7" s="48"/>
      <c r="BP7" s="48"/>
      <c r="BQ7" s="49"/>
      <c r="BR7" s="48"/>
      <c r="BS7" s="48"/>
      <c r="BT7" s="50"/>
      <c r="BU7" s="49"/>
      <c r="BV7" s="48"/>
      <c r="BW7" s="48"/>
      <c r="BX7" s="48"/>
      <c r="BY7" s="48"/>
      <c r="BZ7" s="50"/>
    </row>
    <row r="8" spans="1:78" ht="15.75" customHeight="1" x14ac:dyDescent="0.2">
      <c r="A8" s="48" t="s">
        <v>300</v>
      </c>
      <c r="B8" s="48"/>
      <c r="C8" s="48"/>
      <c r="D8" s="48" t="s">
        <v>294</v>
      </c>
      <c r="E8" s="49" t="s">
        <v>295</v>
      </c>
      <c r="F8" s="48"/>
      <c r="G8" s="48"/>
      <c r="H8" s="48"/>
      <c r="I8" s="49"/>
      <c r="J8" s="48"/>
      <c r="K8" s="48"/>
      <c r="L8" s="48"/>
      <c r="M8" s="50"/>
      <c r="N8" s="48"/>
      <c r="O8" s="48"/>
      <c r="P8" s="48"/>
      <c r="Q8" s="48"/>
      <c r="R8" s="48"/>
      <c r="S8" s="49"/>
      <c r="T8" s="48"/>
      <c r="U8" s="48"/>
      <c r="V8" s="50"/>
      <c r="W8" s="48"/>
      <c r="X8" s="48"/>
      <c r="Y8" s="48"/>
      <c r="Z8" s="48"/>
      <c r="AA8" s="48"/>
      <c r="AB8" s="48"/>
      <c r="AC8" s="49"/>
      <c r="AD8" s="48"/>
      <c r="AE8" s="48"/>
      <c r="AF8" s="48"/>
      <c r="AG8" s="48"/>
      <c r="AH8" s="48"/>
      <c r="AI8" s="51"/>
      <c r="AJ8" s="52"/>
      <c r="AK8" s="48"/>
      <c r="AL8" s="48"/>
      <c r="AM8" s="48"/>
      <c r="AN8" s="48"/>
      <c r="AO8" s="48"/>
      <c r="AP8" s="48"/>
      <c r="AQ8" s="49"/>
      <c r="AR8" s="48"/>
      <c r="AS8" s="48"/>
      <c r="AT8" s="48"/>
      <c r="AU8" s="48"/>
      <c r="AV8" s="48"/>
      <c r="AW8" s="48"/>
      <c r="AX8" s="48"/>
      <c r="AY8" s="49"/>
      <c r="AZ8" s="48"/>
      <c r="BA8" s="48"/>
      <c r="BB8" s="48"/>
      <c r="BC8" s="48"/>
      <c r="BD8" s="48"/>
      <c r="BE8" s="48"/>
      <c r="BF8" s="48"/>
      <c r="BG8" s="48"/>
      <c r="BH8" s="48"/>
      <c r="BI8" s="48"/>
      <c r="BJ8" s="48"/>
      <c r="BK8" s="50"/>
      <c r="BL8" s="48"/>
      <c r="BM8" s="48"/>
      <c r="BN8" s="48"/>
      <c r="BO8" s="48"/>
      <c r="BP8" s="48"/>
      <c r="BQ8" s="49"/>
      <c r="BR8" s="48"/>
      <c r="BS8" s="48"/>
      <c r="BT8" s="50"/>
      <c r="BU8" s="49"/>
      <c r="BV8" s="48"/>
      <c r="BW8" s="48"/>
      <c r="BX8" s="48"/>
      <c r="BY8" s="48"/>
      <c r="BZ8" s="50"/>
    </row>
    <row r="9" spans="1:78" ht="15.75" customHeight="1" x14ac:dyDescent="0.2">
      <c r="A9" s="48" t="s">
        <v>301</v>
      </c>
      <c r="B9" s="48"/>
      <c r="C9" s="48"/>
      <c r="D9" s="48" t="s">
        <v>294</v>
      </c>
      <c r="E9" s="49" t="s">
        <v>295</v>
      </c>
      <c r="F9" s="48"/>
      <c r="G9" s="48"/>
      <c r="H9" s="48"/>
      <c r="I9" s="49"/>
      <c r="J9" s="48"/>
      <c r="K9" s="48"/>
      <c r="L9" s="48"/>
      <c r="M9" s="50"/>
      <c r="N9" s="48"/>
      <c r="O9" s="48"/>
      <c r="P9" s="48"/>
      <c r="Q9" s="48"/>
      <c r="R9" s="48"/>
      <c r="S9" s="49"/>
      <c r="T9" s="48"/>
      <c r="U9" s="48"/>
      <c r="V9" s="50"/>
      <c r="W9" s="48"/>
      <c r="X9" s="48"/>
      <c r="Y9" s="48"/>
      <c r="Z9" s="48"/>
      <c r="AA9" s="48"/>
      <c r="AB9" s="48"/>
      <c r="AC9" s="49"/>
      <c r="AD9" s="48"/>
      <c r="AE9" s="48"/>
      <c r="AF9" s="48"/>
      <c r="AG9" s="48"/>
      <c r="AH9" s="48"/>
      <c r="AI9" s="51"/>
      <c r="AJ9" s="52"/>
      <c r="AK9" s="48"/>
      <c r="AL9" s="48"/>
      <c r="AM9" s="48"/>
      <c r="AN9" s="48"/>
      <c r="AO9" s="48"/>
      <c r="AP9" s="48"/>
      <c r="AQ9" s="49"/>
      <c r="AR9" s="48"/>
      <c r="AS9" s="48"/>
      <c r="AT9" s="48"/>
      <c r="AU9" s="48"/>
      <c r="AV9" s="48"/>
      <c r="AW9" s="48"/>
      <c r="AX9" s="48"/>
      <c r="AY9" s="49"/>
      <c r="AZ9" s="48"/>
      <c r="BA9" s="48"/>
      <c r="BB9" s="48"/>
      <c r="BC9" s="48"/>
      <c r="BD9" s="48"/>
      <c r="BE9" s="48"/>
      <c r="BF9" s="48"/>
      <c r="BG9" s="48"/>
      <c r="BH9" s="48"/>
      <c r="BI9" s="48"/>
      <c r="BJ9" s="48"/>
      <c r="BK9" s="50"/>
      <c r="BL9" s="48"/>
      <c r="BM9" s="48"/>
      <c r="BN9" s="48"/>
      <c r="BO9" s="48"/>
      <c r="BP9" s="48"/>
      <c r="BQ9" s="49"/>
      <c r="BR9" s="48"/>
      <c r="BS9" s="48"/>
      <c r="BT9" s="50"/>
      <c r="BU9" s="49"/>
      <c r="BV9" s="48"/>
      <c r="BW9" s="48"/>
      <c r="BX9" s="48"/>
      <c r="BY9" s="48"/>
      <c r="BZ9" s="50"/>
    </row>
    <row r="10" spans="1:78" ht="15.75" customHeight="1" x14ac:dyDescent="0.2">
      <c r="A10" s="48" t="s">
        <v>302</v>
      </c>
      <c r="B10" s="48"/>
      <c r="C10" s="48" t="s">
        <v>303</v>
      </c>
      <c r="D10" s="48" t="s">
        <v>304</v>
      </c>
      <c r="E10" s="49" t="s">
        <v>295</v>
      </c>
      <c r="F10" s="48"/>
      <c r="G10" s="48"/>
      <c r="H10" s="48"/>
      <c r="I10" s="49"/>
      <c r="J10" s="48"/>
      <c r="K10" s="48"/>
      <c r="L10" s="48"/>
      <c r="M10" s="50"/>
      <c r="N10" s="48"/>
      <c r="O10" s="48"/>
      <c r="P10" s="48">
        <v>1200</v>
      </c>
      <c r="Q10" s="48"/>
      <c r="R10" s="48">
        <v>30</v>
      </c>
      <c r="S10" s="49"/>
      <c r="T10" s="48"/>
      <c r="U10" s="48"/>
      <c r="V10" s="50"/>
      <c r="W10" s="48"/>
      <c r="X10" s="48"/>
      <c r="Y10" s="48"/>
      <c r="Z10" s="48"/>
      <c r="AA10" s="48"/>
      <c r="AB10" s="48"/>
      <c r="AC10" s="49"/>
      <c r="AD10" s="48"/>
      <c r="AE10" s="48"/>
      <c r="AF10" s="48"/>
      <c r="AG10" s="48"/>
      <c r="AH10" s="48"/>
      <c r="AI10" s="51"/>
      <c r="AJ10" s="52"/>
      <c r="AK10" s="48"/>
      <c r="AL10" s="48"/>
      <c r="AM10" s="48"/>
      <c r="AN10" s="48"/>
      <c r="AO10" s="48"/>
      <c r="AP10" s="48"/>
      <c r="AQ10" s="49"/>
      <c r="AR10" s="48"/>
      <c r="AS10" s="48"/>
      <c r="AT10" s="48"/>
      <c r="AU10" s="48"/>
      <c r="AV10" s="48"/>
      <c r="AW10" s="48"/>
      <c r="AX10" s="48"/>
      <c r="AY10" s="49"/>
      <c r="AZ10" s="48"/>
      <c r="BA10" s="48"/>
      <c r="BB10" s="48"/>
      <c r="BC10" s="48"/>
      <c r="BD10" s="48"/>
      <c r="BE10" s="48"/>
      <c r="BF10" s="48"/>
      <c r="BG10" s="48"/>
      <c r="BH10" s="48"/>
      <c r="BI10" s="48"/>
      <c r="BJ10" s="48"/>
      <c r="BK10" s="50"/>
      <c r="BL10" s="48"/>
      <c r="BM10" s="48"/>
      <c r="BN10" s="48"/>
      <c r="BO10" s="48"/>
      <c r="BP10" s="48"/>
      <c r="BQ10" s="49"/>
      <c r="BR10" s="48"/>
      <c r="BS10" s="48"/>
      <c r="BT10" s="50"/>
      <c r="BU10" s="49"/>
      <c r="BV10" s="48"/>
      <c r="BW10" s="48"/>
      <c r="BX10" s="48"/>
      <c r="BY10" s="48"/>
      <c r="BZ10" s="50"/>
    </row>
    <row r="11" spans="1:78" ht="15.75" customHeight="1" x14ac:dyDescent="0.2">
      <c r="A11" s="57" t="s">
        <v>305</v>
      </c>
      <c r="B11" s="1"/>
      <c r="C11" s="3" t="s">
        <v>306</v>
      </c>
      <c r="E11" s="46" t="s">
        <v>295</v>
      </c>
      <c r="F11" s="1"/>
      <c r="G11" s="1"/>
      <c r="H11" s="1"/>
      <c r="I11" s="46"/>
      <c r="J11" s="1"/>
      <c r="K11" s="1"/>
      <c r="L11" s="1"/>
      <c r="M11" s="36"/>
      <c r="N11" s="1"/>
      <c r="O11" s="1"/>
      <c r="P11" s="1"/>
      <c r="Q11" s="1"/>
      <c r="R11" s="1"/>
      <c r="S11" s="46"/>
      <c r="T11" s="1"/>
      <c r="U11" s="1"/>
      <c r="V11" s="36"/>
      <c r="W11" s="1"/>
      <c r="X11" s="1"/>
      <c r="Y11" s="1"/>
      <c r="Z11" s="1"/>
      <c r="AA11" s="1"/>
      <c r="AB11" s="1">
        <v>0.5</v>
      </c>
      <c r="AC11" s="46"/>
      <c r="AD11" s="1"/>
      <c r="AE11" s="1"/>
      <c r="AF11" s="1"/>
      <c r="AG11" s="1"/>
      <c r="AH11" s="1"/>
      <c r="AI11" s="58"/>
      <c r="AJ11" s="59"/>
      <c r="AK11" s="1"/>
      <c r="AL11" s="1"/>
      <c r="AM11" s="1"/>
      <c r="AN11" s="1"/>
      <c r="AO11" s="1"/>
      <c r="AP11" s="1"/>
      <c r="AQ11" s="46"/>
      <c r="AR11" s="1"/>
      <c r="AS11" s="1"/>
      <c r="AT11" s="1"/>
      <c r="AU11" s="1"/>
      <c r="AV11" s="1"/>
      <c r="AW11" s="1"/>
      <c r="AX11" s="1"/>
      <c r="AY11" s="46"/>
      <c r="AZ11" s="1"/>
      <c r="BA11" s="1"/>
      <c r="BB11" s="1"/>
      <c r="BC11" s="1"/>
      <c r="BD11" s="1"/>
      <c r="BE11" s="1"/>
      <c r="BF11" s="1"/>
      <c r="BG11" s="1"/>
      <c r="BH11" s="1"/>
      <c r="BI11" s="1"/>
      <c r="BJ11" s="1"/>
      <c r="BK11" s="36"/>
      <c r="BL11" s="1"/>
      <c r="BM11" s="1"/>
      <c r="BN11" s="1"/>
      <c r="BO11" s="1"/>
      <c r="BP11" s="1"/>
      <c r="BQ11" s="46"/>
      <c r="BR11" s="1"/>
      <c r="BS11" s="1"/>
      <c r="BT11" s="36"/>
      <c r="BU11" s="46"/>
      <c r="BV11" s="1"/>
      <c r="BW11" s="1"/>
      <c r="BX11" s="1"/>
      <c r="BY11" s="1"/>
      <c r="BZ11" s="36"/>
    </row>
    <row r="12" spans="1:78" ht="15.75" customHeight="1" x14ac:dyDescent="0.2">
      <c r="A12" s="1" t="s">
        <v>307</v>
      </c>
      <c r="B12" s="1">
        <v>2017</v>
      </c>
      <c r="C12" s="1" t="s">
        <v>308</v>
      </c>
      <c r="D12" s="1"/>
      <c r="E12" s="46" t="s">
        <v>295</v>
      </c>
      <c r="F12" s="1"/>
      <c r="G12" s="1"/>
      <c r="H12" s="1"/>
      <c r="I12" s="46"/>
      <c r="J12" s="1"/>
      <c r="K12" s="1"/>
      <c r="L12" s="1"/>
      <c r="M12" s="36"/>
      <c r="N12" s="1"/>
      <c r="O12" s="1"/>
      <c r="P12" s="1"/>
      <c r="Q12" s="1"/>
      <c r="R12" s="1"/>
      <c r="S12" s="46"/>
      <c r="T12" s="1"/>
      <c r="U12" s="1"/>
      <c r="V12" s="36"/>
      <c r="W12" s="1"/>
      <c r="X12" s="1"/>
      <c r="Y12" s="1"/>
      <c r="Z12" s="1"/>
      <c r="AA12" s="1"/>
      <c r="AB12" s="1"/>
      <c r="AC12" s="46"/>
      <c r="AD12" s="1">
        <v>1300</v>
      </c>
      <c r="AE12" s="1">
        <v>0.03</v>
      </c>
      <c r="AF12" s="1"/>
      <c r="AG12" s="1">
        <v>20</v>
      </c>
      <c r="AH12" s="1"/>
      <c r="AI12" s="58">
        <f>1/(61/constants!C5)</f>
        <v>4.922955742627874E-4</v>
      </c>
      <c r="AJ12" s="59"/>
      <c r="AK12" s="1"/>
      <c r="AL12" s="1"/>
      <c r="AM12" s="1"/>
      <c r="AN12" s="1"/>
      <c r="AO12" s="1"/>
      <c r="AP12" s="1"/>
      <c r="AQ12" s="46"/>
      <c r="AR12" s="1"/>
      <c r="AS12" s="1"/>
      <c r="AT12" s="1"/>
      <c r="AU12" s="1"/>
      <c r="AV12" s="1"/>
      <c r="AW12" s="1"/>
      <c r="AX12" s="1"/>
      <c r="AY12" s="46"/>
      <c r="AZ12" s="1"/>
      <c r="BA12" s="1"/>
      <c r="BB12" s="1"/>
      <c r="BC12" s="1"/>
      <c r="BD12" s="1"/>
      <c r="BE12" s="1"/>
      <c r="BF12" s="1"/>
      <c r="BG12" s="1"/>
      <c r="BH12" s="1"/>
      <c r="BI12" s="1"/>
      <c r="BJ12" s="1"/>
      <c r="BK12" s="36"/>
      <c r="BL12" s="1"/>
      <c r="BM12" s="1"/>
      <c r="BN12" s="1"/>
      <c r="BO12" s="1"/>
      <c r="BP12" s="1"/>
      <c r="BQ12" s="46"/>
      <c r="BR12" s="1"/>
      <c r="BS12" s="1"/>
      <c r="BT12" s="36"/>
      <c r="BU12" s="46"/>
      <c r="BV12" s="1"/>
      <c r="BW12" s="1"/>
      <c r="BX12" s="1"/>
      <c r="BY12" s="1"/>
      <c r="BZ12" s="36"/>
    </row>
    <row r="13" spans="1:78" ht="15.75" customHeight="1" x14ac:dyDescent="0.2">
      <c r="A13" s="1" t="s">
        <v>307</v>
      </c>
      <c r="B13" s="1">
        <v>2025</v>
      </c>
      <c r="C13" s="1" t="s">
        <v>309</v>
      </c>
      <c r="D13" s="1"/>
      <c r="E13" s="46"/>
      <c r="F13" s="1"/>
      <c r="G13" s="1"/>
      <c r="H13" s="1"/>
      <c r="I13" s="46"/>
      <c r="J13" s="1"/>
      <c r="K13" s="1"/>
      <c r="L13" s="1"/>
      <c r="M13" s="36"/>
      <c r="N13" s="1"/>
      <c r="O13" s="1"/>
      <c r="P13" s="1"/>
      <c r="Q13" s="1"/>
      <c r="R13" s="1"/>
      <c r="S13" s="46"/>
      <c r="T13" s="1"/>
      <c r="U13" s="1"/>
      <c r="V13" s="36"/>
      <c r="W13" s="1"/>
      <c r="X13" s="1"/>
      <c r="Y13" s="1"/>
      <c r="Z13" s="1"/>
      <c r="AA13" s="1"/>
      <c r="AB13" s="1"/>
      <c r="AC13" s="46"/>
      <c r="AD13" s="1">
        <v>900</v>
      </c>
      <c r="AE13" s="1">
        <v>0.03</v>
      </c>
      <c r="AF13" s="1"/>
      <c r="AG13" s="1">
        <v>20</v>
      </c>
      <c r="AH13" s="1"/>
      <c r="AI13" s="58">
        <f>1/(53/constants!C5)</f>
        <v>5.6660434018924587E-4</v>
      </c>
      <c r="AJ13" s="59"/>
      <c r="AK13" s="1"/>
      <c r="AL13" s="1"/>
      <c r="AM13" s="1"/>
      <c r="AN13" s="1"/>
      <c r="AO13" s="1"/>
      <c r="AP13" s="1"/>
      <c r="AQ13" s="46"/>
      <c r="AR13" s="1"/>
      <c r="AS13" s="1"/>
      <c r="AT13" s="1"/>
      <c r="AU13" s="1"/>
      <c r="AV13" s="1"/>
      <c r="AW13" s="1"/>
      <c r="AX13" s="1"/>
      <c r="AY13" s="46"/>
      <c r="AZ13" s="1"/>
      <c r="BA13" s="1"/>
      <c r="BB13" s="1"/>
      <c r="BC13" s="1"/>
      <c r="BD13" s="1"/>
      <c r="BE13" s="1"/>
      <c r="BF13" s="1"/>
      <c r="BG13" s="1"/>
      <c r="BH13" s="1"/>
      <c r="BI13" s="1"/>
      <c r="BJ13" s="1"/>
      <c r="BK13" s="36"/>
      <c r="BL13" s="1"/>
      <c r="BM13" s="1"/>
      <c r="BN13" s="1"/>
      <c r="BO13" s="1"/>
      <c r="BP13" s="1"/>
      <c r="BQ13" s="46"/>
      <c r="BR13" s="1"/>
      <c r="BS13" s="1"/>
      <c r="BT13" s="36"/>
      <c r="BU13" s="46"/>
      <c r="BV13" s="1"/>
      <c r="BW13" s="1"/>
      <c r="BX13" s="1"/>
      <c r="BY13" s="1"/>
      <c r="BZ13" s="36"/>
    </row>
    <row r="14" spans="1:78" ht="15.75" customHeight="1" x14ac:dyDescent="0.2">
      <c r="A14" s="48" t="s">
        <v>310</v>
      </c>
      <c r="B14" s="48"/>
      <c r="C14" s="48" t="s">
        <v>311</v>
      </c>
      <c r="D14" s="48" t="s">
        <v>312</v>
      </c>
      <c r="E14" s="49" t="s">
        <v>295</v>
      </c>
      <c r="F14" s="48"/>
      <c r="G14" s="48"/>
      <c r="H14" s="48"/>
      <c r="I14" s="49"/>
      <c r="J14" s="48"/>
      <c r="K14" s="48"/>
      <c r="L14" s="48"/>
      <c r="M14" s="50"/>
      <c r="N14" s="48"/>
      <c r="O14" s="48"/>
      <c r="P14" s="48"/>
      <c r="Q14" s="48"/>
      <c r="R14" s="48"/>
      <c r="S14" s="49"/>
      <c r="T14" s="48"/>
      <c r="U14" s="48"/>
      <c r="V14" s="50"/>
      <c r="W14" s="48"/>
      <c r="X14" s="48"/>
      <c r="Y14" s="48"/>
      <c r="Z14" s="48"/>
      <c r="AA14" s="48"/>
      <c r="AB14" s="48"/>
      <c r="AC14" s="49"/>
      <c r="AD14" s="48">
        <f>78300000/100000</f>
        <v>783</v>
      </c>
      <c r="AE14" s="48">
        <v>0.11</v>
      </c>
      <c r="AF14" s="48"/>
      <c r="AG14" s="48"/>
      <c r="AH14" s="48"/>
      <c r="AI14" s="51"/>
      <c r="AJ14" s="52"/>
      <c r="AK14" s="48"/>
      <c r="AL14" s="48"/>
      <c r="AM14" s="48"/>
      <c r="AN14" s="48"/>
      <c r="AO14" s="48"/>
      <c r="AP14" s="48"/>
      <c r="AQ14" s="49"/>
      <c r="AR14" s="48"/>
      <c r="AS14" s="48"/>
      <c r="AT14" s="48"/>
      <c r="AU14" s="48"/>
      <c r="AV14" s="48"/>
      <c r="AW14" s="48"/>
      <c r="AX14" s="48"/>
      <c r="AY14" s="49"/>
      <c r="AZ14" s="48"/>
      <c r="BA14" s="48"/>
      <c r="BB14" s="48"/>
      <c r="BC14" s="48"/>
      <c r="BD14" s="48"/>
      <c r="BE14" s="48"/>
      <c r="BF14" s="48"/>
      <c r="BG14" s="48"/>
      <c r="BH14" s="48"/>
      <c r="BI14" s="48"/>
      <c r="BJ14" s="48"/>
      <c r="BK14" s="50"/>
      <c r="BL14" s="48"/>
      <c r="BM14" s="48"/>
      <c r="BN14" s="48"/>
      <c r="BO14" s="48"/>
      <c r="BP14" s="48"/>
      <c r="BQ14" s="49"/>
      <c r="BR14" s="48"/>
      <c r="BS14" s="48"/>
      <c r="BT14" s="50"/>
      <c r="BU14" s="49"/>
      <c r="BV14" s="48"/>
      <c r="BW14" s="48"/>
      <c r="BX14" s="48"/>
      <c r="BY14" s="48"/>
      <c r="BZ14" s="50"/>
    </row>
    <row r="15" spans="1:78" ht="15.75" customHeight="1" x14ac:dyDescent="0.2">
      <c r="A15" s="48" t="s">
        <v>310</v>
      </c>
      <c r="B15" s="48"/>
      <c r="C15" s="48" t="s">
        <v>313</v>
      </c>
      <c r="D15" s="48" t="s">
        <v>314</v>
      </c>
      <c r="E15" s="49" t="s">
        <v>295</v>
      </c>
      <c r="F15" s="48"/>
      <c r="G15" s="48"/>
      <c r="H15" s="48"/>
      <c r="I15" s="49"/>
      <c r="J15" s="48"/>
      <c r="K15" s="48"/>
      <c r="L15" s="48"/>
      <c r="M15" s="50"/>
      <c r="N15" s="48"/>
      <c r="O15" s="48"/>
      <c r="P15" s="48"/>
      <c r="Q15" s="48"/>
      <c r="R15" s="48"/>
      <c r="S15" s="49"/>
      <c r="T15" s="48"/>
      <c r="U15" s="48"/>
      <c r="V15" s="50"/>
      <c r="W15" s="48"/>
      <c r="X15" s="48"/>
      <c r="Y15" s="48"/>
      <c r="Z15" s="48"/>
      <c r="AA15" s="48"/>
      <c r="AB15" s="48"/>
      <c r="AC15" s="49"/>
      <c r="AD15" s="48">
        <f>11000000/10000</f>
        <v>1100</v>
      </c>
      <c r="AE15" s="48">
        <v>0.11</v>
      </c>
      <c r="AF15" s="48"/>
      <c r="AG15" s="48"/>
      <c r="AH15" s="48"/>
      <c r="AI15" s="58"/>
      <c r="AJ15" s="59"/>
      <c r="AK15" s="48"/>
      <c r="AL15" s="48"/>
      <c r="AM15" s="48"/>
      <c r="AN15" s="48"/>
      <c r="AO15" s="48"/>
      <c r="AP15" s="48"/>
      <c r="AQ15" s="49"/>
      <c r="AR15" s="48"/>
      <c r="AS15" s="48"/>
      <c r="AT15" s="48"/>
      <c r="AU15" s="48"/>
      <c r="AV15" s="48"/>
      <c r="AW15" s="48"/>
      <c r="AX15" s="48"/>
      <c r="AY15" s="49"/>
      <c r="AZ15" s="60"/>
      <c r="BA15" s="48"/>
      <c r="BB15" s="48"/>
      <c r="BC15" s="48"/>
      <c r="BD15" s="48"/>
      <c r="BE15" s="48"/>
      <c r="BF15" s="48"/>
      <c r="BG15" s="48"/>
      <c r="BH15" s="48"/>
      <c r="BI15" s="48"/>
      <c r="BJ15" s="48"/>
      <c r="BK15" s="50"/>
      <c r="BL15" s="48"/>
      <c r="BM15" s="48"/>
      <c r="BN15" s="48"/>
      <c r="BO15" s="48"/>
      <c r="BP15" s="48"/>
      <c r="BQ15" s="49"/>
      <c r="BR15" s="48"/>
      <c r="BS15" s="48"/>
      <c r="BT15" s="50"/>
      <c r="BU15" s="49"/>
      <c r="BV15" s="48"/>
      <c r="BW15" s="48"/>
      <c r="BX15" s="48"/>
      <c r="BY15" s="48"/>
      <c r="BZ15" s="50"/>
    </row>
    <row r="16" spans="1:78" ht="15.75" customHeight="1" x14ac:dyDescent="0.2">
      <c r="A16" s="48" t="s">
        <v>315</v>
      </c>
      <c r="B16" s="48">
        <v>2050</v>
      </c>
      <c r="C16" s="48" t="s">
        <v>316</v>
      </c>
      <c r="D16" s="48" t="s">
        <v>317</v>
      </c>
      <c r="E16" s="49" t="s">
        <v>295</v>
      </c>
      <c r="F16" s="48"/>
      <c r="G16" s="48"/>
      <c r="H16" s="48"/>
      <c r="I16" s="49"/>
      <c r="J16" s="48"/>
      <c r="K16" s="48"/>
      <c r="L16" s="48"/>
      <c r="M16" s="50"/>
      <c r="N16" s="48"/>
      <c r="O16" s="48"/>
      <c r="P16" s="48">
        <v>500</v>
      </c>
      <c r="Q16" s="48">
        <f>8/P16</f>
        <v>1.6E-2</v>
      </c>
      <c r="R16" s="48">
        <v>25</v>
      </c>
      <c r="S16" s="49"/>
      <c r="T16" s="48"/>
      <c r="U16" s="48"/>
      <c r="V16" s="50"/>
      <c r="W16" s="48"/>
      <c r="X16" s="48"/>
      <c r="Y16" s="48"/>
      <c r="Z16" s="48"/>
      <c r="AA16" s="48"/>
      <c r="AB16" s="48"/>
      <c r="AC16" s="49"/>
      <c r="AD16" s="48">
        <v>400</v>
      </c>
      <c r="AE16" s="48">
        <f>7/AD16</f>
        <v>1.7500000000000002E-2</v>
      </c>
      <c r="AF16" s="48"/>
      <c r="AG16" s="48">
        <v>10</v>
      </c>
      <c r="AH16" s="48"/>
      <c r="AI16" s="58">
        <v>0.65500000000000003</v>
      </c>
      <c r="AJ16" s="59"/>
      <c r="AK16" s="48"/>
      <c r="AL16" s="48"/>
      <c r="AM16" s="48"/>
      <c r="AN16" s="48"/>
      <c r="AO16" s="48"/>
      <c r="AP16" s="48"/>
      <c r="AQ16" s="49"/>
      <c r="AR16" s="48"/>
      <c r="AS16" s="48"/>
      <c r="AT16" s="48"/>
      <c r="AU16" s="48"/>
      <c r="AV16" s="48"/>
      <c r="AW16" s="48"/>
      <c r="AX16" s="48"/>
      <c r="AY16" s="49"/>
      <c r="AZ16" s="48"/>
      <c r="BA16" s="48"/>
      <c r="BB16" s="48"/>
      <c r="BC16" s="48"/>
      <c r="BD16" s="48"/>
      <c r="BE16" s="48"/>
      <c r="BF16" s="48"/>
      <c r="BG16" s="48"/>
      <c r="BH16" s="48"/>
      <c r="BI16" s="48"/>
      <c r="BJ16" s="48"/>
      <c r="BK16" s="50"/>
      <c r="BL16" s="48"/>
      <c r="BM16" s="48"/>
      <c r="BN16" s="48"/>
      <c r="BO16" s="48"/>
      <c r="BP16" s="48"/>
      <c r="BQ16" s="49"/>
      <c r="BR16" s="48"/>
      <c r="BS16" s="48"/>
      <c r="BT16" s="50"/>
      <c r="BU16" s="49"/>
      <c r="BV16" s="48"/>
      <c r="BW16" s="48"/>
      <c r="BX16" s="48"/>
      <c r="BY16" s="48"/>
      <c r="BZ16" s="50"/>
    </row>
    <row r="17" spans="1:78" ht="15.75" customHeight="1" x14ac:dyDescent="0.2">
      <c r="A17" s="1" t="s">
        <v>318</v>
      </c>
      <c r="B17" s="1">
        <v>2020</v>
      </c>
      <c r="C17" s="3" t="s">
        <v>319</v>
      </c>
      <c r="E17" s="46" t="s">
        <v>295</v>
      </c>
      <c r="F17" s="1"/>
      <c r="G17" s="1"/>
      <c r="H17" s="1"/>
      <c r="I17" s="46"/>
      <c r="J17" s="1"/>
      <c r="K17" s="1"/>
      <c r="L17" s="1"/>
      <c r="M17" s="36"/>
      <c r="N17" s="1"/>
      <c r="O17" s="1"/>
      <c r="P17" s="1"/>
      <c r="Q17" s="1"/>
      <c r="R17" s="1"/>
      <c r="S17" s="46"/>
      <c r="T17" s="1"/>
      <c r="U17" s="1"/>
      <c r="V17" s="36"/>
      <c r="W17" s="1"/>
      <c r="X17" s="1"/>
      <c r="Y17" s="1"/>
      <c r="Z17" s="1"/>
      <c r="AA17" s="1"/>
      <c r="AB17" s="1"/>
      <c r="AC17" s="46"/>
      <c r="AD17" s="61">
        <v>1188</v>
      </c>
      <c r="AE17" s="1"/>
      <c r="AF17" s="1"/>
      <c r="AG17" s="1"/>
      <c r="AH17" s="1"/>
      <c r="AI17" s="58"/>
      <c r="AJ17" s="59"/>
      <c r="AK17" s="1"/>
      <c r="AL17" s="1"/>
      <c r="AM17" s="1"/>
      <c r="AN17" s="1"/>
      <c r="AO17" s="1"/>
      <c r="AP17" s="1"/>
      <c r="AQ17" s="46"/>
      <c r="AR17" s="1"/>
      <c r="AS17" s="1"/>
      <c r="AT17" s="1"/>
      <c r="AU17" s="1"/>
      <c r="AV17" s="1"/>
      <c r="AW17" s="1"/>
      <c r="AX17" s="1"/>
      <c r="AY17" s="46"/>
      <c r="AZ17" s="1"/>
      <c r="BA17" s="1"/>
      <c r="BB17" s="1"/>
      <c r="BC17" s="1"/>
      <c r="BD17" s="1"/>
      <c r="BE17" s="1"/>
      <c r="BF17" s="1"/>
      <c r="BG17" s="1"/>
      <c r="BH17" s="1"/>
      <c r="BI17" s="1"/>
      <c r="BJ17" s="1"/>
      <c r="BK17" s="36"/>
      <c r="BL17" s="1"/>
      <c r="BM17" s="1"/>
      <c r="BN17" s="1"/>
      <c r="BO17" s="1"/>
      <c r="BP17" s="1"/>
      <c r="BQ17" s="46"/>
      <c r="BR17" s="1"/>
      <c r="BS17" s="1"/>
      <c r="BT17" s="36"/>
      <c r="BU17" s="46"/>
      <c r="BV17" s="1"/>
      <c r="BW17" s="1"/>
      <c r="BX17" s="1"/>
      <c r="BY17" s="1"/>
      <c r="BZ17" s="36"/>
    </row>
    <row r="18" spans="1:78" ht="15.75" customHeight="1" x14ac:dyDescent="0.2">
      <c r="A18" s="1" t="s">
        <v>318</v>
      </c>
      <c r="B18" s="1">
        <v>2030</v>
      </c>
      <c r="C18" s="3" t="s">
        <v>319</v>
      </c>
      <c r="E18" s="46" t="s">
        <v>295</v>
      </c>
      <c r="F18" s="1"/>
      <c r="G18" s="1"/>
      <c r="H18" s="1"/>
      <c r="I18" s="46"/>
      <c r="J18" s="1"/>
      <c r="K18" s="1"/>
      <c r="L18" s="1"/>
      <c r="M18" s="36"/>
      <c r="N18" s="1"/>
      <c r="O18" s="1"/>
      <c r="P18" s="1"/>
      <c r="Q18" s="1"/>
      <c r="R18" s="1"/>
      <c r="S18" s="46"/>
      <c r="T18" s="1"/>
      <c r="U18" s="1"/>
      <c r="V18" s="36"/>
      <c r="W18" s="1"/>
      <c r="X18" s="1"/>
      <c r="Y18" s="1"/>
      <c r="Z18" s="1"/>
      <c r="AA18" s="1"/>
      <c r="AB18" s="1"/>
      <c r="AC18" s="46"/>
      <c r="AD18" s="61">
        <v>701</v>
      </c>
      <c r="AE18" s="1"/>
      <c r="AF18" s="1"/>
      <c r="AG18" s="1"/>
      <c r="AH18" s="1"/>
      <c r="AI18" s="58"/>
      <c r="AJ18" s="59"/>
      <c r="AK18" s="1"/>
      <c r="AL18" s="1"/>
      <c r="AM18" s="1"/>
      <c r="AN18" s="1"/>
      <c r="AO18" s="1"/>
      <c r="AP18" s="1"/>
      <c r="AQ18" s="46"/>
      <c r="AR18" s="1"/>
      <c r="AS18" s="1"/>
      <c r="AT18" s="1"/>
      <c r="AU18" s="1"/>
      <c r="AV18" s="1"/>
      <c r="AW18" s="1"/>
      <c r="AX18" s="1"/>
      <c r="AY18" s="46"/>
      <c r="AZ18" s="1"/>
      <c r="BA18" s="1"/>
      <c r="BB18" s="8"/>
      <c r="BC18" s="1"/>
      <c r="BD18" s="1"/>
      <c r="BE18" s="1"/>
      <c r="BF18" s="1"/>
      <c r="BG18" s="1"/>
      <c r="BH18" s="1"/>
      <c r="BI18" s="1"/>
      <c r="BJ18" s="1"/>
      <c r="BK18" s="36"/>
      <c r="BL18" s="1"/>
      <c r="BM18" s="1"/>
      <c r="BN18" s="1"/>
      <c r="BO18" s="1"/>
      <c r="BP18" s="1"/>
      <c r="BQ18" s="46"/>
      <c r="BR18" s="1"/>
      <c r="BS18" s="1"/>
      <c r="BT18" s="36"/>
      <c r="BU18" s="46"/>
      <c r="BV18" s="1"/>
      <c r="BW18" s="1"/>
      <c r="BX18" s="1"/>
      <c r="BY18" s="1"/>
      <c r="BZ18" s="36"/>
    </row>
    <row r="19" spans="1:78" ht="15.75" customHeight="1" x14ac:dyDescent="0.2">
      <c r="A19" s="1" t="s">
        <v>318</v>
      </c>
      <c r="B19" s="1">
        <v>2050</v>
      </c>
      <c r="C19" s="3" t="s">
        <v>319</v>
      </c>
      <c r="E19" s="46" t="s">
        <v>295</v>
      </c>
      <c r="F19" s="1"/>
      <c r="G19" s="1"/>
      <c r="H19" s="1"/>
      <c r="I19" s="46"/>
      <c r="J19" s="1"/>
      <c r="K19" s="1"/>
      <c r="L19" s="1"/>
      <c r="M19" s="36"/>
      <c r="N19" s="1"/>
      <c r="O19" s="1"/>
      <c r="P19" s="1"/>
      <c r="Q19" s="1"/>
      <c r="R19" s="1"/>
      <c r="S19" s="46"/>
      <c r="T19" s="1"/>
      <c r="U19" s="1"/>
      <c r="V19" s="36"/>
      <c r="W19" s="1"/>
      <c r="X19" s="1"/>
      <c r="Y19" s="1"/>
      <c r="Z19" s="1"/>
      <c r="AA19" s="1"/>
      <c r="AB19" s="1"/>
      <c r="AC19" s="46"/>
      <c r="AD19" s="61">
        <v>308</v>
      </c>
      <c r="AE19" s="1"/>
      <c r="AF19" s="1"/>
      <c r="AG19" s="1"/>
      <c r="AH19" s="1"/>
      <c r="AI19" s="58"/>
      <c r="AJ19" s="59"/>
      <c r="AK19" s="1"/>
      <c r="AL19" s="1"/>
      <c r="AM19" s="1"/>
      <c r="AN19" s="1"/>
      <c r="AO19" s="1"/>
      <c r="AP19" s="1"/>
      <c r="AQ19" s="46"/>
      <c r="AR19" s="1"/>
      <c r="AS19" s="1"/>
      <c r="AT19" s="1"/>
      <c r="AU19" s="1"/>
      <c r="AV19" s="1"/>
      <c r="AW19" s="1"/>
      <c r="AX19" s="1"/>
      <c r="AY19" s="46"/>
      <c r="AZ19" s="1"/>
      <c r="BA19" s="1"/>
      <c r="BB19" s="8"/>
      <c r="BC19" s="1"/>
      <c r="BD19" s="1"/>
      <c r="BE19" s="1"/>
      <c r="BF19" s="1"/>
      <c r="BG19" s="1"/>
      <c r="BH19" s="1"/>
      <c r="BI19" s="1"/>
      <c r="BJ19" s="1"/>
      <c r="BK19" s="36"/>
      <c r="BL19" s="1"/>
      <c r="BM19" s="1"/>
      <c r="BN19" s="1"/>
      <c r="BO19" s="1"/>
      <c r="BP19" s="1"/>
      <c r="BQ19" s="46"/>
      <c r="BR19" s="1"/>
      <c r="BS19" s="1"/>
      <c r="BT19" s="36"/>
      <c r="BU19" s="46"/>
      <c r="BV19" s="1"/>
      <c r="BW19" s="1"/>
      <c r="BX19" s="1"/>
      <c r="BY19" s="1"/>
      <c r="BZ19" s="36"/>
    </row>
    <row r="20" spans="1:78" ht="15.75" customHeight="1" x14ac:dyDescent="0.2">
      <c r="A20" s="48" t="s">
        <v>320</v>
      </c>
      <c r="B20" s="48">
        <v>2040</v>
      </c>
      <c r="C20" s="48" t="s">
        <v>321</v>
      </c>
      <c r="D20" s="48" t="s">
        <v>322</v>
      </c>
      <c r="E20" s="49" t="s">
        <v>295</v>
      </c>
      <c r="F20" s="48" t="s">
        <v>323</v>
      </c>
      <c r="G20" s="48">
        <v>1.9E-2</v>
      </c>
      <c r="H20" s="48">
        <v>25</v>
      </c>
      <c r="I20" s="49"/>
      <c r="J20" s="48">
        <v>2610</v>
      </c>
      <c r="K20" s="48">
        <v>2.8000000000000001E-2</v>
      </c>
      <c r="L20" s="48">
        <v>25</v>
      </c>
      <c r="M20" s="50"/>
      <c r="N20" s="48"/>
      <c r="O20" s="48"/>
      <c r="P20" s="48">
        <v>600</v>
      </c>
      <c r="Q20" s="48">
        <v>1.7000000000000001E-2</v>
      </c>
      <c r="R20" s="48">
        <v>25</v>
      </c>
      <c r="S20" s="49"/>
      <c r="T20" s="48">
        <v>4930</v>
      </c>
      <c r="U20" s="48">
        <v>0.04</v>
      </c>
      <c r="V20" s="50">
        <v>30</v>
      </c>
      <c r="W20" s="48"/>
      <c r="X20" s="48"/>
      <c r="Y20" s="48"/>
      <c r="Z20" s="48"/>
      <c r="AA20" s="48"/>
      <c r="AB20" s="48"/>
      <c r="AC20" s="49"/>
      <c r="AD20" s="48"/>
      <c r="AE20" s="48"/>
      <c r="AF20" s="48"/>
      <c r="AG20" s="48"/>
      <c r="AH20" s="48"/>
      <c r="AI20" s="51"/>
      <c r="AJ20" s="52"/>
      <c r="AK20" s="48"/>
      <c r="AL20" s="48"/>
      <c r="AM20" s="48"/>
      <c r="AN20" s="48"/>
      <c r="AO20" s="48"/>
      <c r="AP20" s="48"/>
      <c r="AQ20" s="49"/>
      <c r="AR20" s="48"/>
      <c r="AS20" s="48"/>
      <c r="AT20" s="48"/>
      <c r="AU20" s="48"/>
      <c r="AV20" s="48"/>
      <c r="AW20" s="48"/>
      <c r="AX20" s="48"/>
      <c r="AY20" s="49"/>
      <c r="AZ20" s="48"/>
      <c r="BA20" s="48"/>
      <c r="BB20" s="48"/>
      <c r="BC20" s="48"/>
      <c r="BD20" s="48"/>
      <c r="BE20" s="48"/>
      <c r="BF20" s="48"/>
      <c r="BG20" s="48"/>
      <c r="BH20" s="48"/>
      <c r="BI20" s="48"/>
      <c r="BJ20" s="48"/>
      <c r="BK20" s="50"/>
      <c r="BL20" s="48"/>
      <c r="BM20" s="48"/>
      <c r="BN20" s="48"/>
      <c r="BO20" s="48"/>
      <c r="BP20" s="48"/>
      <c r="BQ20" s="49"/>
      <c r="BR20" s="48"/>
      <c r="BS20" s="48"/>
      <c r="BT20" s="50"/>
      <c r="BU20" s="49"/>
      <c r="BV20" s="48"/>
      <c r="BW20" s="48"/>
      <c r="BX20" s="48"/>
      <c r="BY20" s="48"/>
      <c r="BZ20" s="50"/>
    </row>
    <row r="21" spans="1:78" ht="15.75" customHeight="1" x14ac:dyDescent="0.2">
      <c r="A21" s="48" t="s">
        <v>324</v>
      </c>
      <c r="B21" s="48">
        <v>2020</v>
      </c>
      <c r="C21" s="48" t="s">
        <v>325</v>
      </c>
      <c r="D21" s="48" t="s">
        <v>326</v>
      </c>
      <c r="E21" s="49" t="s">
        <v>295</v>
      </c>
      <c r="F21" s="48"/>
      <c r="G21" s="48"/>
      <c r="H21" s="48"/>
      <c r="I21" s="49"/>
      <c r="J21" s="48">
        <f>4375*constants!C4</f>
        <v>3937.5</v>
      </c>
      <c r="K21" s="62">
        <f>110/5375</f>
        <v>2.0465116279069766E-2</v>
      </c>
      <c r="L21" s="48"/>
      <c r="M21" s="50"/>
      <c r="N21" s="48"/>
      <c r="O21" s="48"/>
      <c r="P21" s="48">
        <f>1313*constants!C4</f>
        <v>1181.7</v>
      </c>
      <c r="Q21" s="62">
        <f>15.25*constants!C4/lit_review_raw!P21</f>
        <v>1.1614623000761614E-2</v>
      </c>
      <c r="R21" s="48"/>
      <c r="S21" s="49"/>
      <c r="T21" s="48">
        <v>7221</v>
      </c>
      <c r="U21" s="62">
        <f>85.4/7221</f>
        <v>1.1826616812075891E-2</v>
      </c>
      <c r="V21" s="50"/>
      <c r="W21" s="48"/>
      <c r="X21" s="48"/>
      <c r="Y21" s="48"/>
      <c r="Z21" s="48"/>
      <c r="AA21" s="48"/>
      <c r="AB21" s="48"/>
      <c r="AC21" s="49"/>
      <c r="AD21" s="48"/>
      <c r="AE21" s="48"/>
      <c r="AF21" s="48"/>
      <c r="AG21" s="48"/>
      <c r="AH21" s="48"/>
      <c r="AI21" s="51"/>
      <c r="AJ21" s="52"/>
      <c r="AK21" s="48"/>
      <c r="AL21" s="48"/>
      <c r="AM21" s="48"/>
      <c r="AN21" s="48"/>
      <c r="AO21" s="48"/>
      <c r="AP21" s="48"/>
      <c r="AQ21" s="49"/>
      <c r="AR21" s="48"/>
      <c r="AS21" s="48"/>
      <c r="AT21" s="48"/>
      <c r="AU21" s="48"/>
      <c r="AV21" s="48"/>
      <c r="AW21" s="48"/>
      <c r="AX21" s="48"/>
      <c r="AY21" s="49"/>
      <c r="AZ21" s="48"/>
      <c r="BA21" s="48"/>
      <c r="BB21" s="48"/>
      <c r="BC21" s="48"/>
      <c r="BD21" s="48"/>
      <c r="BE21" s="48"/>
      <c r="BF21" s="48"/>
      <c r="BG21" s="48"/>
      <c r="BH21" s="48"/>
      <c r="BI21" s="48"/>
      <c r="BJ21" s="48"/>
      <c r="BK21" s="50"/>
      <c r="BL21" s="48"/>
      <c r="BM21" s="48"/>
      <c r="BN21" s="48"/>
      <c r="BO21" s="48"/>
      <c r="BP21" s="48"/>
      <c r="BQ21" s="49"/>
      <c r="BR21" s="48"/>
      <c r="BS21" s="48"/>
      <c r="BT21" s="50"/>
      <c r="BU21" s="49"/>
      <c r="BV21" s="48"/>
      <c r="BW21" s="48"/>
      <c r="BX21" s="48"/>
      <c r="BY21" s="48"/>
      <c r="BZ21" s="50"/>
    </row>
    <row r="22" spans="1:78" ht="15.75" customHeight="1" x14ac:dyDescent="0.2">
      <c r="A22" s="48" t="s">
        <v>324</v>
      </c>
      <c r="B22" s="48">
        <v>2020</v>
      </c>
      <c r="C22" s="48" t="s">
        <v>327</v>
      </c>
      <c r="D22" s="48" t="s">
        <v>326</v>
      </c>
      <c r="E22" s="49" t="s">
        <v>295</v>
      </c>
      <c r="F22" s="48">
        <f>1265*constants!C4</f>
        <v>1138.5</v>
      </c>
      <c r="G22" s="62">
        <f>26.34*constants!C4/lit_review_raw!F22</f>
        <v>2.0822134387351778E-2</v>
      </c>
      <c r="H22" s="48"/>
      <c r="I22" s="49"/>
      <c r="J22" s="48"/>
      <c r="K22" s="48"/>
      <c r="L22" s="48"/>
      <c r="M22" s="50"/>
      <c r="N22" s="48"/>
      <c r="O22" s="48"/>
      <c r="P22" s="48"/>
      <c r="Q22" s="48"/>
      <c r="R22" s="48"/>
      <c r="S22" s="49"/>
      <c r="T22" s="48"/>
      <c r="U22" s="48"/>
      <c r="V22" s="50"/>
      <c r="W22" s="48"/>
      <c r="X22" s="48">
        <f>347*constants!C4</f>
        <v>312.3</v>
      </c>
      <c r="Y22" s="62">
        <f>24.8/1389</f>
        <v>1.7854571634269258E-2</v>
      </c>
      <c r="Z22" s="48"/>
      <c r="AA22" s="48"/>
      <c r="AB22" s="48"/>
      <c r="AC22" s="49"/>
      <c r="AD22" s="48"/>
      <c r="AE22" s="48"/>
      <c r="AF22" s="48"/>
      <c r="AG22" s="48"/>
      <c r="AH22" s="48"/>
      <c r="AI22" s="51"/>
      <c r="AJ22" s="52"/>
      <c r="AK22" s="48"/>
      <c r="AL22" s="48"/>
      <c r="AM22" s="48"/>
      <c r="AN22" s="48"/>
      <c r="AO22" s="48"/>
      <c r="AP22" s="48"/>
      <c r="AQ22" s="49"/>
      <c r="AR22" s="48"/>
      <c r="AS22" s="48"/>
      <c r="AT22" s="48"/>
      <c r="AU22" s="48"/>
      <c r="AV22" s="48"/>
      <c r="AW22" s="48"/>
      <c r="AX22" s="48"/>
      <c r="AY22" s="49"/>
      <c r="AZ22" s="48"/>
      <c r="BA22" s="48"/>
      <c r="BB22" s="48"/>
      <c r="BC22" s="48"/>
      <c r="BD22" s="48"/>
      <c r="BE22" s="48"/>
      <c r="BF22" s="48"/>
      <c r="BG22" s="48"/>
      <c r="BH22" s="48"/>
      <c r="BI22" s="48"/>
      <c r="BJ22" s="48"/>
      <c r="BK22" s="50"/>
      <c r="BL22" s="48"/>
      <c r="BM22" s="48"/>
      <c r="BN22" s="48"/>
      <c r="BO22" s="48"/>
      <c r="BP22" s="48"/>
      <c r="BQ22" s="49"/>
      <c r="BR22" s="48"/>
      <c r="BS22" s="48"/>
      <c r="BT22" s="50"/>
      <c r="BU22" s="49"/>
      <c r="BV22" s="48"/>
      <c r="BW22" s="48"/>
      <c r="BX22" s="48"/>
      <c r="BY22" s="48"/>
      <c r="BZ22" s="50"/>
    </row>
    <row r="23" spans="1:78" ht="15.75" customHeight="1" x14ac:dyDescent="0.2">
      <c r="A23" s="48" t="s">
        <v>324</v>
      </c>
      <c r="B23" s="48">
        <v>2020</v>
      </c>
      <c r="C23" s="48" t="s">
        <v>328</v>
      </c>
      <c r="D23" s="48" t="s">
        <v>326</v>
      </c>
      <c r="E23" s="49" t="s">
        <v>295</v>
      </c>
      <c r="F23" s="48">
        <f>1677*constants!C4</f>
        <v>1509.3</v>
      </c>
      <c r="G23" s="62">
        <f>35.14*constants!C4/lit_review_raw!F23</f>
        <v>2.095408467501491E-2</v>
      </c>
      <c r="H23" s="48"/>
      <c r="I23" s="49"/>
      <c r="J23" s="48"/>
      <c r="K23" s="48"/>
      <c r="L23" s="48"/>
      <c r="M23" s="50"/>
      <c r="N23" s="48"/>
      <c r="O23" s="48"/>
      <c r="P23" s="48"/>
      <c r="Q23" s="48"/>
      <c r="R23" s="48"/>
      <c r="S23" s="49"/>
      <c r="T23" s="48"/>
      <c r="U23" s="48"/>
      <c r="V23" s="50"/>
      <c r="W23" s="48"/>
      <c r="X23" s="48">
        <f>423*constants!C4</f>
        <v>380.7</v>
      </c>
      <c r="Y23" s="62">
        <f>12.9/845</f>
        <v>1.5266272189349114E-2</v>
      </c>
      <c r="Z23" s="48"/>
      <c r="AA23" s="48"/>
      <c r="AB23" s="48"/>
      <c r="AC23" s="49"/>
      <c r="AD23" s="48"/>
      <c r="AE23" s="48"/>
      <c r="AF23" s="48"/>
      <c r="AG23" s="48"/>
      <c r="AH23" s="48"/>
      <c r="AI23" s="51"/>
      <c r="AJ23" s="52"/>
      <c r="AK23" s="48"/>
      <c r="AL23" s="48"/>
      <c r="AM23" s="48"/>
      <c r="AN23" s="48"/>
      <c r="AO23" s="48"/>
      <c r="AP23" s="48"/>
      <c r="AQ23" s="49"/>
      <c r="AR23" s="48"/>
      <c r="AS23" s="48"/>
      <c r="AT23" s="48"/>
      <c r="AU23" s="48"/>
      <c r="AV23" s="48"/>
      <c r="AW23" s="48"/>
      <c r="AX23" s="48"/>
      <c r="AY23" s="49"/>
      <c r="AZ23" s="48"/>
      <c r="BA23" s="48"/>
      <c r="BB23" s="48"/>
      <c r="BC23" s="48"/>
      <c r="BD23" s="48"/>
      <c r="BE23" s="48"/>
      <c r="BF23" s="48"/>
      <c r="BG23" s="48"/>
      <c r="BH23" s="48"/>
      <c r="BI23" s="48"/>
      <c r="BJ23" s="48"/>
      <c r="BK23" s="50"/>
      <c r="BL23" s="48"/>
      <c r="BM23" s="48"/>
      <c r="BN23" s="48"/>
      <c r="BO23" s="48"/>
      <c r="BP23" s="48"/>
      <c r="BQ23" s="49"/>
      <c r="BR23" s="48"/>
      <c r="BS23" s="48"/>
      <c r="BT23" s="50"/>
      <c r="BU23" s="49"/>
      <c r="BV23" s="48"/>
      <c r="BW23" s="48"/>
      <c r="BX23" s="48"/>
      <c r="BY23" s="48"/>
      <c r="BZ23" s="50"/>
    </row>
    <row r="24" spans="1:78" ht="15.75" customHeight="1" x14ac:dyDescent="0.2">
      <c r="A24" s="48" t="s">
        <v>329</v>
      </c>
      <c r="B24" s="48"/>
      <c r="C24" s="48" t="s">
        <v>330</v>
      </c>
      <c r="D24" s="48" t="s">
        <v>331</v>
      </c>
      <c r="E24" s="49" t="s">
        <v>295</v>
      </c>
      <c r="F24" s="48">
        <v>2009</v>
      </c>
      <c r="G24" s="62">
        <f>74/F24</f>
        <v>3.6834245893479341E-2</v>
      </c>
      <c r="H24" s="48">
        <v>20</v>
      </c>
      <c r="I24" s="49"/>
      <c r="J24" s="48"/>
      <c r="K24" s="48"/>
      <c r="L24" s="48"/>
      <c r="M24" s="50"/>
      <c r="N24" s="48"/>
      <c r="O24" s="48"/>
      <c r="P24" s="48">
        <v>1193</v>
      </c>
      <c r="Q24" s="62">
        <f>14/P24</f>
        <v>1.173512154233026E-2</v>
      </c>
      <c r="R24" s="48">
        <v>25</v>
      </c>
      <c r="S24" s="49"/>
      <c r="T24" s="48"/>
      <c r="U24" s="48"/>
      <c r="V24" s="50"/>
      <c r="W24" s="48"/>
      <c r="X24" s="48"/>
      <c r="Y24" s="48"/>
      <c r="Z24" s="48"/>
      <c r="AA24" s="48"/>
      <c r="AB24" s="48"/>
      <c r="AC24" s="49"/>
      <c r="AD24" s="48"/>
      <c r="AE24" s="48"/>
      <c r="AF24" s="48"/>
      <c r="AG24" s="48"/>
      <c r="AH24" s="48"/>
      <c r="AI24" s="51"/>
      <c r="AJ24" s="52"/>
      <c r="AK24" s="48"/>
      <c r="AL24" s="48"/>
      <c r="AM24" s="48"/>
      <c r="AN24" s="48"/>
      <c r="AO24" s="48"/>
      <c r="AP24" s="48"/>
      <c r="AQ24" s="49"/>
      <c r="AR24" s="48"/>
      <c r="AS24" s="48"/>
      <c r="AT24" s="48"/>
      <c r="AU24" s="48"/>
      <c r="AV24" s="48"/>
      <c r="AW24" s="48"/>
      <c r="AX24" s="48"/>
      <c r="AY24" s="49"/>
      <c r="AZ24" s="48"/>
      <c r="BA24" s="48"/>
      <c r="BB24" s="48"/>
      <c r="BC24" s="48"/>
      <c r="BD24" s="48"/>
      <c r="BE24" s="48"/>
      <c r="BF24" s="48"/>
      <c r="BG24" s="48"/>
      <c r="BH24" s="48"/>
      <c r="BI24" s="48"/>
      <c r="BJ24" s="48"/>
      <c r="BK24" s="50"/>
      <c r="BL24" s="48"/>
      <c r="BM24" s="48"/>
      <c r="BN24" s="48"/>
      <c r="BO24" s="48"/>
      <c r="BP24" s="48"/>
      <c r="BQ24" s="49"/>
      <c r="BR24" s="48"/>
      <c r="BS24" s="48"/>
      <c r="BT24" s="50"/>
      <c r="BU24" s="49"/>
      <c r="BV24" s="48"/>
      <c r="BW24" s="48"/>
      <c r="BX24" s="48"/>
      <c r="BY24" s="48"/>
      <c r="BZ24" s="50"/>
    </row>
    <row r="25" spans="1:78" ht="15.75" customHeight="1" x14ac:dyDescent="0.2">
      <c r="A25" s="48" t="s">
        <v>332</v>
      </c>
      <c r="B25" s="48"/>
      <c r="C25" s="48" t="s">
        <v>333</v>
      </c>
      <c r="D25" s="48" t="s">
        <v>322</v>
      </c>
      <c r="E25" s="49" t="s">
        <v>295</v>
      </c>
      <c r="F25" s="48"/>
      <c r="G25" s="48"/>
      <c r="H25" s="48"/>
      <c r="I25" s="49"/>
      <c r="J25" s="48"/>
      <c r="K25" s="48"/>
      <c r="L25" s="48"/>
      <c r="M25" s="50"/>
      <c r="N25" s="48"/>
      <c r="O25" s="48"/>
      <c r="P25" s="48"/>
      <c r="Q25" s="48"/>
      <c r="R25" s="48"/>
      <c r="S25" s="49"/>
      <c r="T25" s="48"/>
      <c r="U25" s="48"/>
      <c r="V25" s="50"/>
      <c r="W25" s="48"/>
      <c r="X25" s="48">
        <f>500*constants!C4</f>
        <v>450</v>
      </c>
      <c r="Y25" s="62">
        <f>(2.12+0.42)*constants!C4/X25</f>
        <v>5.0800000000000003E-3</v>
      </c>
      <c r="Z25" s="63" t="s">
        <v>334</v>
      </c>
      <c r="AA25" s="48" t="s">
        <v>335</v>
      </c>
      <c r="AB25" s="48"/>
      <c r="AC25" s="49"/>
      <c r="AD25" s="48"/>
      <c r="AE25" s="48"/>
      <c r="AF25" s="48"/>
      <c r="AG25" s="48"/>
      <c r="AH25" s="48"/>
      <c r="AI25" s="51"/>
      <c r="AJ25" s="52"/>
      <c r="AK25" s="48"/>
      <c r="AL25" s="48"/>
      <c r="AM25" s="48"/>
      <c r="AN25" s="48"/>
      <c r="AO25" s="48"/>
      <c r="AP25" s="48"/>
      <c r="AQ25" s="49"/>
      <c r="AR25" s="48"/>
      <c r="AS25" s="48"/>
      <c r="AT25" s="48"/>
      <c r="AU25" s="48"/>
      <c r="AV25" s="48"/>
      <c r="AW25" s="48"/>
      <c r="AX25" s="48"/>
      <c r="AY25" s="49"/>
      <c r="AZ25" s="48"/>
      <c r="BA25" s="48"/>
      <c r="BB25" s="48"/>
      <c r="BC25" s="48"/>
      <c r="BD25" s="48"/>
      <c r="BE25" s="48"/>
      <c r="BF25" s="48"/>
      <c r="BG25" s="48"/>
      <c r="BH25" s="48"/>
      <c r="BI25" s="48"/>
      <c r="BJ25" s="48"/>
      <c r="BK25" s="50"/>
      <c r="BL25" s="48"/>
      <c r="BM25" s="48"/>
      <c r="BN25" s="48"/>
      <c r="BO25" s="48"/>
      <c r="BP25" s="48"/>
      <c r="BQ25" s="49"/>
      <c r="BR25" s="48"/>
      <c r="BS25" s="48"/>
      <c r="BT25" s="50"/>
      <c r="BU25" s="49"/>
      <c r="BV25" s="48"/>
      <c r="BW25" s="48"/>
      <c r="BX25" s="48"/>
      <c r="BY25" s="48"/>
      <c r="BZ25" s="50"/>
    </row>
    <row r="26" spans="1:78" ht="15.75" customHeight="1" x14ac:dyDescent="0.2">
      <c r="A26" s="48" t="s">
        <v>336</v>
      </c>
      <c r="B26" s="48"/>
      <c r="C26" s="48"/>
      <c r="D26" s="48" t="s">
        <v>337</v>
      </c>
      <c r="E26" s="49" t="s">
        <v>295</v>
      </c>
      <c r="F26" s="48"/>
      <c r="G26" s="48"/>
      <c r="H26" s="48"/>
      <c r="I26" s="49"/>
      <c r="J26" s="48"/>
      <c r="K26" s="48"/>
      <c r="L26" s="48"/>
      <c r="M26" s="50"/>
      <c r="N26" s="48"/>
      <c r="O26" s="48"/>
      <c r="P26" s="48">
        <f>1720*constants!C4</f>
        <v>1548</v>
      </c>
      <c r="Q26" s="48"/>
      <c r="R26" s="48"/>
      <c r="S26" s="49"/>
      <c r="T26" s="48"/>
      <c r="U26" s="48"/>
      <c r="V26" s="50"/>
      <c r="W26" s="48"/>
      <c r="X26" s="48">
        <f>601*constants!C4</f>
        <v>540.9</v>
      </c>
      <c r="Y26" s="48"/>
      <c r="Z26" s="48"/>
      <c r="AA26" s="48"/>
      <c r="AB26" s="48"/>
      <c r="AC26" s="49"/>
      <c r="AD26" s="48"/>
      <c r="AE26" s="48"/>
      <c r="AF26" s="48"/>
      <c r="AG26" s="48"/>
      <c r="AH26" s="48"/>
      <c r="AI26" s="51"/>
      <c r="AJ26" s="52"/>
      <c r="AK26" s="48"/>
      <c r="AL26" s="48"/>
      <c r="AM26" s="48"/>
      <c r="AN26" s="48"/>
      <c r="AO26" s="48"/>
      <c r="AP26" s="48"/>
      <c r="AQ26" s="49"/>
      <c r="AR26" s="48"/>
      <c r="AS26" s="48"/>
      <c r="AT26" s="48"/>
      <c r="AU26" s="48"/>
      <c r="AV26" s="48"/>
      <c r="AW26" s="48"/>
      <c r="AX26" s="48"/>
      <c r="AY26" s="49"/>
      <c r="AZ26" s="48"/>
      <c r="BA26" s="48"/>
      <c r="BB26" s="48"/>
      <c r="BC26" s="48"/>
      <c r="BD26" s="48"/>
      <c r="BE26" s="48"/>
      <c r="BF26" s="48"/>
      <c r="BG26" s="48"/>
      <c r="BH26" s="48"/>
      <c r="BI26" s="48"/>
      <c r="BJ26" s="48"/>
      <c r="BK26" s="50"/>
      <c r="BL26" s="48"/>
      <c r="BM26" s="48"/>
      <c r="BN26" s="48"/>
      <c r="BO26" s="48"/>
      <c r="BP26" s="48"/>
      <c r="BQ26" s="49"/>
      <c r="BR26" s="48"/>
      <c r="BS26" s="48"/>
      <c r="BT26" s="50"/>
      <c r="BU26" s="49"/>
      <c r="BV26" s="48"/>
      <c r="BW26" s="48"/>
      <c r="BX26" s="48"/>
      <c r="BY26" s="48"/>
      <c r="BZ26" s="50"/>
    </row>
    <row r="27" spans="1:78" ht="15.75" customHeight="1" x14ac:dyDescent="0.2">
      <c r="A27" s="48" t="s">
        <v>338</v>
      </c>
      <c r="B27" s="48"/>
      <c r="C27" s="48" t="s">
        <v>333</v>
      </c>
      <c r="D27" s="48" t="s">
        <v>322</v>
      </c>
      <c r="E27" s="49" t="s">
        <v>295</v>
      </c>
      <c r="F27" s="48"/>
      <c r="G27" s="48"/>
      <c r="H27" s="48"/>
      <c r="I27" s="49"/>
      <c r="J27" s="48"/>
      <c r="K27" s="48"/>
      <c r="L27" s="48"/>
      <c r="M27" s="50"/>
      <c r="N27" s="48"/>
      <c r="O27" s="48"/>
      <c r="P27" s="48">
        <f>888*constants!C4</f>
        <v>799.2</v>
      </c>
      <c r="Q27" s="62">
        <f>7.39*constants!C4/lit_review_raw!P27</f>
        <v>8.3220720720720721E-3</v>
      </c>
      <c r="R27" s="48">
        <v>20</v>
      </c>
      <c r="S27" s="49"/>
      <c r="T27" s="48"/>
      <c r="U27" s="48"/>
      <c r="V27" s="50"/>
      <c r="W27" s="48"/>
      <c r="X27" s="48">
        <f>380*constants!C4</f>
        <v>342</v>
      </c>
      <c r="Y27" s="62">
        <f>11.3*constants!C4/lit_review_raw!X27</f>
        <v>2.9736842105263162E-2</v>
      </c>
      <c r="Z27" s="48">
        <v>20</v>
      </c>
      <c r="AA27" s="48"/>
      <c r="AB27" s="48"/>
      <c r="AC27" s="49"/>
      <c r="AD27" s="48"/>
      <c r="AE27" s="48"/>
      <c r="AF27" s="48"/>
      <c r="AG27" s="48"/>
      <c r="AH27" s="48"/>
      <c r="AI27" s="51"/>
      <c r="AJ27" s="52"/>
      <c r="AK27" s="48"/>
      <c r="AL27" s="48"/>
      <c r="AM27" s="48"/>
      <c r="AN27" s="48"/>
      <c r="AO27" s="48"/>
      <c r="AP27" s="48"/>
      <c r="AQ27" s="49"/>
      <c r="AR27" s="48"/>
      <c r="AS27" s="48"/>
      <c r="AT27" s="48"/>
      <c r="AU27" s="48"/>
      <c r="AV27" s="48"/>
      <c r="AW27" s="48"/>
      <c r="AX27" s="48"/>
      <c r="AY27" s="49"/>
      <c r="AZ27" s="48"/>
      <c r="BA27" s="48"/>
      <c r="BB27" s="48"/>
      <c r="BC27" s="48"/>
      <c r="BD27" s="48"/>
      <c r="BE27" s="48"/>
      <c r="BF27" s="48"/>
      <c r="BG27" s="48"/>
      <c r="BH27" s="48"/>
      <c r="BI27" s="48"/>
      <c r="BJ27" s="48"/>
      <c r="BK27" s="50"/>
      <c r="BL27" s="48"/>
      <c r="BM27" s="48"/>
      <c r="BN27" s="48"/>
      <c r="BO27" s="48"/>
      <c r="BP27" s="48"/>
      <c r="BQ27" s="49"/>
      <c r="BR27" s="48"/>
      <c r="BS27" s="48"/>
      <c r="BT27" s="50"/>
      <c r="BU27" s="49"/>
      <c r="BV27" s="48"/>
      <c r="BW27" s="48"/>
      <c r="BX27" s="48"/>
      <c r="BY27" s="48"/>
      <c r="BZ27" s="50"/>
    </row>
    <row r="28" spans="1:78" ht="15.75" customHeight="1" x14ac:dyDescent="0.2">
      <c r="A28" s="48" t="s">
        <v>339</v>
      </c>
      <c r="B28" s="48"/>
      <c r="C28" s="48" t="s">
        <v>340</v>
      </c>
      <c r="D28" s="48" t="s">
        <v>331</v>
      </c>
      <c r="E28" s="49" t="s">
        <v>295</v>
      </c>
      <c r="F28" s="48"/>
      <c r="G28" s="48"/>
      <c r="H28" s="48"/>
      <c r="I28" s="49"/>
      <c r="J28" s="48"/>
      <c r="K28" s="48"/>
      <c r="L28" s="48"/>
      <c r="M28" s="50"/>
      <c r="N28" s="48"/>
      <c r="O28" s="48"/>
      <c r="P28" s="48"/>
      <c r="Q28" s="48"/>
      <c r="R28" s="48"/>
      <c r="S28" s="49"/>
      <c r="T28" s="48"/>
      <c r="U28" s="48"/>
      <c r="V28" s="50"/>
      <c r="W28" s="48"/>
      <c r="X28" s="48"/>
      <c r="Y28" s="48"/>
      <c r="Z28" s="48"/>
      <c r="AA28" s="48"/>
      <c r="AB28" s="48"/>
      <c r="AC28" s="49"/>
      <c r="AD28" s="48"/>
      <c r="AE28" s="48"/>
      <c r="AF28" s="48"/>
      <c r="AG28" s="48"/>
      <c r="AH28" s="48"/>
      <c r="AI28" s="51"/>
      <c r="AJ28" s="52"/>
      <c r="AK28" s="48"/>
      <c r="AL28" s="48"/>
      <c r="AM28" s="48"/>
      <c r="AN28" s="48"/>
      <c r="AO28" s="48"/>
      <c r="AP28" s="48"/>
      <c r="AQ28" s="49"/>
      <c r="AR28" s="48"/>
      <c r="AS28" s="48"/>
      <c r="AT28" s="48"/>
      <c r="AU28" s="48"/>
      <c r="AV28" s="48"/>
      <c r="AW28" s="48"/>
      <c r="AX28" s="48"/>
      <c r="AY28" s="49"/>
      <c r="AZ28" s="48"/>
      <c r="BA28" s="48"/>
      <c r="BB28" s="48"/>
      <c r="BC28" s="48"/>
      <c r="BD28" s="48"/>
      <c r="BE28" s="48"/>
      <c r="BF28" s="48"/>
      <c r="BG28" s="48"/>
      <c r="BH28" s="48"/>
      <c r="BI28" s="48"/>
      <c r="BJ28" s="48"/>
      <c r="BK28" s="50"/>
      <c r="BL28" s="48"/>
      <c r="BM28" s="48"/>
      <c r="BN28" s="48"/>
      <c r="BO28" s="48"/>
      <c r="BP28" s="48"/>
      <c r="BQ28" s="49"/>
      <c r="BR28" s="48"/>
      <c r="BS28" s="48"/>
      <c r="BT28" s="50"/>
      <c r="BU28" s="49"/>
      <c r="BV28" s="48"/>
      <c r="BW28" s="48"/>
      <c r="BX28" s="48"/>
      <c r="BY28" s="48"/>
      <c r="BZ28" s="50"/>
    </row>
    <row r="29" spans="1:78" ht="15.75" customHeight="1" x14ac:dyDescent="0.2">
      <c r="A29" s="1" t="s">
        <v>341</v>
      </c>
      <c r="B29" s="1">
        <v>2018</v>
      </c>
      <c r="C29" s="3" t="s">
        <v>342</v>
      </c>
      <c r="E29" s="46" t="s">
        <v>295</v>
      </c>
      <c r="F29" s="1"/>
      <c r="G29" s="1"/>
      <c r="H29" s="1"/>
      <c r="I29" s="46"/>
      <c r="J29" s="1"/>
      <c r="K29" s="1"/>
      <c r="L29" s="1"/>
      <c r="M29" s="36"/>
      <c r="N29" s="1"/>
      <c r="O29" s="1"/>
      <c r="P29" s="1"/>
      <c r="Q29" s="1"/>
      <c r="R29" s="1"/>
      <c r="S29" s="46"/>
      <c r="T29" s="1"/>
      <c r="U29" s="1"/>
      <c r="V29" s="36"/>
      <c r="W29" s="1"/>
      <c r="X29" s="1"/>
      <c r="Y29" s="1"/>
      <c r="Z29" s="1"/>
      <c r="AA29" s="1"/>
      <c r="AB29" s="1"/>
      <c r="AC29" s="46"/>
      <c r="AD29" s="1">
        <v>1400</v>
      </c>
      <c r="AE29" s="1">
        <v>0.03</v>
      </c>
      <c r="AF29" s="1">
        <v>100000</v>
      </c>
      <c r="AG29" s="1"/>
      <c r="AH29" s="1">
        <v>0</v>
      </c>
      <c r="AI29" s="58"/>
      <c r="AJ29" s="59">
        <v>0.6</v>
      </c>
      <c r="AK29" s="1"/>
      <c r="AL29" s="1"/>
      <c r="AM29" s="1"/>
      <c r="AN29" s="1"/>
      <c r="AO29" s="1"/>
      <c r="AP29" s="1"/>
      <c r="AQ29" s="46"/>
      <c r="AR29" s="1"/>
      <c r="AS29" s="1"/>
      <c r="AT29" s="1"/>
      <c r="AU29" s="1"/>
      <c r="AV29" s="1"/>
      <c r="AW29" s="1"/>
      <c r="AX29" s="1"/>
      <c r="AY29" s="46"/>
      <c r="AZ29" s="1"/>
      <c r="BA29" s="1"/>
      <c r="BB29" s="1"/>
      <c r="BC29" s="1"/>
      <c r="BD29" s="1"/>
      <c r="BE29" s="1"/>
      <c r="BF29" s="1"/>
      <c r="BG29" s="1"/>
      <c r="BH29" s="1"/>
      <c r="BI29" s="1"/>
      <c r="BJ29" s="1"/>
      <c r="BK29" s="36"/>
      <c r="BL29" s="1"/>
      <c r="BM29" s="1"/>
      <c r="BN29" s="1"/>
      <c r="BO29" s="1"/>
      <c r="BP29" s="1"/>
      <c r="BQ29" s="46"/>
      <c r="BR29" s="1"/>
      <c r="BS29" s="1"/>
      <c r="BT29" s="36"/>
      <c r="BU29" s="46"/>
      <c r="BV29" s="1"/>
      <c r="BW29" s="1"/>
      <c r="BX29" s="1"/>
      <c r="BY29" s="1"/>
      <c r="BZ29" s="36"/>
    </row>
    <row r="30" spans="1:78" ht="15.75" customHeight="1" x14ac:dyDescent="0.2">
      <c r="A30" s="48" t="s">
        <v>343</v>
      </c>
      <c r="B30" s="48"/>
      <c r="C30" s="48"/>
      <c r="D30" s="48" t="s">
        <v>344</v>
      </c>
      <c r="E30" s="49" t="s">
        <v>295</v>
      </c>
      <c r="F30" s="48" t="s">
        <v>345</v>
      </c>
      <c r="G30" s="48"/>
      <c r="H30" s="48">
        <v>25</v>
      </c>
      <c r="I30" s="49"/>
      <c r="J30" s="48" t="s">
        <v>346</v>
      </c>
      <c r="K30" s="48"/>
      <c r="L30" s="48">
        <v>25</v>
      </c>
      <c r="M30" s="50"/>
      <c r="N30" s="48"/>
      <c r="O30" s="48"/>
      <c r="P30" s="48" t="s">
        <v>347</v>
      </c>
      <c r="Q30" s="48">
        <v>2.5000000000000001E-2</v>
      </c>
      <c r="R30" s="48">
        <v>25</v>
      </c>
      <c r="S30" s="49"/>
      <c r="T30" s="48"/>
      <c r="U30" s="48"/>
      <c r="V30" s="50">
        <v>30</v>
      </c>
      <c r="W30" s="48"/>
      <c r="X30" s="48"/>
      <c r="Y30" s="48"/>
      <c r="Z30" s="48"/>
      <c r="AA30" s="48"/>
      <c r="AB30" s="48"/>
      <c r="AC30" s="49"/>
      <c r="AD30" s="48"/>
      <c r="AE30" s="48"/>
      <c r="AF30" s="48"/>
      <c r="AG30" s="48"/>
      <c r="AH30" s="48"/>
      <c r="AI30" s="51"/>
      <c r="AJ30" s="52"/>
      <c r="AK30" s="48"/>
      <c r="AL30" s="48"/>
      <c r="AM30" s="48"/>
      <c r="AN30" s="48"/>
      <c r="AO30" s="48"/>
      <c r="AP30" s="48"/>
      <c r="AQ30" s="49"/>
      <c r="AR30" s="48"/>
      <c r="AS30" s="48"/>
      <c r="AT30" s="48"/>
      <c r="AU30" s="48"/>
      <c r="AV30" s="48"/>
      <c r="AW30" s="48"/>
      <c r="AX30" s="48"/>
      <c r="AY30" s="49"/>
      <c r="AZ30" s="48"/>
      <c r="BA30" s="48"/>
      <c r="BB30" s="48"/>
      <c r="BC30" s="48"/>
      <c r="BD30" s="48"/>
      <c r="BE30" s="48"/>
      <c r="BF30" s="48"/>
      <c r="BG30" s="48"/>
      <c r="BH30" s="48"/>
      <c r="BI30" s="48"/>
      <c r="BJ30" s="48"/>
      <c r="BK30" s="50"/>
      <c r="BL30" s="48"/>
      <c r="BM30" s="48"/>
      <c r="BN30" s="48"/>
      <c r="BO30" s="48"/>
      <c r="BP30" s="48"/>
      <c r="BQ30" s="49"/>
      <c r="BR30" s="48"/>
      <c r="BS30" s="48"/>
      <c r="BT30" s="50"/>
      <c r="BU30" s="49"/>
      <c r="BV30" s="48"/>
      <c r="BW30" s="48"/>
      <c r="BX30" s="48"/>
      <c r="BY30" s="48"/>
      <c r="BZ30" s="50"/>
    </row>
    <row r="31" spans="1:78" ht="15.75" customHeight="1" x14ac:dyDescent="0.2">
      <c r="A31" s="1" t="s">
        <v>348</v>
      </c>
      <c r="B31" s="1" t="s">
        <v>349</v>
      </c>
      <c r="C31" s="26" t="s">
        <v>350</v>
      </c>
      <c r="D31" s="48"/>
      <c r="E31" s="46" t="s">
        <v>295</v>
      </c>
      <c r="F31" s="1"/>
      <c r="G31" s="1"/>
      <c r="H31" s="1"/>
      <c r="I31" s="46"/>
      <c r="J31" s="1"/>
      <c r="K31" s="1"/>
      <c r="L31" s="1"/>
      <c r="M31" s="36"/>
      <c r="N31" s="1"/>
      <c r="O31" s="1"/>
      <c r="P31" s="1"/>
      <c r="Q31" s="1"/>
      <c r="R31" s="1"/>
      <c r="S31" s="46"/>
      <c r="T31" s="1"/>
      <c r="U31" s="1"/>
      <c r="V31" s="36"/>
      <c r="W31" s="1"/>
      <c r="X31" s="1">
        <f>110*constants!C4</f>
        <v>99</v>
      </c>
      <c r="Y31" s="1">
        <f>3/110</f>
        <v>2.7272727272727271E-2</v>
      </c>
      <c r="Z31" s="1">
        <v>13</v>
      </c>
      <c r="AA31" s="1">
        <v>0.86</v>
      </c>
      <c r="AB31" s="1"/>
      <c r="AC31" s="46"/>
      <c r="AD31" s="1">
        <f>900*constants!C4</f>
        <v>810</v>
      </c>
      <c r="AE31" s="1">
        <v>1.4999999999999999E-2</v>
      </c>
      <c r="AF31" s="1"/>
      <c r="AG31" s="1">
        <v>30</v>
      </c>
      <c r="AH31" s="1"/>
      <c r="AI31" s="58"/>
      <c r="AJ31" s="59">
        <v>0.64</v>
      </c>
      <c r="AK31" s="1"/>
      <c r="AL31" s="1" t="s">
        <v>296</v>
      </c>
      <c r="AM31" s="1">
        <f>0.25*constants!C4</f>
        <v>0.22500000000000001</v>
      </c>
      <c r="AN31" s="1"/>
      <c r="AO31" s="1">
        <v>20</v>
      </c>
      <c r="AP31" s="1"/>
      <c r="AQ31" s="46"/>
      <c r="AR31" s="1"/>
      <c r="AS31" s="1"/>
      <c r="AT31" s="1"/>
      <c r="AU31" s="1"/>
      <c r="AV31" s="1"/>
      <c r="AW31" s="1"/>
      <c r="AX31" s="1"/>
      <c r="AY31" s="46"/>
      <c r="BA31" s="1">
        <f>890*constants!C4</f>
        <v>801</v>
      </c>
      <c r="BB31" s="1">
        <v>0.04</v>
      </c>
      <c r="BC31" s="1">
        <v>0.73</v>
      </c>
      <c r="BD31" s="1"/>
      <c r="BE31" s="1">
        <v>30</v>
      </c>
      <c r="BF31" s="1"/>
      <c r="BG31" s="1"/>
      <c r="BH31" s="1"/>
      <c r="BI31" s="1"/>
      <c r="BJ31" s="1"/>
      <c r="BK31" s="36"/>
      <c r="BL31" s="1"/>
      <c r="BM31" s="1"/>
      <c r="BN31" s="1"/>
      <c r="BO31" s="1"/>
      <c r="BP31" s="1"/>
      <c r="BQ31" s="46"/>
      <c r="BR31" s="1"/>
      <c r="BS31" s="1"/>
      <c r="BT31" s="36"/>
      <c r="BU31" s="46"/>
      <c r="BV31" s="1"/>
      <c r="BW31" s="1"/>
      <c r="BX31" s="1"/>
      <c r="BY31" s="1"/>
      <c r="BZ31" s="36"/>
    </row>
    <row r="32" spans="1:78" ht="15.75" customHeight="1" x14ac:dyDescent="0.2">
      <c r="A32" s="1" t="s">
        <v>348</v>
      </c>
      <c r="B32" s="1">
        <v>2030</v>
      </c>
      <c r="C32" s="26" t="s">
        <v>350</v>
      </c>
      <c r="D32" s="48"/>
      <c r="E32" s="46"/>
      <c r="F32" s="1"/>
      <c r="G32" s="1"/>
      <c r="H32" s="1"/>
      <c r="I32" s="46"/>
      <c r="J32" s="1"/>
      <c r="K32" s="1"/>
      <c r="L32" s="1"/>
      <c r="M32" s="36"/>
      <c r="N32" s="1"/>
      <c r="O32" s="1"/>
      <c r="P32" s="1"/>
      <c r="Q32" s="1"/>
      <c r="R32" s="1"/>
      <c r="S32" s="46"/>
      <c r="T32" s="1"/>
      <c r="U32" s="1"/>
      <c r="V32" s="36"/>
      <c r="W32" s="1"/>
      <c r="X32" s="1"/>
      <c r="Y32" s="1"/>
      <c r="Z32" s="1"/>
      <c r="AA32" s="1"/>
      <c r="AB32" s="1"/>
      <c r="AC32" s="46"/>
      <c r="AD32" s="1">
        <f>700*constants!C4</f>
        <v>630</v>
      </c>
      <c r="AE32" s="1">
        <v>1.4999999999999999E-2</v>
      </c>
      <c r="AF32" s="1"/>
      <c r="AG32" s="1">
        <v>30</v>
      </c>
      <c r="AH32" s="1"/>
      <c r="AI32" s="58"/>
      <c r="AJ32" s="59">
        <v>0.69</v>
      </c>
      <c r="AK32" s="1"/>
      <c r="AL32" s="1"/>
      <c r="AM32" s="1"/>
      <c r="AN32" s="1"/>
      <c r="AO32" s="1"/>
      <c r="AP32" s="1"/>
      <c r="AQ32" s="46"/>
      <c r="AR32" s="1"/>
      <c r="AS32" s="1"/>
      <c r="AT32" s="1"/>
      <c r="AU32" s="1"/>
      <c r="AV32" s="1"/>
      <c r="AW32" s="1"/>
      <c r="AX32" s="1"/>
      <c r="AY32" s="46"/>
      <c r="BA32" s="1">
        <f>760*constants!C4</f>
        <v>684</v>
      </c>
      <c r="BB32" s="1">
        <v>0.04</v>
      </c>
      <c r="BC32" s="1">
        <v>0.73</v>
      </c>
      <c r="BD32" s="1"/>
      <c r="BE32" s="1">
        <v>30</v>
      </c>
      <c r="BF32" s="1"/>
      <c r="BG32" s="1"/>
      <c r="BH32" s="1"/>
      <c r="BI32" s="1"/>
      <c r="BJ32" s="1"/>
      <c r="BK32" s="36"/>
      <c r="BL32" s="1"/>
      <c r="BM32" s="1"/>
      <c r="BN32" s="1"/>
      <c r="BO32" s="1"/>
      <c r="BP32" s="1"/>
      <c r="BQ32" s="46"/>
      <c r="BR32" s="1"/>
      <c r="BS32" s="1"/>
      <c r="BT32" s="36"/>
      <c r="BU32" s="46"/>
      <c r="BV32" s="1"/>
      <c r="BW32" s="1"/>
      <c r="BX32" s="1"/>
      <c r="BY32" s="1"/>
      <c r="BZ32" s="36"/>
    </row>
    <row r="33" spans="1:78" ht="15.75" customHeight="1" x14ac:dyDescent="0.2">
      <c r="A33" s="1" t="s">
        <v>348</v>
      </c>
      <c r="B33" s="1" t="s">
        <v>351</v>
      </c>
      <c r="C33" s="26" t="s">
        <v>350</v>
      </c>
      <c r="D33" s="48"/>
      <c r="E33" s="46"/>
      <c r="F33" s="1"/>
      <c r="G33" s="1"/>
      <c r="H33" s="1"/>
      <c r="I33" s="46"/>
      <c r="J33" s="1"/>
      <c r="K33" s="1"/>
      <c r="L33" s="1"/>
      <c r="M33" s="36"/>
      <c r="N33" s="1"/>
      <c r="O33" s="1"/>
      <c r="P33" s="1"/>
      <c r="Q33" s="1"/>
      <c r="R33" s="1"/>
      <c r="S33" s="46"/>
      <c r="T33" s="1"/>
      <c r="U33" s="1"/>
      <c r="V33" s="36"/>
      <c r="W33" s="1"/>
      <c r="X33" s="1"/>
      <c r="Y33" s="1"/>
      <c r="Z33" s="1"/>
      <c r="AA33" s="1"/>
      <c r="AB33" s="1"/>
      <c r="AC33" s="46"/>
      <c r="AD33" s="1">
        <f>450*constants!C4</f>
        <v>405</v>
      </c>
      <c r="AE33" s="1">
        <v>1.4999999999999999E-2</v>
      </c>
      <c r="AF33" s="1"/>
      <c r="AG33" s="1">
        <v>30</v>
      </c>
      <c r="AH33" s="1"/>
      <c r="AI33" s="58"/>
      <c r="AJ33" s="59">
        <v>0.74</v>
      </c>
      <c r="AK33" s="1"/>
      <c r="AL33" s="1"/>
      <c r="AM33" s="1"/>
      <c r="AN33" s="1"/>
      <c r="AO33" s="1"/>
      <c r="AP33" s="1"/>
      <c r="AQ33" s="46"/>
      <c r="AR33" s="1"/>
      <c r="AS33" s="1"/>
      <c r="AT33" s="1"/>
      <c r="AU33" s="1"/>
      <c r="AV33" s="1"/>
      <c r="AW33" s="1"/>
      <c r="AX33" s="1"/>
      <c r="AY33" s="46"/>
      <c r="BA33" s="1">
        <f>565*constants!C4</f>
        <v>508.5</v>
      </c>
      <c r="BB33" s="1">
        <v>0.04</v>
      </c>
      <c r="BC33" s="1">
        <v>0.73</v>
      </c>
      <c r="BD33" s="1"/>
      <c r="BE33" s="1">
        <v>30</v>
      </c>
      <c r="BF33" s="1"/>
      <c r="BG33" s="1"/>
      <c r="BH33" s="1"/>
      <c r="BI33" s="1"/>
      <c r="BJ33" s="1"/>
      <c r="BK33" s="36"/>
      <c r="BL33" s="1"/>
      <c r="BM33" s="1"/>
      <c r="BN33" s="1"/>
      <c r="BO33" s="1"/>
      <c r="BP33" s="1"/>
      <c r="BQ33" s="46"/>
      <c r="BR33" s="1"/>
      <c r="BS33" s="1"/>
      <c r="BT33" s="36"/>
      <c r="BU33" s="46"/>
      <c r="BV33" s="1"/>
      <c r="BW33" s="1"/>
      <c r="BX33" s="1"/>
      <c r="BY33" s="1"/>
      <c r="BZ33" s="36"/>
    </row>
    <row r="34" spans="1:78" ht="15.75" customHeight="1" x14ac:dyDescent="0.2">
      <c r="A34" s="1" t="s">
        <v>352</v>
      </c>
      <c r="B34" s="1"/>
      <c r="C34" s="3" t="s">
        <v>353</v>
      </c>
      <c r="E34" s="46"/>
      <c r="F34" s="1"/>
      <c r="G34" s="1"/>
      <c r="H34" s="1"/>
      <c r="I34" s="46"/>
      <c r="J34" s="1"/>
      <c r="K34" s="1"/>
      <c r="L34" s="1"/>
      <c r="M34" s="36"/>
      <c r="N34" s="1"/>
      <c r="O34" s="1"/>
      <c r="P34" s="1"/>
      <c r="Q34" s="1"/>
      <c r="R34" s="1"/>
      <c r="S34" s="46"/>
      <c r="T34" s="1"/>
      <c r="U34" s="1"/>
      <c r="V34" s="36"/>
      <c r="W34" s="1"/>
      <c r="X34" s="1"/>
      <c r="Y34" s="1"/>
      <c r="Z34" s="1"/>
      <c r="AA34" s="1"/>
      <c r="AB34" s="1"/>
      <c r="AC34" s="46"/>
      <c r="AD34" s="1"/>
      <c r="AE34" s="1"/>
      <c r="AF34" s="1"/>
      <c r="AG34" s="1"/>
      <c r="AH34" s="1"/>
      <c r="AI34" s="58"/>
      <c r="AJ34" s="59"/>
      <c r="AK34" s="1"/>
      <c r="AL34" s="1" t="s">
        <v>354</v>
      </c>
      <c r="AM34" s="64">
        <f>490*constants!C5</f>
        <v>14.714714714714717</v>
      </c>
      <c r="AN34" s="1">
        <v>0.01</v>
      </c>
      <c r="AO34" s="1"/>
      <c r="AP34" s="1"/>
      <c r="AQ34" s="46"/>
      <c r="AR34" s="1"/>
      <c r="AS34" s="1"/>
      <c r="AT34" s="1"/>
      <c r="AU34" s="1"/>
      <c r="AV34" s="1"/>
      <c r="AW34" s="1"/>
      <c r="AX34" s="1"/>
      <c r="AY34" s="46"/>
      <c r="BA34" s="1"/>
      <c r="BB34" s="1"/>
      <c r="BC34" s="1"/>
      <c r="BD34" s="1"/>
      <c r="BE34" s="1"/>
      <c r="BF34" s="1"/>
      <c r="BG34" s="1"/>
      <c r="BH34" s="1"/>
      <c r="BI34" s="1"/>
      <c r="BJ34" s="1"/>
      <c r="BK34" s="36"/>
      <c r="BL34" s="1"/>
      <c r="BM34" s="1"/>
      <c r="BN34" s="1"/>
      <c r="BO34" s="1"/>
      <c r="BP34" s="1"/>
      <c r="BQ34" s="46"/>
      <c r="BR34" s="1"/>
      <c r="BS34" s="1"/>
      <c r="BT34" s="36"/>
      <c r="BU34" s="46"/>
      <c r="BV34" s="1"/>
      <c r="BW34" s="1"/>
      <c r="BX34" s="1"/>
      <c r="BY34" s="1"/>
      <c r="BZ34" s="36"/>
    </row>
    <row r="35" spans="1:78" ht="15.75" customHeight="1" x14ac:dyDescent="0.2">
      <c r="A35" s="1" t="s">
        <v>352</v>
      </c>
      <c r="B35" s="1"/>
      <c r="C35" s="3" t="s">
        <v>355</v>
      </c>
      <c r="E35" s="46"/>
      <c r="F35" s="1"/>
      <c r="G35" s="1"/>
      <c r="H35" s="1"/>
      <c r="I35" s="46"/>
      <c r="J35" s="1"/>
      <c r="K35" s="1"/>
      <c r="L35" s="1"/>
      <c r="M35" s="36"/>
      <c r="N35" s="1"/>
      <c r="O35" s="1"/>
      <c r="P35" s="1"/>
      <c r="Q35" s="1"/>
      <c r="R35" s="1"/>
      <c r="S35" s="46"/>
      <c r="T35" s="1"/>
      <c r="U35" s="1"/>
      <c r="V35" s="36"/>
      <c r="W35" s="1"/>
      <c r="X35" s="1"/>
      <c r="Y35" s="1"/>
      <c r="Z35" s="1"/>
      <c r="AA35" s="1"/>
      <c r="AB35" s="1"/>
      <c r="AC35" s="46"/>
      <c r="AD35" s="1"/>
      <c r="AE35" s="1"/>
      <c r="AF35" s="1"/>
      <c r="AG35" s="1"/>
      <c r="AH35" s="1"/>
      <c r="AI35" s="58"/>
      <c r="AJ35" s="59"/>
      <c r="AK35" s="1"/>
      <c r="AL35" s="1" t="s">
        <v>354</v>
      </c>
      <c r="AM35" s="64">
        <f>375*constants!C5</f>
        <v>11.261261261261263</v>
      </c>
      <c r="AN35" s="1">
        <v>0.01</v>
      </c>
      <c r="AO35" s="1"/>
      <c r="AP35" s="1"/>
      <c r="AQ35" s="46"/>
      <c r="AR35" s="1"/>
      <c r="AS35" s="1"/>
      <c r="AT35" s="1"/>
      <c r="AU35" s="1"/>
      <c r="AV35" s="1"/>
      <c r="AW35" s="1"/>
      <c r="AX35" s="1"/>
      <c r="AY35" s="46"/>
      <c r="BA35" s="1"/>
      <c r="BB35" s="1"/>
      <c r="BC35" s="1"/>
      <c r="BD35" s="1"/>
      <c r="BE35" s="1"/>
      <c r="BF35" s="1"/>
      <c r="BG35" s="1"/>
      <c r="BH35" s="1"/>
      <c r="BI35" s="1"/>
      <c r="BJ35" s="1"/>
      <c r="BK35" s="36"/>
      <c r="BL35" s="1"/>
      <c r="BM35" s="1"/>
      <c r="BN35" s="1"/>
      <c r="BO35" s="1"/>
      <c r="BP35" s="1"/>
      <c r="BQ35" s="46"/>
      <c r="BR35" s="1"/>
      <c r="BS35" s="1"/>
      <c r="BT35" s="36"/>
      <c r="BU35" s="46"/>
      <c r="BV35" s="1"/>
      <c r="BW35" s="1"/>
      <c r="BX35" s="1"/>
      <c r="BY35" s="1"/>
      <c r="BZ35" s="36"/>
    </row>
    <row r="36" spans="1:78" ht="15.75" customHeight="1" x14ac:dyDescent="0.2">
      <c r="A36" s="1" t="s">
        <v>356</v>
      </c>
      <c r="B36" s="1"/>
      <c r="E36" s="46"/>
      <c r="F36" s="1"/>
      <c r="G36" s="1"/>
      <c r="H36" s="1"/>
      <c r="I36" s="46"/>
      <c r="J36" s="1"/>
      <c r="K36" s="1"/>
      <c r="L36" s="1"/>
      <c r="M36" s="36"/>
      <c r="N36" s="1"/>
      <c r="O36" s="1"/>
      <c r="P36" s="1"/>
      <c r="Q36" s="1"/>
      <c r="R36" s="1"/>
      <c r="S36" s="46"/>
      <c r="T36" s="1"/>
      <c r="U36" s="1"/>
      <c r="V36" s="36"/>
      <c r="W36" s="1"/>
      <c r="X36" s="1"/>
      <c r="Y36" s="1"/>
      <c r="Z36" s="1"/>
      <c r="AA36" s="1"/>
      <c r="AB36" s="1"/>
      <c r="AC36" s="46"/>
      <c r="AD36" s="1"/>
      <c r="AE36" s="1"/>
      <c r="AF36" s="1"/>
      <c r="AG36" s="1"/>
      <c r="AH36" s="1"/>
      <c r="AI36" s="58"/>
      <c r="AJ36" s="59"/>
      <c r="AK36" s="1"/>
      <c r="AL36" s="1"/>
      <c r="AM36" s="1"/>
      <c r="AN36" s="1"/>
      <c r="AO36" s="1"/>
      <c r="AP36" s="1"/>
      <c r="AQ36" s="46"/>
      <c r="AR36" s="1"/>
      <c r="AS36" s="1"/>
      <c r="AT36" s="1"/>
      <c r="AU36" s="1"/>
      <c r="AV36" s="1"/>
      <c r="AW36" s="1"/>
      <c r="AX36" s="1"/>
      <c r="AY36" s="46"/>
      <c r="BA36" s="1"/>
      <c r="BB36" s="1"/>
      <c r="BC36" s="1"/>
      <c r="BD36" s="1"/>
      <c r="BE36" s="1"/>
      <c r="BF36" s="1"/>
      <c r="BG36" s="1"/>
      <c r="BH36" s="1"/>
      <c r="BI36" s="1"/>
      <c r="BJ36" s="1"/>
      <c r="BK36" s="36"/>
      <c r="BL36" s="1"/>
      <c r="BM36" s="1"/>
      <c r="BN36" s="1"/>
      <c r="BO36" s="1"/>
      <c r="BP36" s="1"/>
      <c r="BQ36" s="46"/>
      <c r="BR36" s="1"/>
      <c r="BS36" s="1"/>
      <c r="BT36" s="36"/>
      <c r="BU36" s="46"/>
      <c r="BV36" s="1"/>
      <c r="BW36" s="1"/>
      <c r="BX36" s="1"/>
      <c r="BY36" s="1"/>
      <c r="BZ36" s="36"/>
    </row>
    <row r="37" spans="1:78" ht="15.75" customHeight="1" x14ac:dyDescent="0.2">
      <c r="A37" s="1" t="s">
        <v>357</v>
      </c>
      <c r="B37" s="1"/>
      <c r="C37" s="3" t="s">
        <v>358</v>
      </c>
      <c r="E37" s="46"/>
      <c r="F37" s="1"/>
      <c r="G37" s="1"/>
      <c r="H37" s="1"/>
      <c r="I37" s="46"/>
      <c r="J37" s="1"/>
      <c r="K37" s="1"/>
      <c r="L37" s="1"/>
      <c r="M37" s="36"/>
      <c r="N37" s="1"/>
      <c r="O37" s="1"/>
      <c r="P37" s="1"/>
      <c r="Q37" s="1"/>
      <c r="R37" s="1"/>
      <c r="S37" s="46"/>
      <c r="T37" s="1"/>
      <c r="U37" s="1"/>
      <c r="V37" s="36"/>
      <c r="W37" s="1"/>
      <c r="X37" s="1"/>
      <c r="Y37" s="1"/>
      <c r="Z37" s="1"/>
      <c r="AA37" s="1"/>
      <c r="AB37" s="1"/>
      <c r="AC37" s="46"/>
      <c r="AD37" s="1"/>
      <c r="AE37" s="1"/>
      <c r="AF37" s="1"/>
      <c r="AG37" s="1"/>
      <c r="AH37" s="1"/>
      <c r="AI37" s="58"/>
      <c r="AJ37" s="59"/>
      <c r="AK37" s="1"/>
      <c r="AL37" s="1" t="s">
        <v>354</v>
      </c>
      <c r="AM37" s="64">
        <f>7400/1000*3.6</f>
        <v>26.64</v>
      </c>
      <c r="AN37" s="1">
        <v>0</v>
      </c>
      <c r="AO37" s="1"/>
      <c r="AP37" s="1"/>
      <c r="AQ37" s="46"/>
      <c r="AR37" s="1"/>
      <c r="AS37" s="1"/>
      <c r="AT37" s="1"/>
      <c r="AU37" s="1"/>
      <c r="AV37" s="1"/>
      <c r="AW37" s="1"/>
      <c r="AX37" s="1"/>
      <c r="AY37" s="46"/>
      <c r="BA37" s="1"/>
      <c r="BB37" s="1"/>
      <c r="BC37" s="1"/>
      <c r="BD37" s="1"/>
      <c r="BE37" s="1"/>
      <c r="BF37" s="1"/>
      <c r="BG37" s="1"/>
      <c r="BH37" s="1"/>
      <c r="BI37" s="1"/>
      <c r="BJ37" s="1"/>
      <c r="BK37" s="36"/>
      <c r="BL37" s="1"/>
      <c r="BM37" s="1"/>
      <c r="BN37" s="1"/>
      <c r="BO37" s="1"/>
      <c r="BP37" s="1"/>
      <c r="BQ37" s="46"/>
      <c r="BR37" s="1"/>
      <c r="BS37" s="1"/>
      <c r="BT37" s="36"/>
      <c r="BU37" s="46"/>
      <c r="BV37" s="1"/>
      <c r="BW37" s="1"/>
      <c r="BX37" s="1"/>
      <c r="BY37" s="1"/>
      <c r="BZ37" s="36"/>
    </row>
    <row r="38" spans="1:78" ht="15.75" customHeight="1" x14ac:dyDescent="0.2">
      <c r="A38" s="48" t="s">
        <v>357</v>
      </c>
      <c r="B38" s="48"/>
      <c r="C38" s="48" t="s">
        <v>359</v>
      </c>
      <c r="D38" s="48" t="s">
        <v>360</v>
      </c>
      <c r="E38" s="49"/>
      <c r="F38" s="48"/>
      <c r="G38" s="48"/>
      <c r="H38" s="48"/>
      <c r="I38" s="49"/>
      <c r="J38" s="48"/>
      <c r="K38" s="48"/>
      <c r="L38" s="48"/>
      <c r="M38" s="50"/>
      <c r="N38" s="48"/>
      <c r="O38" s="48"/>
      <c r="P38" s="48"/>
      <c r="Q38" s="48"/>
      <c r="R38" s="48"/>
      <c r="S38" s="49"/>
      <c r="T38" s="48"/>
      <c r="U38" s="48"/>
      <c r="V38" s="50"/>
      <c r="W38" s="48"/>
      <c r="X38" s="48"/>
      <c r="Y38" s="48"/>
      <c r="Z38" s="48"/>
      <c r="AA38" s="48"/>
      <c r="AB38" s="48"/>
      <c r="AC38" s="49"/>
      <c r="AD38" s="48"/>
      <c r="AE38" s="48"/>
      <c r="AF38" s="48"/>
      <c r="AG38" s="48"/>
      <c r="AH38" s="48"/>
      <c r="AI38" s="51"/>
      <c r="AJ38" s="52"/>
      <c r="AK38" s="48"/>
      <c r="AL38" s="48" t="s">
        <v>361</v>
      </c>
      <c r="AM38" s="48">
        <f>30/1000*3.6</f>
        <v>0.108</v>
      </c>
      <c r="AN38" s="62">
        <f>0.11/30</f>
        <v>3.6666666666666666E-3</v>
      </c>
      <c r="AO38" s="48"/>
      <c r="AP38" s="48"/>
      <c r="AQ38" s="49"/>
      <c r="AR38" s="48"/>
      <c r="AS38" s="48"/>
      <c r="AT38" s="48"/>
      <c r="AU38" s="48"/>
      <c r="AV38" s="48"/>
      <c r="AW38" s="48"/>
      <c r="AX38" s="48"/>
      <c r="AY38" s="49"/>
      <c r="AZ38" s="48"/>
      <c r="BA38" s="48"/>
      <c r="BB38" s="48"/>
      <c r="BC38" s="48"/>
      <c r="BD38" s="48"/>
      <c r="BE38" s="48"/>
      <c r="BF38" s="48"/>
      <c r="BG38" s="48"/>
      <c r="BH38" s="48"/>
      <c r="BI38" s="48"/>
      <c r="BJ38" s="48"/>
      <c r="BK38" s="50"/>
      <c r="BL38" s="48"/>
      <c r="BM38" s="48"/>
      <c r="BN38" s="48"/>
      <c r="BO38" s="48"/>
      <c r="BP38" s="48"/>
      <c r="BQ38" s="49"/>
      <c r="BR38" s="48"/>
      <c r="BS38" s="48"/>
      <c r="BT38" s="50"/>
      <c r="BU38" s="49"/>
      <c r="BV38" s="48"/>
      <c r="BW38" s="48"/>
      <c r="BX38" s="48"/>
      <c r="BY38" s="48"/>
      <c r="BZ38" s="50"/>
    </row>
    <row r="39" spans="1:78" ht="15.75" customHeight="1" x14ac:dyDescent="0.2">
      <c r="A39" s="48" t="s">
        <v>357</v>
      </c>
      <c r="B39" s="48"/>
      <c r="C39" s="48" t="s">
        <v>362</v>
      </c>
      <c r="D39" s="48" t="s">
        <v>363</v>
      </c>
      <c r="E39" s="49"/>
      <c r="F39" s="48"/>
      <c r="G39" s="48"/>
      <c r="H39" s="48"/>
      <c r="I39" s="49"/>
      <c r="J39" s="48"/>
      <c r="K39" s="48"/>
      <c r="L39" s="48"/>
      <c r="M39" s="50"/>
      <c r="N39" s="48"/>
      <c r="O39" s="48"/>
      <c r="P39" s="48"/>
      <c r="Q39" s="48"/>
      <c r="R39" s="48"/>
      <c r="S39" s="49"/>
      <c r="T39" s="48"/>
      <c r="U39" s="48"/>
      <c r="V39" s="50"/>
      <c r="W39" s="48"/>
      <c r="X39" s="48"/>
      <c r="Y39" s="48"/>
      <c r="Z39" s="48"/>
      <c r="AA39" s="48"/>
      <c r="AB39" s="48"/>
      <c r="AC39" s="49"/>
      <c r="AD39" s="48"/>
      <c r="AE39" s="48"/>
      <c r="AF39" s="48"/>
      <c r="AG39" s="48"/>
      <c r="AH39" s="48"/>
      <c r="AI39" s="51"/>
      <c r="AJ39" s="52"/>
      <c r="AK39" s="48"/>
      <c r="AL39" s="48" t="s">
        <v>364</v>
      </c>
      <c r="AM39" s="48">
        <f>1300/1000*3.6</f>
        <v>4.6800000000000006</v>
      </c>
      <c r="AN39" s="48">
        <v>0</v>
      </c>
      <c r="AO39" s="48"/>
      <c r="AP39" s="48"/>
      <c r="AQ39" s="49"/>
      <c r="AR39" s="48"/>
      <c r="AS39" s="48"/>
      <c r="AT39" s="48"/>
      <c r="AU39" s="48"/>
      <c r="AV39" s="48"/>
      <c r="AW39" s="48"/>
      <c r="AX39" s="48"/>
      <c r="AY39" s="49"/>
      <c r="AZ39" s="48"/>
      <c r="BA39" s="48"/>
      <c r="BB39" s="48"/>
      <c r="BC39" s="48"/>
      <c r="BD39" s="48"/>
      <c r="BE39" s="48"/>
      <c r="BF39" s="48"/>
      <c r="BG39" s="48"/>
      <c r="BH39" s="48"/>
      <c r="BI39" s="48"/>
      <c r="BJ39" s="48"/>
      <c r="BK39" s="50"/>
      <c r="BL39" s="48"/>
      <c r="BM39" s="48"/>
      <c r="BN39" s="48"/>
      <c r="BO39" s="48"/>
      <c r="BP39" s="48"/>
      <c r="BQ39" s="49"/>
      <c r="BR39" s="48"/>
      <c r="BS39" s="48"/>
      <c r="BT39" s="50"/>
      <c r="BU39" s="49"/>
      <c r="BV39" s="48"/>
      <c r="BW39" s="48"/>
      <c r="BX39" s="48"/>
      <c r="BY39" s="48"/>
      <c r="BZ39" s="50"/>
    </row>
    <row r="40" spans="1:78" ht="15.75" customHeight="1" x14ac:dyDescent="0.2">
      <c r="A40" s="48" t="s">
        <v>357</v>
      </c>
      <c r="B40" s="48"/>
      <c r="C40" s="48" t="s">
        <v>365</v>
      </c>
      <c r="D40" s="48" t="s">
        <v>366</v>
      </c>
      <c r="E40" s="49"/>
      <c r="F40" s="48"/>
      <c r="G40" s="48"/>
      <c r="H40" s="48"/>
      <c r="I40" s="49"/>
      <c r="J40" s="48"/>
      <c r="K40" s="48"/>
      <c r="L40" s="48"/>
      <c r="M40" s="50"/>
      <c r="N40" s="48"/>
      <c r="O40" s="48"/>
      <c r="P40" s="48"/>
      <c r="Q40" s="48"/>
      <c r="R40" s="48"/>
      <c r="S40" s="49"/>
      <c r="T40" s="48"/>
      <c r="U40" s="48"/>
      <c r="V40" s="50"/>
      <c r="W40" s="48"/>
      <c r="X40" s="48">
        <v>450</v>
      </c>
      <c r="Y40" s="48">
        <v>0.02</v>
      </c>
      <c r="Z40" s="48">
        <v>15</v>
      </c>
      <c r="AA40" s="48">
        <v>0.95</v>
      </c>
      <c r="AB40" s="48"/>
      <c r="AC40" s="49"/>
      <c r="AD40" s="48"/>
      <c r="AE40" s="48"/>
      <c r="AF40" s="48"/>
      <c r="AG40" s="48"/>
      <c r="AH40" s="48"/>
      <c r="AI40" s="51"/>
      <c r="AJ40" s="52"/>
      <c r="AK40" s="48"/>
      <c r="AL40" s="48"/>
      <c r="AM40" s="48"/>
      <c r="AN40" s="48"/>
      <c r="AO40" s="48"/>
      <c r="AP40" s="48"/>
      <c r="AQ40" s="49"/>
      <c r="AR40" s="48"/>
      <c r="AS40" s="48"/>
      <c r="AT40" s="48"/>
      <c r="AU40" s="48"/>
      <c r="AV40" s="48"/>
      <c r="AW40" s="48"/>
      <c r="AX40" s="48"/>
      <c r="AY40" s="49"/>
      <c r="AZ40" s="48"/>
      <c r="BA40" s="48"/>
      <c r="BB40" s="48"/>
      <c r="BC40" s="48"/>
      <c r="BD40" s="48"/>
      <c r="BE40" s="48"/>
      <c r="BF40" s="48"/>
      <c r="BG40" s="48"/>
      <c r="BH40" s="48"/>
      <c r="BI40" s="48"/>
      <c r="BJ40" s="48"/>
      <c r="BK40" s="50"/>
      <c r="BL40" s="48"/>
      <c r="BM40" s="48"/>
      <c r="BN40" s="48"/>
      <c r="BO40" s="48"/>
      <c r="BP40" s="48"/>
      <c r="BQ40" s="49"/>
      <c r="BR40" s="48"/>
      <c r="BS40" s="48"/>
      <c r="BT40" s="50"/>
      <c r="BU40" s="49"/>
      <c r="BV40" s="48"/>
      <c r="BW40" s="48"/>
      <c r="BX40" s="48"/>
      <c r="BY40" s="48"/>
      <c r="BZ40" s="50"/>
    </row>
    <row r="41" spans="1:78" ht="15.75" customHeight="1" x14ac:dyDescent="0.2">
      <c r="A41" s="1" t="s">
        <v>367</v>
      </c>
      <c r="B41" s="1"/>
      <c r="C41" s="3" t="s">
        <v>368</v>
      </c>
      <c r="E41" s="46"/>
      <c r="F41" s="1"/>
      <c r="G41" s="1"/>
      <c r="H41" s="1"/>
      <c r="I41" s="46"/>
      <c r="J41" s="1"/>
      <c r="K41" s="1"/>
      <c r="L41" s="1"/>
      <c r="M41" s="36"/>
      <c r="N41" s="1"/>
      <c r="O41" s="1"/>
      <c r="P41" s="1"/>
      <c r="Q41" s="1"/>
      <c r="R41" s="1"/>
      <c r="S41" s="46"/>
      <c r="T41" s="1"/>
      <c r="U41" s="1"/>
      <c r="V41" s="36"/>
      <c r="W41" s="1"/>
      <c r="X41" s="1"/>
      <c r="Y41" s="1"/>
      <c r="Z41" s="1"/>
      <c r="AA41" s="1"/>
      <c r="AB41" s="1"/>
      <c r="AC41" s="46"/>
      <c r="AD41" s="1"/>
      <c r="AE41" s="1"/>
      <c r="AF41" s="1"/>
      <c r="AG41" s="1"/>
      <c r="AH41" s="1"/>
      <c r="AI41" s="58"/>
      <c r="AJ41" s="59"/>
      <c r="AK41" s="1"/>
      <c r="AL41" s="1"/>
      <c r="AN41" s="1"/>
      <c r="AO41" s="1"/>
      <c r="AP41" s="1"/>
      <c r="AQ41" s="46">
        <f>3</f>
        <v>3</v>
      </c>
      <c r="AR41" s="1"/>
      <c r="AS41" s="19">
        <f>AQ41*constants!C4*constants!C5</f>
        <v>8.1081081081081099E-2</v>
      </c>
      <c r="AT41" s="19"/>
      <c r="AU41" s="1"/>
      <c r="AV41" s="1"/>
      <c r="AW41" s="1">
        <v>0.39900000000000002</v>
      </c>
      <c r="AX41" s="1"/>
      <c r="AY41" s="46"/>
      <c r="BA41" s="1"/>
      <c r="BB41" s="1"/>
      <c r="BC41" s="1"/>
      <c r="BD41" s="1"/>
      <c r="BE41" s="1"/>
      <c r="BF41" s="1"/>
      <c r="BG41" s="1"/>
      <c r="BH41" s="1"/>
      <c r="BI41" s="1"/>
      <c r="BJ41" s="1"/>
      <c r="BK41" s="36"/>
      <c r="BL41" s="1"/>
      <c r="BM41" s="1"/>
      <c r="BN41" s="1"/>
      <c r="BO41" s="1"/>
      <c r="BP41" s="1"/>
      <c r="BQ41" s="46"/>
      <c r="BR41" s="1"/>
      <c r="BS41" s="1"/>
      <c r="BT41" s="36"/>
      <c r="BU41" s="46"/>
      <c r="BV41" s="1"/>
      <c r="BW41" s="19"/>
      <c r="BX41" s="1"/>
      <c r="BY41" s="1"/>
      <c r="BZ41" s="36"/>
    </row>
    <row r="42" spans="1:78" ht="15.75" customHeight="1" x14ac:dyDescent="0.2">
      <c r="A42" s="1" t="s">
        <v>369</v>
      </c>
      <c r="B42" s="1"/>
      <c r="C42" s="1" t="s">
        <v>370</v>
      </c>
      <c r="D42" s="1"/>
      <c r="E42" s="46"/>
      <c r="F42" s="1"/>
      <c r="G42" s="1"/>
      <c r="H42" s="1"/>
      <c r="I42" s="46"/>
      <c r="J42" s="1"/>
      <c r="K42" s="1"/>
      <c r="L42" s="1"/>
      <c r="M42" s="36"/>
      <c r="N42" s="1"/>
      <c r="O42" s="1"/>
      <c r="P42" s="1"/>
      <c r="Q42" s="1"/>
      <c r="R42" s="1"/>
      <c r="S42" s="46"/>
      <c r="T42" s="1"/>
      <c r="U42" s="1"/>
      <c r="V42" s="36"/>
      <c r="W42" s="1"/>
      <c r="X42" s="1"/>
      <c r="Y42" s="1"/>
      <c r="Z42" s="1"/>
      <c r="AA42" s="1"/>
      <c r="AB42" s="1"/>
      <c r="AC42" s="46"/>
      <c r="AD42" s="1"/>
      <c r="AE42" s="1"/>
      <c r="AF42" s="1"/>
      <c r="AG42" s="1"/>
      <c r="AH42" s="1"/>
      <c r="AI42" s="58"/>
      <c r="AJ42" s="59"/>
      <c r="AK42" s="1"/>
      <c r="AL42" s="1"/>
      <c r="AM42" s="16"/>
      <c r="AN42" s="1"/>
      <c r="AO42" s="1"/>
      <c r="AP42" s="1"/>
      <c r="AQ42" s="46"/>
      <c r="AR42" s="1"/>
      <c r="AS42" s="1"/>
      <c r="AT42" s="1"/>
      <c r="AU42" s="1"/>
      <c r="AV42" s="1"/>
      <c r="AW42" s="1"/>
      <c r="AX42" s="1"/>
      <c r="AY42" s="46"/>
      <c r="AZ42" s="1"/>
      <c r="BA42" s="1"/>
      <c r="BB42" s="1"/>
      <c r="BC42" s="1"/>
      <c r="BD42" s="1"/>
      <c r="BE42" s="1"/>
      <c r="BF42" s="1"/>
      <c r="BG42" s="1"/>
      <c r="BH42" s="1"/>
      <c r="BI42" s="1"/>
      <c r="BJ42" s="1"/>
      <c r="BK42" s="36"/>
      <c r="BL42" s="1"/>
      <c r="BM42" s="1"/>
      <c r="BN42" s="1"/>
      <c r="BO42" s="1"/>
      <c r="BP42" s="1"/>
      <c r="BQ42" s="65">
        <f>516/constants!C7</f>
        <v>448.69565217391306</v>
      </c>
      <c r="BR42" s="1">
        <v>0.05</v>
      </c>
      <c r="BS42" s="1">
        <v>20</v>
      </c>
      <c r="BT42" s="36"/>
      <c r="BU42" s="46"/>
      <c r="BV42" s="1"/>
      <c r="BW42" s="1"/>
      <c r="BX42" s="1"/>
      <c r="BY42" s="1"/>
      <c r="BZ42" s="36"/>
    </row>
    <row r="43" spans="1:78" ht="15.75" customHeight="1" x14ac:dyDescent="0.2">
      <c r="A43" s="1" t="s">
        <v>371</v>
      </c>
      <c r="B43" s="1">
        <v>2017</v>
      </c>
      <c r="C43" s="1" t="s">
        <v>372</v>
      </c>
      <c r="D43" s="1"/>
      <c r="E43" s="46"/>
      <c r="F43" s="1"/>
      <c r="G43" s="1"/>
      <c r="H43" s="1"/>
      <c r="I43" s="46"/>
      <c r="J43" s="1"/>
      <c r="K43" s="1"/>
      <c r="L43" s="1"/>
      <c r="M43" s="36"/>
      <c r="N43" s="1"/>
      <c r="O43" s="1"/>
      <c r="P43" s="1"/>
      <c r="Q43" s="1"/>
      <c r="R43" s="1"/>
      <c r="S43" s="46"/>
      <c r="T43" s="1"/>
      <c r="U43" s="1"/>
      <c r="V43" s="36"/>
      <c r="W43" s="1"/>
      <c r="X43" s="1">
        <v>402</v>
      </c>
      <c r="Y43" s="1"/>
      <c r="Z43" s="1"/>
      <c r="AA43" s="1"/>
      <c r="AB43" s="1"/>
      <c r="AC43" s="46"/>
      <c r="AD43" s="1"/>
      <c r="AE43" s="1"/>
      <c r="AF43" s="1"/>
      <c r="AG43" s="1"/>
      <c r="AH43" s="1"/>
      <c r="AI43" s="58"/>
      <c r="AJ43" s="59"/>
      <c r="AK43" s="1"/>
      <c r="AL43" s="1"/>
      <c r="AM43" s="16"/>
      <c r="AN43" s="1"/>
      <c r="AO43" s="1"/>
      <c r="AP43" s="1"/>
      <c r="AQ43" s="46"/>
      <c r="AR43" s="1"/>
      <c r="AS43" s="1"/>
      <c r="AT43" s="1"/>
      <c r="AU43" s="1"/>
      <c r="AV43" s="1"/>
      <c r="AW43" s="1"/>
      <c r="AX43" s="1"/>
      <c r="AY43" s="46"/>
      <c r="AZ43" s="1"/>
      <c r="BA43" s="1"/>
      <c r="BB43" s="1"/>
      <c r="BC43" s="1"/>
      <c r="BD43" s="1"/>
      <c r="BE43" s="1"/>
      <c r="BF43" s="1"/>
      <c r="BG43" s="1"/>
      <c r="BH43" s="1"/>
      <c r="BI43" s="1"/>
      <c r="BJ43" s="1"/>
      <c r="BK43" s="36"/>
      <c r="BL43" s="1"/>
      <c r="BM43" s="1"/>
      <c r="BN43" s="1"/>
      <c r="BO43" s="1"/>
      <c r="BP43" s="1"/>
      <c r="BQ43" s="46"/>
      <c r="BR43" s="1"/>
      <c r="BS43" s="1"/>
      <c r="BT43" s="36"/>
      <c r="BU43" s="46"/>
      <c r="BV43" s="1"/>
      <c r="BW43" s="1"/>
      <c r="BX43" s="1"/>
      <c r="BY43" s="1"/>
      <c r="BZ43" s="36"/>
    </row>
    <row r="44" spans="1:78" ht="15.75" customHeight="1" x14ac:dyDescent="0.2">
      <c r="A44" s="1" t="s">
        <v>371</v>
      </c>
      <c r="B44" s="1">
        <v>2025</v>
      </c>
      <c r="C44" s="1" t="s">
        <v>373</v>
      </c>
      <c r="D44" s="1"/>
      <c r="E44" s="46"/>
      <c r="F44" s="1"/>
      <c r="G44" s="1"/>
      <c r="H44" s="1"/>
      <c r="I44" s="46"/>
      <c r="J44" s="1"/>
      <c r="K44" s="1"/>
      <c r="L44" s="1"/>
      <c r="M44" s="36"/>
      <c r="N44" s="1"/>
      <c r="O44" s="1"/>
      <c r="P44" s="1"/>
      <c r="Q44" s="1"/>
      <c r="R44" s="1"/>
      <c r="S44" s="46"/>
      <c r="T44" s="1"/>
      <c r="U44" s="1"/>
      <c r="V44" s="36"/>
      <c r="W44" s="1"/>
      <c r="X44" s="1">
        <v>268</v>
      </c>
      <c r="Y44" s="1"/>
      <c r="Z44" s="1"/>
      <c r="AA44" s="1"/>
      <c r="AB44" s="1"/>
      <c r="AC44" s="46"/>
      <c r="AD44" s="1"/>
      <c r="AE44" s="1"/>
      <c r="AF44" s="1"/>
      <c r="AG44" s="1"/>
      <c r="AH44" s="1"/>
      <c r="AI44" s="58"/>
      <c r="AJ44" s="59"/>
      <c r="AK44" s="1"/>
      <c r="AL44" s="1"/>
      <c r="AM44" s="16"/>
      <c r="AN44" s="1"/>
      <c r="AO44" s="1"/>
      <c r="AP44" s="1"/>
      <c r="AQ44" s="46"/>
      <c r="AR44" s="1"/>
      <c r="AS44" s="1"/>
      <c r="AT44" s="1"/>
      <c r="AU44" s="1"/>
      <c r="AV44" s="1"/>
      <c r="AW44" s="1"/>
      <c r="AX44" s="1"/>
      <c r="AY44" s="46"/>
      <c r="AZ44" s="1"/>
      <c r="BA44" s="1"/>
      <c r="BB44" s="1"/>
      <c r="BC44" s="1"/>
      <c r="BD44" s="1"/>
      <c r="BE44" s="1"/>
      <c r="BF44" s="1"/>
      <c r="BG44" s="1"/>
      <c r="BH44" s="1"/>
      <c r="BI44" s="1"/>
      <c r="BJ44" s="1"/>
      <c r="BK44" s="36"/>
      <c r="BL44" s="1"/>
      <c r="BM44" s="1"/>
      <c r="BN44" s="1"/>
      <c r="BO44" s="1"/>
      <c r="BP44" s="1"/>
      <c r="BQ44" s="46"/>
      <c r="BR44" s="1"/>
      <c r="BS44" s="1"/>
      <c r="BT44" s="36"/>
      <c r="BU44" s="46"/>
      <c r="BV44" s="1"/>
      <c r="BW44" s="1"/>
      <c r="BX44" s="1"/>
      <c r="BY44" s="1"/>
      <c r="BZ44" s="36"/>
    </row>
    <row r="45" spans="1:78" ht="15.75" customHeight="1" x14ac:dyDescent="0.2">
      <c r="A45" s="1" t="s">
        <v>371</v>
      </c>
      <c r="B45" s="1">
        <v>2030</v>
      </c>
      <c r="C45" s="1" t="s">
        <v>374</v>
      </c>
      <c r="D45" s="1"/>
      <c r="E45" s="46"/>
      <c r="F45" s="1"/>
      <c r="G45" s="1"/>
      <c r="H45" s="1"/>
      <c r="I45" s="46"/>
      <c r="J45" s="1"/>
      <c r="K45" s="1"/>
      <c r="L45" s="1"/>
      <c r="M45" s="36"/>
      <c r="N45" s="1"/>
      <c r="O45" s="1"/>
      <c r="P45" s="1"/>
      <c r="Q45" s="1"/>
      <c r="R45" s="1"/>
      <c r="S45" s="46"/>
      <c r="T45" s="1"/>
      <c r="U45" s="1"/>
      <c r="V45" s="36"/>
      <c r="W45" s="1"/>
      <c r="X45" s="1">
        <v>243</v>
      </c>
      <c r="Y45" s="1"/>
      <c r="Z45" s="1"/>
      <c r="AA45" s="1"/>
      <c r="AB45" s="1"/>
      <c r="AC45" s="46"/>
      <c r="AD45" s="1"/>
      <c r="AE45" s="1"/>
      <c r="AF45" s="1"/>
      <c r="AG45" s="1"/>
      <c r="AH45" s="1"/>
      <c r="AI45" s="58"/>
      <c r="AJ45" s="59"/>
      <c r="AK45" s="1"/>
      <c r="AL45" s="1"/>
      <c r="AM45" s="16"/>
      <c r="AN45" s="1"/>
      <c r="AO45" s="1"/>
      <c r="AP45" s="1"/>
      <c r="AQ45" s="46"/>
      <c r="AR45" s="1"/>
      <c r="AS45" s="1"/>
      <c r="AT45" s="1"/>
      <c r="AU45" s="1"/>
      <c r="AV45" s="1"/>
      <c r="AW45" s="1"/>
      <c r="AX45" s="1"/>
      <c r="AY45" s="46"/>
      <c r="AZ45" s="1"/>
      <c r="BA45" s="1"/>
      <c r="BB45" s="1"/>
      <c r="BC45" s="1"/>
      <c r="BD45" s="1"/>
      <c r="BE45" s="1"/>
      <c r="BF45" s="1"/>
      <c r="BG45" s="1"/>
      <c r="BH45" s="1"/>
      <c r="BI45" s="1"/>
      <c r="BJ45" s="1"/>
      <c r="BK45" s="36"/>
      <c r="BL45" s="1"/>
      <c r="BM45" s="1"/>
      <c r="BN45" s="1"/>
      <c r="BO45" s="1"/>
      <c r="BP45" s="1"/>
      <c r="BQ45" s="46"/>
      <c r="BR45" s="1"/>
      <c r="BS45" s="1"/>
      <c r="BT45" s="36"/>
      <c r="BU45" s="46"/>
      <c r="BV45" s="1"/>
      <c r="BW45" s="1"/>
      <c r="BX45" s="1"/>
      <c r="BY45" s="1"/>
      <c r="BZ45" s="36"/>
    </row>
    <row r="46" spans="1:78" ht="15.75" customHeight="1" x14ac:dyDescent="0.2">
      <c r="A46" s="1" t="s">
        <v>371</v>
      </c>
      <c r="B46" s="1">
        <v>2035</v>
      </c>
      <c r="C46" s="1" t="s">
        <v>375</v>
      </c>
      <c r="D46" s="1"/>
      <c r="E46" s="46"/>
      <c r="F46" s="1"/>
      <c r="G46" s="1"/>
      <c r="H46" s="1"/>
      <c r="I46" s="46"/>
      <c r="J46" s="1"/>
      <c r="K46" s="1"/>
      <c r="L46" s="1"/>
      <c r="M46" s="36"/>
      <c r="N46" s="1"/>
      <c r="O46" s="1"/>
      <c r="P46" s="1"/>
      <c r="Q46" s="1"/>
      <c r="R46" s="1"/>
      <c r="S46" s="46"/>
      <c r="T46" s="1"/>
      <c r="U46" s="1"/>
      <c r="V46" s="36"/>
      <c r="W46" s="1"/>
      <c r="X46" s="1">
        <v>228</v>
      </c>
      <c r="Y46" s="1"/>
      <c r="Z46" s="1"/>
      <c r="AA46" s="1"/>
      <c r="AB46" s="1"/>
      <c r="AC46" s="46"/>
      <c r="AD46" s="1"/>
      <c r="AE46" s="1"/>
      <c r="AF46" s="1"/>
      <c r="AG46" s="1"/>
      <c r="AH46" s="1"/>
      <c r="AI46" s="58"/>
      <c r="AJ46" s="59"/>
      <c r="AK46" s="1"/>
      <c r="AL46" s="1"/>
      <c r="AM46" s="16"/>
      <c r="AN46" s="1"/>
      <c r="AO46" s="1"/>
      <c r="AP46" s="1"/>
      <c r="AQ46" s="46"/>
      <c r="AR46" s="1"/>
      <c r="AS46" s="1"/>
      <c r="AT46" s="1"/>
      <c r="AU46" s="1"/>
      <c r="AV46" s="1"/>
      <c r="AW46" s="1"/>
      <c r="AX46" s="1"/>
      <c r="AY46" s="46"/>
      <c r="AZ46" s="1"/>
      <c r="BA46" s="1"/>
      <c r="BB46" s="1"/>
      <c r="BC46" s="1"/>
      <c r="BD46" s="1"/>
      <c r="BE46" s="1"/>
      <c r="BF46" s="1"/>
      <c r="BG46" s="1"/>
      <c r="BH46" s="1"/>
      <c r="BI46" s="1"/>
      <c r="BJ46" s="1"/>
      <c r="BK46" s="36"/>
      <c r="BL46" s="1"/>
      <c r="BM46" s="1"/>
      <c r="BN46" s="1"/>
      <c r="BO46" s="1"/>
      <c r="BP46" s="1"/>
      <c r="BQ46" s="46"/>
      <c r="BR46" s="1"/>
      <c r="BS46" s="1"/>
      <c r="BT46" s="36"/>
      <c r="BU46" s="46"/>
      <c r="BV46" s="1"/>
      <c r="BW46" s="1"/>
      <c r="BX46" s="1"/>
      <c r="BY46" s="1"/>
      <c r="BZ46" s="36"/>
    </row>
    <row r="47" spans="1:78" ht="15.75" customHeight="1" x14ac:dyDescent="0.2">
      <c r="A47" s="1" t="s">
        <v>371</v>
      </c>
      <c r="B47" s="1">
        <v>2040</v>
      </c>
      <c r="C47" s="1" t="s">
        <v>376</v>
      </c>
      <c r="D47" s="1"/>
      <c r="E47" s="46"/>
      <c r="F47" s="1"/>
      <c r="G47" s="1"/>
      <c r="H47" s="1"/>
      <c r="I47" s="46"/>
      <c r="J47" s="1"/>
      <c r="K47" s="1"/>
      <c r="L47" s="1"/>
      <c r="M47" s="36"/>
      <c r="N47" s="1"/>
      <c r="O47" s="1"/>
      <c r="P47" s="1"/>
      <c r="Q47" s="1"/>
      <c r="R47" s="1"/>
      <c r="S47" s="46"/>
      <c r="T47" s="1"/>
      <c r="U47" s="1"/>
      <c r="V47" s="36"/>
      <c r="W47" s="1"/>
      <c r="X47" s="1">
        <v>218</v>
      </c>
      <c r="Y47" s="1"/>
      <c r="Z47" s="1"/>
      <c r="AA47" s="1"/>
      <c r="AB47" s="1"/>
      <c r="AC47" s="46"/>
      <c r="AD47" s="1"/>
      <c r="AE47" s="1"/>
      <c r="AF47" s="1"/>
      <c r="AG47" s="1"/>
      <c r="AH47" s="1"/>
      <c r="AI47" s="58"/>
      <c r="AJ47" s="59"/>
      <c r="AK47" s="1"/>
      <c r="AL47" s="1"/>
      <c r="AM47" s="16"/>
      <c r="AN47" s="1"/>
      <c r="AO47" s="1"/>
      <c r="AP47" s="1"/>
      <c r="AQ47" s="46"/>
      <c r="AR47" s="1"/>
      <c r="AS47" s="1"/>
      <c r="AT47" s="1"/>
      <c r="AU47" s="1"/>
      <c r="AV47" s="1"/>
      <c r="AW47" s="1"/>
      <c r="AX47" s="1"/>
      <c r="AY47" s="46"/>
      <c r="AZ47" s="1"/>
      <c r="BA47" s="1"/>
      <c r="BB47" s="1"/>
      <c r="BC47" s="1"/>
      <c r="BD47" s="1"/>
      <c r="BE47" s="1"/>
      <c r="BF47" s="1"/>
      <c r="BG47" s="1"/>
      <c r="BH47" s="1"/>
      <c r="BI47" s="1"/>
      <c r="BJ47" s="1"/>
      <c r="BK47" s="36"/>
      <c r="BL47" s="1"/>
      <c r="BM47" s="1"/>
      <c r="BN47" s="1"/>
      <c r="BO47" s="1"/>
      <c r="BP47" s="1"/>
      <c r="BQ47" s="46"/>
      <c r="BR47" s="1"/>
      <c r="BS47" s="1"/>
      <c r="BT47" s="36"/>
      <c r="BU47" s="46"/>
      <c r="BV47" s="1"/>
      <c r="BW47" s="1"/>
      <c r="BX47" s="1"/>
      <c r="BY47" s="1"/>
      <c r="BZ47" s="36"/>
    </row>
    <row r="48" spans="1:78" ht="15.75" customHeight="1" x14ac:dyDescent="0.2">
      <c r="A48" s="1" t="s">
        <v>377</v>
      </c>
      <c r="B48" s="1">
        <v>2035</v>
      </c>
      <c r="C48" s="1" t="s">
        <v>378</v>
      </c>
      <c r="D48" s="1"/>
      <c r="E48" s="46"/>
      <c r="F48" s="1"/>
      <c r="G48" s="1"/>
      <c r="H48" s="1"/>
      <c r="I48" s="46"/>
      <c r="J48" s="1"/>
      <c r="K48" s="1"/>
      <c r="L48" s="1"/>
      <c r="M48" s="36"/>
      <c r="N48" s="1"/>
      <c r="O48" s="1"/>
      <c r="P48" s="1"/>
      <c r="Q48" s="1"/>
      <c r="R48" s="1"/>
      <c r="S48" s="46"/>
      <c r="T48" s="1"/>
      <c r="U48" s="1"/>
      <c r="V48" s="36"/>
      <c r="W48" s="1"/>
      <c r="X48" s="1">
        <v>125</v>
      </c>
      <c r="Y48" s="1">
        <v>0.03</v>
      </c>
      <c r="Z48" s="1">
        <v>20</v>
      </c>
      <c r="AA48" s="1">
        <v>0.97</v>
      </c>
      <c r="AB48" s="1"/>
      <c r="AC48" s="46"/>
      <c r="AD48" s="1">
        <v>500</v>
      </c>
      <c r="AE48" s="1">
        <v>0.04</v>
      </c>
      <c r="AF48" s="1"/>
      <c r="AG48" s="1">
        <v>10</v>
      </c>
      <c r="AH48" s="1"/>
      <c r="AI48" s="58"/>
      <c r="AJ48" s="59">
        <v>0.72</v>
      </c>
      <c r="AK48" s="1"/>
      <c r="AL48" s="1" t="s">
        <v>379</v>
      </c>
      <c r="AM48" s="14">
        <f>450*constants!C5</f>
        <v>13.513513513513516</v>
      </c>
      <c r="AN48" s="1">
        <v>0.01</v>
      </c>
      <c r="AO48" s="1">
        <v>30</v>
      </c>
      <c r="AP48" s="1"/>
      <c r="AQ48" s="46"/>
      <c r="AR48" s="1">
        <v>730</v>
      </c>
      <c r="AS48" s="1"/>
      <c r="AT48" s="1"/>
      <c r="AU48" s="1">
        <v>0.04</v>
      </c>
      <c r="AV48" s="1"/>
      <c r="AW48" s="1"/>
      <c r="AX48" s="1">
        <v>15</v>
      </c>
      <c r="AY48" s="46"/>
      <c r="AZ48" s="1"/>
      <c r="BA48" s="1">
        <v>183</v>
      </c>
      <c r="BB48" s="1">
        <v>0.04</v>
      </c>
      <c r="BC48" s="1">
        <v>0.83399999999999996</v>
      </c>
      <c r="BD48" s="1"/>
      <c r="BE48" s="1">
        <v>20</v>
      </c>
      <c r="BF48" s="1"/>
      <c r="BG48" s="58">
        <v>0.3</v>
      </c>
      <c r="BH48" s="1">
        <v>25</v>
      </c>
      <c r="BI48" s="1"/>
      <c r="BJ48" s="1"/>
      <c r="BK48" s="36"/>
      <c r="BL48" s="66" t="s">
        <v>380</v>
      </c>
      <c r="BM48" s="1">
        <v>0.04</v>
      </c>
      <c r="BN48" s="1">
        <v>0.214</v>
      </c>
      <c r="BO48" s="1">
        <v>1.393</v>
      </c>
      <c r="BP48" s="1">
        <v>28</v>
      </c>
      <c r="BQ48" s="46">
        <v>220</v>
      </c>
      <c r="BR48" s="1">
        <v>0.02</v>
      </c>
      <c r="BS48" s="1">
        <v>50</v>
      </c>
      <c r="BT48" s="36"/>
      <c r="BU48" s="67" t="s">
        <v>381</v>
      </c>
      <c r="BV48" s="1"/>
      <c r="BW48" s="1"/>
      <c r="BX48" s="1">
        <v>2.5000000000000001E-2</v>
      </c>
      <c r="BY48" s="1"/>
      <c r="BZ48" s="36">
        <v>30</v>
      </c>
    </row>
    <row r="49" spans="1:78" ht="15.75" customHeight="1" x14ac:dyDescent="0.2">
      <c r="A49" s="1" t="s">
        <v>382</v>
      </c>
      <c r="B49" s="1"/>
      <c r="C49" s="1"/>
      <c r="D49" s="1"/>
      <c r="E49" s="46"/>
      <c r="F49" s="1"/>
      <c r="G49" s="1"/>
      <c r="H49" s="1"/>
      <c r="I49" s="46"/>
      <c r="J49" s="1"/>
      <c r="K49" s="1"/>
      <c r="L49" s="1"/>
      <c r="M49" s="36"/>
      <c r="N49" s="1"/>
      <c r="O49" s="1"/>
      <c r="P49" s="1"/>
      <c r="Q49" s="1"/>
      <c r="R49" s="1"/>
      <c r="S49" s="46"/>
      <c r="T49" s="1"/>
      <c r="U49" s="1"/>
      <c r="V49" s="36"/>
      <c r="W49" s="1"/>
      <c r="X49" s="1"/>
      <c r="Y49" s="1"/>
      <c r="Z49" s="1"/>
      <c r="AA49" s="1"/>
      <c r="AB49" s="1"/>
      <c r="AC49" s="46"/>
      <c r="AD49" s="1">
        <v>800</v>
      </c>
      <c r="AE49" s="1">
        <v>0.02</v>
      </c>
      <c r="AF49" s="1"/>
      <c r="AG49" s="1"/>
      <c r="AH49" s="1"/>
      <c r="AI49" s="58"/>
      <c r="AJ49" s="59"/>
      <c r="AK49" s="1"/>
      <c r="AL49" s="1"/>
      <c r="AM49" s="16"/>
      <c r="AN49" s="1">
        <v>0.02</v>
      </c>
      <c r="AO49" s="1"/>
      <c r="AP49" s="1"/>
      <c r="AQ49" s="46"/>
      <c r="AR49" s="1"/>
      <c r="AS49" s="1"/>
      <c r="AT49" s="1"/>
      <c r="AU49" s="1"/>
      <c r="AV49" s="1"/>
      <c r="AW49" s="1"/>
      <c r="AX49" s="1"/>
      <c r="AY49" s="46"/>
      <c r="AZ49" s="1"/>
      <c r="BA49" s="1"/>
      <c r="BB49" s="1"/>
      <c r="BC49" s="1"/>
      <c r="BD49" s="1"/>
      <c r="BE49" s="1"/>
      <c r="BF49" s="1"/>
      <c r="BG49" s="1"/>
      <c r="BH49" s="1"/>
      <c r="BI49" s="1"/>
      <c r="BJ49" s="1"/>
      <c r="BK49" s="36"/>
      <c r="BL49" s="1"/>
      <c r="BM49" s="1"/>
      <c r="BN49" s="1"/>
      <c r="BO49" s="1"/>
      <c r="BP49" s="1"/>
      <c r="BQ49" s="46"/>
      <c r="BR49" s="1"/>
      <c r="BS49" s="1"/>
      <c r="BT49" s="36"/>
      <c r="BU49" s="46"/>
      <c r="BV49" s="1"/>
      <c r="BW49" s="1"/>
      <c r="BX49" s="1"/>
      <c r="BY49" s="1"/>
      <c r="BZ49" s="36"/>
    </row>
    <row r="50" spans="1:78" ht="15.75" customHeight="1" x14ac:dyDescent="0.2">
      <c r="A50" s="1" t="s">
        <v>383</v>
      </c>
      <c r="B50" s="1">
        <v>2015</v>
      </c>
      <c r="C50" s="1"/>
      <c r="D50" s="1"/>
      <c r="E50" s="46"/>
      <c r="F50" s="1"/>
      <c r="G50" s="1"/>
      <c r="H50" s="1"/>
      <c r="I50" s="46"/>
      <c r="J50" s="1"/>
      <c r="K50" s="1"/>
      <c r="L50" s="1"/>
      <c r="M50" s="36"/>
      <c r="N50" s="1"/>
      <c r="O50" s="1"/>
      <c r="P50" s="1"/>
      <c r="Q50" s="1"/>
      <c r="R50" s="1"/>
      <c r="S50" s="46"/>
      <c r="T50" s="1"/>
      <c r="U50" s="1"/>
      <c r="V50" s="36"/>
      <c r="W50" s="1"/>
      <c r="X50" s="8">
        <v>605</v>
      </c>
      <c r="Y50" s="1"/>
      <c r="Z50" s="1"/>
      <c r="AA50" s="1"/>
      <c r="AB50" s="1"/>
      <c r="AC50" s="46"/>
      <c r="AD50" s="1"/>
      <c r="AE50" s="1"/>
      <c r="AF50" s="1"/>
      <c r="AG50" s="1"/>
      <c r="AH50" s="1"/>
      <c r="AI50" s="58"/>
      <c r="AJ50" s="59"/>
      <c r="AK50" s="1"/>
      <c r="AL50" s="1"/>
      <c r="AM50" s="16"/>
      <c r="AN50" s="1"/>
      <c r="AO50" s="1"/>
      <c r="AP50" s="1"/>
      <c r="AQ50" s="46"/>
      <c r="AR50" s="1"/>
      <c r="AS50" s="1"/>
      <c r="AT50" s="1"/>
      <c r="AU50" s="1"/>
      <c r="AV50" s="1"/>
      <c r="AW50" s="1"/>
      <c r="AX50" s="1"/>
      <c r="AY50" s="46"/>
      <c r="AZ50" s="1"/>
      <c r="BA50" s="1"/>
      <c r="BB50" s="1"/>
      <c r="BC50" s="1"/>
      <c r="BD50" s="1"/>
      <c r="BE50" s="1"/>
      <c r="BF50" s="1"/>
      <c r="BG50" s="1"/>
      <c r="BH50" s="1"/>
      <c r="BI50" s="1"/>
      <c r="BJ50" s="1"/>
      <c r="BK50" s="36"/>
      <c r="BL50" s="1"/>
      <c r="BM50" s="1"/>
      <c r="BN50" s="1"/>
      <c r="BO50" s="1"/>
      <c r="BP50" s="1"/>
      <c r="BQ50" s="46"/>
      <c r="BR50" s="1"/>
      <c r="BS50" s="1"/>
      <c r="BT50" s="36"/>
      <c r="BU50" s="46"/>
      <c r="BV50" s="1"/>
      <c r="BW50" s="1"/>
      <c r="BX50" s="1"/>
      <c r="BY50" s="1"/>
      <c r="BZ50" s="36"/>
    </row>
    <row r="51" spans="1:78" ht="15.75" customHeight="1" x14ac:dyDescent="0.2">
      <c r="A51" s="1" t="s">
        <v>383</v>
      </c>
      <c r="B51" s="1">
        <v>2020</v>
      </c>
      <c r="C51" s="1"/>
      <c r="D51" s="1"/>
      <c r="E51" s="46"/>
      <c r="F51" s="1"/>
      <c r="G51" s="1"/>
      <c r="H51" s="1"/>
      <c r="I51" s="46"/>
      <c r="J51" s="1"/>
      <c r="K51" s="1"/>
      <c r="L51" s="1"/>
      <c r="M51" s="36"/>
      <c r="N51" s="1"/>
      <c r="O51" s="1"/>
      <c r="P51" s="1"/>
      <c r="Q51" s="1"/>
      <c r="R51" s="1"/>
      <c r="S51" s="46"/>
      <c r="T51" s="1"/>
      <c r="U51" s="1"/>
      <c r="V51" s="36"/>
      <c r="W51" s="1"/>
      <c r="X51" s="8">
        <v>455</v>
      </c>
      <c r="Y51" s="1"/>
      <c r="Z51" s="1"/>
      <c r="AA51" s="1"/>
      <c r="AB51" s="1"/>
      <c r="AC51" s="46"/>
      <c r="AD51" s="1"/>
      <c r="AE51" s="1"/>
      <c r="AF51" s="1"/>
      <c r="AG51" s="1"/>
      <c r="AH51" s="1"/>
      <c r="AI51" s="58"/>
      <c r="AJ51" s="59"/>
      <c r="AK51" s="1"/>
      <c r="AL51" s="1"/>
      <c r="AM51" s="16"/>
      <c r="AN51" s="1"/>
      <c r="AO51" s="1"/>
      <c r="AP51" s="1"/>
      <c r="AQ51" s="46"/>
      <c r="AR51" s="1"/>
      <c r="AS51" s="1"/>
      <c r="AT51" s="1"/>
      <c r="AU51" s="1"/>
      <c r="AV51" s="1"/>
      <c r="AW51" s="1"/>
      <c r="AX51" s="1"/>
      <c r="AY51" s="46"/>
      <c r="AZ51" s="1"/>
      <c r="BA51" s="1"/>
      <c r="BB51" s="1"/>
      <c r="BC51" s="1"/>
      <c r="BD51" s="1"/>
      <c r="BE51" s="1"/>
      <c r="BF51" s="1"/>
      <c r="BG51" s="1"/>
      <c r="BH51" s="1"/>
      <c r="BI51" s="1"/>
      <c r="BJ51" s="1"/>
      <c r="BK51" s="36"/>
      <c r="BL51" s="1"/>
      <c r="BM51" s="1"/>
      <c r="BN51" s="1"/>
      <c r="BO51" s="1"/>
      <c r="BP51" s="1"/>
      <c r="BQ51" s="46"/>
      <c r="BR51" s="1"/>
      <c r="BS51" s="1"/>
      <c r="BT51" s="36"/>
      <c r="BU51" s="46"/>
      <c r="BV51" s="1"/>
      <c r="BW51" s="1"/>
      <c r="BX51" s="1"/>
      <c r="BY51" s="1"/>
      <c r="BZ51" s="36"/>
    </row>
    <row r="52" spans="1:78" ht="15.75" customHeight="1" x14ac:dyDescent="0.2">
      <c r="A52" s="1" t="s">
        <v>383</v>
      </c>
      <c r="B52" s="1">
        <v>2025</v>
      </c>
      <c r="C52" s="1"/>
      <c r="D52" s="1"/>
      <c r="E52" s="46"/>
      <c r="F52" s="1"/>
      <c r="G52" s="1"/>
      <c r="H52" s="1"/>
      <c r="I52" s="46"/>
      <c r="J52" s="1"/>
      <c r="K52" s="1"/>
      <c r="L52" s="1"/>
      <c r="M52" s="36"/>
      <c r="N52" s="1"/>
      <c r="O52" s="1"/>
      <c r="P52" s="1"/>
      <c r="Q52" s="1"/>
      <c r="R52" s="1"/>
      <c r="S52" s="46"/>
      <c r="T52" s="1"/>
      <c r="U52" s="1"/>
      <c r="V52" s="36"/>
      <c r="W52" s="1"/>
      <c r="X52" s="8">
        <v>345</v>
      </c>
      <c r="Y52" s="1"/>
      <c r="Z52" s="1"/>
      <c r="AA52" s="1"/>
      <c r="AB52" s="1"/>
      <c r="AC52" s="46"/>
      <c r="AD52" s="1"/>
      <c r="AE52" s="1"/>
      <c r="AF52" s="1"/>
      <c r="AG52" s="1"/>
      <c r="AH52" s="1"/>
      <c r="AI52" s="58"/>
      <c r="AJ52" s="59"/>
      <c r="AK52" s="1"/>
      <c r="AL52" s="1"/>
      <c r="AM52" s="16"/>
      <c r="AN52" s="1"/>
      <c r="AO52" s="1"/>
      <c r="AP52" s="1"/>
      <c r="AQ52" s="46"/>
      <c r="AR52" s="1"/>
      <c r="AS52" s="1"/>
      <c r="AT52" s="1"/>
      <c r="AU52" s="1"/>
      <c r="AV52" s="1"/>
      <c r="AW52" s="1"/>
      <c r="AX52" s="1"/>
      <c r="AY52" s="46"/>
      <c r="AZ52" s="1"/>
      <c r="BA52" s="1"/>
      <c r="BB52" s="1"/>
      <c r="BC52" s="1"/>
      <c r="BD52" s="1"/>
      <c r="BE52" s="1"/>
      <c r="BF52" s="1"/>
      <c r="BG52" s="1"/>
      <c r="BH52" s="1"/>
      <c r="BI52" s="1"/>
      <c r="BJ52" s="1"/>
      <c r="BK52" s="36"/>
      <c r="BL52" s="1"/>
      <c r="BM52" s="1"/>
      <c r="BN52" s="1"/>
      <c r="BO52" s="1"/>
      <c r="BP52" s="1"/>
      <c r="BQ52" s="46"/>
      <c r="BR52" s="1"/>
      <c r="BS52" s="1"/>
      <c r="BT52" s="36"/>
      <c r="BU52" s="46"/>
      <c r="BV52" s="1"/>
      <c r="BW52" s="1"/>
      <c r="BX52" s="1"/>
      <c r="BY52" s="1"/>
      <c r="BZ52" s="36"/>
    </row>
    <row r="53" spans="1:78" ht="15.75" customHeight="1" x14ac:dyDescent="0.2">
      <c r="A53" s="1" t="s">
        <v>383</v>
      </c>
      <c r="B53" s="1">
        <v>2030</v>
      </c>
      <c r="C53" s="1"/>
      <c r="D53" s="1"/>
      <c r="E53" s="46"/>
      <c r="F53" s="1"/>
      <c r="G53" s="1"/>
      <c r="H53" s="1"/>
      <c r="I53" s="46"/>
      <c r="J53" s="1"/>
      <c r="K53" s="1"/>
      <c r="L53" s="1"/>
      <c r="M53" s="36"/>
      <c r="N53" s="1"/>
      <c r="O53" s="1"/>
      <c r="P53" s="1"/>
      <c r="Q53" s="1"/>
      <c r="R53" s="1"/>
      <c r="S53" s="46"/>
      <c r="T53" s="1"/>
      <c r="U53" s="1"/>
      <c r="V53" s="36"/>
      <c r="W53" s="1"/>
      <c r="X53" s="8">
        <v>260</v>
      </c>
      <c r="Y53" s="1"/>
      <c r="Z53" s="1"/>
      <c r="AA53" s="1"/>
      <c r="AB53" s="1"/>
      <c r="AC53" s="46"/>
      <c r="AD53" s="1"/>
      <c r="AE53" s="1"/>
      <c r="AF53" s="1"/>
      <c r="AG53" s="1"/>
      <c r="AH53" s="1"/>
      <c r="AI53" s="58"/>
      <c r="AJ53" s="59"/>
      <c r="AK53" s="1"/>
      <c r="AL53" s="1"/>
      <c r="AM53" s="1"/>
      <c r="AN53" s="1"/>
      <c r="AO53" s="1"/>
      <c r="AP53" s="1"/>
      <c r="AQ53" s="46"/>
      <c r="AR53" s="1"/>
      <c r="AS53" s="1"/>
      <c r="AT53" s="1"/>
      <c r="AU53" s="1"/>
      <c r="AV53" s="1"/>
      <c r="AW53" s="1"/>
      <c r="AX53" s="1"/>
      <c r="AY53" s="46"/>
      <c r="AZ53" s="1"/>
      <c r="BA53" s="1"/>
      <c r="BB53" s="1"/>
      <c r="BC53" s="1"/>
      <c r="BD53" s="1"/>
      <c r="BE53" s="1"/>
      <c r="BF53" s="1"/>
      <c r="BG53" s="1"/>
      <c r="BH53" s="1"/>
      <c r="BI53" s="1"/>
      <c r="BJ53" s="1"/>
      <c r="BK53" s="36"/>
      <c r="BL53" s="1"/>
      <c r="BM53" s="1"/>
      <c r="BN53" s="1"/>
      <c r="BO53" s="1"/>
      <c r="BP53" s="1"/>
      <c r="BQ53" s="46"/>
      <c r="BR53" s="1"/>
      <c r="BS53" s="1"/>
      <c r="BT53" s="36"/>
      <c r="BU53" s="46"/>
      <c r="BV53" s="1"/>
      <c r="BW53" s="1"/>
      <c r="BX53" s="1"/>
      <c r="BY53" s="1"/>
      <c r="BZ53" s="36"/>
    </row>
    <row r="54" spans="1:78" ht="15.75" customHeight="1" x14ac:dyDescent="0.2">
      <c r="A54" s="68" t="s">
        <v>384</v>
      </c>
      <c r="B54" s="68">
        <v>2018</v>
      </c>
      <c r="C54" s="68" t="s">
        <v>385</v>
      </c>
      <c r="D54" s="68" t="s">
        <v>326</v>
      </c>
      <c r="E54" s="69"/>
      <c r="F54" s="68"/>
      <c r="G54" s="68"/>
      <c r="H54" s="68"/>
      <c r="I54" s="69"/>
      <c r="J54" s="68"/>
      <c r="K54" s="68"/>
      <c r="L54" s="68"/>
      <c r="M54" s="70"/>
      <c r="N54" s="68"/>
      <c r="O54" s="68"/>
      <c r="P54" s="68"/>
      <c r="Q54" s="68"/>
      <c r="R54" s="68"/>
      <c r="S54" s="69"/>
      <c r="T54" s="68"/>
      <c r="U54" s="68"/>
      <c r="V54" s="70"/>
      <c r="W54" s="68"/>
      <c r="X54" s="71">
        <f>271*constants!C4</f>
        <v>243.9</v>
      </c>
      <c r="Y54" s="68"/>
      <c r="Z54" s="68">
        <v>10</v>
      </c>
      <c r="AA54" s="68">
        <v>0.86</v>
      </c>
      <c r="AB54" s="68"/>
      <c r="AC54" s="69"/>
      <c r="AD54" s="68"/>
      <c r="AE54" s="68"/>
      <c r="AF54" s="68"/>
      <c r="AG54" s="68"/>
      <c r="AH54" s="68"/>
      <c r="AI54" s="72"/>
      <c r="AJ54" s="73"/>
      <c r="AK54" s="68"/>
      <c r="AL54" s="68"/>
      <c r="AM54" s="68"/>
      <c r="AN54" s="68"/>
      <c r="AO54" s="68"/>
      <c r="AP54" s="68"/>
      <c r="AQ54" s="69"/>
      <c r="AR54" s="68"/>
      <c r="AS54" s="68"/>
      <c r="AT54" s="68"/>
      <c r="AU54" s="68"/>
      <c r="AV54" s="68"/>
      <c r="AW54" s="68"/>
      <c r="AX54" s="68"/>
      <c r="AY54" s="69"/>
      <c r="AZ54" s="68"/>
      <c r="BA54" s="68"/>
      <c r="BB54" s="68"/>
      <c r="BC54" s="68"/>
      <c r="BD54" s="68"/>
      <c r="BE54" s="68"/>
      <c r="BF54" s="68"/>
      <c r="BG54" s="68"/>
      <c r="BH54" s="68"/>
      <c r="BI54" s="68"/>
      <c r="BJ54" s="68"/>
      <c r="BK54" s="70"/>
      <c r="BL54" s="68"/>
      <c r="BM54" s="68"/>
      <c r="BN54" s="68"/>
      <c r="BO54" s="68"/>
      <c r="BP54" s="68"/>
      <c r="BQ54" s="69"/>
      <c r="BR54" s="68"/>
      <c r="BS54" s="68"/>
      <c r="BT54" s="70"/>
      <c r="BU54" s="69"/>
      <c r="BV54" s="68"/>
      <c r="BW54" s="68"/>
      <c r="BX54" s="68"/>
      <c r="BY54" s="68"/>
      <c r="BZ54" s="70"/>
    </row>
    <row r="55" spans="1:78" ht="15.75" customHeight="1" x14ac:dyDescent="0.2">
      <c r="A55" s="68" t="s">
        <v>384</v>
      </c>
      <c r="B55" s="68">
        <v>2025</v>
      </c>
      <c r="C55" s="68" t="s">
        <v>385</v>
      </c>
      <c r="D55" s="68" t="s">
        <v>326</v>
      </c>
      <c r="E55" s="69"/>
      <c r="F55" s="68"/>
      <c r="G55" s="68"/>
      <c r="H55" s="68"/>
      <c r="I55" s="69"/>
      <c r="J55" s="68"/>
      <c r="K55" s="68"/>
      <c r="L55" s="68"/>
      <c r="M55" s="70"/>
      <c r="N55" s="68"/>
      <c r="O55" s="68"/>
      <c r="P55" s="68"/>
      <c r="Q55" s="68"/>
      <c r="R55" s="68"/>
      <c r="S55" s="69"/>
      <c r="T55" s="68"/>
      <c r="U55" s="68"/>
      <c r="V55" s="70"/>
      <c r="W55" s="68"/>
      <c r="X55" s="71">
        <f>189*constants!C4</f>
        <v>170.1</v>
      </c>
      <c r="Y55" s="68"/>
      <c r="Z55" s="68"/>
      <c r="AA55" s="68"/>
      <c r="AB55" s="68"/>
      <c r="AC55" s="69"/>
      <c r="AD55" s="68"/>
      <c r="AE55" s="68"/>
      <c r="AF55" s="68"/>
      <c r="AG55" s="68"/>
      <c r="AH55" s="68"/>
      <c r="AI55" s="72"/>
      <c r="AJ55" s="73"/>
      <c r="AK55" s="68"/>
      <c r="AL55" s="68"/>
      <c r="AM55" s="68"/>
      <c r="AN55" s="68"/>
      <c r="AO55" s="68"/>
      <c r="AP55" s="68"/>
      <c r="AQ55" s="69"/>
      <c r="AR55" s="68"/>
      <c r="AS55" s="68"/>
      <c r="AT55" s="68"/>
      <c r="AU55" s="68"/>
      <c r="AV55" s="68"/>
      <c r="AW55" s="68"/>
      <c r="AX55" s="68"/>
      <c r="AY55" s="69"/>
      <c r="AZ55" s="68"/>
      <c r="BA55" s="68"/>
      <c r="BB55" s="68"/>
      <c r="BC55" s="68"/>
      <c r="BD55" s="68"/>
      <c r="BE55" s="68"/>
      <c r="BF55" s="68"/>
      <c r="BG55" s="68"/>
      <c r="BH55" s="68"/>
      <c r="BI55" s="68"/>
      <c r="BJ55" s="68"/>
      <c r="BK55" s="70"/>
      <c r="BL55" s="68"/>
      <c r="BM55" s="68"/>
      <c r="BN55" s="68"/>
      <c r="BO55" s="68"/>
      <c r="BP55" s="68"/>
      <c r="BQ55" s="69"/>
      <c r="BR55" s="68"/>
      <c r="BS55" s="68"/>
      <c r="BT55" s="70"/>
      <c r="BU55" s="69"/>
      <c r="BV55" s="68"/>
      <c r="BW55" s="68"/>
      <c r="BX55" s="68"/>
      <c r="BY55" s="68"/>
      <c r="BZ55" s="70"/>
    </row>
    <row r="56" spans="1:78" ht="15.75" customHeight="1" x14ac:dyDescent="0.2">
      <c r="A56" s="1" t="s">
        <v>386</v>
      </c>
      <c r="B56" s="1"/>
      <c r="C56" s="1" t="s">
        <v>387</v>
      </c>
      <c r="D56" s="1"/>
      <c r="E56" s="46"/>
      <c r="F56" s="1"/>
      <c r="G56" s="1"/>
      <c r="H56" s="1"/>
      <c r="I56" s="46"/>
      <c r="J56" s="1"/>
      <c r="K56" s="1"/>
      <c r="L56" s="1"/>
      <c r="M56" s="36"/>
      <c r="N56" s="1"/>
      <c r="O56" s="1"/>
      <c r="P56" s="1"/>
      <c r="Q56" s="1"/>
      <c r="R56" s="1"/>
      <c r="S56" s="46"/>
      <c r="T56" s="1"/>
      <c r="U56" s="1"/>
      <c r="V56" s="36"/>
      <c r="W56" s="1"/>
      <c r="X56" s="8"/>
      <c r="Y56" s="1"/>
      <c r="Z56" s="1"/>
      <c r="AA56" s="1"/>
      <c r="AB56" s="1"/>
      <c r="AC56" s="46"/>
      <c r="AD56" s="1"/>
      <c r="AE56" s="1"/>
      <c r="AF56" s="1"/>
      <c r="AG56" s="1"/>
      <c r="AH56" s="1"/>
      <c r="AI56" s="58"/>
      <c r="AJ56" s="59"/>
      <c r="AK56" s="1"/>
      <c r="AL56" s="1" t="s">
        <v>388</v>
      </c>
      <c r="AM56" s="14">
        <f>23/constants!$C$6*constants!$C$5</f>
        <v>7.6743410076743421</v>
      </c>
      <c r="AN56" s="1">
        <v>5.0000000000000001E-3</v>
      </c>
      <c r="AO56" s="1">
        <v>20</v>
      </c>
      <c r="AP56" s="1"/>
      <c r="AQ56" s="46"/>
      <c r="AR56" s="1"/>
      <c r="AS56" s="1"/>
      <c r="AT56" s="1"/>
      <c r="AU56" s="1"/>
      <c r="AV56" s="1"/>
      <c r="AW56" s="1"/>
      <c r="AX56" s="1"/>
      <c r="AY56" s="46"/>
      <c r="AZ56" s="1"/>
      <c r="BA56" s="1"/>
      <c r="BB56" s="1"/>
      <c r="BC56" s="1"/>
      <c r="BD56" s="1"/>
      <c r="BE56" s="1"/>
      <c r="BF56" s="1"/>
      <c r="BG56" s="1"/>
      <c r="BH56" s="1"/>
      <c r="BI56" s="1"/>
      <c r="BJ56" s="1"/>
      <c r="BK56" s="36"/>
      <c r="BL56" s="1"/>
      <c r="BM56" s="1"/>
      <c r="BN56" s="1"/>
      <c r="BO56" s="1"/>
      <c r="BP56" s="1"/>
      <c r="BQ56" s="46"/>
      <c r="BR56" s="1"/>
      <c r="BS56" s="1"/>
      <c r="BT56" s="36"/>
      <c r="BU56" s="46"/>
      <c r="BV56" s="1"/>
      <c r="BW56" s="1"/>
      <c r="BX56" s="1"/>
      <c r="BY56" s="1"/>
      <c r="BZ56" s="36"/>
    </row>
    <row r="57" spans="1:78" ht="15.75" customHeight="1" x14ac:dyDescent="0.2">
      <c r="A57" s="1" t="s">
        <v>386</v>
      </c>
      <c r="B57" s="1"/>
      <c r="C57" s="1" t="s">
        <v>389</v>
      </c>
      <c r="D57" s="1"/>
      <c r="E57" s="46"/>
      <c r="F57" s="1"/>
      <c r="G57" s="1"/>
      <c r="H57" s="1"/>
      <c r="I57" s="46"/>
      <c r="J57" s="1"/>
      <c r="K57" s="1"/>
      <c r="L57" s="1"/>
      <c r="M57" s="36"/>
      <c r="N57" s="1"/>
      <c r="O57" s="1"/>
      <c r="P57" s="1"/>
      <c r="Q57" s="1"/>
      <c r="R57" s="1"/>
      <c r="S57" s="46"/>
      <c r="T57" s="1"/>
      <c r="U57" s="1"/>
      <c r="V57" s="36"/>
      <c r="W57" s="1"/>
      <c r="X57" s="8"/>
      <c r="Y57" s="1"/>
      <c r="Z57" s="1"/>
      <c r="AA57" s="1"/>
      <c r="AB57" s="1"/>
      <c r="AC57" s="46"/>
      <c r="AD57" s="1"/>
      <c r="AE57" s="1"/>
      <c r="AF57" s="1"/>
      <c r="AG57" s="1"/>
      <c r="AH57" s="1"/>
      <c r="AI57" s="58"/>
      <c r="AJ57" s="59"/>
      <c r="AK57" s="1"/>
      <c r="AL57" s="1" t="s">
        <v>388</v>
      </c>
      <c r="AM57" s="14">
        <f>100/constants!$C$6*constants!$C$5</f>
        <v>33.366700033366705</v>
      </c>
      <c r="AN57" s="1">
        <v>1.4999999999999999E-2</v>
      </c>
      <c r="AO57" s="1">
        <v>25</v>
      </c>
      <c r="AP57" s="1"/>
      <c r="AQ57" s="46"/>
      <c r="AR57" s="1"/>
      <c r="AS57" s="1"/>
      <c r="AT57" s="1"/>
      <c r="AU57" s="1"/>
      <c r="AV57" s="1"/>
      <c r="AW57" s="1"/>
      <c r="AX57" s="1"/>
      <c r="AY57" s="46"/>
      <c r="AZ57" s="1"/>
      <c r="BA57" s="1"/>
      <c r="BB57" s="1"/>
      <c r="BC57" s="1"/>
      <c r="BD57" s="1"/>
      <c r="BE57" s="1"/>
      <c r="BF57" s="1"/>
      <c r="BG57" s="1"/>
      <c r="BH57" s="1"/>
      <c r="BI57" s="1"/>
      <c r="BJ57" s="1"/>
      <c r="BK57" s="36"/>
      <c r="BL57" s="1"/>
      <c r="BM57" s="1"/>
      <c r="BN57" s="1"/>
      <c r="BO57" s="1"/>
      <c r="BP57" s="1"/>
      <c r="BQ57" s="46"/>
      <c r="BR57" s="1"/>
      <c r="BS57" s="1"/>
      <c r="BT57" s="36"/>
      <c r="BU57" s="46"/>
      <c r="BV57" s="1"/>
      <c r="BW57" s="1"/>
      <c r="BX57" s="1"/>
      <c r="BY57" s="1"/>
      <c r="BZ57" s="36"/>
    </row>
    <row r="58" spans="1:78" ht="15.75" customHeight="1" x14ac:dyDescent="0.2">
      <c r="A58" s="1" t="s">
        <v>386</v>
      </c>
      <c r="B58" s="1"/>
      <c r="C58" s="1" t="s">
        <v>390</v>
      </c>
      <c r="D58" s="1"/>
      <c r="E58" s="46"/>
      <c r="F58" s="1"/>
      <c r="G58" s="1"/>
      <c r="H58" s="1"/>
      <c r="I58" s="46"/>
      <c r="J58" s="1"/>
      <c r="K58" s="1"/>
      <c r="L58" s="1"/>
      <c r="M58" s="36"/>
      <c r="N58" s="1"/>
      <c r="O58" s="1"/>
      <c r="P58" s="1"/>
      <c r="Q58" s="1"/>
      <c r="R58" s="1"/>
      <c r="S58" s="46"/>
      <c r="T58" s="1"/>
      <c r="U58" s="1"/>
      <c r="V58" s="36"/>
      <c r="W58" s="1"/>
      <c r="X58" s="8"/>
      <c r="Y58" s="1"/>
      <c r="Z58" s="1"/>
      <c r="AA58" s="1"/>
      <c r="AB58" s="1"/>
      <c r="AC58" s="46"/>
      <c r="AD58" s="1"/>
      <c r="AE58" s="1"/>
      <c r="AF58" s="1"/>
      <c r="AG58" s="1"/>
      <c r="AH58" s="1"/>
      <c r="AI58" s="58"/>
      <c r="AJ58" s="59"/>
      <c r="AK58" s="1"/>
      <c r="AL58" s="1" t="s">
        <v>388</v>
      </c>
      <c r="AM58" s="14">
        <f>195/constants!$C$6*constants!$C$5</f>
        <v>65.065065065065085</v>
      </c>
      <c r="AN58" s="1">
        <v>2.5000000000000001E-2</v>
      </c>
      <c r="AO58" s="1">
        <v>30</v>
      </c>
      <c r="AP58" s="1"/>
      <c r="AQ58" s="46"/>
      <c r="AR58" s="1"/>
      <c r="AS58" s="1"/>
      <c r="AT58" s="1"/>
      <c r="AU58" s="1"/>
      <c r="AV58" s="1"/>
      <c r="AW58" s="1"/>
      <c r="AX58" s="1"/>
      <c r="AY58" s="46"/>
      <c r="AZ58" s="1"/>
      <c r="BA58" s="1"/>
      <c r="BB58" s="1"/>
      <c r="BC58" s="1"/>
      <c r="BD58" s="1"/>
      <c r="BE58" s="1"/>
      <c r="BF58" s="1"/>
      <c r="BG58" s="1"/>
      <c r="BH58" s="1"/>
      <c r="BI58" s="1"/>
      <c r="BJ58" s="1"/>
      <c r="BK58" s="36"/>
      <c r="BL58" s="1"/>
      <c r="BM58" s="1"/>
      <c r="BN58" s="1"/>
      <c r="BO58" s="1"/>
      <c r="BP58" s="1"/>
      <c r="BQ58" s="46"/>
      <c r="BR58" s="1"/>
      <c r="BS58" s="1"/>
      <c r="BT58" s="36"/>
      <c r="BU58" s="46"/>
      <c r="BV58" s="1"/>
      <c r="BW58" s="1"/>
      <c r="BX58" s="1"/>
      <c r="BY58" s="1"/>
      <c r="BZ58" s="36"/>
    </row>
    <row r="59" spans="1:78" ht="15.75" customHeight="1" x14ac:dyDescent="0.2">
      <c r="A59" s="1" t="s">
        <v>391</v>
      </c>
      <c r="B59" s="1"/>
      <c r="C59" s="1" t="s">
        <v>387</v>
      </c>
      <c r="D59" s="1"/>
      <c r="E59" s="46"/>
      <c r="F59" s="1"/>
      <c r="G59" s="1"/>
      <c r="H59" s="1"/>
      <c r="I59" s="46"/>
      <c r="J59" s="1"/>
      <c r="K59" s="1"/>
      <c r="L59" s="1"/>
      <c r="M59" s="36"/>
      <c r="N59" s="1"/>
      <c r="O59" s="1"/>
      <c r="P59" s="1"/>
      <c r="Q59" s="1"/>
      <c r="R59" s="1"/>
      <c r="S59" s="46"/>
      <c r="T59" s="1"/>
      <c r="U59" s="1"/>
      <c r="V59" s="36"/>
      <c r="W59" s="1"/>
      <c r="X59" s="1"/>
      <c r="Y59" s="1"/>
      <c r="Z59" s="1"/>
      <c r="AA59" s="1"/>
      <c r="AB59" s="1"/>
      <c r="AC59" s="46"/>
      <c r="AD59" s="1">
        <v>1820</v>
      </c>
      <c r="AE59" s="1"/>
      <c r="AF59" s="1"/>
      <c r="AG59" s="1"/>
      <c r="AH59" s="1"/>
      <c r="AI59" s="58"/>
      <c r="AJ59" s="59"/>
      <c r="AK59" s="1"/>
      <c r="AL59" s="1" t="s">
        <v>392</v>
      </c>
      <c r="AM59" s="14">
        <f>50*constants!C5</f>
        <v>1.5015015015015016</v>
      </c>
      <c r="AN59" s="1"/>
      <c r="AO59" s="1">
        <v>20</v>
      </c>
      <c r="AP59" s="1"/>
      <c r="AQ59" s="46"/>
      <c r="AR59" s="1"/>
      <c r="AS59" s="1"/>
      <c r="AT59" s="1"/>
      <c r="AU59" s="1"/>
      <c r="AV59" s="1"/>
      <c r="AW59" s="1"/>
      <c r="AX59" s="1"/>
      <c r="AY59" s="46"/>
      <c r="AZ59" s="1"/>
      <c r="BA59" s="1"/>
      <c r="BB59" s="1"/>
      <c r="BC59" s="1"/>
      <c r="BD59" s="1"/>
      <c r="BE59" s="1"/>
      <c r="BF59" s="1"/>
      <c r="BG59" s="1"/>
      <c r="BH59" s="1"/>
      <c r="BI59" s="1"/>
      <c r="BJ59" s="1"/>
      <c r="BK59" s="36"/>
      <c r="BL59" s="1"/>
      <c r="BM59" s="1"/>
      <c r="BN59" s="1"/>
      <c r="BO59" s="1"/>
      <c r="BP59" s="1"/>
      <c r="BQ59" s="46"/>
      <c r="BR59" s="1"/>
      <c r="BS59" s="1"/>
      <c r="BT59" s="36"/>
      <c r="BU59" s="46"/>
      <c r="BV59" s="1"/>
      <c r="BW59" s="1"/>
      <c r="BX59" s="1"/>
      <c r="BY59" s="1"/>
      <c r="BZ59" s="36"/>
    </row>
    <row r="60" spans="1:78" ht="15.75" customHeight="1" x14ac:dyDescent="0.2">
      <c r="A60" s="1" t="s">
        <v>391</v>
      </c>
      <c r="B60" s="1"/>
      <c r="C60" s="1" t="s">
        <v>390</v>
      </c>
      <c r="D60" s="1"/>
      <c r="E60" s="46"/>
      <c r="F60" s="1"/>
      <c r="G60" s="1"/>
      <c r="H60" s="1"/>
      <c r="I60" s="46"/>
      <c r="J60" s="1"/>
      <c r="K60" s="1"/>
      <c r="L60" s="1"/>
      <c r="M60" s="36"/>
      <c r="N60" s="1"/>
      <c r="O60" s="1"/>
      <c r="P60" s="1"/>
      <c r="Q60" s="1"/>
      <c r="R60" s="1"/>
      <c r="S60" s="46"/>
      <c r="T60" s="1"/>
      <c r="U60" s="1"/>
      <c r="V60" s="36"/>
      <c r="W60" s="1"/>
      <c r="X60" s="1"/>
      <c r="Y60" s="1"/>
      <c r="Z60" s="1"/>
      <c r="AA60" s="1"/>
      <c r="AB60" s="1"/>
      <c r="AC60" s="46"/>
      <c r="AD60" s="1">
        <v>182</v>
      </c>
      <c r="AE60" s="1"/>
      <c r="AF60" s="1"/>
      <c r="AG60" s="1"/>
      <c r="AH60" s="1"/>
      <c r="AI60" s="58"/>
      <c r="AJ60" s="59"/>
      <c r="AK60" s="1"/>
      <c r="AL60" s="1" t="s">
        <v>392</v>
      </c>
      <c r="AM60" s="14">
        <f>500*constants!C5</f>
        <v>15.015015015015017</v>
      </c>
      <c r="AN60" s="1"/>
      <c r="AO60" s="1"/>
      <c r="AP60" s="1"/>
      <c r="AQ60" s="46"/>
      <c r="AR60" s="1"/>
      <c r="AS60" s="1"/>
      <c r="AT60" s="1"/>
      <c r="AU60" s="1"/>
      <c r="AV60" s="1"/>
      <c r="AW60" s="1"/>
      <c r="AX60" s="1"/>
      <c r="AY60" s="46"/>
      <c r="AZ60" s="1"/>
      <c r="BA60" s="1"/>
      <c r="BB60" s="1"/>
      <c r="BC60" s="1"/>
      <c r="BD60" s="1"/>
      <c r="BE60" s="1"/>
      <c r="BF60" s="1"/>
      <c r="BG60" s="1"/>
      <c r="BH60" s="1"/>
      <c r="BI60" s="1"/>
      <c r="BJ60" s="1"/>
      <c r="BK60" s="36"/>
      <c r="BL60" s="1"/>
      <c r="BM60" s="1"/>
      <c r="BN60" s="1"/>
      <c r="BO60" s="1"/>
      <c r="BP60" s="1"/>
      <c r="BQ60" s="46"/>
      <c r="BR60" s="1"/>
      <c r="BS60" s="1"/>
      <c r="BT60" s="36"/>
      <c r="BU60" s="46"/>
      <c r="BV60" s="1"/>
      <c r="BW60" s="1"/>
      <c r="BX60" s="1"/>
      <c r="BY60" s="1"/>
      <c r="BZ60" s="36"/>
    </row>
    <row r="61" spans="1:78" ht="15.75" customHeight="1" x14ac:dyDescent="0.2">
      <c r="A61" s="1" t="s">
        <v>393</v>
      </c>
      <c r="B61" s="1"/>
      <c r="C61" s="1"/>
      <c r="D61" s="1"/>
      <c r="E61" s="46"/>
      <c r="F61" s="1"/>
      <c r="G61" s="1"/>
      <c r="H61" s="1"/>
      <c r="I61" s="46"/>
      <c r="J61" s="1"/>
      <c r="K61" s="1"/>
      <c r="L61" s="1"/>
      <c r="M61" s="36"/>
      <c r="N61" s="1"/>
      <c r="O61" s="1"/>
      <c r="P61" s="1"/>
      <c r="Q61" s="1"/>
      <c r="R61" s="1"/>
      <c r="S61" s="46"/>
      <c r="T61" s="1"/>
      <c r="U61" s="1"/>
      <c r="V61" s="36"/>
      <c r="W61" s="1"/>
      <c r="X61" s="1"/>
      <c r="Y61" s="1"/>
      <c r="Z61" s="1"/>
      <c r="AA61" s="1"/>
      <c r="AB61" s="1"/>
      <c r="AC61" s="46"/>
      <c r="AD61" s="1"/>
      <c r="AE61" s="1"/>
      <c r="AF61" s="1"/>
      <c r="AG61" s="1"/>
      <c r="AH61" s="1"/>
      <c r="AI61" s="58"/>
      <c r="AJ61" s="59"/>
      <c r="AK61" s="1"/>
      <c r="AL61" s="1"/>
      <c r="AM61" s="14"/>
      <c r="AN61" s="1"/>
      <c r="AO61" s="1"/>
      <c r="AP61" s="1"/>
      <c r="AQ61" s="46"/>
      <c r="AR61" s="14">
        <f>450000/257</f>
        <v>1750.9727626459144</v>
      </c>
      <c r="AS61" s="1"/>
      <c r="AT61" s="1"/>
      <c r="AU61" s="1">
        <v>0.01</v>
      </c>
      <c r="AV61" s="58">
        <v>0.9</v>
      </c>
      <c r="AW61" s="1"/>
      <c r="AX61" s="1">
        <v>15</v>
      </c>
      <c r="AY61" s="46"/>
      <c r="AZ61" s="1"/>
      <c r="BA61" s="1"/>
      <c r="BB61" s="1"/>
      <c r="BC61" s="1"/>
      <c r="BD61" s="1"/>
      <c r="BE61" s="1"/>
      <c r="BF61" s="1"/>
      <c r="BG61" s="1"/>
      <c r="BH61" s="1"/>
      <c r="BI61" s="1"/>
      <c r="BJ61" s="1"/>
      <c r="BK61" s="36"/>
      <c r="BL61" s="1"/>
      <c r="BM61" s="1"/>
      <c r="BN61" s="1"/>
      <c r="BO61" s="1"/>
      <c r="BP61" s="1"/>
      <c r="BQ61" s="46"/>
      <c r="BR61" s="1"/>
      <c r="BS61" s="1"/>
      <c r="BT61" s="36"/>
      <c r="BU61" s="46"/>
      <c r="BV61" s="1"/>
      <c r="BW61" s="1"/>
      <c r="BX61" s="1"/>
      <c r="BY61" s="1"/>
      <c r="BZ61" s="36"/>
    </row>
    <row r="62" spans="1:78" ht="15.75" customHeight="1" x14ac:dyDescent="0.2">
      <c r="A62" s="1" t="s">
        <v>394</v>
      </c>
      <c r="B62" s="1">
        <v>2025</v>
      </c>
      <c r="C62" s="1"/>
      <c r="D62" s="1"/>
      <c r="E62" s="46"/>
      <c r="F62" s="1"/>
      <c r="G62" s="1"/>
      <c r="H62" s="1"/>
      <c r="I62" s="46"/>
      <c r="J62" s="1"/>
      <c r="K62" s="1"/>
      <c r="L62" s="1"/>
      <c r="M62" s="36"/>
      <c r="N62" s="1"/>
      <c r="O62" s="1"/>
      <c r="P62" s="1"/>
      <c r="Q62" s="1"/>
      <c r="R62" s="1"/>
      <c r="S62" s="46"/>
      <c r="T62" s="1"/>
      <c r="U62" s="1"/>
      <c r="V62" s="36"/>
      <c r="W62" s="1"/>
      <c r="X62" s="1"/>
      <c r="Y62" s="1"/>
      <c r="Z62" s="1"/>
      <c r="AA62" s="1"/>
      <c r="AB62" s="1"/>
      <c r="AC62" s="46"/>
      <c r="AD62" s="1">
        <v>932</v>
      </c>
      <c r="AE62" s="1">
        <v>7.0000000000000007E-2</v>
      </c>
      <c r="AF62" s="1"/>
      <c r="AG62" s="1">
        <v>30</v>
      </c>
      <c r="AH62" s="1"/>
      <c r="AI62" s="58"/>
      <c r="AJ62" s="59">
        <v>0.57999999999999996</v>
      </c>
      <c r="AK62" s="1"/>
      <c r="AL62" s="1"/>
      <c r="AM62" s="14"/>
      <c r="AN62" s="1"/>
      <c r="AO62" s="1"/>
      <c r="AP62" s="1"/>
      <c r="AQ62" s="46"/>
      <c r="AR62" s="1"/>
      <c r="AS62" s="1"/>
      <c r="AT62" s="1">
        <v>300</v>
      </c>
      <c r="AU62" s="1">
        <v>0.04</v>
      </c>
      <c r="AV62" s="1"/>
      <c r="AW62" s="1">
        <v>1</v>
      </c>
      <c r="AX62" s="1">
        <v>15</v>
      </c>
      <c r="AY62" s="46"/>
      <c r="AZ62" s="1"/>
      <c r="BA62" s="1"/>
      <c r="BB62" s="1"/>
      <c r="BC62" s="1"/>
      <c r="BD62" s="1"/>
      <c r="BE62" s="1"/>
      <c r="BF62" s="1"/>
      <c r="BG62" s="1"/>
      <c r="BH62" s="1"/>
      <c r="BI62" s="1"/>
      <c r="BJ62" s="1"/>
      <c r="BK62" s="36"/>
      <c r="BL62" s="1"/>
      <c r="BM62" s="1"/>
      <c r="BN62" s="1"/>
      <c r="BO62" s="1"/>
      <c r="BP62" s="1"/>
      <c r="BQ62" s="46"/>
      <c r="BR62" s="1"/>
      <c r="BS62" s="1"/>
      <c r="BT62" s="36"/>
      <c r="BU62" s="46"/>
      <c r="BV62" s="1"/>
      <c r="BW62" s="1"/>
      <c r="BX62" s="1"/>
      <c r="BY62" s="1"/>
      <c r="BZ62" s="36"/>
    </row>
    <row r="63" spans="1:78" ht="15.75" customHeight="1" x14ac:dyDescent="0.2">
      <c r="A63" s="1" t="s">
        <v>394</v>
      </c>
      <c r="B63" s="1">
        <v>2050</v>
      </c>
      <c r="C63" s="1"/>
      <c r="D63" s="1"/>
      <c r="E63" s="46"/>
      <c r="F63" s="1"/>
      <c r="G63" s="1"/>
      <c r="H63" s="1"/>
      <c r="I63" s="46"/>
      <c r="J63" s="1"/>
      <c r="K63" s="1"/>
      <c r="L63" s="1"/>
      <c r="M63" s="36"/>
      <c r="N63" s="1"/>
      <c r="O63" s="1"/>
      <c r="P63" s="1"/>
      <c r="Q63" s="1"/>
      <c r="R63" s="1"/>
      <c r="S63" s="46"/>
      <c r="T63" s="1"/>
      <c r="U63" s="1"/>
      <c r="V63" s="36"/>
      <c r="W63" s="1"/>
      <c r="X63" s="1"/>
      <c r="Y63" s="1"/>
      <c r="Z63" s="1"/>
      <c r="AA63" s="1"/>
      <c r="AB63" s="1"/>
      <c r="AC63" s="46"/>
      <c r="AD63" s="1">
        <v>334</v>
      </c>
      <c r="AE63" s="1">
        <v>0.02</v>
      </c>
      <c r="AF63" s="1"/>
      <c r="AG63" s="1">
        <v>30</v>
      </c>
      <c r="AH63" s="1"/>
      <c r="AI63" s="58"/>
      <c r="AJ63" s="59">
        <v>0.7</v>
      </c>
      <c r="AK63" s="1"/>
      <c r="AL63" s="1"/>
      <c r="AM63" s="1"/>
      <c r="AN63" s="1"/>
      <c r="AO63" s="1"/>
      <c r="AP63" s="1"/>
      <c r="AQ63" s="46"/>
      <c r="AR63" s="1"/>
      <c r="AS63" s="1"/>
      <c r="AT63" s="1"/>
      <c r="AU63" s="1"/>
      <c r="AV63" s="1"/>
      <c r="AW63" s="1"/>
      <c r="AX63" s="1"/>
      <c r="AY63" s="46"/>
      <c r="AZ63" s="1"/>
      <c r="BA63" s="1"/>
      <c r="BB63" s="1"/>
      <c r="BC63" s="1"/>
      <c r="BD63" s="1"/>
      <c r="BE63" s="1"/>
      <c r="BF63" s="1"/>
      <c r="BG63" s="1"/>
      <c r="BH63" s="1"/>
      <c r="BI63" s="1"/>
      <c r="BJ63" s="1"/>
      <c r="BK63" s="36"/>
      <c r="BL63" s="1"/>
      <c r="BM63" s="1"/>
      <c r="BN63" s="1"/>
      <c r="BO63" s="1"/>
      <c r="BP63" s="1"/>
      <c r="BQ63" s="46"/>
      <c r="BR63" s="1"/>
      <c r="BS63" s="1"/>
      <c r="BT63" s="36"/>
      <c r="BU63" s="46"/>
      <c r="BV63" s="1"/>
      <c r="BW63" s="1"/>
      <c r="BX63" s="1"/>
      <c r="BY63" s="1"/>
      <c r="BZ63" s="36"/>
    </row>
    <row r="64" spans="1:78" ht="15.75" customHeight="1" x14ac:dyDescent="0.2">
      <c r="A64" s="1" t="s">
        <v>395</v>
      </c>
      <c r="B64" s="1"/>
      <c r="C64" s="1" t="s">
        <v>396</v>
      </c>
      <c r="D64" s="1"/>
      <c r="E64" s="46"/>
      <c r="F64" s="1"/>
      <c r="G64" s="1"/>
      <c r="H64" s="1"/>
      <c r="I64" s="46"/>
      <c r="J64" s="1"/>
      <c r="K64" s="1"/>
      <c r="L64" s="1"/>
      <c r="M64" s="36"/>
      <c r="N64" s="1"/>
      <c r="O64" s="1"/>
      <c r="P64" s="1"/>
      <c r="Q64" s="1"/>
      <c r="R64" s="1"/>
      <c r="S64" s="46"/>
      <c r="T64" s="1"/>
      <c r="U64" s="1"/>
      <c r="V64" s="36"/>
      <c r="W64" s="1"/>
      <c r="X64" s="1"/>
      <c r="Y64" s="1"/>
      <c r="Z64" s="1"/>
      <c r="AA64" s="1"/>
      <c r="AB64" s="1"/>
      <c r="AC64" s="46"/>
      <c r="AD64" s="1"/>
      <c r="AE64" s="1"/>
      <c r="AF64" s="1"/>
      <c r="AG64" s="1"/>
      <c r="AH64" s="1"/>
      <c r="AI64" s="58"/>
      <c r="AJ64" s="59"/>
      <c r="AK64" s="1"/>
      <c r="AL64" s="134" t="s">
        <v>397</v>
      </c>
      <c r="AM64" s="135"/>
      <c r="AN64" s="135"/>
      <c r="AO64" s="135"/>
      <c r="AP64" s="1"/>
      <c r="AQ64" s="46"/>
      <c r="AR64" s="1"/>
      <c r="AS64" s="1"/>
      <c r="AT64" s="1"/>
      <c r="AU64" s="1"/>
      <c r="AV64" s="1"/>
      <c r="AW64" s="1"/>
      <c r="AX64" s="1"/>
      <c r="AY64" s="46"/>
      <c r="AZ64" s="1"/>
      <c r="BA64" s="1"/>
      <c r="BB64" s="1"/>
      <c r="BC64" s="1"/>
      <c r="BD64" s="1"/>
      <c r="BE64" s="1"/>
      <c r="BF64" s="1"/>
      <c r="BG64" s="1"/>
      <c r="BH64" s="1"/>
      <c r="BI64" s="1"/>
      <c r="BJ64" s="1"/>
      <c r="BK64" s="36"/>
      <c r="BL64" s="1"/>
      <c r="BM64" s="1"/>
      <c r="BN64" s="1"/>
      <c r="BO64" s="1"/>
      <c r="BP64" s="1"/>
      <c r="BQ64" s="46"/>
      <c r="BR64" s="1"/>
      <c r="BS64" s="1"/>
      <c r="BT64" s="36"/>
      <c r="BU64" s="46"/>
      <c r="BV64" s="1"/>
      <c r="BW64" s="1"/>
      <c r="BX64" s="1"/>
      <c r="BY64" s="1"/>
      <c r="BZ64" s="36"/>
    </row>
    <row r="65" spans="1:78" ht="15.75" customHeight="1" x14ac:dyDescent="0.2">
      <c r="A65" s="1" t="s">
        <v>398</v>
      </c>
      <c r="B65" s="1" t="s">
        <v>399</v>
      </c>
      <c r="C65" s="1" t="s">
        <v>400</v>
      </c>
      <c r="D65" s="1"/>
      <c r="E65" s="46"/>
      <c r="F65" s="1"/>
      <c r="G65" s="1"/>
      <c r="H65" s="1"/>
      <c r="I65" s="46"/>
      <c r="J65" s="1"/>
      <c r="K65" s="1"/>
      <c r="L65" s="1"/>
      <c r="M65" s="36"/>
      <c r="N65" s="1"/>
      <c r="O65" s="1"/>
      <c r="P65" s="1"/>
      <c r="Q65" s="1"/>
      <c r="R65" s="1"/>
      <c r="S65" s="46"/>
      <c r="T65" s="1"/>
      <c r="U65" s="1"/>
      <c r="V65" s="36"/>
      <c r="W65" s="1"/>
      <c r="X65" s="1"/>
      <c r="Y65" s="1"/>
      <c r="Z65" s="1"/>
      <c r="AA65" s="1"/>
      <c r="AB65" s="1"/>
      <c r="AC65" s="46"/>
      <c r="AD65" s="1"/>
      <c r="AE65" s="1"/>
      <c r="AF65" s="1"/>
      <c r="AG65" s="1"/>
      <c r="AH65" s="1"/>
      <c r="AI65" s="58"/>
      <c r="AJ65" s="59"/>
      <c r="AK65" s="1"/>
      <c r="AL65" s="1"/>
      <c r="AM65" s="64">
        <f>11.45*constants!C7</f>
        <v>13.167499999999999</v>
      </c>
      <c r="AN65" s="19">
        <f>0.34/11.45</f>
        <v>2.9694323144104806E-2</v>
      </c>
      <c r="AO65" s="1"/>
      <c r="AP65" s="1"/>
      <c r="AQ65" s="46"/>
      <c r="AR65" s="1"/>
      <c r="AS65" s="1"/>
      <c r="AT65" s="1"/>
      <c r="AU65" s="1"/>
      <c r="AV65" s="1"/>
      <c r="AW65" s="1"/>
      <c r="AX65" s="1"/>
      <c r="AY65" s="46"/>
      <c r="AZ65" s="1"/>
      <c r="BA65" s="1"/>
      <c r="BB65" s="1"/>
      <c r="BC65" s="1"/>
      <c r="BD65" s="1"/>
      <c r="BE65" s="1"/>
      <c r="BF65" s="1"/>
      <c r="BG65" s="1"/>
      <c r="BH65" s="1"/>
      <c r="BI65" s="1"/>
      <c r="BJ65" s="1"/>
      <c r="BK65" s="36"/>
      <c r="BL65" s="1"/>
      <c r="BM65" s="1"/>
      <c r="BN65" s="1"/>
      <c r="BO65" s="1"/>
      <c r="BP65" s="1"/>
      <c r="BQ65" s="46"/>
      <c r="BR65" s="1"/>
      <c r="BS65" s="1"/>
      <c r="BT65" s="36"/>
      <c r="BU65" s="46"/>
      <c r="BV65" s="1"/>
      <c r="BW65" s="1"/>
      <c r="BX65" s="1"/>
      <c r="BY65" s="1"/>
      <c r="BZ65" s="36"/>
    </row>
    <row r="66" spans="1:78" ht="15.75" customHeight="1" x14ac:dyDescent="0.2">
      <c r="A66" s="1" t="s">
        <v>398</v>
      </c>
      <c r="B66" s="1" t="s">
        <v>399</v>
      </c>
      <c r="C66" s="1" t="s">
        <v>401</v>
      </c>
      <c r="D66" s="1"/>
      <c r="E66" s="46"/>
      <c r="F66" s="1"/>
      <c r="G66" s="1"/>
      <c r="H66" s="1"/>
      <c r="I66" s="46"/>
      <c r="J66" s="1"/>
      <c r="K66" s="1"/>
      <c r="L66" s="1"/>
      <c r="M66" s="36"/>
      <c r="N66" s="1"/>
      <c r="O66" s="1"/>
      <c r="P66" s="1"/>
      <c r="Q66" s="1"/>
      <c r="R66" s="1"/>
      <c r="S66" s="46"/>
      <c r="T66" s="1"/>
      <c r="U66" s="1"/>
      <c r="V66" s="36"/>
      <c r="W66" s="1"/>
      <c r="X66" s="1"/>
      <c r="Y66" s="1"/>
      <c r="Z66" s="1"/>
      <c r="AA66" s="1"/>
      <c r="AB66" s="1"/>
      <c r="AC66" s="46"/>
      <c r="AD66" s="1"/>
      <c r="AE66" s="1"/>
      <c r="AF66" s="1"/>
      <c r="AG66" s="1"/>
      <c r="AH66" s="1"/>
      <c r="AI66" s="58"/>
      <c r="AJ66" s="59"/>
      <c r="AK66" s="1"/>
      <c r="AL66" s="1"/>
      <c r="AM66" s="64">
        <f>55*constants!C7</f>
        <v>63.249999999999993</v>
      </c>
      <c r="AN66" s="19">
        <f>1.06/55</f>
        <v>1.9272727272727275E-2</v>
      </c>
      <c r="AO66" s="1"/>
      <c r="AP66" s="1"/>
      <c r="AQ66" s="46"/>
      <c r="AR66" s="1"/>
      <c r="AS66" s="1"/>
      <c r="AT66" s="1"/>
      <c r="AU66" s="1"/>
      <c r="AV66" s="1"/>
      <c r="AW66" s="1"/>
      <c r="AX66" s="1"/>
      <c r="AY66" s="46"/>
      <c r="AZ66" s="1"/>
      <c r="BA66" s="1"/>
      <c r="BB66" s="1"/>
      <c r="BC66" s="1"/>
      <c r="BD66" s="1"/>
      <c r="BE66" s="1"/>
      <c r="BF66" s="1"/>
      <c r="BG66" s="1"/>
      <c r="BH66" s="1"/>
      <c r="BI66" s="1"/>
      <c r="BJ66" s="1"/>
      <c r="BK66" s="36"/>
      <c r="BL66" s="1"/>
      <c r="BM66" s="1"/>
      <c r="BN66" s="1"/>
      <c r="BO66" s="1"/>
      <c r="BP66" s="1"/>
      <c r="BQ66" s="46"/>
      <c r="BR66" s="1"/>
      <c r="BS66" s="1"/>
      <c r="BT66" s="36"/>
      <c r="BU66" s="46"/>
      <c r="BV66" s="1"/>
      <c r="BW66" s="1"/>
      <c r="BX66" s="1"/>
      <c r="BY66" s="1"/>
      <c r="BZ66" s="36"/>
    </row>
    <row r="67" spans="1:78" ht="15.75" customHeight="1" x14ac:dyDescent="0.2">
      <c r="A67" s="1" t="s">
        <v>398</v>
      </c>
      <c r="B67" s="1" t="s">
        <v>402</v>
      </c>
      <c r="C67" s="1" t="s">
        <v>401</v>
      </c>
      <c r="D67" s="1"/>
      <c r="E67" s="46"/>
      <c r="F67" s="1"/>
      <c r="G67" s="1"/>
      <c r="H67" s="1"/>
      <c r="I67" s="46"/>
      <c r="J67" s="1"/>
      <c r="K67" s="1"/>
      <c r="L67" s="1"/>
      <c r="M67" s="36"/>
      <c r="N67" s="1"/>
      <c r="O67" s="1"/>
      <c r="P67" s="1"/>
      <c r="Q67" s="1"/>
      <c r="R67" s="1"/>
      <c r="S67" s="46"/>
      <c r="T67" s="1"/>
      <c r="U67" s="1"/>
      <c r="V67" s="36"/>
      <c r="W67" s="1"/>
      <c r="X67" s="1"/>
      <c r="Y67" s="1"/>
      <c r="Z67" s="1"/>
      <c r="AA67" s="1"/>
      <c r="AB67" s="1"/>
      <c r="AC67" s="46"/>
      <c r="AD67" s="1"/>
      <c r="AE67" s="1"/>
      <c r="AF67" s="1"/>
      <c r="AG67" s="1"/>
      <c r="AH67" s="1"/>
      <c r="AI67" s="58"/>
      <c r="AJ67" s="59"/>
      <c r="AK67" s="1"/>
      <c r="AL67" s="1"/>
      <c r="AM67" s="64">
        <f>35*constants!C7</f>
        <v>40.25</v>
      </c>
      <c r="AN67" s="19">
        <f>0.82/35</f>
        <v>2.3428571428571427E-2</v>
      </c>
      <c r="AO67" s="1"/>
      <c r="AP67" s="1"/>
      <c r="AQ67" s="46"/>
      <c r="AR67" s="1"/>
      <c r="AS67" s="1"/>
      <c r="AT67" s="1"/>
      <c r="AU67" s="1"/>
      <c r="AV67" s="1"/>
      <c r="AW67" s="1"/>
      <c r="AX67" s="1"/>
      <c r="AY67" s="46"/>
      <c r="AZ67" s="1"/>
      <c r="BA67" s="1"/>
      <c r="BB67" s="1"/>
      <c r="BC67" s="1"/>
      <c r="BD67" s="1"/>
      <c r="BE67" s="1"/>
      <c r="BF67" s="1"/>
      <c r="BG67" s="1"/>
      <c r="BH67" s="1"/>
      <c r="BI67" s="1"/>
      <c r="BJ67" s="1"/>
      <c r="BK67" s="36"/>
      <c r="BL67" s="1"/>
      <c r="BM67" s="1"/>
      <c r="BN67" s="1"/>
      <c r="BO67" s="1"/>
      <c r="BP67" s="1"/>
      <c r="BQ67" s="46"/>
      <c r="BR67" s="1"/>
      <c r="BS67" s="1"/>
      <c r="BT67" s="36"/>
      <c r="BU67" s="46"/>
      <c r="BV67" s="1"/>
      <c r="BW67" s="1"/>
      <c r="BX67" s="1"/>
      <c r="BY67" s="1"/>
      <c r="BZ67" s="36"/>
    </row>
    <row r="68" spans="1:78" ht="15.75" customHeight="1" x14ac:dyDescent="0.2">
      <c r="A68" s="1" t="s">
        <v>403</v>
      </c>
      <c r="B68" s="1">
        <v>2018</v>
      </c>
      <c r="C68" s="1" t="s">
        <v>404</v>
      </c>
      <c r="D68" s="1"/>
      <c r="E68" s="46"/>
      <c r="F68" s="1"/>
      <c r="G68" s="1"/>
      <c r="H68" s="1"/>
      <c r="I68" s="46"/>
      <c r="J68" s="1"/>
      <c r="K68" s="1"/>
      <c r="L68" s="1"/>
      <c r="M68" s="36"/>
      <c r="N68" s="1"/>
      <c r="O68" s="1"/>
      <c r="P68" s="1"/>
      <c r="Q68" s="1"/>
      <c r="R68" s="1"/>
      <c r="S68" s="46"/>
      <c r="T68" s="1"/>
      <c r="U68" s="1"/>
      <c r="V68" s="36"/>
      <c r="W68" s="1"/>
      <c r="X68" s="1"/>
      <c r="Y68" s="1"/>
      <c r="Z68" s="1"/>
      <c r="AA68" s="1"/>
      <c r="AB68" s="1"/>
      <c r="AC68" s="46"/>
      <c r="AD68" s="1">
        <v>1900</v>
      </c>
      <c r="AE68" s="1">
        <v>0.02</v>
      </c>
      <c r="AF68" s="1"/>
      <c r="AG68" s="1"/>
      <c r="AH68" s="1"/>
      <c r="AI68" s="58"/>
      <c r="AJ68" s="59">
        <v>0.62</v>
      </c>
      <c r="AK68" s="1"/>
      <c r="AL68" s="1"/>
      <c r="AM68" s="64"/>
      <c r="AN68" s="1"/>
      <c r="AO68" s="1"/>
      <c r="AP68" s="1"/>
      <c r="AQ68" s="46"/>
      <c r="AR68" s="1"/>
      <c r="AS68" s="1"/>
      <c r="AT68" s="1"/>
      <c r="AU68" s="1"/>
      <c r="AV68" s="1"/>
      <c r="AW68" s="1"/>
      <c r="AX68" s="1"/>
      <c r="AY68" s="46"/>
      <c r="AZ68" s="1"/>
      <c r="BA68" s="1">
        <v>800</v>
      </c>
      <c r="BB68" s="1">
        <v>0.83</v>
      </c>
      <c r="BC68" s="1"/>
      <c r="BD68" s="1"/>
      <c r="BE68" s="1"/>
      <c r="BF68" s="1"/>
      <c r="BG68" s="1"/>
      <c r="BH68" s="1"/>
      <c r="BI68" s="1"/>
      <c r="BJ68" s="1"/>
      <c r="BK68" s="36"/>
      <c r="BL68" s="1"/>
      <c r="BM68" s="1"/>
      <c r="BN68" s="1"/>
      <c r="BO68" s="1"/>
      <c r="BP68" s="1"/>
      <c r="BQ68" s="46"/>
      <c r="BR68" s="1"/>
      <c r="BS68" s="1"/>
      <c r="BT68" s="36"/>
      <c r="BU68" s="46"/>
      <c r="BV68" s="1"/>
      <c r="BW68" s="1"/>
      <c r="BX68" s="1"/>
      <c r="BY68" s="1"/>
      <c r="BZ68" s="36"/>
    </row>
    <row r="69" spans="1:78" ht="15.75" customHeight="1" x14ac:dyDescent="0.2">
      <c r="A69" s="1" t="s">
        <v>403</v>
      </c>
      <c r="B69" s="1">
        <v>2030</v>
      </c>
      <c r="C69" s="1"/>
      <c r="D69" s="1"/>
      <c r="E69" s="46"/>
      <c r="F69" s="1"/>
      <c r="G69" s="1"/>
      <c r="H69" s="1"/>
      <c r="I69" s="46"/>
      <c r="J69" s="1"/>
      <c r="K69" s="1"/>
      <c r="L69" s="1"/>
      <c r="M69" s="36"/>
      <c r="N69" s="1"/>
      <c r="O69" s="1"/>
      <c r="P69" s="1"/>
      <c r="Q69" s="1"/>
      <c r="R69" s="1"/>
      <c r="S69" s="46"/>
      <c r="T69" s="1"/>
      <c r="U69" s="1"/>
      <c r="V69" s="36"/>
      <c r="W69" s="1"/>
      <c r="X69" s="1"/>
      <c r="Y69" s="1"/>
      <c r="Z69" s="1"/>
      <c r="AA69" s="1"/>
      <c r="AB69" s="1"/>
      <c r="AC69" s="46"/>
      <c r="AD69" s="1">
        <v>300</v>
      </c>
      <c r="AE69" s="1">
        <v>0.02</v>
      </c>
      <c r="AF69" s="1"/>
      <c r="AG69" s="1"/>
      <c r="AH69" s="1"/>
      <c r="AI69" s="58"/>
      <c r="AJ69" s="59">
        <v>0.69</v>
      </c>
      <c r="AK69" s="1"/>
      <c r="AL69" s="1"/>
      <c r="AM69" s="64"/>
      <c r="AN69" s="1"/>
      <c r="AO69" s="1"/>
      <c r="AP69" s="1"/>
      <c r="AQ69" s="46"/>
      <c r="AR69" s="1"/>
      <c r="AS69" s="1"/>
      <c r="AT69" s="1"/>
      <c r="AU69" s="1"/>
      <c r="AV69" s="1"/>
      <c r="AW69" s="1"/>
      <c r="AX69" s="1"/>
      <c r="AY69" s="46"/>
      <c r="AZ69" s="1"/>
      <c r="BA69" s="1"/>
      <c r="BB69" s="1"/>
      <c r="BC69" s="1"/>
      <c r="BD69" s="1"/>
      <c r="BE69" s="1"/>
      <c r="BF69" s="1"/>
      <c r="BG69" s="1"/>
      <c r="BH69" s="1"/>
      <c r="BI69" s="1"/>
      <c r="BJ69" s="1"/>
      <c r="BK69" s="36"/>
      <c r="BL69" s="1"/>
      <c r="BM69" s="1"/>
      <c r="BN69" s="1"/>
      <c r="BO69" s="1"/>
      <c r="BP69" s="1"/>
      <c r="BQ69" s="46"/>
      <c r="BR69" s="1"/>
      <c r="BS69" s="1"/>
      <c r="BT69" s="36"/>
      <c r="BU69" s="46"/>
      <c r="BV69" s="1"/>
      <c r="BW69" s="1"/>
      <c r="BX69" s="1"/>
      <c r="BY69" s="1"/>
      <c r="BZ69" s="36"/>
    </row>
    <row r="70" spans="1:78" ht="15.75" customHeight="1" x14ac:dyDescent="0.2">
      <c r="A70" s="1"/>
      <c r="B70" s="1"/>
      <c r="C70" s="1"/>
      <c r="D70" s="1"/>
      <c r="E70" s="46"/>
      <c r="F70" s="1"/>
      <c r="G70" s="1"/>
      <c r="H70" s="1"/>
      <c r="I70" s="46"/>
      <c r="J70" s="1"/>
      <c r="K70" s="1"/>
      <c r="L70" s="1"/>
      <c r="M70" s="36"/>
      <c r="N70" s="1"/>
      <c r="O70" s="1"/>
      <c r="P70" s="1"/>
      <c r="Q70" s="1"/>
      <c r="R70" s="1"/>
      <c r="S70" s="46"/>
      <c r="T70" s="1"/>
      <c r="U70" s="1"/>
      <c r="V70" s="36"/>
      <c r="W70" s="1"/>
      <c r="X70" s="1"/>
      <c r="Y70" s="1"/>
      <c r="Z70" s="1"/>
      <c r="AA70" s="1"/>
      <c r="AB70" s="1"/>
      <c r="AC70" s="46"/>
      <c r="AD70" s="1"/>
      <c r="AE70" s="1"/>
      <c r="AF70" s="1"/>
      <c r="AG70" s="1"/>
      <c r="AH70" s="1"/>
      <c r="AI70" s="58"/>
      <c r="AJ70" s="59"/>
      <c r="AK70" s="1"/>
      <c r="AL70" s="1"/>
      <c r="AM70" s="64"/>
      <c r="AN70" s="1"/>
      <c r="AO70" s="1"/>
      <c r="AP70" s="1"/>
      <c r="AQ70" s="46"/>
      <c r="AR70" s="1"/>
      <c r="AS70" s="1"/>
      <c r="AT70" s="1"/>
      <c r="AU70" s="1"/>
      <c r="AV70" s="1"/>
      <c r="AW70" s="1"/>
      <c r="AX70" s="1"/>
      <c r="AY70" s="46"/>
      <c r="AZ70" s="1"/>
      <c r="BA70" s="1"/>
      <c r="BB70" s="1"/>
      <c r="BC70" s="1"/>
      <c r="BD70" s="1"/>
      <c r="BE70" s="1"/>
      <c r="BF70" s="1"/>
      <c r="BG70" s="1"/>
      <c r="BH70" s="1"/>
      <c r="BI70" s="1"/>
      <c r="BJ70" s="1"/>
      <c r="BK70" s="36"/>
      <c r="BL70" s="1"/>
      <c r="BM70" s="1"/>
      <c r="BN70" s="1"/>
      <c r="BO70" s="1"/>
      <c r="BP70" s="1"/>
      <c r="BQ70" s="46"/>
      <c r="BR70" s="1"/>
      <c r="BS70" s="1"/>
      <c r="BT70" s="36"/>
      <c r="BU70" s="46"/>
      <c r="BV70" s="1"/>
      <c r="BW70" s="1"/>
      <c r="BX70" s="1"/>
      <c r="BY70" s="1"/>
      <c r="BZ70" s="36"/>
    </row>
    <row r="71" spans="1:78" ht="15.75" customHeight="1" x14ac:dyDescent="0.2">
      <c r="A71" s="1"/>
      <c r="B71" s="1"/>
      <c r="C71" s="1"/>
      <c r="D71" s="1"/>
      <c r="E71" s="46"/>
      <c r="F71" s="1"/>
      <c r="G71" s="1"/>
      <c r="H71" s="1"/>
      <c r="I71" s="46"/>
      <c r="J71" s="1"/>
      <c r="K71" s="1"/>
      <c r="L71" s="1"/>
      <c r="M71" s="36"/>
      <c r="N71" s="1"/>
      <c r="O71" s="1"/>
      <c r="P71" s="1"/>
      <c r="Q71" s="1"/>
      <c r="R71" s="1"/>
      <c r="S71" s="46"/>
      <c r="T71" s="1"/>
      <c r="U71" s="1"/>
      <c r="V71" s="36"/>
      <c r="W71" s="1"/>
      <c r="X71" s="1"/>
      <c r="Y71" s="1"/>
      <c r="Z71" s="1"/>
      <c r="AA71" s="1"/>
      <c r="AB71" s="1"/>
      <c r="AC71" s="46"/>
      <c r="AD71" s="1"/>
      <c r="AE71" s="1"/>
      <c r="AF71" s="1"/>
      <c r="AG71" s="1"/>
      <c r="AH71" s="1"/>
      <c r="AI71" s="58"/>
      <c r="AJ71" s="59"/>
      <c r="AK71" s="1"/>
      <c r="AL71" s="1"/>
      <c r="AM71" s="64"/>
      <c r="AN71" s="1"/>
      <c r="AO71" s="1"/>
      <c r="AP71" s="1"/>
      <c r="AQ71" s="46"/>
      <c r="AR71" s="1"/>
      <c r="AS71" s="1"/>
      <c r="AT71" s="1"/>
      <c r="AU71" s="1"/>
      <c r="AV71" s="1"/>
      <c r="AW71" s="1"/>
      <c r="AX71" s="1"/>
      <c r="AY71" s="46"/>
      <c r="AZ71" s="1"/>
      <c r="BA71" s="1"/>
      <c r="BB71" s="1"/>
      <c r="BC71" s="1"/>
      <c r="BD71" s="1"/>
      <c r="BE71" s="1"/>
      <c r="BF71" s="1"/>
      <c r="BG71" s="1"/>
      <c r="BH71" s="1"/>
      <c r="BI71" s="1"/>
      <c r="BJ71" s="1"/>
      <c r="BK71" s="36"/>
      <c r="BL71" s="1"/>
      <c r="BM71" s="1"/>
      <c r="BN71" s="1"/>
      <c r="BO71" s="1"/>
      <c r="BP71" s="1"/>
      <c r="BQ71" s="46"/>
      <c r="BR71" s="1"/>
      <c r="BS71" s="1"/>
      <c r="BT71" s="36"/>
      <c r="BU71" s="46"/>
      <c r="BV71" s="1"/>
      <c r="BW71" s="1"/>
      <c r="BX71" s="1"/>
      <c r="BY71" s="1"/>
      <c r="BZ71" s="36"/>
    </row>
    <row r="72" spans="1:78" ht="15.75" customHeight="1" x14ac:dyDescent="0.2">
      <c r="A72" s="1"/>
      <c r="B72" s="1"/>
      <c r="C72" s="1"/>
      <c r="D72" s="1"/>
      <c r="E72" s="46"/>
      <c r="F72" s="1"/>
      <c r="G72" s="1"/>
      <c r="H72" s="1"/>
      <c r="I72" s="46"/>
      <c r="J72" s="1"/>
      <c r="K72" s="1"/>
      <c r="L72" s="1"/>
      <c r="M72" s="36"/>
      <c r="N72" s="1"/>
      <c r="O72" s="1"/>
      <c r="P72" s="1"/>
      <c r="Q72" s="1"/>
      <c r="R72" s="1"/>
      <c r="S72" s="46"/>
      <c r="T72" s="1"/>
      <c r="U72" s="1"/>
      <c r="V72" s="36"/>
      <c r="W72" s="1"/>
      <c r="X72" s="1"/>
      <c r="Y72" s="1"/>
      <c r="Z72" s="1"/>
      <c r="AA72" s="1"/>
      <c r="AB72" s="1"/>
      <c r="AC72" s="46"/>
      <c r="AD72" s="1"/>
      <c r="AE72" s="1"/>
      <c r="AF72" s="1"/>
      <c r="AG72" s="1"/>
      <c r="AH72" s="1"/>
      <c r="AI72" s="58"/>
      <c r="AJ72" s="59"/>
      <c r="AK72" s="1"/>
      <c r="AL72" s="1"/>
      <c r="AM72" s="64"/>
      <c r="AN72" s="1"/>
      <c r="AO72" s="1"/>
      <c r="AP72" s="1"/>
      <c r="AQ72" s="46"/>
      <c r="AR72" s="1"/>
      <c r="AS72" s="1"/>
      <c r="AT72" s="1"/>
      <c r="AU72" s="1"/>
      <c r="AV72" s="1"/>
      <c r="AW72" s="1"/>
      <c r="AX72" s="1"/>
      <c r="AY72" s="46"/>
      <c r="AZ72" s="1"/>
      <c r="BA72" s="1"/>
      <c r="BB72" s="1"/>
      <c r="BC72" s="1"/>
      <c r="BD72" s="1"/>
      <c r="BE72" s="1"/>
      <c r="BF72" s="1"/>
      <c r="BG72" s="1"/>
      <c r="BH72" s="1"/>
      <c r="BI72" s="1"/>
      <c r="BJ72" s="1"/>
      <c r="BK72" s="36"/>
      <c r="BL72" s="1"/>
      <c r="BM72" s="1"/>
      <c r="BN72" s="1"/>
      <c r="BO72" s="1"/>
      <c r="BP72" s="1"/>
      <c r="BQ72" s="46"/>
      <c r="BR72" s="1"/>
      <c r="BS72" s="1"/>
      <c r="BT72" s="36"/>
      <c r="BU72" s="46"/>
      <c r="BV72" s="1"/>
      <c r="BW72" s="1"/>
      <c r="BX72" s="1"/>
      <c r="BY72" s="1"/>
      <c r="BZ72" s="36"/>
    </row>
    <row r="73" spans="1:78" ht="15.75" customHeight="1" x14ac:dyDescent="0.2">
      <c r="A73" s="1"/>
      <c r="B73" s="1"/>
      <c r="C73" s="1"/>
      <c r="D73" s="1"/>
      <c r="E73" s="46"/>
      <c r="F73" s="1"/>
      <c r="G73" s="1"/>
      <c r="H73" s="1"/>
      <c r="I73" s="46"/>
      <c r="J73" s="1"/>
      <c r="K73" s="1"/>
      <c r="L73" s="1"/>
      <c r="M73" s="36"/>
      <c r="N73" s="1"/>
      <c r="O73" s="1"/>
      <c r="P73" s="1"/>
      <c r="Q73" s="1"/>
      <c r="R73" s="1"/>
      <c r="S73" s="46"/>
      <c r="T73" s="1"/>
      <c r="U73" s="1"/>
      <c r="V73" s="36"/>
      <c r="W73" s="1"/>
      <c r="X73" s="1"/>
      <c r="Y73" s="1"/>
      <c r="Z73" s="1"/>
      <c r="AA73" s="1"/>
      <c r="AB73" s="1"/>
      <c r="AC73" s="46"/>
      <c r="AD73" s="1"/>
      <c r="AE73" s="1"/>
      <c r="AF73" s="1"/>
      <c r="AG73" s="1"/>
      <c r="AH73" s="1"/>
      <c r="AI73" s="58"/>
      <c r="AJ73" s="59"/>
      <c r="AK73" s="1"/>
      <c r="AL73" s="1"/>
      <c r="AM73" s="64"/>
      <c r="AN73" s="1"/>
      <c r="AO73" s="1"/>
      <c r="AP73" s="1"/>
      <c r="AQ73" s="46"/>
      <c r="AR73" s="1"/>
      <c r="AS73" s="1"/>
      <c r="AT73" s="1"/>
      <c r="AU73" s="1"/>
      <c r="AV73" s="1"/>
      <c r="AW73" s="1"/>
      <c r="AX73" s="1"/>
      <c r="AY73" s="46"/>
      <c r="AZ73" s="1"/>
      <c r="BA73" s="1"/>
      <c r="BB73" s="1"/>
      <c r="BC73" s="1"/>
      <c r="BD73" s="1"/>
      <c r="BE73" s="1"/>
      <c r="BF73" s="1"/>
      <c r="BG73" s="1"/>
      <c r="BH73" s="1"/>
      <c r="BI73" s="1"/>
      <c r="BJ73" s="1"/>
      <c r="BK73" s="36"/>
      <c r="BL73" s="1"/>
      <c r="BM73" s="1"/>
      <c r="BN73" s="1"/>
      <c r="BO73" s="1"/>
      <c r="BP73" s="1"/>
      <c r="BQ73" s="46"/>
      <c r="BR73" s="1"/>
      <c r="BS73" s="1"/>
      <c r="BT73" s="36"/>
      <c r="BU73" s="46"/>
      <c r="BV73" s="1"/>
      <c r="BW73" s="1"/>
      <c r="BX73" s="1"/>
      <c r="BY73" s="1"/>
      <c r="BZ73" s="36"/>
    </row>
    <row r="74" spans="1:78" ht="15.75" customHeight="1" x14ac:dyDescent="0.2">
      <c r="A74" s="74" t="s">
        <v>405</v>
      </c>
      <c r="B74" s="1"/>
      <c r="C74" s="1"/>
      <c r="D74" s="1"/>
      <c r="E74" s="46"/>
      <c r="F74" s="1"/>
      <c r="G74" s="1"/>
      <c r="H74" s="1"/>
      <c r="I74" s="46"/>
      <c r="J74" s="1"/>
      <c r="K74" s="1"/>
      <c r="L74" s="1"/>
      <c r="M74" s="36"/>
      <c r="N74" s="1"/>
      <c r="O74" s="1"/>
      <c r="P74" s="1"/>
      <c r="Q74" s="1"/>
      <c r="R74" s="1"/>
      <c r="S74" s="46"/>
      <c r="T74" s="1"/>
      <c r="U74" s="1"/>
      <c r="V74" s="36"/>
      <c r="W74" s="1"/>
      <c r="X74" s="1"/>
      <c r="Y74" s="1"/>
      <c r="Z74" s="1"/>
      <c r="AA74" s="1"/>
      <c r="AB74" s="1"/>
      <c r="AC74" s="46"/>
      <c r="AD74" s="1"/>
      <c r="AE74" s="1"/>
      <c r="AF74" s="1"/>
      <c r="AG74" s="1"/>
      <c r="AH74" s="1"/>
      <c r="AI74" s="58"/>
      <c r="AJ74" s="59"/>
      <c r="AK74" s="1"/>
      <c r="AL74" s="1"/>
      <c r="AM74" s="64"/>
      <c r="AN74" s="1"/>
      <c r="AO74" s="1"/>
      <c r="AP74" s="1"/>
      <c r="AQ74" s="46"/>
      <c r="AR74" s="1"/>
      <c r="AS74" s="1"/>
      <c r="AT74" s="1"/>
      <c r="AU74" s="1"/>
      <c r="AV74" s="1"/>
      <c r="AW74" s="1"/>
      <c r="AX74" s="1"/>
      <c r="AY74" s="46"/>
      <c r="AZ74" s="1"/>
      <c r="BA74" s="1"/>
      <c r="BB74" s="1"/>
      <c r="BC74" s="1"/>
      <c r="BD74" s="1"/>
      <c r="BE74" s="1"/>
      <c r="BF74" s="1"/>
      <c r="BG74" s="1"/>
      <c r="BH74" s="1"/>
      <c r="BI74" s="1"/>
      <c r="BJ74" s="1"/>
      <c r="BK74" s="36"/>
      <c r="BL74" s="1"/>
      <c r="BM74" s="1"/>
      <c r="BN74" s="1"/>
      <c r="BO74" s="1"/>
      <c r="BP74" s="1"/>
      <c r="BQ74" s="46"/>
      <c r="BR74" s="1"/>
      <c r="BS74" s="1"/>
      <c r="BT74" s="36"/>
      <c r="BU74" s="46"/>
      <c r="BV74" s="1"/>
      <c r="BW74" s="1"/>
      <c r="BX74" s="1"/>
      <c r="BY74" s="1"/>
      <c r="BZ74" s="36"/>
    </row>
    <row r="75" spans="1:78" ht="15.75" customHeight="1" x14ac:dyDescent="0.2">
      <c r="A75" s="75" t="s">
        <v>406</v>
      </c>
      <c r="B75" s="75"/>
      <c r="C75" s="75"/>
      <c r="D75" s="1"/>
      <c r="E75" s="46"/>
      <c r="F75" s="1"/>
      <c r="G75" s="1"/>
      <c r="H75" s="1"/>
      <c r="I75" s="46"/>
      <c r="J75" s="1"/>
      <c r="K75" s="1"/>
      <c r="L75" s="1"/>
      <c r="M75" s="36"/>
      <c r="N75" s="1"/>
      <c r="O75" s="1"/>
      <c r="P75" s="1"/>
      <c r="Q75" s="1"/>
      <c r="R75" s="1"/>
      <c r="S75" s="46"/>
      <c r="T75" s="1"/>
      <c r="U75" s="1"/>
      <c r="V75" s="36"/>
      <c r="W75" s="1"/>
      <c r="X75" s="1"/>
      <c r="Y75" s="1"/>
      <c r="Z75" s="1"/>
      <c r="AA75" s="1"/>
      <c r="AB75" s="1"/>
      <c r="AC75" s="46"/>
      <c r="AD75" s="1"/>
      <c r="AE75" s="1"/>
      <c r="AF75" s="1"/>
      <c r="AG75" s="1"/>
      <c r="AH75" s="1"/>
      <c r="AI75" s="58"/>
      <c r="AJ75" s="59"/>
      <c r="AK75" s="1"/>
      <c r="AL75" s="1"/>
      <c r="AM75" s="64"/>
      <c r="AN75" s="1"/>
      <c r="AO75" s="1"/>
      <c r="AP75" s="1"/>
      <c r="AQ75" s="46"/>
      <c r="AR75" s="1"/>
      <c r="AS75" s="1"/>
      <c r="AT75" s="1"/>
      <c r="AU75" s="1"/>
      <c r="AV75" s="1"/>
      <c r="AW75" s="1"/>
      <c r="AX75" s="1"/>
      <c r="AY75" s="46"/>
      <c r="AZ75" s="1"/>
      <c r="BA75" s="1"/>
      <c r="BB75" s="1"/>
      <c r="BC75" s="1"/>
      <c r="BD75" s="1"/>
      <c r="BE75" s="1"/>
      <c r="BF75" s="1"/>
      <c r="BG75" s="1"/>
      <c r="BH75" s="1"/>
      <c r="BI75" s="1"/>
      <c r="BJ75" s="1"/>
      <c r="BK75" s="36"/>
      <c r="BL75" s="1"/>
      <c r="BM75" s="1"/>
      <c r="BN75" s="1"/>
      <c r="BO75" s="1"/>
      <c r="BP75" s="1"/>
      <c r="BQ75" s="46"/>
      <c r="BR75" s="1"/>
      <c r="BS75" s="1"/>
      <c r="BT75" s="36"/>
      <c r="BU75" s="46"/>
      <c r="BV75" s="1"/>
      <c r="BW75" s="1"/>
      <c r="BX75" s="1"/>
      <c r="BY75" s="1"/>
      <c r="BZ75" s="36"/>
    </row>
    <row r="76" spans="1:78" ht="15.75" customHeight="1" x14ac:dyDescent="0.2">
      <c r="D76" s="1"/>
      <c r="E76" s="76" t="s">
        <v>295</v>
      </c>
      <c r="F76" s="77"/>
      <c r="G76" s="77"/>
      <c r="H76" s="77"/>
      <c r="I76" s="76"/>
      <c r="J76" s="77"/>
      <c r="K76" s="77"/>
      <c r="L76" s="77"/>
      <c r="M76" s="78"/>
      <c r="N76" s="77"/>
      <c r="O76" s="77"/>
      <c r="P76" s="77"/>
      <c r="Q76" s="77"/>
      <c r="R76" s="77"/>
      <c r="S76" s="76"/>
      <c r="T76" s="77"/>
      <c r="U76" s="77"/>
      <c r="V76" s="78"/>
      <c r="W76" s="77"/>
      <c r="X76" s="77"/>
      <c r="Y76" s="77"/>
      <c r="Z76" s="77"/>
      <c r="AA76" s="77"/>
      <c r="AB76" s="77"/>
      <c r="AC76" s="76"/>
      <c r="AD76" s="77"/>
      <c r="AE76" s="77"/>
      <c r="AF76" s="77"/>
      <c r="AG76" s="77"/>
      <c r="AH76" s="77"/>
      <c r="AI76" s="79"/>
      <c r="AJ76" s="80"/>
      <c r="AK76" s="77"/>
      <c r="AL76" s="77"/>
      <c r="AM76" s="77"/>
      <c r="AN76" s="77"/>
      <c r="AO76" s="77"/>
      <c r="AP76" s="77"/>
      <c r="AQ76" s="76"/>
      <c r="AR76" s="77"/>
      <c r="AS76" s="77"/>
      <c r="AT76" s="77"/>
      <c r="AU76" s="77"/>
      <c r="AV76" s="77"/>
      <c r="AW76" s="77"/>
      <c r="AX76" s="77"/>
      <c r="AY76" s="76"/>
      <c r="AZ76" s="77"/>
      <c r="BA76" s="77"/>
      <c r="BB76" s="77"/>
      <c r="BC76" s="77"/>
      <c r="BD76" s="77"/>
      <c r="BE76" s="77"/>
      <c r="BF76" s="77"/>
      <c r="BG76" s="77"/>
      <c r="BH76" s="77"/>
      <c r="BI76" s="77"/>
      <c r="BJ76" s="77"/>
      <c r="BK76" s="78"/>
      <c r="BL76" s="77"/>
      <c r="BM76" s="77"/>
      <c r="BN76" s="77"/>
      <c r="BO76" s="77"/>
      <c r="BP76" s="77"/>
      <c r="BQ76" s="76"/>
      <c r="BR76" s="77"/>
      <c r="BS76" s="77"/>
      <c r="BT76" s="78"/>
      <c r="BU76" s="76"/>
      <c r="BV76" s="77"/>
      <c r="BW76" s="77"/>
      <c r="BX76" s="77"/>
      <c r="BY76" s="77"/>
      <c r="BZ76" s="78"/>
    </row>
    <row r="77" spans="1:78" ht="15.75" customHeight="1" x14ac:dyDescent="0.2"/>
    <row r="78" spans="1:78" ht="15.75" customHeight="1" x14ac:dyDescent="0.2">
      <c r="A78" s="81" t="s">
        <v>407</v>
      </c>
      <c r="B78" s="82"/>
      <c r="C78" s="82"/>
    </row>
    <row r="79" spans="1:78" ht="15.75" customHeight="1" x14ac:dyDescent="0.2">
      <c r="A79" s="83" t="s">
        <v>408</v>
      </c>
      <c r="B79" s="82"/>
      <c r="C79" s="82"/>
    </row>
    <row r="80" spans="1:78" ht="15.75" customHeight="1" x14ac:dyDescent="0.2">
      <c r="A80" s="83" t="s">
        <v>409</v>
      </c>
      <c r="B80" s="82"/>
      <c r="C80" s="82"/>
    </row>
    <row r="81" spans="1:3" ht="15.75" customHeight="1" x14ac:dyDescent="0.2"/>
    <row r="82" spans="1:3" ht="15.75" customHeight="1" x14ac:dyDescent="0.2">
      <c r="A82" s="81" t="s">
        <v>410</v>
      </c>
      <c r="B82" s="82"/>
      <c r="C82" s="82"/>
    </row>
    <row r="83" spans="1:3" ht="15.75" customHeight="1" x14ac:dyDescent="0.2">
      <c r="A83" s="83" t="s">
        <v>411</v>
      </c>
      <c r="B83" s="82"/>
      <c r="C83" s="82"/>
    </row>
    <row r="84" spans="1:3" ht="15.75" customHeight="1" x14ac:dyDescent="0.2">
      <c r="A84" s="83" t="s">
        <v>412</v>
      </c>
      <c r="B84" s="82"/>
      <c r="C84" s="82"/>
    </row>
    <row r="85" spans="1:3" ht="15.75" customHeight="1" x14ac:dyDescent="0.2">
      <c r="A85" s="83" t="s">
        <v>413</v>
      </c>
      <c r="B85" s="82"/>
      <c r="C85" s="82"/>
    </row>
    <row r="86" spans="1:3" ht="15.75" customHeight="1" x14ac:dyDescent="0.2">
      <c r="A86" s="83" t="s">
        <v>414</v>
      </c>
      <c r="B86" s="82"/>
      <c r="C86" s="82"/>
    </row>
    <row r="87" spans="1:3" ht="15.75" customHeight="1" x14ac:dyDescent="0.2">
      <c r="A87" s="83" t="s">
        <v>415</v>
      </c>
      <c r="B87" s="82"/>
      <c r="C87" s="82"/>
    </row>
    <row r="88" spans="1:3" ht="15.75" customHeight="1" x14ac:dyDescent="0.2"/>
    <row r="89" spans="1:3" ht="15.75" customHeight="1" x14ac:dyDescent="0.2">
      <c r="A89" s="81" t="s">
        <v>416</v>
      </c>
      <c r="B89" s="82"/>
      <c r="C89" s="82"/>
    </row>
    <row r="90" spans="1:3" ht="15.75" customHeight="1" x14ac:dyDescent="0.2">
      <c r="A90" s="82" t="s">
        <v>417</v>
      </c>
      <c r="B90" s="82"/>
      <c r="C90" s="82"/>
    </row>
    <row r="91" spans="1:3" ht="15.75" customHeight="1" x14ac:dyDescent="0.2">
      <c r="A91" s="82" t="s">
        <v>418</v>
      </c>
      <c r="B91" s="82"/>
      <c r="C91" s="82"/>
    </row>
    <row r="92" spans="1:3" ht="15.75" customHeight="1" x14ac:dyDescent="0.2">
      <c r="A92" s="82" t="s">
        <v>419</v>
      </c>
      <c r="B92" s="82"/>
      <c r="C92" s="82"/>
    </row>
    <row r="93" spans="1:3" ht="15.75" customHeight="1" x14ac:dyDescent="0.2"/>
    <row r="94" spans="1:3" ht="15.75" customHeight="1" x14ac:dyDescent="0.2"/>
    <row r="95" spans="1:3" ht="15.75" customHeight="1" x14ac:dyDescent="0.2"/>
    <row r="96" spans="1:3"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3">
    <mergeCell ref="AC1:AJ1"/>
    <mergeCell ref="AK1:AP1"/>
    <mergeCell ref="AL64:AO64"/>
    <mergeCell ref="E1:H1"/>
    <mergeCell ref="I1:M1"/>
    <mergeCell ref="N1:R1"/>
    <mergeCell ref="S1:V1"/>
    <mergeCell ref="W1:AB1"/>
    <mergeCell ref="AQ1:AX1"/>
    <mergeCell ref="AY1:BK1"/>
    <mergeCell ref="BL1:BP1"/>
    <mergeCell ref="BQ1:BT1"/>
    <mergeCell ref="BU1:BZ1"/>
  </mergeCells>
  <hyperlinks>
    <hyperlink ref="A11" r:id="rId1" xr:uid="{00000000-0004-0000-0200-000000000000}"/>
  </hyperlinks>
  <pageMargins left="0.7" right="0.7" top="0.78740157499999996" bottom="0.78740157499999996" header="0" footer="0"/>
  <pageSetup orientation="landscape"/>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sheetPr>
  <dimension ref="A1:F1000"/>
  <sheetViews>
    <sheetView workbookViewId="0"/>
  </sheetViews>
  <sheetFormatPr baseColWidth="10" defaultColWidth="11.1640625" defaultRowHeight="15" customHeight="1" x14ac:dyDescent="0.2"/>
  <cols>
    <col min="1" max="1" width="39.5" customWidth="1"/>
    <col min="2" max="2" width="14" customWidth="1"/>
    <col min="3" max="6" width="5.1640625" customWidth="1"/>
    <col min="7" max="26" width="10.5" customWidth="1"/>
  </cols>
  <sheetData>
    <row r="1" spans="1:6" ht="15.75" customHeight="1" x14ac:dyDescent="0.2">
      <c r="A1" s="5" t="s">
        <v>420</v>
      </c>
      <c r="B1" s="5"/>
      <c r="C1" s="5">
        <v>2020</v>
      </c>
      <c r="D1" s="5">
        <v>2030</v>
      </c>
      <c r="E1" s="5">
        <v>2040</v>
      </c>
      <c r="F1" s="5">
        <v>2050</v>
      </c>
    </row>
    <row r="2" spans="1:6" ht="15.75" customHeight="1" x14ac:dyDescent="0.2">
      <c r="A2" s="3" t="s">
        <v>138</v>
      </c>
      <c r="B2" s="3" t="s">
        <v>421</v>
      </c>
      <c r="C2" s="3">
        <v>730</v>
      </c>
      <c r="D2" s="3">
        <v>338</v>
      </c>
      <c r="E2" s="3">
        <v>237</v>
      </c>
      <c r="F2" s="3">
        <v>199</v>
      </c>
    </row>
    <row r="3" spans="1:6" ht="15.75" customHeight="1" x14ac:dyDescent="0.2">
      <c r="A3" s="3" t="s">
        <v>142</v>
      </c>
      <c r="B3" s="3" t="s">
        <v>422</v>
      </c>
      <c r="C3" s="3">
        <v>0.04</v>
      </c>
      <c r="D3" s="3">
        <v>0.04</v>
      </c>
      <c r="E3" s="3">
        <v>0.04</v>
      </c>
      <c r="F3" s="3">
        <v>0.04</v>
      </c>
    </row>
    <row r="4" spans="1:6" ht="15.75" customHeight="1" x14ac:dyDescent="0.2">
      <c r="A4" s="3" t="s">
        <v>102</v>
      </c>
      <c r="B4" s="3" t="s">
        <v>66</v>
      </c>
      <c r="C4" s="3">
        <v>20</v>
      </c>
      <c r="D4" s="3">
        <v>25</v>
      </c>
      <c r="E4" s="3">
        <v>30</v>
      </c>
      <c r="F4" s="3">
        <v>30</v>
      </c>
    </row>
    <row r="5" spans="1:6" ht="15.75" customHeight="1" x14ac:dyDescent="0.2">
      <c r="A5" s="3" t="s">
        <v>260</v>
      </c>
      <c r="B5" s="3" t="s">
        <v>423</v>
      </c>
      <c r="C5" s="3">
        <v>250</v>
      </c>
      <c r="D5" s="3">
        <v>225</v>
      </c>
      <c r="E5" s="3">
        <v>203</v>
      </c>
      <c r="F5" s="3">
        <v>182</v>
      </c>
    </row>
    <row r="6" spans="1:6" ht="15.75" customHeight="1" x14ac:dyDescent="0.2">
      <c r="A6" s="3" t="s">
        <v>424</v>
      </c>
      <c r="B6" s="3" t="s">
        <v>425</v>
      </c>
      <c r="C6" s="3">
        <v>1750</v>
      </c>
      <c r="D6" s="3">
        <v>1500</v>
      </c>
      <c r="E6" s="3">
        <v>1286</v>
      </c>
      <c r="F6" s="3">
        <v>1102</v>
      </c>
    </row>
    <row r="7" spans="1:6" ht="15.75" customHeight="1" x14ac:dyDescent="0.2"/>
    <row r="8" spans="1:6" ht="15.75" customHeight="1" x14ac:dyDescent="0.2"/>
    <row r="9" spans="1:6" ht="15.75" customHeight="1" x14ac:dyDescent="0.2">
      <c r="A9" s="3" t="s">
        <v>426</v>
      </c>
      <c r="B9" s="3" t="s">
        <v>427</v>
      </c>
    </row>
    <row r="10" spans="1:6" ht="15.75" customHeight="1" x14ac:dyDescent="0.2"/>
    <row r="11" spans="1:6" ht="15.75" customHeight="1" x14ac:dyDescent="0.2">
      <c r="A11" s="3" t="s">
        <v>428</v>
      </c>
    </row>
    <row r="12" spans="1:6" ht="15.75" customHeight="1" x14ac:dyDescent="0.2"/>
    <row r="13" spans="1:6" ht="15.75" customHeight="1" x14ac:dyDescent="0.2"/>
    <row r="14" spans="1:6" ht="15.75" customHeight="1" x14ac:dyDescent="0.2"/>
    <row r="15" spans="1:6" ht="15.75" customHeight="1" x14ac:dyDescent="0.2"/>
    <row r="16" spans="1: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8740157499999996" bottom="0.78740157499999996"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sheetPr>
  <dimension ref="A1:Z1000"/>
  <sheetViews>
    <sheetView workbookViewId="0"/>
  </sheetViews>
  <sheetFormatPr baseColWidth="10" defaultColWidth="11.1640625" defaultRowHeight="15" customHeight="1" x14ac:dyDescent="0.2"/>
  <cols>
    <col min="1" max="1" width="39.6640625" customWidth="1"/>
    <col min="2" max="26" width="10.5" customWidth="1"/>
  </cols>
  <sheetData>
    <row r="1" spans="1:26" ht="15.75" customHeight="1" x14ac:dyDescent="0.2">
      <c r="A1" s="3" t="s">
        <v>429</v>
      </c>
      <c r="D1" s="84">
        <v>2018</v>
      </c>
      <c r="E1" s="84">
        <v>2020</v>
      </c>
      <c r="F1" s="84">
        <v>2025</v>
      </c>
      <c r="G1" s="84">
        <v>2030</v>
      </c>
      <c r="H1" s="84">
        <v>2050</v>
      </c>
    </row>
    <row r="2" spans="1:26" ht="15.75" customHeight="1" x14ac:dyDescent="0.2">
      <c r="A2" s="68" t="s">
        <v>430</v>
      </c>
      <c r="B2" s="68" t="s">
        <v>138</v>
      </c>
      <c r="C2" s="68" t="s">
        <v>431</v>
      </c>
      <c r="D2" s="68">
        <v>380</v>
      </c>
      <c r="E2" s="68">
        <v>359</v>
      </c>
      <c r="F2" s="68">
        <v>330</v>
      </c>
      <c r="G2" s="68">
        <v>301</v>
      </c>
      <c r="H2" s="68">
        <v>265</v>
      </c>
      <c r="I2" s="68"/>
      <c r="J2" s="68"/>
      <c r="K2" s="68"/>
      <c r="L2" s="68"/>
      <c r="M2" s="68"/>
      <c r="N2" s="68"/>
      <c r="O2" s="68"/>
      <c r="P2" s="68"/>
      <c r="Q2" s="68"/>
      <c r="R2" s="68"/>
      <c r="S2" s="68"/>
      <c r="T2" s="68"/>
      <c r="U2" s="68"/>
      <c r="V2" s="68"/>
      <c r="W2" s="68"/>
      <c r="X2" s="68"/>
      <c r="Y2" s="68"/>
      <c r="Z2" s="68"/>
    </row>
    <row r="3" spans="1:26" ht="15.75" customHeight="1" x14ac:dyDescent="0.2">
      <c r="A3" s="68" t="s">
        <v>432</v>
      </c>
      <c r="B3" s="68" t="s">
        <v>138</v>
      </c>
      <c r="C3" s="68" t="s">
        <v>431</v>
      </c>
      <c r="D3" s="68">
        <v>380</v>
      </c>
      <c r="E3" s="68">
        <v>330</v>
      </c>
      <c r="F3" s="68">
        <v>248</v>
      </c>
      <c r="G3" s="68">
        <v>207</v>
      </c>
      <c r="H3" s="68">
        <v>158</v>
      </c>
      <c r="I3" s="68"/>
      <c r="J3" s="68"/>
      <c r="K3" s="68"/>
      <c r="L3" s="68"/>
      <c r="M3" s="68"/>
      <c r="N3" s="68"/>
      <c r="O3" s="68"/>
      <c r="P3" s="68"/>
      <c r="Q3" s="68"/>
      <c r="R3" s="68"/>
      <c r="S3" s="68"/>
      <c r="T3" s="68"/>
      <c r="U3" s="68"/>
      <c r="V3" s="68"/>
      <c r="W3" s="68"/>
      <c r="X3" s="68"/>
      <c r="Y3" s="68"/>
      <c r="Z3" s="68"/>
    </row>
    <row r="4" spans="1:26" ht="15.75" customHeight="1" x14ac:dyDescent="0.2">
      <c r="A4" s="68" t="s">
        <v>433</v>
      </c>
      <c r="B4" s="68" t="s">
        <v>138</v>
      </c>
      <c r="C4" s="68" t="s">
        <v>431</v>
      </c>
      <c r="D4" s="68">
        <v>380</v>
      </c>
      <c r="E4" s="68">
        <v>297</v>
      </c>
      <c r="F4" s="68">
        <v>184</v>
      </c>
      <c r="G4" s="68">
        <v>124</v>
      </c>
      <c r="H4" s="68">
        <v>78</v>
      </c>
      <c r="I4" s="68"/>
      <c r="J4" s="68"/>
      <c r="K4" s="68"/>
      <c r="L4" s="68"/>
      <c r="M4" s="68"/>
      <c r="N4" s="68"/>
      <c r="O4" s="68"/>
      <c r="P4" s="68"/>
      <c r="Q4" s="68"/>
      <c r="R4" s="68"/>
      <c r="S4" s="68"/>
      <c r="T4" s="68"/>
      <c r="U4" s="68"/>
      <c r="V4" s="68"/>
      <c r="W4" s="68"/>
      <c r="X4" s="68"/>
      <c r="Y4" s="68"/>
      <c r="Z4" s="68"/>
    </row>
    <row r="5" spans="1:26" ht="15.75" customHeight="1" x14ac:dyDescent="0.2">
      <c r="A5" s="3" t="s">
        <v>430</v>
      </c>
      <c r="B5" s="1" t="s">
        <v>138</v>
      </c>
      <c r="C5" s="1" t="s">
        <v>434</v>
      </c>
      <c r="D5" s="14">
        <f>D2*constants!$C$4</f>
        <v>342</v>
      </c>
      <c r="E5" s="14">
        <f>E2*constants!$C$4</f>
        <v>323.10000000000002</v>
      </c>
      <c r="F5" s="14">
        <f>F2*constants!$C$4</f>
        <v>297</v>
      </c>
      <c r="G5" s="14">
        <f>G2*constants!$C$4</f>
        <v>270.90000000000003</v>
      </c>
      <c r="H5" s="14">
        <f>H2*constants!$C$4</f>
        <v>238.5</v>
      </c>
    </row>
    <row r="6" spans="1:26" ht="15.75" customHeight="1" x14ac:dyDescent="0.2">
      <c r="A6" s="5" t="s">
        <v>432</v>
      </c>
      <c r="B6" s="5" t="s">
        <v>138</v>
      </c>
      <c r="C6" s="5" t="s">
        <v>434</v>
      </c>
      <c r="D6" s="85">
        <f>D3*constants!$C$4</f>
        <v>342</v>
      </c>
      <c r="E6" s="85">
        <f>E3*constants!$C$4</f>
        <v>297</v>
      </c>
      <c r="F6" s="85">
        <f>F3*constants!$C$4</f>
        <v>223.20000000000002</v>
      </c>
      <c r="G6" s="85">
        <f>G3*constants!$C$4</f>
        <v>186.3</v>
      </c>
      <c r="H6" s="85">
        <f>H3*constants!$C$4</f>
        <v>142.20000000000002</v>
      </c>
    </row>
    <row r="7" spans="1:26" ht="15.75" customHeight="1" x14ac:dyDescent="0.2">
      <c r="A7" s="3" t="s">
        <v>433</v>
      </c>
      <c r="B7" s="1" t="s">
        <v>138</v>
      </c>
      <c r="C7" s="1" t="s">
        <v>434</v>
      </c>
      <c r="D7" s="14">
        <f>D4*constants!$C$4</f>
        <v>342</v>
      </c>
      <c r="E7" s="14">
        <f>E4*constants!$C$4</f>
        <v>267.3</v>
      </c>
      <c r="F7" s="14">
        <f>F4*constants!$C$4</f>
        <v>165.6</v>
      </c>
      <c r="G7" s="14">
        <f>G4*constants!$C$4</f>
        <v>111.60000000000001</v>
      </c>
      <c r="H7" s="14">
        <f>H4*constants!$C$4</f>
        <v>70.2</v>
      </c>
    </row>
    <row r="8" spans="1:26" ht="15.75" customHeight="1" x14ac:dyDescent="0.2">
      <c r="B8" s="1"/>
      <c r="C8" s="1"/>
    </row>
    <row r="9" spans="1:26" ht="15.75" customHeight="1" x14ac:dyDescent="0.2">
      <c r="B9" s="1"/>
      <c r="C9" s="1"/>
    </row>
    <row r="10" spans="1:26" ht="15.75" customHeight="1" x14ac:dyDescent="0.2">
      <c r="B10" s="84" t="s">
        <v>435</v>
      </c>
      <c r="C10" s="84" t="s">
        <v>436</v>
      </c>
      <c r="D10" s="84" t="s">
        <v>437</v>
      </c>
    </row>
    <row r="11" spans="1:26" ht="15.75" customHeight="1" x14ac:dyDescent="0.2">
      <c r="A11" s="3" t="s">
        <v>438</v>
      </c>
      <c r="B11" s="3">
        <v>0.8</v>
      </c>
      <c r="C11" s="1">
        <v>0.95</v>
      </c>
      <c r="D11" s="5">
        <v>0.85</v>
      </c>
    </row>
    <row r="12" spans="1:26" ht="15.75" customHeight="1" x14ac:dyDescent="0.2">
      <c r="A12" s="3" t="s">
        <v>102</v>
      </c>
      <c r="B12" s="3">
        <v>5</v>
      </c>
      <c r="C12" s="3">
        <v>20</v>
      </c>
      <c r="D12" s="5">
        <v>15</v>
      </c>
    </row>
    <row r="13" spans="1:26" ht="15.75" customHeight="1" x14ac:dyDescent="0.2">
      <c r="A13" s="3" t="s">
        <v>142</v>
      </c>
      <c r="B13" s="19">
        <f>5/D2</f>
        <v>1.3157894736842105E-2</v>
      </c>
      <c r="C13" s="19">
        <f>40/D2</f>
        <v>0.10526315789473684</v>
      </c>
      <c r="D13" s="86">
        <f>15/D3</f>
        <v>3.9473684210526314E-2</v>
      </c>
    </row>
    <row r="14" spans="1:26" ht="15.75" customHeight="1" x14ac:dyDescent="0.2"/>
    <row r="15" spans="1:26" ht="15.75" customHeight="1" x14ac:dyDescent="0.2"/>
    <row r="16" spans="1:26" ht="15.75" customHeight="1" x14ac:dyDescent="0.2">
      <c r="A16" s="3" t="s">
        <v>426</v>
      </c>
      <c r="B16" s="3" t="s">
        <v>439</v>
      </c>
    </row>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8740157499999996" bottom="0.78740157499999996"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sheetPr>
  <dimension ref="A1:K1000"/>
  <sheetViews>
    <sheetView workbookViewId="0"/>
  </sheetViews>
  <sheetFormatPr baseColWidth="10" defaultColWidth="11.1640625" defaultRowHeight="15" customHeight="1" x14ac:dyDescent="0.2"/>
  <cols>
    <col min="1" max="1" width="83.1640625" customWidth="1"/>
    <col min="2" max="3" width="10.5" customWidth="1"/>
    <col min="4" max="6" width="12.1640625" customWidth="1"/>
    <col min="7" max="26" width="10.5" customWidth="1"/>
  </cols>
  <sheetData>
    <row r="1" spans="1:11" ht="15.75" customHeight="1" x14ac:dyDescent="0.2">
      <c r="D1" s="5">
        <v>2017</v>
      </c>
      <c r="E1" s="5">
        <v>2030</v>
      </c>
      <c r="F1" s="5">
        <v>2050</v>
      </c>
    </row>
    <row r="2" spans="1:11" ht="15.75" customHeight="1" x14ac:dyDescent="0.2">
      <c r="A2" s="1" t="s">
        <v>440</v>
      </c>
      <c r="B2" s="1" t="s">
        <v>138</v>
      </c>
      <c r="C2" s="1" t="s">
        <v>441</v>
      </c>
      <c r="D2" s="1">
        <v>1180</v>
      </c>
      <c r="E2" s="1">
        <v>470</v>
      </c>
      <c r="F2" s="1">
        <v>245</v>
      </c>
    </row>
    <row r="3" spans="1:11" ht="15.75" customHeight="1" x14ac:dyDescent="0.2">
      <c r="A3" s="1" t="s">
        <v>442</v>
      </c>
      <c r="B3" s="1" t="s">
        <v>142</v>
      </c>
      <c r="C3" s="1" t="s">
        <v>443</v>
      </c>
      <c r="D3" s="1">
        <v>0.04</v>
      </c>
      <c r="E3" s="1">
        <v>0.03</v>
      </c>
      <c r="F3" s="1">
        <v>0.02</v>
      </c>
    </row>
    <row r="4" spans="1:11" ht="15.75" customHeight="1" x14ac:dyDescent="0.2">
      <c r="A4" s="1" t="s">
        <v>442</v>
      </c>
      <c r="B4" s="1" t="s">
        <v>124</v>
      </c>
      <c r="C4" s="1" t="s">
        <v>277</v>
      </c>
      <c r="D4" s="1">
        <v>0.64</v>
      </c>
      <c r="E4" s="1">
        <v>0.75</v>
      </c>
      <c r="F4" s="1">
        <v>0.78</v>
      </c>
    </row>
    <row r="5" spans="1:11" ht="15.75" customHeight="1" x14ac:dyDescent="0.2">
      <c r="A5" s="1" t="s">
        <v>442</v>
      </c>
      <c r="B5" s="1" t="s">
        <v>444</v>
      </c>
      <c r="C5" s="1" t="s">
        <v>66</v>
      </c>
      <c r="D5" s="14">
        <v>10</v>
      </c>
      <c r="E5" s="14">
        <v>10</v>
      </c>
      <c r="F5" s="14">
        <v>10</v>
      </c>
    </row>
    <row r="6" spans="1:11" ht="15.75" customHeight="1" x14ac:dyDescent="0.2">
      <c r="A6" s="87" t="s">
        <v>445</v>
      </c>
      <c r="B6" s="87" t="s">
        <v>138</v>
      </c>
      <c r="C6" s="87" t="s">
        <v>446</v>
      </c>
      <c r="D6" s="87">
        <v>100</v>
      </c>
      <c r="E6" s="87">
        <v>75</v>
      </c>
      <c r="F6" s="87">
        <v>50</v>
      </c>
    </row>
    <row r="7" spans="1:11" ht="15.75" customHeight="1" x14ac:dyDescent="0.2">
      <c r="A7" s="1" t="s">
        <v>445</v>
      </c>
      <c r="B7" s="1" t="s">
        <v>138</v>
      </c>
      <c r="C7" s="1" t="s">
        <v>447</v>
      </c>
      <c r="D7" s="14">
        <f>D6/constants!$C$6</f>
        <v>1111.1111111111111</v>
      </c>
      <c r="E7" s="14">
        <f>E6/constants!$C$6</f>
        <v>833.33333333333337</v>
      </c>
      <c r="F7" s="14">
        <f>F6/constants!$C$6</f>
        <v>555.55555555555554</v>
      </c>
      <c r="G7" s="64"/>
    </row>
    <row r="8" spans="1:11" ht="15.75" customHeight="1" x14ac:dyDescent="0.2">
      <c r="A8" s="1" t="s">
        <v>445</v>
      </c>
      <c r="B8" s="1" t="s">
        <v>142</v>
      </c>
      <c r="C8" s="1" t="s">
        <v>443</v>
      </c>
      <c r="D8" s="1">
        <v>1.4999999999999999E-2</v>
      </c>
      <c r="E8" s="1">
        <v>1.4999999999999999E-2</v>
      </c>
      <c r="F8" s="1">
        <v>1.4999999999999999E-2</v>
      </c>
    </row>
    <row r="9" spans="1:11" ht="15.75" customHeight="1" x14ac:dyDescent="0.2">
      <c r="A9" s="7" t="s">
        <v>445</v>
      </c>
      <c r="B9" s="7" t="s">
        <v>102</v>
      </c>
      <c r="C9" s="7" t="s">
        <v>66</v>
      </c>
      <c r="D9" s="7">
        <v>20</v>
      </c>
      <c r="E9" s="7">
        <v>20</v>
      </c>
      <c r="F9" s="7">
        <v>20</v>
      </c>
      <c r="H9" s="3" t="s">
        <v>448</v>
      </c>
    </row>
    <row r="10" spans="1:11" ht="15.75" customHeight="1" x14ac:dyDescent="0.2">
      <c r="A10" s="87" t="s">
        <v>242</v>
      </c>
      <c r="B10" s="87" t="s">
        <v>138</v>
      </c>
      <c r="C10" s="87" t="s">
        <v>449</v>
      </c>
      <c r="D10" s="87">
        <v>100</v>
      </c>
      <c r="E10" s="87">
        <v>50</v>
      </c>
      <c r="F10" s="87">
        <v>50</v>
      </c>
      <c r="H10" s="87" t="s">
        <v>450</v>
      </c>
      <c r="I10" s="14">
        <f>D10/constants!$C$8*1000/80</f>
        <v>680.82788671023968</v>
      </c>
      <c r="J10" s="14">
        <f>E10/constants!$C$8*1000/80</f>
        <v>340.41394335511984</v>
      </c>
      <c r="K10" s="14">
        <f>F10/constants!$C$8*1000/80</f>
        <v>340.41394335511984</v>
      </c>
    </row>
    <row r="11" spans="1:11" ht="15.75" customHeight="1" x14ac:dyDescent="0.2">
      <c r="A11" s="1" t="s">
        <v>242</v>
      </c>
      <c r="B11" s="1" t="s">
        <v>142</v>
      </c>
      <c r="C11" s="1" t="s">
        <v>443</v>
      </c>
      <c r="D11" s="1">
        <v>3.5000000000000003E-2</v>
      </c>
      <c r="E11" s="1">
        <v>1.4999999999999999E-2</v>
      </c>
      <c r="F11" s="1">
        <v>0.01</v>
      </c>
    </row>
    <row r="12" spans="1:11" ht="15.75" customHeight="1" x14ac:dyDescent="0.2">
      <c r="A12" s="7" t="s">
        <v>242</v>
      </c>
      <c r="B12" s="7" t="s">
        <v>102</v>
      </c>
      <c r="C12" s="7" t="s">
        <v>66</v>
      </c>
      <c r="D12" s="7">
        <v>20</v>
      </c>
      <c r="E12" s="7">
        <v>20</v>
      </c>
      <c r="F12" s="7">
        <v>20</v>
      </c>
    </row>
    <row r="13" spans="1:11" ht="15.75" customHeight="1" x14ac:dyDescent="0.2">
      <c r="A13" s="87" t="s">
        <v>243</v>
      </c>
      <c r="B13" s="87" t="s">
        <v>138</v>
      </c>
      <c r="C13" s="87" t="s">
        <v>451</v>
      </c>
      <c r="D13" s="87">
        <v>2465</v>
      </c>
      <c r="E13" s="87">
        <v>1233</v>
      </c>
      <c r="F13" s="87">
        <v>750</v>
      </c>
    </row>
    <row r="14" spans="1:11" ht="15.75" customHeight="1" x14ac:dyDescent="0.2">
      <c r="A14" s="1" t="s">
        <v>243</v>
      </c>
      <c r="B14" s="1" t="s">
        <v>142</v>
      </c>
      <c r="C14" s="1" t="s">
        <v>443</v>
      </c>
      <c r="D14" s="1">
        <v>3.5000000000000003E-2</v>
      </c>
      <c r="E14" s="1">
        <v>3.5000000000000003E-2</v>
      </c>
      <c r="F14" s="1">
        <v>3.5000000000000003E-2</v>
      </c>
    </row>
    <row r="15" spans="1:11" ht="15.75" customHeight="1" x14ac:dyDescent="0.2">
      <c r="A15" s="7" t="s">
        <v>243</v>
      </c>
      <c r="B15" s="7" t="s">
        <v>102</v>
      </c>
      <c r="C15" s="7" t="s">
        <v>66</v>
      </c>
      <c r="D15" s="7">
        <v>20</v>
      </c>
      <c r="E15" s="7">
        <v>20</v>
      </c>
      <c r="F15" s="7">
        <v>20</v>
      </c>
    </row>
    <row r="16" spans="1:11" ht="15.75" customHeight="1" x14ac:dyDescent="0.2"/>
    <row r="17" spans="1:2" ht="15.75" customHeight="1" x14ac:dyDescent="0.2">
      <c r="A17" s="3" t="s">
        <v>426</v>
      </c>
      <c r="B17" s="3" t="s">
        <v>452</v>
      </c>
    </row>
    <row r="18" spans="1:2" ht="15.75" customHeight="1" x14ac:dyDescent="0.2"/>
    <row r="19" spans="1:2" ht="15.75" customHeight="1" x14ac:dyDescent="0.2">
      <c r="A19" s="11" t="s">
        <v>453</v>
      </c>
    </row>
    <row r="20" spans="1:2" ht="15.75" customHeight="1" x14ac:dyDescent="0.2"/>
    <row r="21" spans="1:2" ht="15.75" customHeight="1" x14ac:dyDescent="0.2"/>
    <row r="22" spans="1:2" ht="15.75" customHeight="1" x14ac:dyDescent="0.2"/>
    <row r="23" spans="1:2" ht="15.75" customHeight="1" x14ac:dyDescent="0.2"/>
    <row r="24" spans="1:2" ht="15.75" customHeight="1" x14ac:dyDescent="0.2"/>
    <row r="25" spans="1:2" ht="15.75" customHeight="1" x14ac:dyDescent="0.2"/>
    <row r="26" spans="1:2" ht="15.75" customHeight="1" x14ac:dyDescent="0.2"/>
    <row r="27" spans="1:2" ht="15.75" customHeight="1" x14ac:dyDescent="0.2"/>
    <row r="28" spans="1:2" ht="15.75" customHeight="1" x14ac:dyDescent="0.2"/>
    <row r="29" spans="1:2" ht="15.75" customHeight="1" x14ac:dyDescent="0.2"/>
    <row r="30" spans="1:2" ht="15.75" customHeight="1" x14ac:dyDescent="0.2"/>
    <row r="31" spans="1:2" ht="15.75" customHeight="1" x14ac:dyDescent="0.2"/>
    <row r="32" spans="1: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8740157499999996" bottom="0.78740157499999996"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5"/>
  </sheetPr>
  <dimension ref="A1:F1000"/>
  <sheetViews>
    <sheetView workbookViewId="0"/>
  </sheetViews>
  <sheetFormatPr baseColWidth="10" defaultColWidth="11.1640625" defaultRowHeight="15" customHeight="1" x14ac:dyDescent="0.2"/>
  <cols>
    <col min="1" max="1" width="23" customWidth="1"/>
    <col min="2" max="26" width="10.5" customWidth="1"/>
  </cols>
  <sheetData>
    <row r="1" spans="1:6" ht="15.75" customHeight="1" x14ac:dyDescent="0.2">
      <c r="A1" s="5" t="s">
        <v>454</v>
      </c>
      <c r="D1" s="5">
        <v>2020</v>
      </c>
      <c r="E1" s="5">
        <v>2030</v>
      </c>
      <c r="F1" s="5">
        <v>2050</v>
      </c>
    </row>
    <row r="2" spans="1:6" ht="15.75" customHeight="1" x14ac:dyDescent="0.2">
      <c r="A2" s="1" t="s">
        <v>455</v>
      </c>
      <c r="B2" s="1" t="s">
        <v>138</v>
      </c>
      <c r="C2" s="1" t="s">
        <v>441</v>
      </c>
      <c r="D2" s="1">
        <v>908</v>
      </c>
      <c r="E2" s="1">
        <v>718</v>
      </c>
      <c r="F2" s="1">
        <v>486</v>
      </c>
    </row>
    <row r="3" spans="1:6" ht="15.75" customHeight="1" x14ac:dyDescent="0.2">
      <c r="A3" s="1" t="s">
        <v>455</v>
      </c>
      <c r="B3" s="1" t="s">
        <v>142</v>
      </c>
      <c r="C3" s="1" t="s">
        <v>443</v>
      </c>
      <c r="D3" s="1">
        <v>1.4999999999999999E-2</v>
      </c>
      <c r="E3" s="1">
        <v>1.4999999999999999E-2</v>
      </c>
      <c r="F3" s="1">
        <v>1.4999999999999999E-2</v>
      </c>
    </row>
    <row r="4" spans="1:6" ht="15.75" customHeight="1" x14ac:dyDescent="0.2">
      <c r="A4" s="7" t="s">
        <v>455</v>
      </c>
      <c r="B4" s="7" t="s">
        <v>102</v>
      </c>
      <c r="C4" s="7" t="s">
        <v>66</v>
      </c>
      <c r="D4" s="7">
        <v>25</v>
      </c>
      <c r="E4" s="7">
        <v>25</v>
      </c>
      <c r="F4" s="7">
        <v>25</v>
      </c>
    </row>
    <row r="5" spans="1:6" ht="15.75" customHeight="1" x14ac:dyDescent="0.2">
      <c r="A5" s="87" t="s">
        <v>456</v>
      </c>
      <c r="B5" s="87" t="s">
        <v>138</v>
      </c>
      <c r="C5" s="87" t="s">
        <v>441</v>
      </c>
      <c r="D5" s="87">
        <v>1526</v>
      </c>
      <c r="E5" s="87">
        <v>1260</v>
      </c>
      <c r="F5" s="87">
        <v>1078</v>
      </c>
    </row>
    <row r="6" spans="1:6" ht="15.75" customHeight="1" x14ac:dyDescent="0.2">
      <c r="A6" s="1" t="s">
        <v>456</v>
      </c>
      <c r="B6" s="1" t="s">
        <v>142</v>
      </c>
      <c r="C6" s="1" t="s">
        <v>443</v>
      </c>
      <c r="D6" s="1">
        <v>2.5000000000000001E-2</v>
      </c>
      <c r="E6" s="1">
        <v>2.5000000000000001E-2</v>
      </c>
      <c r="F6" s="1">
        <v>2.5000000000000001E-2</v>
      </c>
    </row>
    <row r="7" spans="1:6" ht="15.75" customHeight="1" x14ac:dyDescent="0.2">
      <c r="A7" s="7" t="s">
        <v>456</v>
      </c>
      <c r="B7" s="7" t="s">
        <v>102</v>
      </c>
      <c r="C7" s="7" t="s">
        <v>66</v>
      </c>
      <c r="D7" s="7">
        <v>20</v>
      </c>
      <c r="E7" s="7">
        <v>20</v>
      </c>
      <c r="F7" s="7">
        <v>20</v>
      </c>
    </row>
    <row r="8" spans="1:6" ht="15.75" customHeight="1" x14ac:dyDescent="0.2">
      <c r="A8" s="87" t="s">
        <v>457</v>
      </c>
      <c r="B8" s="87" t="s">
        <v>138</v>
      </c>
      <c r="C8" s="87" t="s">
        <v>441</v>
      </c>
      <c r="D8" s="87">
        <v>2800</v>
      </c>
      <c r="E8" s="87">
        <v>2200</v>
      </c>
      <c r="F8" s="87">
        <v>1600</v>
      </c>
    </row>
    <row r="9" spans="1:6" ht="15.75" customHeight="1" x14ac:dyDescent="0.2">
      <c r="A9" s="1" t="s">
        <v>457</v>
      </c>
      <c r="B9" s="1" t="s">
        <v>142</v>
      </c>
      <c r="C9" s="1" t="s">
        <v>443</v>
      </c>
      <c r="D9" s="1">
        <v>3.2000000000000001E-2</v>
      </c>
      <c r="E9" s="1">
        <v>3.2000000000000001E-2</v>
      </c>
      <c r="F9" s="1">
        <v>3.2000000000000001E-2</v>
      </c>
    </row>
    <row r="10" spans="1:6" ht="15.75" customHeight="1" x14ac:dyDescent="0.2">
      <c r="A10" s="7" t="s">
        <v>457</v>
      </c>
      <c r="B10" s="7" t="s">
        <v>102</v>
      </c>
      <c r="C10" s="7" t="s">
        <v>66</v>
      </c>
      <c r="D10" s="7">
        <v>25</v>
      </c>
      <c r="E10" s="7">
        <v>25</v>
      </c>
      <c r="F10" s="7">
        <v>25</v>
      </c>
    </row>
    <row r="11" spans="1:6" ht="15.75" customHeight="1" x14ac:dyDescent="0.2">
      <c r="A11" s="87" t="s">
        <v>458</v>
      </c>
      <c r="B11" s="87" t="s">
        <v>138</v>
      </c>
      <c r="C11" s="87" t="s">
        <v>459</v>
      </c>
      <c r="D11" s="87">
        <v>737</v>
      </c>
      <c r="E11" s="87">
        <v>625</v>
      </c>
      <c r="F11" s="87">
        <v>450</v>
      </c>
    </row>
    <row r="12" spans="1:6" ht="15.75" customHeight="1" x14ac:dyDescent="0.2">
      <c r="A12" s="1" t="s">
        <v>458</v>
      </c>
      <c r="B12" s="1" t="s">
        <v>142</v>
      </c>
      <c r="C12" s="1" t="s">
        <v>443</v>
      </c>
      <c r="D12" s="1">
        <v>0.03</v>
      </c>
      <c r="E12" s="1">
        <v>0.03</v>
      </c>
      <c r="F12" s="1">
        <v>0.03</v>
      </c>
    </row>
    <row r="13" spans="1:6" ht="15.75" customHeight="1" x14ac:dyDescent="0.2">
      <c r="A13" s="7" t="s">
        <v>458</v>
      </c>
      <c r="B13" s="7" t="s">
        <v>460</v>
      </c>
      <c r="C13" s="7"/>
      <c r="D13" s="7">
        <v>0.67</v>
      </c>
      <c r="E13" s="7">
        <v>0.71</v>
      </c>
      <c r="F13" s="7">
        <v>0.8</v>
      </c>
    </row>
    <row r="14" spans="1:6" ht="15.75" customHeight="1" x14ac:dyDescent="0.2">
      <c r="A14" s="3" t="s">
        <v>461</v>
      </c>
      <c r="B14" s="3" t="s">
        <v>138</v>
      </c>
      <c r="C14" s="3" t="s">
        <v>462</v>
      </c>
      <c r="D14" s="3">
        <v>788</v>
      </c>
      <c r="E14" s="3">
        <v>677</v>
      </c>
      <c r="F14" s="3">
        <v>500</v>
      </c>
    </row>
    <row r="15" spans="1:6" ht="15.75" customHeight="1" x14ac:dyDescent="0.2">
      <c r="A15" s="3" t="s">
        <v>461</v>
      </c>
      <c r="B15" s="3" t="s">
        <v>142</v>
      </c>
      <c r="C15" s="3" t="s">
        <v>443</v>
      </c>
      <c r="D15" s="3">
        <v>0.03</v>
      </c>
      <c r="E15" s="3">
        <v>0.03</v>
      </c>
      <c r="F15" s="3">
        <v>0.03</v>
      </c>
    </row>
    <row r="16" spans="1:6" ht="15.75" customHeight="1" x14ac:dyDescent="0.2">
      <c r="A16" s="3" t="s">
        <v>461</v>
      </c>
      <c r="B16" s="3" t="s">
        <v>124</v>
      </c>
      <c r="C16" s="3" t="s">
        <v>463</v>
      </c>
      <c r="D16" s="3">
        <v>0.8</v>
      </c>
      <c r="E16" s="3">
        <v>0.8</v>
      </c>
      <c r="F16" s="3">
        <v>0.8</v>
      </c>
    </row>
    <row r="17" spans="1:2" ht="15.75" customHeight="1" x14ac:dyDescent="0.2"/>
    <row r="18" spans="1:2" ht="15.75" customHeight="1" x14ac:dyDescent="0.2"/>
    <row r="19" spans="1:2" ht="15.75" customHeight="1" x14ac:dyDescent="0.2">
      <c r="A19" s="3" t="s">
        <v>426</v>
      </c>
      <c r="B19" s="3" t="s">
        <v>464</v>
      </c>
    </row>
    <row r="20" spans="1:2" ht="15.75" customHeight="1" x14ac:dyDescent="0.2"/>
    <row r="21" spans="1:2" ht="15.75" customHeight="1" x14ac:dyDescent="0.2"/>
    <row r="22" spans="1:2" ht="15.75" customHeight="1" x14ac:dyDescent="0.2"/>
    <row r="23" spans="1:2" ht="15.75" customHeight="1" x14ac:dyDescent="0.2"/>
    <row r="24" spans="1:2" ht="15.75" customHeight="1" x14ac:dyDescent="0.2"/>
    <row r="25" spans="1:2" ht="15.75" customHeight="1" x14ac:dyDescent="0.2"/>
    <row r="26" spans="1:2" ht="15.75" customHeight="1" x14ac:dyDescent="0.2"/>
    <row r="27" spans="1:2" ht="15.75" customHeight="1" x14ac:dyDescent="0.2"/>
    <row r="28" spans="1:2" ht="15.75" customHeight="1" x14ac:dyDescent="0.2"/>
    <row r="29" spans="1:2" ht="15.75" customHeight="1" x14ac:dyDescent="0.2"/>
    <row r="30" spans="1:2" ht="15.75" customHeight="1" x14ac:dyDescent="0.2"/>
    <row r="31" spans="1:2" ht="15.75" customHeight="1" x14ac:dyDescent="0.2"/>
    <row r="32" spans="1: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8740157499999996" bottom="0.78740157499999996"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5"/>
  </sheetPr>
  <dimension ref="A1:G1000"/>
  <sheetViews>
    <sheetView workbookViewId="0"/>
  </sheetViews>
  <sheetFormatPr baseColWidth="10" defaultColWidth="11.1640625" defaultRowHeight="15" customHeight="1" x14ac:dyDescent="0.2"/>
  <cols>
    <col min="1" max="1" width="44" customWidth="1"/>
    <col min="2" max="2" width="31" customWidth="1"/>
    <col min="3" max="3" width="24.5" customWidth="1"/>
    <col min="4" max="4" width="17.83203125" customWidth="1"/>
    <col min="5" max="26" width="10.5" customWidth="1"/>
  </cols>
  <sheetData>
    <row r="1" spans="1:7" ht="15.75" customHeight="1" x14ac:dyDescent="0.2">
      <c r="B1" s="3" t="s">
        <v>465</v>
      </c>
      <c r="E1" s="88">
        <v>2015</v>
      </c>
      <c r="F1" s="5">
        <v>2030</v>
      </c>
      <c r="G1" s="5">
        <v>2050</v>
      </c>
    </row>
    <row r="2" spans="1:7" ht="15.75" customHeight="1" x14ac:dyDescent="0.2">
      <c r="A2" s="87" t="s">
        <v>466</v>
      </c>
      <c r="B2" s="87" t="s">
        <v>467</v>
      </c>
      <c r="C2" s="87" t="s">
        <v>468</v>
      </c>
      <c r="D2" s="87" t="s">
        <v>441</v>
      </c>
      <c r="E2" s="87">
        <v>850</v>
      </c>
      <c r="F2" s="87">
        <v>675</v>
      </c>
      <c r="G2" s="87">
        <v>500</v>
      </c>
    </row>
    <row r="3" spans="1:7" ht="15.75" customHeight="1" x14ac:dyDescent="0.2">
      <c r="A3" s="3" t="s">
        <v>466</v>
      </c>
      <c r="B3" s="3" t="s">
        <v>467</v>
      </c>
      <c r="C3" s="3" t="s">
        <v>469</v>
      </c>
      <c r="D3" s="3" t="s">
        <v>422</v>
      </c>
      <c r="E3" s="3">
        <v>0.03</v>
      </c>
      <c r="F3" s="3">
        <v>0.03</v>
      </c>
      <c r="G3" s="3">
        <v>0.03</v>
      </c>
    </row>
    <row r="4" spans="1:7" ht="15.75" customHeight="1" x14ac:dyDescent="0.2">
      <c r="A4" s="3" t="s">
        <v>466</v>
      </c>
      <c r="B4" s="3" t="s">
        <v>467</v>
      </c>
      <c r="C4" s="3" t="s">
        <v>124</v>
      </c>
      <c r="D4" s="3" t="s">
        <v>470</v>
      </c>
      <c r="E4" s="3">
        <v>0.8</v>
      </c>
      <c r="F4" s="3">
        <v>0.8</v>
      </c>
      <c r="G4" s="3">
        <v>0.8</v>
      </c>
    </row>
    <row r="5" spans="1:7" ht="15.75" customHeight="1" x14ac:dyDescent="0.2">
      <c r="A5" s="3" t="s">
        <v>466</v>
      </c>
      <c r="B5" s="3" t="s">
        <v>273</v>
      </c>
      <c r="C5" s="3" t="s">
        <v>102</v>
      </c>
      <c r="D5" s="3" t="s">
        <v>66</v>
      </c>
      <c r="E5" s="3">
        <v>30</v>
      </c>
      <c r="F5" s="3">
        <v>30</v>
      </c>
      <c r="G5" s="3">
        <v>30</v>
      </c>
    </row>
    <row r="6" spans="1:7" ht="15.75" customHeight="1" x14ac:dyDescent="0.2">
      <c r="A6" s="5" t="s">
        <v>471</v>
      </c>
    </row>
    <row r="7" spans="1:7" ht="15.75" customHeight="1" x14ac:dyDescent="0.2"/>
    <row r="8" spans="1:7" ht="15.75" customHeight="1" x14ac:dyDescent="0.2">
      <c r="A8" s="3" t="s">
        <v>426</v>
      </c>
      <c r="B8" s="3" t="s">
        <v>472</v>
      </c>
    </row>
    <row r="9" spans="1:7" ht="15.75" customHeight="1" x14ac:dyDescent="0.2"/>
    <row r="10" spans="1:7" ht="15.75" customHeight="1" x14ac:dyDescent="0.2"/>
    <row r="11" spans="1:7" ht="15.75" customHeight="1" x14ac:dyDescent="0.2"/>
    <row r="12" spans="1:7" ht="15.75" customHeight="1" x14ac:dyDescent="0.2"/>
    <row r="13" spans="1:7" ht="15.75" customHeight="1" x14ac:dyDescent="0.2"/>
    <row r="14" spans="1:7" ht="15.75" customHeight="1" x14ac:dyDescent="0.2"/>
    <row r="15" spans="1:7" ht="15.75" customHeight="1" x14ac:dyDescent="0.2"/>
    <row r="16" spans="1:7"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8740157499999996" bottom="0.78740157499999996"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21</vt:i4>
      </vt:variant>
    </vt:vector>
  </HeadingPairs>
  <TitlesOfParts>
    <vt:vector size="21" baseType="lpstr">
      <vt:lpstr>overview</vt:lpstr>
      <vt:lpstr>data</vt:lpstr>
      <vt:lpstr>sankey</vt:lpstr>
      <vt:lpstr>lit_review_raw</vt:lpstr>
      <vt:lpstr>Fasihi, 2019</vt:lpstr>
      <vt:lpstr>Cole, 2019</vt:lpstr>
      <vt:lpstr>Gorre, 2019</vt:lpstr>
      <vt:lpstr>Agora2019</vt:lpstr>
      <vt:lpstr>EUC2018</vt:lpstr>
      <vt:lpstr>Tsiropoulos2018 (JRC)</vt:lpstr>
      <vt:lpstr>Vartiainen2020</vt:lpstr>
      <vt:lpstr>PV</vt:lpstr>
      <vt:lpstr>on-shore_wind</vt:lpstr>
      <vt:lpstr>off-shore_wind</vt:lpstr>
      <vt:lpstr>battery</vt:lpstr>
      <vt:lpstr>CSP</vt:lpstr>
      <vt:lpstr>electrolyser</vt:lpstr>
      <vt:lpstr>stack_replacement</vt:lpstr>
      <vt:lpstr>H2 storage</vt:lpstr>
      <vt:lpstr>FT</vt:lpstr>
      <vt:lpstr>constants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mdzwg7k44o@student.ethz.ch</dc:creator>
  <cp:lastModifiedBy>Microsoft Office User</cp:lastModifiedBy>
  <dcterms:created xsi:type="dcterms:W3CDTF">2020-06-16T11:08:11Z</dcterms:created>
  <dcterms:modified xsi:type="dcterms:W3CDTF">2022-06-28T17:25:00Z</dcterms:modified>
</cp:coreProperties>
</file>