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13_ncr:1_{7879629B-0DCD-42EE-BB1B-724E1F6279F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2020-2022" sheetId="5" r:id="rId1"/>
    <sheet name="1Q23" sheetId="3" r:id="rId2"/>
    <sheet name="03.2023" sheetId="2" r:id="rId3"/>
    <sheet name="2Q-4Q forecast weight NV" sheetId="6" r:id="rId4"/>
    <sheet name="2Q-4Q forecast weight V" sheetId="8" r:id="rId5"/>
    <sheet name="2020-2023 weight NV" sheetId="1" r:id="rId6"/>
    <sheet name="2020-2023 weight V" sheetId="7" r:id="rId7"/>
    <sheet name="errors_EURUSD" sheetId="9" r:id="rId8"/>
  </sheets>
  <calcPr calcId="191029"/>
  <pivotCaches>
    <pivotCache cacheId="1" r:id="rId9"/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9" l="1"/>
  <c r="I3" i="9" s="1"/>
  <c r="I4" i="9" s="1"/>
  <c r="H3" i="9"/>
  <c r="P3" i="9"/>
  <c r="R3" i="9" s="1"/>
  <c r="Q3" i="9"/>
  <c r="G4" i="9"/>
  <c r="H4" i="9"/>
  <c r="P4" i="9"/>
  <c r="R4" i="9" s="1"/>
  <c r="Q4" i="9"/>
  <c r="G5" i="9"/>
  <c r="I5" i="9" s="1"/>
  <c r="I6" i="9" s="1"/>
  <c r="H5" i="9"/>
  <c r="P5" i="9"/>
  <c r="R5" i="9" s="1"/>
  <c r="Q5" i="9"/>
  <c r="G6" i="9"/>
  <c r="H6" i="9"/>
  <c r="P6" i="9"/>
  <c r="Q6" i="9"/>
  <c r="G7" i="9"/>
  <c r="H7" i="9"/>
  <c r="P7" i="9"/>
  <c r="Q7" i="9"/>
  <c r="G8" i="9"/>
  <c r="H8" i="9"/>
  <c r="P8" i="9"/>
  <c r="Q8" i="9"/>
  <c r="G9" i="9"/>
  <c r="H9" i="9"/>
  <c r="P9" i="9"/>
  <c r="Q9" i="9"/>
  <c r="G10" i="9"/>
  <c r="H10" i="9"/>
  <c r="P10" i="9"/>
  <c r="Q10" i="9"/>
  <c r="G11" i="9"/>
  <c r="H11" i="9"/>
  <c r="P11" i="9"/>
  <c r="Q11" i="9"/>
  <c r="G12" i="9"/>
  <c r="H12" i="9"/>
  <c r="P12" i="9"/>
  <c r="Q12" i="9"/>
  <c r="G13" i="9"/>
  <c r="H13" i="9"/>
  <c r="P13" i="9"/>
  <c r="Q13" i="9"/>
  <c r="G14" i="9"/>
  <c r="H14" i="9"/>
  <c r="P14" i="9"/>
  <c r="Q14" i="9"/>
  <c r="G15" i="9"/>
  <c r="H15" i="9"/>
  <c r="P15" i="9"/>
  <c r="Q15" i="9"/>
  <c r="G16" i="9"/>
  <c r="H16" i="9"/>
  <c r="P16" i="9"/>
  <c r="Q16" i="9"/>
  <c r="G17" i="9"/>
  <c r="H17" i="9"/>
  <c r="P17" i="9"/>
  <c r="Q17" i="9"/>
  <c r="G18" i="9"/>
  <c r="H18" i="9"/>
  <c r="P18" i="9"/>
  <c r="Q18" i="9"/>
  <c r="G19" i="9"/>
  <c r="H19" i="9"/>
  <c r="P19" i="9"/>
  <c r="Q19" i="9"/>
  <c r="G20" i="9"/>
  <c r="H20" i="9"/>
  <c r="P20" i="9"/>
  <c r="Q20" i="9"/>
  <c r="G21" i="9"/>
  <c r="H21" i="9"/>
  <c r="P21" i="9"/>
  <c r="Q21" i="9"/>
  <c r="G22" i="9"/>
  <c r="H22" i="9"/>
  <c r="P22" i="9"/>
  <c r="Q22" i="9"/>
  <c r="G23" i="9"/>
  <c r="H23" i="9"/>
  <c r="P23" i="9"/>
  <c r="Q23" i="9"/>
  <c r="G24" i="9"/>
  <c r="H24" i="9"/>
  <c r="P24" i="9"/>
  <c r="Q24" i="9"/>
  <c r="G25" i="9"/>
  <c r="H25" i="9"/>
  <c r="P25" i="9"/>
  <c r="Q25" i="9"/>
  <c r="G26" i="9"/>
  <c r="H26" i="9"/>
  <c r="P26" i="9"/>
  <c r="Q26" i="9"/>
  <c r="G27" i="9"/>
  <c r="H27" i="9"/>
  <c r="P27" i="9"/>
  <c r="Q27" i="9"/>
  <c r="G28" i="9"/>
  <c r="H28" i="9"/>
  <c r="P28" i="9"/>
  <c r="Q28" i="9"/>
  <c r="G29" i="9"/>
  <c r="H29" i="9"/>
  <c r="P29" i="9"/>
  <c r="Q29" i="9"/>
  <c r="G30" i="9"/>
  <c r="H30" i="9"/>
  <c r="P30" i="9"/>
  <c r="Q30" i="9"/>
  <c r="G31" i="9"/>
  <c r="H31" i="9"/>
  <c r="P31" i="9"/>
  <c r="Q31" i="9"/>
  <c r="P32" i="9"/>
  <c r="Q32" i="9"/>
  <c r="P33" i="9"/>
  <c r="Q33" i="9"/>
  <c r="P34" i="9"/>
  <c r="Q34" i="9"/>
  <c r="P35" i="9"/>
  <c r="Q35" i="9"/>
  <c r="P36" i="9"/>
  <c r="Q36" i="9"/>
  <c r="P37" i="9"/>
  <c r="Q37" i="9"/>
  <c r="I7" i="9" l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R6" i="9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L4" i="6"/>
  <c r="B68" i="8"/>
  <c r="E45" i="8"/>
  <c r="E34" i="8"/>
  <c r="E23" i="8"/>
  <c r="E12" i="8"/>
  <c r="N44" i="8"/>
  <c r="F44" i="8"/>
  <c r="E44" i="8"/>
  <c r="D44" i="8" s="1"/>
  <c r="C44" i="8"/>
  <c r="L44" i="8" s="1"/>
  <c r="N43" i="8"/>
  <c r="F43" i="8"/>
  <c r="E43" i="8"/>
  <c r="D43" i="8" s="1"/>
  <c r="J43" i="8" s="1"/>
  <c r="C43" i="8"/>
  <c r="L43" i="8" s="1"/>
  <c r="N42" i="8"/>
  <c r="F42" i="8"/>
  <c r="E42" i="8"/>
  <c r="D42" i="8" s="1"/>
  <c r="J42" i="8" s="1"/>
  <c r="C42" i="8"/>
  <c r="L42" i="8" s="1"/>
  <c r="N41" i="8"/>
  <c r="F41" i="8"/>
  <c r="E41" i="8"/>
  <c r="D41" i="8" s="1"/>
  <c r="C41" i="8"/>
  <c r="L41" i="8" s="1"/>
  <c r="N40" i="8"/>
  <c r="F40" i="8"/>
  <c r="E40" i="8"/>
  <c r="D40" i="8" s="1"/>
  <c r="C40" i="8"/>
  <c r="L40" i="8" s="1"/>
  <c r="N39" i="8"/>
  <c r="F39" i="8"/>
  <c r="E39" i="8"/>
  <c r="D39" i="8" s="1"/>
  <c r="C39" i="8"/>
  <c r="L39" i="8" s="1"/>
  <c r="N38" i="8"/>
  <c r="F38" i="8"/>
  <c r="E38" i="8"/>
  <c r="D38" i="8" s="1"/>
  <c r="C38" i="8"/>
  <c r="L38" i="8" s="1"/>
  <c r="N37" i="8"/>
  <c r="F37" i="8"/>
  <c r="E37" i="8"/>
  <c r="D37" i="8" s="1"/>
  <c r="C37" i="8"/>
  <c r="L37" i="8" s="1"/>
  <c r="N36" i="8"/>
  <c r="L36" i="8"/>
  <c r="K36" i="8"/>
  <c r="L35" i="8"/>
  <c r="K35" i="8"/>
  <c r="J35" i="8"/>
  <c r="N34" i="8"/>
  <c r="L34" i="8"/>
  <c r="K34" i="8"/>
  <c r="J34" i="8"/>
  <c r="N33" i="8"/>
  <c r="F33" i="8"/>
  <c r="E33" i="8"/>
  <c r="D33" i="8" s="1"/>
  <c r="J33" i="8" s="1"/>
  <c r="C33" i="8"/>
  <c r="L33" i="8" s="1"/>
  <c r="N32" i="8"/>
  <c r="F32" i="8"/>
  <c r="E32" i="8"/>
  <c r="D32" i="8" s="1"/>
  <c r="J32" i="8" s="1"/>
  <c r="C32" i="8"/>
  <c r="L32" i="8" s="1"/>
  <c r="N31" i="8"/>
  <c r="F31" i="8"/>
  <c r="E31" i="8"/>
  <c r="D31" i="8" s="1"/>
  <c r="J31" i="8" s="1"/>
  <c r="C31" i="8"/>
  <c r="L31" i="8" s="1"/>
  <c r="N30" i="8"/>
  <c r="F30" i="8"/>
  <c r="E30" i="8"/>
  <c r="D30" i="8" s="1"/>
  <c r="C30" i="8"/>
  <c r="L30" i="8" s="1"/>
  <c r="N29" i="8"/>
  <c r="F29" i="8"/>
  <c r="E29" i="8"/>
  <c r="D29" i="8" s="1"/>
  <c r="J29" i="8" s="1"/>
  <c r="C29" i="8"/>
  <c r="L29" i="8" s="1"/>
  <c r="N28" i="8"/>
  <c r="F28" i="8"/>
  <c r="E28" i="8"/>
  <c r="D28" i="8" s="1"/>
  <c r="J28" i="8" s="1"/>
  <c r="C28" i="8"/>
  <c r="L28" i="8" s="1"/>
  <c r="N27" i="8"/>
  <c r="F27" i="8"/>
  <c r="E27" i="8"/>
  <c r="D27" i="8" s="1"/>
  <c r="J27" i="8" s="1"/>
  <c r="C27" i="8"/>
  <c r="L27" i="8" s="1"/>
  <c r="N26" i="8"/>
  <c r="F26" i="8"/>
  <c r="E26" i="8"/>
  <c r="D26" i="8" s="1"/>
  <c r="J26" i="8" s="1"/>
  <c r="C26" i="8"/>
  <c r="L26" i="8" s="1"/>
  <c r="N25" i="8"/>
  <c r="L25" i="8"/>
  <c r="K25" i="8"/>
  <c r="L24" i="8"/>
  <c r="K24" i="8"/>
  <c r="J24" i="8"/>
  <c r="N23" i="8"/>
  <c r="L23" i="8"/>
  <c r="K23" i="8"/>
  <c r="J23" i="8"/>
  <c r="N22" i="8"/>
  <c r="F22" i="8"/>
  <c r="E22" i="8"/>
  <c r="D22" i="8" s="1"/>
  <c r="C22" i="8"/>
  <c r="L22" i="8" s="1"/>
  <c r="N21" i="8"/>
  <c r="F21" i="8"/>
  <c r="E21" i="8"/>
  <c r="D21" i="8" s="1"/>
  <c r="C21" i="8"/>
  <c r="N20" i="8"/>
  <c r="F20" i="8"/>
  <c r="E20" i="8"/>
  <c r="D20" i="8" s="1"/>
  <c r="J20" i="8" s="1"/>
  <c r="C20" i="8"/>
  <c r="L20" i="8" s="1"/>
  <c r="N19" i="8"/>
  <c r="F19" i="8"/>
  <c r="E19" i="8"/>
  <c r="D19" i="8" s="1"/>
  <c r="C19" i="8"/>
  <c r="L19" i="8" s="1"/>
  <c r="N18" i="8"/>
  <c r="F18" i="8"/>
  <c r="E18" i="8"/>
  <c r="D18" i="8" s="1"/>
  <c r="C18" i="8"/>
  <c r="L18" i="8" s="1"/>
  <c r="N17" i="8"/>
  <c r="F17" i="8"/>
  <c r="E17" i="8"/>
  <c r="D17" i="8" s="1"/>
  <c r="J17" i="8" s="1"/>
  <c r="C17" i="8"/>
  <c r="L17" i="8" s="1"/>
  <c r="N16" i="8"/>
  <c r="F16" i="8"/>
  <c r="E16" i="8"/>
  <c r="D16" i="8" s="1"/>
  <c r="C16" i="8"/>
  <c r="L16" i="8" s="1"/>
  <c r="N15" i="8"/>
  <c r="F15" i="8"/>
  <c r="E15" i="8"/>
  <c r="D15" i="8" s="1"/>
  <c r="C15" i="8"/>
  <c r="N14" i="8"/>
  <c r="L14" i="8"/>
  <c r="K14" i="8"/>
  <c r="L13" i="8"/>
  <c r="K13" i="8"/>
  <c r="J13" i="8"/>
  <c r="N12" i="8"/>
  <c r="L12" i="8"/>
  <c r="K12" i="8"/>
  <c r="J12" i="8"/>
  <c r="N11" i="8"/>
  <c r="F11" i="8"/>
  <c r="E11" i="8"/>
  <c r="D11" i="8" s="1"/>
  <c r="C11" i="8"/>
  <c r="L11" i="8" s="1"/>
  <c r="N10" i="8"/>
  <c r="F10" i="8"/>
  <c r="E10" i="8"/>
  <c r="D10" i="8" s="1"/>
  <c r="J10" i="8" s="1"/>
  <c r="C10" i="8"/>
  <c r="L10" i="8" s="1"/>
  <c r="N9" i="8"/>
  <c r="F9" i="8"/>
  <c r="E9" i="8"/>
  <c r="D9" i="8" s="1"/>
  <c r="C9" i="8"/>
  <c r="N8" i="8"/>
  <c r="F8" i="8"/>
  <c r="E8" i="8"/>
  <c r="D8" i="8" s="1"/>
  <c r="J8" i="8" s="1"/>
  <c r="C8" i="8"/>
  <c r="L8" i="8" s="1"/>
  <c r="N7" i="8"/>
  <c r="F7" i="8"/>
  <c r="E7" i="8"/>
  <c r="D7" i="8" s="1"/>
  <c r="J7" i="8" s="1"/>
  <c r="C7" i="8"/>
  <c r="L7" i="8" s="1"/>
  <c r="N6" i="8"/>
  <c r="L6" i="8"/>
  <c r="F6" i="8"/>
  <c r="E6" i="8"/>
  <c r="D6" i="8" s="1"/>
  <c r="C6" i="8"/>
  <c r="N5" i="8"/>
  <c r="F5" i="8"/>
  <c r="E5" i="8"/>
  <c r="D5" i="8" s="1"/>
  <c r="C5" i="8"/>
  <c r="N4" i="8"/>
  <c r="F4" i="8"/>
  <c r="E4" i="8"/>
  <c r="D4" i="8" s="1"/>
  <c r="C4" i="8"/>
  <c r="L4" i="8" s="1"/>
  <c r="K45" i="7"/>
  <c r="K34" i="7"/>
  <c r="K23" i="7"/>
  <c r="K12" i="7"/>
  <c r="M58" i="7"/>
  <c r="I57" i="7"/>
  <c r="M55" i="7"/>
  <c r="M62" i="7" s="1"/>
  <c r="H55" i="7"/>
  <c r="I55" i="7" s="1"/>
  <c r="I62" i="7" s="1"/>
  <c r="M54" i="7"/>
  <c r="M61" i="7" s="1"/>
  <c r="I54" i="7"/>
  <c r="H54" i="7"/>
  <c r="M53" i="7"/>
  <c r="I53" i="7"/>
  <c r="I61" i="7" s="1"/>
  <c r="H53" i="7"/>
  <c r="H61" i="7" s="1"/>
  <c r="M52" i="7"/>
  <c r="M60" i="7" s="1"/>
  <c r="H52" i="7"/>
  <c r="I52" i="7" s="1"/>
  <c r="I60" i="7" s="1"/>
  <c r="M51" i="7"/>
  <c r="M59" i="7" s="1"/>
  <c r="I51" i="7"/>
  <c r="I59" i="7" s="1"/>
  <c r="H51" i="7"/>
  <c r="H59" i="7" s="1"/>
  <c r="M50" i="7"/>
  <c r="I50" i="7"/>
  <c r="H50" i="7"/>
  <c r="M49" i="7"/>
  <c r="H49" i="7"/>
  <c r="H58" i="7" s="1"/>
  <c r="M48" i="7"/>
  <c r="M57" i="7" s="1"/>
  <c r="I48" i="7"/>
  <c r="H48" i="7"/>
  <c r="H57" i="7" s="1"/>
  <c r="J50" i="7"/>
  <c r="J54" i="7"/>
  <c r="N5" i="6"/>
  <c r="N6" i="6"/>
  <c r="N7" i="6"/>
  <c r="N8" i="6"/>
  <c r="N9" i="6"/>
  <c r="N10" i="6"/>
  <c r="N11" i="6"/>
  <c r="N12" i="6"/>
  <c r="N14" i="6"/>
  <c r="N15" i="6"/>
  <c r="N16" i="6"/>
  <c r="N17" i="6"/>
  <c r="N18" i="6"/>
  <c r="N19" i="6"/>
  <c r="N20" i="6"/>
  <c r="N21" i="6"/>
  <c r="N22" i="6"/>
  <c r="N23" i="6"/>
  <c r="N25" i="6"/>
  <c r="N26" i="6"/>
  <c r="N27" i="6"/>
  <c r="N28" i="6"/>
  <c r="N29" i="6"/>
  <c r="N30" i="6"/>
  <c r="N31" i="6"/>
  <c r="N32" i="6"/>
  <c r="N33" i="6"/>
  <c r="N34" i="6"/>
  <c r="N36" i="6"/>
  <c r="N37" i="6"/>
  <c r="N38" i="6"/>
  <c r="N39" i="6"/>
  <c r="N40" i="6"/>
  <c r="N41" i="6"/>
  <c r="N42" i="6"/>
  <c r="N43" i="6"/>
  <c r="N44" i="6"/>
  <c r="N4" i="6"/>
  <c r="F44" i="6"/>
  <c r="F43" i="6"/>
  <c r="F42" i="6"/>
  <c r="F41" i="6"/>
  <c r="F40" i="6"/>
  <c r="F39" i="6"/>
  <c r="F38" i="6"/>
  <c r="F37" i="6"/>
  <c r="F33" i="6"/>
  <c r="F32" i="6"/>
  <c r="F31" i="6"/>
  <c r="F30" i="6"/>
  <c r="F29" i="6"/>
  <c r="F28" i="6"/>
  <c r="F27" i="6"/>
  <c r="F26" i="6"/>
  <c r="F22" i="6"/>
  <c r="F21" i="6"/>
  <c r="F20" i="6"/>
  <c r="F19" i="6"/>
  <c r="F18" i="6"/>
  <c r="F17" i="6"/>
  <c r="F16" i="6"/>
  <c r="F15" i="6"/>
  <c r="F11" i="6"/>
  <c r="F10" i="6"/>
  <c r="F9" i="6"/>
  <c r="F8" i="6"/>
  <c r="F7" i="6"/>
  <c r="F6" i="6"/>
  <c r="F5" i="6"/>
  <c r="F4" i="6"/>
  <c r="B68" i="6"/>
  <c r="B64" i="1"/>
  <c r="G48" i="1"/>
  <c r="L12" i="6"/>
  <c r="L13" i="6"/>
  <c r="L14" i="6"/>
  <c r="L23" i="6"/>
  <c r="L24" i="6"/>
  <c r="L25" i="6"/>
  <c r="L34" i="6"/>
  <c r="L35" i="6"/>
  <c r="L36" i="6"/>
  <c r="A111" i="6"/>
  <c r="A110" i="6"/>
  <c r="A109" i="6"/>
  <c r="A108" i="6"/>
  <c r="B111" i="6"/>
  <c r="E45" i="6" s="1"/>
  <c r="B110" i="6"/>
  <c r="E34" i="6" s="1"/>
  <c r="B109" i="6"/>
  <c r="E23" i="6" s="1"/>
  <c r="B108" i="6"/>
  <c r="E12" i="6" s="1"/>
  <c r="K12" i="6"/>
  <c r="K13" i="6"/>
  <c r="K14" i="6"/>
  <c r="K23" i="6"/>
  <c r="K24" i="6"/>
  <c r="K25" i="6"/>
  <c r="K34" i="6"/>
  <c r="K35" i="6"/>
  <c r="K36" i="6"/>
  <c r="J12" i="6"/>
  <c r="J13" i="6"/>
  <c r="J23" i="6"/>
  <c r="J24" i="6"/>
  <c r="J34" i="6"/>
  <c r="J35" i="6"/>
  <c r="E38" i="6"/>
  <c r="D38" i="6" s="1"/>
  <c r="J38" i="6" s="1"/>
  <c r="E39" i="6"/>
  <c r="D39" i="6" s="1"/>
  <c r="J39" i="6" s="1"/>
  <c r="E40" i="6"/>
  <c r="D40" i="6" s="1"/>
  <c r="J40" i="6" s="1"/>
  <c r="E41" i="6"/>
  <c r="D41" i="6" s="1"/>
  <c r="J41" i="6" s="1"/>
  <c r="E42" i="6"/>
  <c r="D42" i="6" s="1"/>
  <c r="J42" i="6" s="1"/>
  <c r="E43" i="6"/>
  <c r="D43" i="6" s="1"/>
  <c r="J43" i="6" s="1"/>
  <c r="E44" i="6"/>
  <c r="D44" i="6" s="1"/>
  <c r="J44" i="6" s="1"/>
  <c r="E37" i="6"/>
  <c r="D37" i="6" s="1"/>
  <c r="J37" i="6" s="1"/>
  <c r="E27" i="6"/>
  <c r="D27" i="6" s="1"/>
  <c r="J27" i="6" s="1"/>
  <c r="E28" i="6"/>
  <c r="D28" i="6" s="1"/>
  <c r="J28" i="6" s="1"/>
  <c r="E29" i="6"/>
  <c r="D29" i="6" s="1"/>
  <c r="J29" i="6" s="1"/>
  <c r="E30" i="6"/>
  <c r="D30" i="6" s="1"/>
  <c r="J30" i="6" s="1"/>
  <c r="E31" i="6"/>
  <c r="D31" i="6" s="1"/>
  <c r="J31" i="6" s="1"/>
  <c r="E32" i="6"/>
  <c r="D32" i="6" s="1"/>
  <c r="J32" i="6" s="1"/>
  <c r="E33" i="6"/>
  <c r="D33" i="6" s="1"/>
  <c r="J33" i="6" s="1"/>
  <c r="E26" i="6"/>
  <c r="D26" i="6" s="1"/>
  <c r="J26" i="6" s="1"/>
  <c r="E16" i="6"/>
  <c r="D16" i="6" s="1"/>
  <c r="J16" i="6" s="1"/>
  <c r="E17" i="6"/>
  <c r="D17" i="6" s="1"/>
  <c r="J17" i="6" s="1"/>
  <c r="E18" i="6"/>
  <c r="D18" i="6" s="1"/>
  <c r="J18" i="6" s="1"/>
  <c r="E19" i="6"/>
  <c r="D19" i="6" s="1"/>
  <c r="J19" i="6" s="1"/>
  <c r="E20" i="6"/>
  <c r="D20" i="6" s="1"/>
  <c r="J20" i="6" s="1"/>
  <c r="E21" i="6"/>
  <c r="D21" i="6" s="1"/>
  <c r="J21" i="6" s="1"/>
  <c r="E22" i="6"/>
  <c r="D22" i="6" s="1"/>
  <c r="J22" i="6" s="1"/>
  <c r="E15" i="6"/>
  <c r="D15" i="6" s="1"/>
  <c r="J15" i="6" s="1"/>
  <c r="E5" i="6"/>
  <c r="D5" i="6" s="1"/>
  <c r="J5" i="6" s="1"/>
  <c r="E6" i="6"/>
  <c r="D6" i="6" s="1"/>
  <c r="J6" i="6" s="1"/>
  <c r="E7" i="6"/>
  <c r="D7" i="6" s="1"/>
  <c r="J7" i="6" s="1"/>
  <c r="E8" i="6"/>
  <c r="D8" i="6" s="1"/>
  <c r="J8" i="6" s="1"/>
  <c r="E9" i="6"/>
  <c r="D9" i="6" s="1"/>
  <c r="J9" i="6" s="1"/>
  <c r="E10" i="6"/>
  <c r="D10" i="6" s="1"/>
  <c r="J10" i="6" s="1"/>
  <c r="E11" i="6"/>
  <c r="D11" i="6" s="1"/>
  <c r="J11" i="6" s="1"/>
  <c r="E4" i="6"/>
  <c r="D4" i="6" s="1"/>
  <c r="J4" i="6" s="1"/>
  <c r="C38" i="6"/>
  <c r="L38" i="6" s="1"/>
  <c r="C39" i="6"/>
  <c r="L39" i="6" s="1"/>
  <c r="C40" i="6"/>
  <c r="L40" i="6" s="1"/>
  <c r="C41" i="6"/>
  <c r="L41" i="6" s="1"/>
  <c r="C42" i="6"/>
  <c r="L42" i="6" s="1"/>
  <c r="C43" i="6"/>
  <c r="L43" i="6" s="1"/>
  <c r="C44" i="6"/>
  <c r="L44" i="6" s="1"/>
  <c r="C37" i="6"/>
  <c r="L37" i="6" s="1"/>
  <c r="C27" i="6"/>
  <c r="L27" i="6" s="1"/>
  <c r="C28" i="6"/>
  <c r="L28" i="6" s="1"/>
  <c r="C29" i="6"/>
  <c r="L29" i="6" s="1"/>
  <c r="C30" i="6"/>
  <c r="L30" i="6" s="1"/>
  <c r="C31" i="6"/>
  <c r="L31" i="6" s="1"/>
  <c r="C32" i="6"/>
  <c r="L32" i="6" s="1"/>
  <c r="C33" i="6"/>
  <c r="L33" i="6" s="1"/>
  <c r="C26" i="6"/>
  <c r="L26" i="6" s="1"/>
  <c r="C16" i="6"/>
  <c r="L16" i="6" s="1"/>
  <c r="C17" i="6"/>
  <c r="L17" i="6" s="1"/>
  <c r="C18" i="6"/>
  <c r="L18" i="6" s="1"/>
  <c r="C19" i="6"/>
  <c r="L19" i="6" s="1"/>
  <c r="C20" i="6"/>
  <c r="L20" i="6" s="1"/>
  <c r="C21" i="6"/>
  <c r="L21" i="6" s="1"/>
  <c r="C22" i="6"/>
  <c r="L22" i="6" s="1"/>
  <c r="C15" i="6"/>
  <c r="C5" i="6"/>
  <c r="L5" i="6" s="1"/>
  <c r="C6" i="6"/>
  <c r="L6" i="6" s="1"/>
  <c r="C7" i="6"/>
  <c r="L7" i="6" s="1"/>
  <c r="C8" i="6"/>
  <c r="L8" i="6" s="1"/>
  <c r="C9" i="6"/>
  <c r="C10" i="6"/>
  <c r="L10" i="6" s="1"/>
  <c r="C11" i="6"/>
  <c r="L11" i="6" s="1"/>
  <c r="C4" i="6"/>
  <c r="M48" i="1"/>
  <c r="M57" i="1" s="1"/>
  <c r="M49" i="1"/>
  <c r="M50" i="1"/>
  <c r="M51" i="1"/>
  <c r="M59" i="1" s="1"/>
  <c r="M52" i="1"/>
  <c r="M60" i="1" s="1"/>
  <c r="M53" i="1"/>
  <c r="M61" i="1" s="1"/>
  <c r="M54" i="1"/>
  <c r="M55" i="1"/>
  <c r="M62" i="1" s="1"/>
  <c r="H49" i="1"/>
  <c r="H50" i="1"/>
  <c r="H51" i="1"/>
  <c r="H52" i="1"/>
  <c r="H60" i="1" s="1"/>
  <c r="H53" i="1"/>
  <c r="H54" i="1"/>
  <c r="H55" i="1"/>
  <c r="H62" i="1" s="1"/>
  <c r="H48" i="1"/>
  <c r="H57" i="1" s="1"/>
  <c r="D34" i="1"/>
  <c r="J45" i="1" s="1"/>
  <c r="D23" i="1"/>
  <c r="J34" i="1" s="1"/>
  <c r="D12" i="1"/>
  <c r="J23" i="1" s="1"/>
  <c r="D1" i="1"/>
  <c r="J12" i="1" s="1"/>
  <c r="B48" i="8" l="1"/>
  <c r="D55" i="8"/>
  <c r="D36" i="8"/>
  <c r="G38" i="8" s="1"/>
  <c r="C48" i="8"/>
  <c r="C57" i="8" s="1"/>
  <c r="J4" i="8"/>
  <c r="D3" i="8"/>
  <c r="G10" i="8" s="1"/>
  <c r="B50" i="6"/>
  <c r="B69" i="6"/>
  <c r="C69" i="6" s="1"/>
  <c r="C61" i="6"/>
  <c r="B70" i="6"/>
  <c r="C70" i="6" s="1"/>
  <c r="B53" i="6"/>
  <c r="C49" i="8"/>
  <c r="C54" i="8"/>
  <c r="C51" i="8"/>
  <c r="C59" i="8" s="1"/>
  <c r="C50" i="8"/>
  <c r="B70" i="8"/>
  <c r="C70" i="8" s="1"/>
  <c r="C55" i="8"/>
  <c r="C62" i="8" s="1"/>
  <c r="C61" i="8"/>
  <c r="C58" i="8"/>
  <c r="G40" i="8"/>
  <c r="J40" i="8"/>
  <c r="J21" i="8"/>
  <c r="J16" i="8"/>
  <c r="J30" i="8"/>
  <c r="J19" i="8"/>
  <c r="J38" i="8"/>
  <c r="B53" i="8"/>
  <c r="B50" i="8"/>
  <c r="D49" i="8"/>
  <c r="J22" i="8"/>
  <c r="J41" i="8"/>
  <c r="G41" i="8"/>
  <c r="D62" i="8"/>
  <c r="J18" i="8"/>
  <c r="D51" i="8"/>
  <c r="B54" i="8"/>
  <c r="D14" i="8"/>
  <c r="G21" i="8" s="1"/>
  <c r="J15" i="8"/>
  <c r="G42" i="8"/>
  <c r="J39" i="8"/>
  <c r="G39" i="8"/>
  <c r="J44" i="8"/>
  <c r="G44" i="8"/>
  <c r="D48" i="8"/>
  <c r="J6" i="8"/>
  <c r="C53" i="8"/>
  <c r="D54" i="8"/>
  <c r="G37" i="8"/>
  <c r="G43" i="8"/>
  <c r="J5" i="8"/>
  <c r="J11" i="8"/>
  <c r="L15" i="8"/>
  <c r="L21" i="8"/>
  <c r="J37" i="8"/>
  <c r="B49" i="8"/>
  <c r="B58" i="8" s="1"/>
  <c r="D50" i="8"/>
  <c r="B52" i="8"/>
  <c r="B60" i="8" s="1"/>
  <c r="D53" i="8"/>
  <c r="B55" i="8"/>
  <c r="B62" i="8" s="1"/>
  <c r="L5" i="8"/>
  <c r="C52" i="8"/>
  <c r="C60" i="8" s="1"/>
  <c r="D25" i="8"/>
  <c r="J25" i="8" s="1"/>
  <c r="B69" i="8"/>
  <c r="C69" i="8" s="1"/>
  <c r="J9" i="8"/>
  <c r="B57" i="8"/>
  <c r="B51" i="8"/>
  <c r="B59" i="8" s="1"/>
  <c r="D52" i="8"/>
  <c r="L9" i="8"/>
  <c r="H60" i="7"/>
  <c r="H62" i="7"/>
  <c r="I49" i="7"/>
  <c r="I58" i="7" s="1"/>
  <c r="J53" i="7"/>
  <c r="J49" i="7"/>
  <c r="J52" i="7"/>
  <c r="J55" i="7"/>
  <c r="J48" i="7"/>
  <c r="J51" i="7"/>
  <c r="B51" i="6"/>
  <c r="B59" i="6" s="1"/>
  <c r="B52" i="6"/>
  <c r="B60" i="6" s="1"/>
  <c r="B54" i="6"/>
  <c r="B55" i="6"/>
  <c r="B62" i="6" s="1"/>
  <c r="C58" i="6"/>
  <c r="D48" i="6"/>
  <c r="B48" i="6"/>
  <c r="B57" i="6" s="1"/>
  <c r="D55" i="6"/>
  <c r="B49" i="6"/>
  <c r="C55" i="6"/>
  <c r="C62" i="6" s="1"/>
  <c r="D54" i="6"/>
  <c r="D53" i="6"/>
  <c r="D52" i="6"/>
  <c r="D60" i="6" s="1"/>
  <c r="D51" i="6"/>
  <c r="D50" i="6"/>
  <c r="D49" i="6"/>
  <c r="C48" i="6"/>
  <c r="C57" i="6" s="1"/>
  <c r="L9" i="6"/>
  <c r="L15" i="6"/>
  <c r="C51" i="6"/>
  <c r="C59" i="6" s="1"/>
  <c r="C52" i="6"/>
  <c r="C60" i="6" s="1"/>
  <c r="C54" i="6"/>
  <c r="C49" i="6"/>
  <c r="C53" i="6"/>
  <c r="C50" i="6"/>
  <c r="D36" i="6"/>
  <c r="G43" i="6" s="1"/>
  <c r="D3" i="6"/>
  <c r="G7" i="6" s="1"/>
  <c r="D25" i="6"/>
  <c r="G26" i="6" s="1"/>
  <c r="D14" i="6"/>
  <c r="G18" i="6" s="1"/>
  <c r="H61" i="1"/>
  <c r="M58" i="1"/>
  <c r="I51" i="1"/>
  <c r="I59" i="1" s="1"/>
  <c r="I50" i="1"/>
  <c r="H59" i="1"/>
  <c r="I55" i="1"/>
  <c r="I62" i="1" s="1"/>
  <c r="I54" i="1"/>
  <c r="I53" i="1"/>
  <c r="I61" i="1" s="1"/>
  <c r="I48" i="1"/>
  <c r="I57" i="1" s="1"/>
  <c r="I52" i="1"/>
  <c r="I60" i="1" s="1"/>
  <c r="K12" i="1"/>
  <c r="H58" i="1"/>
  <c r="I49" i="1"/>
  <c r="K45" i="1"/>
  <c r="J50" i="1"/>
  <c r="J49" i="1"/>
  <c r="J48" i="1"/>
  <c r="J55" i="1"/>
  <c r="K34" i="1"/>
  <c r="J51" i="1"/>
  <c r="J54" i="1"/>
  <c r="J52" i="1"/>
  <c r="J53" i="1"/>
  <c r="K23" i="1"/>
  <c r="L55" i="1" s="1"/>
  <c r="L62" i="1" s="1"/>
  <c r="G5" i="8" l="1"/>
  <c r="H5" i="8" s="1"/>
  <c r="G8" i="8"/>
  <c r="G9" i="8"/>
  <c r="G4" i="8"/>
  <c r="G7" i="8"/>
  <c r="H7" i="8" s="1"/>
  <c r="J36" i="8"/>
  <c r="G11" i="8"/>
  <c r="K11" i="8" s="1"/>
  <c r="B61" i="6"/>
  <c r="B58" i="6"/>
  <c r="G6" i="8"/>
  <c r="H6" i="8" s="1"/>
  <c r="G30" i="8"/>
  <c r="K6" i="8"/>
  <c r="K7" i="8"/>
  <c r="G20" i="8"/>
  <c r="K20" i="8" s="1"/>
  <c r="G16" i="8"/>
  <c r="H16" i="8" s="1"/>
  <c r="G29" i="8"/>
  <c r="H29" i="8" s="1"/>
  <c r="B66" i="8"/>
  <c r="B65" i="8"/>
  <c r="G33" i="8"/>
  <c r="H33" i="8" s="1"/>
  <c r="G27" i="8"/>
  <c r="K27" i="8" s="1"/>
  <c r="G38" i="6"/>
  <c r="G28" i="6"/>
  <c r="B65" i="6"/>
  <c r="E52" i="6"/>
  <c r="E60" i="6" s="1"/>
  <c r="G30" i="6"/>
  <c r="B66" i="6"/>
  <c r="B64" i="6"/>
  <c r="B61" i="8"/>
  <c r="B64" i="8" s="1"/>
  <c r="K21" i="8"/>
  <c r="H21" i="8"/>
  <c r="K43" i="8"/>
  <c r="H43" i="8"/>
  <c r="E53" i="8"/>
  <c r="D61" i="8"/>
  <c r="E50" i="8"/>
  <c r="K10" i="8"/>
  <c r="H10" i="8"/>
  <c r="E54" i="8"/>
  <c r="K42" i="8"/>
  <c r="H42" i="8"/>
  <c r="G28" i="8"/>
  <c r="K41" i="8"/>
  <c r="H41" i="8"/>
  <c r="K38" i="8"/>
  <c r="H38" i="8"/>
  <c r="K44" i="8"/>
  <c r="H44" i="8"/>
  <c r="G17" i="8"/>
  <c r="J14" i="8"/>
  <c r="J46" i="8" s="1"/>
  <c r="H40" i="8"/>
  <c r="K40" i="8"/>
  <c r="K37" i="8"/>
  <c r="H37" i="8"/>
  <c r="E52" i="8"/>
  <c r="E60" i="8" s="1"/>
  <c r="D60" i="8"/>
  <c r="G32" i="8"/>
  <c r="G15" i="8"/>
  <c r="K30" i="8"/>
  <c r="H30" i="8"/>
  <c r="E55" i="8"/>
  <c r="E62" i="8" s="1"/>
  <c r="K4" i="8"/>
  <c r="H4" i="8"/>
  <c r="G26" i="8"/>
  <c r="G22" i="8"/>
  <c r="G19" i="8"/>
  <c r="H8" i="8"/>
  <c r="K8" i="8"/>
  <c r="H39" i="8"/>
  <c r="K39" i="8"/>
  <c r="G31" i="8"/>
  <c r="K9" i="8"/>
  <c r="H9" i="8"/>
  <c r="D57" i="8"/>
  <c r="E48" i="8"/>
  <c r="E57" i="8" s="1"/>
  <c r="D59" i="8"/>
  <c r="E51" i="8"/>
  <c r="E59" i="8" s="1"/>
  <c r="G18" i="8"/>
  <c r="E49" i="8"/>
  <c r="D58" i="8"/>
  <c r="K50" i="7"/>
  <c r="K52" i="7"/>
  <c r="K60" i="7" s="1"/>
  <c r="J60" i="7"/>
  <c r="K54" i="7"/>
  <c r="J61" i="7"/>
  <c r="K53" i="7"/>
  <c r="K55" i="7"/>
  <c r="K62" i="7" s="1"/>
  <c r="J62" i="7"/>
  <c r="J57" i="7"/>
  <c r="K48" i="7"/>
  <c r="K57" i="7" s="1"/>
  <c r="J58" i="7"/>
  <c r="K49" i="7"/>
  <c r="J59" i="7"/>
  <c r="K51" i="7"/>
  <c r="K59" i="7" s="1"/>
  <c r="G10" i="6"/>
  <c r="G39" i="6"/>
  <c r="G21" i="6"/>
  <c r="G6" i="6"/>
  <c r="H6" i="6" s="1"/>
  <c r="G42" i="6"/>
  <c r="G5" i="6"/>
  <c r="G29" i="6"/>
  <c r="G9" i="6"/>
  <c r="G19" i="6"/>
  <c r="G17" i="6"/>
  <c r="G37" i="6"/>
  <c r="G11" i="6"/>
  <c r="G4" i="6"/>
  <c r="G20" i="6"/>
  <c r="G8" i="6"/>
  <c r="G40" i="6"/>
  <c r="G32" i="6"/>
  <c r="G15" i="6"/>
  <c r="G27" i="6"/>
  <c r="G31" i="6"/>
  <c r="G22" i="6"/>
  <c r="G33" i="6"/>
  <c r="G41" i="6"/>
  <c r="H41" i="6" s="1"/>
  <c r="G16" i="6"/>
  <c r="G44" i="6"/>
  <c r="E54" i="6"/>
  <c r="E50" i="6"/>
  <c r="D58" i="6"/>
  <c r="E49" i="6"/>
  <c r="E53" i="6"/>
  <c r="D62" i="6"/>
  <c r="E55" i="6"/>
  <c r="E62" i="6" s="1"/>
  <c r="D61" i="6"/>
  <c r="D57" i="6"/>
  <c r="E48" i="6"/>
  <c r="E57" i="6" s="1"/>
  <c r="D59" i="6"/>
  <c r="E51" i="6"/>
  <c r="E59" i="6" s="1"/>
  <c r="H38" i="6"/>
  <c r="K38" i="6"/>
  <c r="J14" i="6"/>
  <c r="J25" i="6"/>
  <c r="J36" i="6"/>
  <c r="I58" i="1"/>
  <c r="C53" i="1"/>
  <c r="C50" i="1"/>
  <c r="C51" i="1"/>
  <c r="C59" i="1" s="1"/>
  <c r="L49" i="1"/>
  <c r="L50" i="1"/>
  <c r="C55" i="1"/>
  <c r="C62" i="1" s="1"/>
  <c r="L53" i="1"/>
  <c r="J62" i="1"/>
  <c r="K55" i="1"/>
  <c r="K62" i="1" s="1"/>
  <c r="L51" i="1"/>
  <c r="L59" i="1" s="1"/>
  <c r="L52" i="1"/>
  <c r="L60" i="1" s="1"/>
  <c r="K51" i="1"/>
  <c r="K59" i="1" s="1"/>
  <c r="J59" i="1"/>
  <c r="K53" i="1"/>
  <c r="J61" i="1"/>
  <c r="L61" i="1"/>
  <c r="C48" i="1"/>
  <c r="C57" i="1" s="1"/>
  <c r="J60" i="1"/>
  <c r="K52" i="1"/>
  <c r="K60" i="1" s="1"/>
  <c r="C49" i="1"/>
  <c r="C58" i="1" s="1"/>
  <c r="K49" i="1"/>
  <c r="J58" i="1"/>
  <c r="G58" i="1"/>
  <c r="L54" i="1"/>
  <c r="K50" i="1"/>
  <c r="K54" i="1"/>
  <c r="K48" i="1"/>
  <c r="K57" i="1" s="1"/>
  <c r="J57" i="1"/>
  <c r="L48" i="1"/>
  <c r="L57" i="1" s="1"/>
  <c r="L58" i="1"/>
  <c r="C52" i="1"/>
  <c r="C60" i="1" s="1"/>
  <c r="C54" i="1"/>
  <c r="C61" i="1" s="1"/>
  <c r="G57" i="1"/>
  <c r="G61" i="1"/>
  <c r="G51" i="1"/>
  <c r="G59" i="1" s="1"/>
  <c r="G52" i="1"/>
  <c r="G60" i="1" s="1"/>
  <c r="G53" i="1"/>
  <c r="G54" i="1"/>
  <c r="G55" i="1"/>
  <c r="G62" i="1" s="1"/>
  <c r="G49" i="1"/>
  <c r="G50" i="1"/>
  <c r="H11" i="8" l="1"/>
  <c r="K5" i="8"/>
  <c r="K16" i="8"/>
  <c r="J46" i="6"/>
  <c r="K29" i="8"/>
  <c r="K33" i="8"/>
  <c r="C66" i="8"/>
  <c r="H20" i="8"/>
  <c r="H27" i="8"/>
  <c r="C65" i="6"/>
  <c r="K6" i="6"/>
  <c r="C65" i="8"/>
  <c r="H31" i="8"/>
  <c r="K31" i="8"/>
  <c r="K28" i="8"/>
  <c r="H28" i="8"/>
  <c r="E58" i="8"/>
  <c r="K18" i="8"/>
  <c r="H18" i="8"/>
  <c r="H17" i="8"/>
  <c r="K17" i="8"/>
  <c r="K15" i="8"/>
  <c r="H15" i="8"/>
  <c r="K32" i="8"/>
  <c r="H32" i="8"/>
  <c r="K26" i="8"/>
  <c r="H26" i="8"/>
  <c r="K19" i="8"/>
  <c r="H19" i="8"/>
  <c r="E61" i="8"/>
  <c r="H22" i="8"/>
  <c r="K22" i="8"/>
  <c r="C53" i="7"/>
  <c r="C50" i="7"/>
  <c r="L55" i="7"/>
  <c r="L62" i="7" s="1"/>
  <c r="L52" i="7"/>
  <c r="L60" i="7" s="1"/>
  <c r="L49" i="7"/>
  <c r="C55" i="7"/>
  <c r="C62" i="7" s="1"/>
  <c r="G61" i="7"/>
  <c r="G58" i="7"/>
  <c r="C54" i="7"/>
  <c r="C51" i="7"/>
  <c r="C59" i="7" s="1"/>
  <c r="C48" i="7"/>
  <c r="C57" i="7" s="1"/>
  <c r="C49" i="7"/>
  <c r="C58" i="7" s="1"/>
  <c r="L53" i="7"/>
  <c r="L50" i="7"/>
  <c r="C52" i="7"/>
  <c r="C60" i="7" s="1"/>
  <c r="L61" i="7"/>
  <c r="L58" i="7"/>
  <c r="L54" i="7"/>
  <c r="L51" i="7"/>
  <c r="L59" i="7" s="1"/>
  <c r="L48" i="7"/>
  <c r="L57" i="7" s="1"/>
  <c r="G54" i="7"/>
  <c r="G51" i="7"/>
  <c r="G59" i="7" s="1"/>
  <c r="G48" i="7"/>
  <c r="G57" i="7" s="1"/>
  <c r="G55" i="7"/>
  <c r="G62" i="7" s="1"/>
  <c r="G52" i="7"/>
  <c r="G60" i="7" s="1"/>
  <c r="G49" i="7"/>
  <c r="G53" i="7"/>
  <c r="G50" i="7"/>
  <c r="K58" i="7"/>
  <c r="K61" i="7"/>
  <c r="E58" i="6"/>
  <c r="C66" i="6"/>
  <c r="E61" i="6"/>
  <c r="K41" i="6"/>
  <c r="H30" i="6"/>
  <c r="K30" i="6"/>
  <c r="H43" i="6"/>
  <c r="K43" i="6"/>
  <c r="H37" i="6"/>
  <c r="K37" i="6"/>
  <c r="H9" i="6"/>
  <c r="K9" i="6"/>
  <c r="H26" i="6"/>
  <c r="K26" i="6"/>
  <c r="H44" i="6"/>
  <c r="K44" i="6"/>
  <c r="H32" i="6"/>
  <c r="K32" i="6"/>
  <c r="H11" i="6"/>
  <c r="K11" i="6"/>
  <c r="H21" i="6"/>
  <c r="K21" i="6"/>
  <c r="H40" i="6"/>
  <c r="K40" i="6"/>
  <c r="H27" i="6"/>
  <c r="K27" i="6"/>
  <c r="H39" i="6"/>
  <c r="K39" i="6"/>
  <c r="H16" i="6"/>
  <c r="K16" i="6"/>
  <c r="H42" i="6"/>
  <c r="K42" i="6"/>
  <c r="H17" i="6"/>
  <c r="K17" i="6"/>
  <c r="H31" i="6"/>
  <c r="K31" i="6"/>
  <c r="H22" i="6"/>
  <c r="K22" i="6"/>
  <c r="H5" i="6"/>
  <c r="K5" i="6"/>
  <c r="H20" i="6"/>
  <c r="K20" i="6"/>
  <c r="H18" i="6"/>
  <c r="K18" i="6"/>
  <c r="H29" i="6"/>
  <c r="K29" i="6"/>
  <c r="H8" i="6"/>
  <c r="K8" i="6"/>
  <c r="H4" i="6"/>
  <c r="K4" i="6"/>
  <c r="H33" i="6"/>
  <c r="K33" i="6"/>
  <c r="H10" i="6"/>
  <c r="K10" i="6"/>
  <c r="H15" i="6"/>
  <c r="K15" i="6"/>
  <c r="H19" i="6"/>
  <c r="K19" i="6"/>
  <c r="H28" i="6"/>
  <c r="K28" i="6"/>
  <c r="H7" i="6"/>
  <c r="K7" i="6"/>
  <c r="K58" i="1"/>
  <c r="K61" i="1"/>
  <c r="K46" i="8" l="1"/>
  <c r="C61" i="7"/>
  <c r="B64" i="7" s="1"/>
  <c r="K46" i="6"/>
</calcChain>
</file>

<file path=xl/sharedStrings.xml><?xml version="1.0" encoding="utf-8"?>
<sst xmlns="http://schemas.openxmlformats.org/spreadsheetml/2006/main" count="750" uniqueCount="85">
  <si>
    <t>EURUSD</t>
  </si>
  <si>
    <t>count_of_occurrences</t>
  </si>
  <si>
    <t>percentage_of_occurrences</t>
  </si>
  <si>
    <t>typical_spread_in_points</t>
  </si>
  <si>
    <t>weighted_avg_execution_spread_$</t>
  </si>
  <si>
    <t>volume_weighted_avg_spread_in_USD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</si>
  <si>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</si>
  <si>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</si>
  <si>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</si>
  <si>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</si>
  <si>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</si>
  <si>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</si>
  <si>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Volatility_Trend_actionable</t>
  </si>
  <si>
    <t>High Volatility + No Trend</t>
  </si>
  <si>
    <t>High Volatility + Possible Trend False</t>
  </si>
  <si>
    <t>High Volatility + Possible Trend that got confirmed</t>
  </si>
  <si>
    <t>High Volatility + Trend confirmed</t>
  </si>
  <si>
    <t>Low Volatility + No Trend</t>
  </si>
  <si>
    <t>Low Volatility + Possible Trend False</t>
  </si>
  <si>
    <t>Low Volatility + Possible Trend that got confirmed</t>
  </si>
  <si>
    <t>Low Volatility + Trend confirmed</t>
  </si>
  <si>
    <t>GBPUSD</t>
  </si>
  <si>
    <t>USDJPY</t>
  </si>
  <si>
    <t>XAUUSD</t>
  </si>
  <si>
    <t>notional</t>
  </si>
  <si>
    <t>1 lot notional</t>
  </si>
  <si>
    <t>notional volume</t>
  </si>
  <si>
    <t>TOP4 weighted by notional volume</t>
  </si>
  <si>
    <t>High Volatility + Possible Trend</t>
  </si>
  <si>
    <t>total notional volume</t>
  </si>
  <si>
    <t>pct_total_notional_volume</t>
  </si>
  <si>
    <t>nominal impact on total PnL</t>
  </si>
  <si>
    <t>No Trend</t>
  </si>
  <si>
    <t>Possible Trend</t>
  </si>
  <si>
    <t>Trend confirmed</t>
  </si>
  <si>
    <t>min</t>
  </si>
  <si>
    <t>max</t>
  </si>
  <si>
    <t>not enough data for 1Q, but judging from the difference between 2020-2022 and 1Q23 for other phases spreads are ok</t>
  </si>
  <si>
    <t>no data for 1Q, but judging from the difference between 2020-2022 and 1Q23 for other phases spreads are ok</t>
  </si>
  <si>
    <t>COLUMNS</t>
  </si>
  <si>
    <t>DESCRIPTION</t>
  </si>
  <si>
    <t>PnL per lot in each phase forecasted based on data for 2020-2022</t>
  </si>
  <si>
    <t>PnL_per_lot_2020-2022</t>
  </si>
  <si>
    <t>forecasetd_percentage_of_occurrences</t>
  </si>
  <si>
    <t>percentage_of_occurrences_2020-2022</t>
  </si>
  <si>
    <t>based on 2020-2022 data</t>
  </si>
  <si>
    <t>volume from 1Q23 multiplied by percentage of total volume based on 2020-2022 data</t>
  </si>
  <si>
    <t>forecasted_total_volume</t>
  </si>
  <si>
    <t>forecatsed_pct_total_volume</t>
  </si>
  <si>
    <t>percentage of total volume based on 2020-2022 data adjusted by forecasetd_percentage_of_occurrences</t>
  </si>
  <si>
    <t>based on data from 2020-2022, adjusted for 1Q occurences</t>
  </si>
  <si>
    <t>volume for 1Q23 multiplied by forecasted precentage of total volume</t>
  </si>
  <si>
    <t>spread_change</t>
  </si>
  <si>
    <t>weight_by_notional_volume</t>
  </si>
  <si>
    <t>new_PnL_per_lot_2020-2022</t>
  </si>
  <si>
    <t>TOP4 weighted by notional volume 2020-2022</t>
  </si>
  <si>
    <t>total volume</t>
  </si>
  <si>
    <t>PnL_per_lot_2020-2023</t>
  </si>
  <si>
    <t>new_PnL_per_lot_2020-2023</t>
  </si>
  <si>
    <t>PnL per lot 2020-2023</t>
  </si>
  <si>
    <t>PnL per lot for 2Q-4Q based on 2020-2022 data</t>
  </si>
  <si>
    <t>PnL per lot for 2Q-4Q based on 2020-2022 data plus forecats for 2023</t>
  </si>
  <si>
    <t>PnL per lot for 2Q-4Q based on 2020-2023 data</t>
  </si>
  <si>
    <t>PnL per lot for 2Q-4Q based on 2020-2023 data plus forecats for 2023</t>
  </si>
  <si>
    <t>PnL per lot for 2020-2022</t>
  </si>
  <si>
    <t>PnL per lot for 2020-2023</t>
  </si>
  <si>
    <t>forecasted_impact_on_profit_based_on_2020-2022_data</t>
  </si>
  <si>
    <t>forecasted_impact_on_profit_based_on_2020-2023_data</t>
  </si>
  <si>
    <t>actionable spreads adjustments based on estimation from 1Q23 sheet</t>
  </si>
  <si>
    <t>spread_change x total_volume</t>
  </si>
  <si>
    <t>spread_change x forecasted_total_volume</t>
  </si>
  <si>
    <t>PnL per lot in each phase forecasted based on data for 2020-2023</t>
  </si>
  <si>
    <t>estimated PnL per lot based on data for 2020-2023 after spreads adjustments</t>
  </si>
  <si>
    <t>estimated PnL per lot based on data for 2020-2022 after spreads adjustments</t>
  </si>
  <si>
    <t>Grand Total</t>
  </si>
  <si>
    <t>accumulated erroneus changes</t>
  </si>
  <si>
    <t>erroneus change</t>
  </si>
  <si>
    <t>%</t>
  </si>
  <si>
    <t>occurences</t>
  </si>
  <si>
    <t>length</t>
  </si>
  <si>
    <t>HIGH VOLATILITY</t>
  </si>
  <si>
    <t>Count of Length</t>
  </si>
  <si>
    <t>Row Labels</t>
  </si>
  <si>
    <t>TREND</t>
  </si>
  <si>
    <t>Count of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</si>
</sst>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3" fontId="2" fillId="0" borderId="0" xfId="0" applyNumberFormat="1" applyFont="1"/>
    <xf numFmtId="164" fontId="0" fillId="0" borderId="0" xfId="0" applyNumberFormat="1"/>
    <xf numFmtId="10" fontId="0" fillId="0" borderId="0" xfId="0" applyNumberFormat="1"/>
    <xf numFmtId="10" fontId="2" fillId="0" borderId="0" xfId="0" applyNumberFormat="1" applyFon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3" fontId="0" fillId="3" borderId="0" xfId="0" applyNumberFormat="1" applyFill="1"/>
    <xf numFmtId="10" fontId="0" fillId="3" borderId="0" xfId="0" applyNumberFormat="1" applyFill="1"/>
    <xf numFmtId="164" fontId="0" fillId="3" borderId="0" xfId="0" applyNumberFormat="1" applyFill="1"/>
    <xf numFmtId="3" fontId="0" fillId="4" borderId="0" xfId="0" applyNumberFormat="1" applyFill="1"/>
    <xf numFmtId="10" fontId="0" fillId="4" borderId="0" xfId="0" applyNumberFormat="1" applyFill="1"/>
    <xf numFmtId="164" fontId="0" fillId="4" borderId="0" xfId="0" applyNumberFormat="1" applyFill="1"/>
    <xf numFmtId="3" fontId="0" fillId="5" borderId="0" xfId="0" applyNumberFormat="1" applyFill="1"/>
    <xf numFmtId="10" fontId="0" fillId="5" borderId="0" xfId="0" applyNumberFormat="1" applyFill="1"/>
    <xf numFmtId="164" fontId="0" fillId="5" borderId="0" xfId="0" applyNumberFormat="1" applyFill="1"/>
    <xf numFmtId="3" fontId="0" fillId="2" borderId="0" xfId="0" applyNumberFormat="1" applyFill="1"/>
    <xf numFmtId="10" fontId="0" fillId="2" borderId="0" xfId="0" applyNumberFormat="1" applyFill="1"/>
    <xf numFmtId="164" fontId="0" fillId="2" borderId="0" xfId="0" applyNumberFormat="1" applyFill="1"/>
    <xf numFmtId="0" fontId="0" fillId="6" borderId="0" xfId="0" applyFill="1"/>
    <xf numFmtId="10" fontId="0" fillId="6" borderId="0" xfId="0" applyNumberFormat="1" applyFill="1"/>
    <xf numFmtId="2" fontId="0" fillId="6" borderId="0" xfId="0" applyNumberFormat="1" applyFill="1"/>
    <xf numFmtId="3" fontId="0" fillId="6" borderId="0" xfId="0" applyNumberFormat="1" applyFill="1"/>
    <xf numFmtId="0" fontId="7" fillId="0" borderId="0" xfId="0" applyFont="1"/>
    <xf numFmtId="0" fontId="5" fillId="3" borderId="0" xfId="0" applyFont="1" applyFill="1"/>
    <xf numFmtId="0" fontId="6" fillId="5" borderId="0" xfId="0" applyFont="1" applyFill="1"/>
    <xf numFmtId="0" fontId="4" fillId="2" borderId="0" xfId="0" applyFont="1" applyFill="1"/>
    <xf numFmtId="0" fontId="3" fillId="3" borderId="0" xfId="0" applyFont="1" applyFill="1"/>
    <xf numFmtId="0" fontId="5" fillId="2" borderId="0" xfId="0" applyFont="1" applyFill="1"/>
    <xf numFmtId="0" fontId="5" fillId="4" borderId="0" xfId="0" applyFont="1" applyFill="1"/>
    <xf numFmtId="0" fontId="5" fillId="5" borderId="0" xfId="0" applyFont="1" applyFill="1"/>
    <xf numFmtId="0" fontId="3" fillId="5" borderId="0" xfId="0" applyFont="1" applyFill="1"/>
    <xf numFmtId="0" fontId="3" fillId="2" borderId="0" xfId="0" applyFont="1" applyFill="1"/>
    <xf numFmtId="0" fontId="3" fillId="4" borderId="0" xfId="0" applyFont="1" applyFill="1"/>
    <xf numFmtId="0" fontId="8" fillId="0" borderId="0" xfId="0" applyFont="1"/>
    <xf numFmtId="0" fontId="8" fillId="0" borderId="0" xfId="0" applyFont="1" applyFill="1"/>
    <xf numFmtId="2" fontId="8" fillId="0" borderId="0" xfId="0" applyNumberFormat="1" applyFont="1" applyFill="1"/>
    <xf numFmtId="10" fontId="8" fillId="0" borderId="0" xfId="0" applyNumberFormat="1" applyFont="1" applyFill="1"/>
    <xf numFmtId="10" fontId="9" fillId="0" borderId="0" xfId="0" applyNumberFormat="1" applyFont="1" applyFill="1"/>
    <xf numFmtId="0" fontId="0" fillId="0" borderId="0" xfId="0" applyFill="1"/>
    <xf numFmtId="0" fontId="7" fillId="0" borderId="0" xfId="0" applyFont="1" applyFill="1"/>
    <xf numFmtId="3" fontId="8" fillId="0" borderId="0" xfId="0" applyNumberFormat="1" applyFont="1" applyFill="1"/>
    <xf numFmtId="1" fontId="8" fillId="0" borderId="0" xfId="0" applyNumberFormat="1" applyFont="1" applyFill="1"/>
    <xf numFmtId="0" fontId="2" fillId="0" borderId="0" xfId="0" applyFont="1" applyFill="1"/>
    <xf numFmtId="2" fontId="0" fillId="0" borderId="0" xfId="0" applyNumberFormat="1" applyFill="1"/>
    <xf numFmtId="10" fontId="0" fillId="0" borderId="0" xfId="0" applyNumberFormat="1" applyFill="1"/>
    <xf numFmtId="3" fontId="0" fillId="0" borderId="0" xfId="0" applyNumberFormat="1" applyFill="1"/>
    <xf numFmtId="164" fontId="0" fillId="0" borderId="0" xfId="0" applyNumberFormat="1" applyFill="1"/>
    <xf numFmtId="0" fontId="9" fillId="0" borderId="0" xfId="0" applyFont="1" applyFill="1"/>
    <xf numFmtId="0" fontId="0" fillId="0" borderId="0" xfId="0" applyFont="1" applyFill="1"/>
    <xf numFmtId="0" fontId="8" fillId="7" borderId="0" xfId="0" applyFont="1" applyFill="1"/>
    <xf numFmtId="10" fontId="8" fillId="7" borderId="0" xfId="0" applyNumberFormat="1" applyFont="1" applyFill="1"/>
    <xf numFmtId="3" fontId="8" fillId="7" borderId="0" xfId="0" applyNumberFormat="1" applyFont="1" applyFill="1"/>
    <xf numFmtId="9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erroneus%20change/processed_EURUSD_vol_tren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erroneus%20change/processed_EURUSD_vol_trend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nrad Wieczorek" refreshedDate="45017.880409606485" createdVersion="8" refreshedVersion="8" minRefreshableVersion="3" recordCount="855" xr:uid="{45401045-3311-4B92-80BE-A55AD3CAA240}">
  <cacheSource type="worksheet">
    <worksheetSource ref="P1:Q1048576" sheet="processed_EURUSD_vol_trend" r:id="rId2"/>
  </cacheSource>
  <cacheFields count="2">
    <cacheField name="Count" numFmtId="0">
      <sharedItems containsBlank="1" containsMixedTypes="1" containsNumber="1" containsInteger="1" minValue="0" maxValue="35" count="38">
        <e v="#VALUE!"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m/>
      </sharedItems>
    </cacheField>
    <cacheField name="Length" numFmtId="0">
      <sharedItems containsBlank="1" containsMixedTypes="1" containsNumber="1" containsInteger="1" minValue="0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nrad Wieczorek" refreshedDate="45017.875017129627" createdVersion="8" refreshedVersion="8" minRefreshableVersion="3" recordCount="855" xr:uid="{47066136-A3EF-41C9-A9B6-AC9B5C016F30}">
  <cacheSource type="worksheet">
    <worksheetSource ref="H1:I1048576" sheet="processed_EURUSD_vol_trend" r:id="rId2"/>
  </cacheSource>
  <cacheFields count="2">
    <cacheField name="Count" numFmtId="0">
      <sharedItems containsString="0" containsBlank="1" containsNumber="1" containsInteger="1" minValue="0" maxValue="29"/>
    </cacheField>
    <cacheField name="Length" numFmtId="0">
      <sharedItems containsString="0" containsBlank="1" containsNumber="1" containsInteger="1" minValue="0" maxValue="29" count="3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5">
  <r>
    <x v="0"/>
    <e v="#VALUE!"/>
  </r>
  <r>
    <x v="0"/>
    <e v="#VALUE!"/>
  </r>
  <r>
    <x v="0"/>
    <e v="#VALUE!"/>
  </r>
  <r>
    <x v="0"/>
    <e v="#VALUE!"/>
  </r>
  <r>
    <x v="0"/>
    <e v="#VALUE!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1"/>
    <n v="0"/>
  </r>
  <r>
    <x v="1"/>
    <n v="0"/>
  </r>
  <r>
    <x v="2"/>
    <n v="1"/>
  </r>
  <r>
    <x v="3"/>
    <n v="2"/>
  </r>
  <r>
    <x v="1"/>
    <n v="0"/>
  </r>
  <r>
    <x v="2"/>
    <n v="1"/>
  </r>
  <r>
    <x v="3"/>
    <n v="2"/>
  </r>
  <r>
    <x v="1"/>
    <n v="0"/>
  </r>
  <r>
    <x v="2"/>
    <n v="1"/>
  </r>
  <r>
    <x v="1"/>
    <n v="0"/>
  </r>
  <r>
    <x v="2"/>
    <n v="1"/>
  </r>
  <r>
    <x v="3"/>
    <n v="2"/>
  </r>
  <r>
    <x v="1"/>
    <n v="0"/>
  </r>
  <r>
    <x v="1"/>
    <n v="0"/>
  </r>
  <r>
    <x v="2"/>
    <n v="1"/>
  </r>
  <r>
    <x v="1"/>
    <n v="0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7"/>
    <n v="6"/>
  </r>
  <r>
    <x v="8"/>
    <n v="7"/>
  </r>
  <r>
    <x v="9"/>
    <n v="8"/>
  </r>
  <r>
    <x v="10"/>
    <n v="9"/>
  </r>
  <r>
    <x v="11"/>
    <n v="10"/>
  </r>
  <r>
    <x v="12"/>
    <n v="11"/>
  </r>
  <r>
    <x v="13"/>
    <n v="12"/>
  </r>
  <r>
    <x v="14"/>
    <n v="13"/>
  </r>
  <r>
    <x v="15"/>
    <n v="14"/>
  </r>
  <r>
    <x v="16"/>
    <n v="15"/>
  </r>
  <r>
    <x v="17"/>
    <n v="16"/>
  </r>
  <r>
    <x v="18"/>
    <n v="17"/>
  </r>
  <r>
    <x v="19"/>
    <n v="18"/>
  </r>
  <r>
    <x v="20"/>
    <n v="19"/>
  </r>
  <r>
    <x v="21"/>
    <n v="20"/>
  </r>
  <r>
    <x v="22"/>
    <n v="21"/>
  </r>
  <r>
    <x v="23"/>
    <n v="22"/>
  </r>
  <r>
    <x v="24"/>
    <n v="23"/>
  </r>
  <r>
    <x v="25"/>
    <n v="24"/>
  </r>
  <r>
    <x v="26"/>
    <n v="25"/>
  </r>
  <r>
    <x v="27"/>
    <n v="26"/>
  </r>
  <r>
    <x v="28"/>
    <n v="27"/>
  </r>
  <r>
    <x v="29"/>
    <n v="28"/>
  </r>
  <r>
    <x v="30"/>
    <n v="29"/>
  </r>
  <r>
    <x v="31"/>
    <n v="30"/>
  </r>
  <r>
    <x v="32"/>
    <n v="31"/>
  </r>
  <r>
    <x v="33"/>
    <n v="32"/>
  </r>
  <r>
    <x v="34"/>
    <n v="33"/>
  </r>
  <r>
    <x v="35"/>
    <n v="34"/>
  </r>
  <r>
    <x v="36"/>
    <n v="35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7"/>
    <n v="6"/>
  </r>
  <r>
    <x v="8"/>
    <n v="7"/>
  </r>
  <r>
    <x v="9"/>
    <n v="8"/>
  </r>
  <r>
    <x v="10"/>
    <n v="9"/>
  </r>
  <r>
    <x v="11"/>
    <n v="10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7"/>
    <n v="6"/>
  </r>
  <r>
    <x v="8"/>
    <n v="7"/>
  </r>
  <r>
    <x v="9"/>
    <n v="8"/>
  </r>
  <r>
    <x v="10"/>
    <n v="9"/>
  </r>
  <r>
    <x v="1"/>
    <n v="0"/>
  </r>
  <r>
    <x v="2"/>
    <n v="1"/>
  </r>
  <r>
    <x v="3"/>
    <n v="2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7"/>
    <n v="6"/>
  </r>
  <r>
    <x v="1"/>
    <n v="0"/>
  </r>
  <r>
    <x v="2"/>
    <n v="1"/>
  </r>
  <r>
    <x v="3"/>
    <n v="2"/>
  </r>
  <r>
    <x v="4"/>
    <n v="3"/>
  </r>
  <r>
    <x v="5"/>
    <n v="4"/>
  </r>
  <r>
    <x v="1"/>
    <n v="0"/>
  </r>
  <r>
    <x v="2"/>
    <n v="1"/>
  </r>
  <r>
    <x v="3"/>
    <n v="2"/>
  </r>
  <r>
    <x v="4"/>
    <n v="3"/>
  </r>
  <r>
    <x v="5"/>
    <n v="4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7"/>
    <n v="6"/>
  </r>
  <r>
    <x v="8"/>
    <n v="7"/>
  </r>
  <r>
    <x v="9"/>
    <n v="8"/>
  </r>
  <r>
    <x v="10"/>
    <n v="9"/>
  </r>
  <r>
    <x v="11"/>
    <n v="10"/>
  </r>
  <r>
    <x v="12"/>
    <n v="11"/>
  </r>
  <r>
    <x v="13"/>
    <n v="12"/>
  </r>
  <r>
    <x v="14"/>
    <n v="13"/>
  </r>
  <r>
    <x v="1"/>
    <n v="0"/>
  </r>
  <r>
    <x v="2"/>
    <n v="1"/>
  </r>
  <r>
    <x v="3"/>
    <n v="2"/>
  </r>
  <r>
    <x v="4"/>
    <n v="3"/>
  </r>
  <r>
    <x v="5"/>
    <n v="4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7"/>
    <n v="6"/>
  </r>
  <r>
    <x v="8"/>
    <n v="7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7"/>
    <n v="6"/>
  </r>
  <r>
    <x v="8"/>
    <n v="7"/>
  </r>
  <r>
    <x v="9"/>
    <n v="8"/>
  </r>
  <r>
    <x v="10"/>
    <n v="9"/>
  </r>
  <r>
    <x v="11"/>
    <n v="10"/>
  </r>
  <r>
    <x v="12"/>
    <n v="11"/>
  </r>
  <r>
    <x v="13"/>
    <n v="12"/>
  </r>
  <r>
    <x v="14"/>
    <n v="13"/>
  </r>
  <r>
    <x v="15"/>
    <n v="14"/>
  </r>
  <r>
    <x v="16"/>
    <n v="15"/>
  </r>
  <r>
    <x v="17"/>
    <n v="16"/>
  </r>
  <r>
    <x v="18"/>
    <n v="17"/>
  </r>
  <r>
    <x v="1"/>
    <n v="0"/>
  </r>
  <r>
    <x v="2"/>
    <n v="1"/>
  </r>
  <r>
    <x v="3"/>
    <n v="2"/>
  </r>
  <r>
    <x v="4"/>
    <n v="3"/>
  </r>
  <r>
    <x v="1"/>
    <n v="0"/>
  </r>
  <r>
    <x v="1"/>
    <n v="0"/>
  </r>
  <r>
    <x v="2"/>
    <n v="1"/>
  </r>
  <r>
    <x v="3"/>
    <n v="2"/>
  </r>
  <r>
    <x v="1"/>
    <n v="0"/>
  </r>
  <r>
    <x v="2"/>
    <n v="1"/>
  </r>
  <r>
    <x v="1"/>
    <n v="0"/>
  </r>
  <r>
    <x v="1"/>
    <n v="0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7"/>
    <n v="6"/>
  </r>
  <r>
    <x v="8"/>
    <n v="7"/>
  </r>
  <r>
    <x v="1"/>
    <n v="0"/>
  </r>
  <r>
    <x v="1"/>
    <n v="0"/>
  </r>
  <r>
    <x v="2"/>
    <n v="1"/>
  </r>
  <r>
    <x v="3"/>
    <n v="2"/>
  </r>
  <r>
    <x v="1"/>
    <n v="0"/>
  </r>
  <r>
    <x v="1"/>
    <n v="0"/>
  </r>
  <r>
    <x v="1"/>
    <n v="0"/>
  </r>
  <r>
    <x v="2"/>
    <n v="1"/>
  </r>
  <r>
    <x v="3"/>
    <n v="2"/>
  </r>
  <r>
    <x v="1"/>
    <n v="0"/>
  </r>
  <r>
    <x v="2"/>
    <n v="1"/>
  </r>
  <r>
    <x v="3"/>
    <n v="2"/>
  </r>
  <r>
    <x v="1"/>
    <n v="0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2"/>
    <n v="1"/>
  </r>
  <r>
    <x v="3"/>
    <n v="2"/>
  </r>
  <r>
    <x v="1"/>
    <n v="0"/>
  </r>
  <r>
    <x v="1"/>
    <n v="0"/>
  </r>
  <r>
    <x v="2"/>
    <n v="1"/>
  </r>
  <r>
    <x v="1"/>
    <n v="0"/>
  </r>
  <r>
    <x v="2"/>
    <n v="1"/>
  </r>
  <r>
    <x v="1"/>
    <n v="0"/>
  </r>
  <r>
    <x v="1"/>
    <n v="0"/>
  </r>
  <r>
    <x v="1"/>
    <n v="0"/>
  </r>
  <r>
    <x v="2"/>
    <n v="1"/>
  </r>
  <r>
    <x v="3"/>
    <n v="2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1"/>
    <n v="0"/>
  </r>
  <r>
    <x v="2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1"/>
    <n v="0"/>
  </r>
  <r>
    <x v="2"/>
    <n v="1"/>
  </r>
  <r>
    <x v="3"/>
    <n v="2"/>
  </r>
  <r>
    <x v="1"/>
    <n v="0"/>
  </r>
  <r>
    <x v="1"/>
    <n v="0"/>
  </r>
  <r>
    <x v="1"/>
    <n v="0"/>
  </r>
  <r>
    <x v="2"/>
    <n v="1"/>
  </r>
  <r>
    <x v="1"/>
    <n v="0"/>
  </r>
  <r>
    <x v="2"/>
    <n v="1"/>
  </r>
  <r>
    <x v="3"/>
    <n v="2"/>
  </r>
  <r>
    <x v="1"/>
    <n v="0"/>
  </r>
  <r>
    <x v="1"/>
    <n v="0"/>
  </r>
  <r>
    <x v="1"/>
    <n v="0"/>
  </r>
  <r>
    <x v="2"/>
    <n v="1"/>
  </r>
  <r>
    <x v="3"/>
    <n v="2"/>
  </r>
  <r>
    <x v="1"/>
    <n v="0"/>
  </r>
  <r>
    <x v="2"/>
    <n v="1"/>
  </r>
  <r>
    <x v="3"/>
    <n v="2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2"/>
    <n v="1"/>
  </r>
  <r>
    <x v="3"/>
    <n v="2"/>
  </r>
  <r>
    <x v="4"/>
    <n v="3"/>
  </r>
  <r>
    <x v="5"/>
    <n v="4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1"/>
    <n v="0"/>
  </r>
  <r>
    <x v="1"/>
    <n v="0"/>
  </r>
  <r>
    <x v="2"/>
    <n v="1"/>
  </r>
  <r>
    <x v="3"/>
    <n v="2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1"/>
    <n v="0"/>
  </r>
  <r>
    <x v="1"/>
    <n v="0"/>
  </r>
  <r>
    <x v="2"/>
    <n v="1"/>
  </r>
  <r>
    <x v="3"/>
    <n v="2"/>
  </r>
  <r>
    <x v="1"/>
    <n v="0"/>
  </r>
  <r>
    <x v="2"/>
    <n v="1"/>
  </r>
  <r>
    <x v="1"/>
    <n v="0"/>
  </r>
  <r>
    <x v="2"/>
    <n v="1"/>
  </r>
  <r>
    <x v="3"/>
    <n v="2"/>
  </r>
  <r>
    <x v="4"/>
    <n v="3"/>
  </r>
  <r>
    <x v="5"/>
    <n v="4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2"/>
    <n v="1"/>
  </r>
  <r>
    <x v="3"/>
    <n v="2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2"/>
    <n v="1"/>
  </r>
  <r>
    <x v="3"/>
    <n v="2"/>
  </r>
  <r>
    <x v="1"/>
    <n v="0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2"/>
    <n v="1"/>
  </r>
  <r>
    <x v="1"/>
    <n v="0"/>
  </r>
  <r>
    <x v="2"/>
    <n v="1"/>
  </r>
  <r>
    <x v="1"/>
    <n v="0"/>
  </r>
  <r>
    <x v="1"/>
    <n v="0"/>
  </r>
  <r>
    <x v="1"/>
    <n v="0"/>
  </r>
  <r>
    <x v="2"/>
    <n v="1"/>
  </r>
  <r>
    <x v="3"/>
    <n v="2"/>
  </r>
  <r>
    <x v="1"/>
    <n v="0"/>
  </r>
  <r>
    <x v="1"/>
    <n v="0"/>
  </r>
  <r>
    <x v="2"/>
    <n v="1"/>
  </r>
  <r>
    <x v="1"/>
    <n v="0"/>
  </r>
  <r>
    <x v="2"/>
    <n v="1"/>
  </r>
  <r>
    <x v="1"/>
    <n v="0"/>
  </r>
  <r>
    <x v="2"/>
    <n v="1"/>
  </r>
  <r>
    <x v="3"/>
    <n v="2"/>
  </r>
  <r>
    <x v="1"/>
    <n v="0"/>
  </r>
  <r>
    <x v="2"/>
    <n v="1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1"/>
    <n v="0"/>
  </r>
  <r>
    <x v="1"/>
    <n v="0"/>
  </r>
  <r>
    <x v="2"/>
    <n v="1"/>
  </r>
  <r>
    <x v="3"/>
    <n v="2"/>
  </r>
  <r>
    <x v="1"/>
    <n v="0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2"/>
    <n v="1"/>
  </r>
  <r>
    <x v="1"/>
    <n v="0"/>
  </r>
  <r>
    <x v="2"/>
    <n v="1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2"/>
    <n v="1"/>
  </r>
  <r>
    <x v="3"/>
    <n v="2"/>
  </r>
  <r>
    <x v="1"/>
    <n v="0"/>
  </r>
  <r>
    <x v="1"/>
    <n v="0"/>
  </r>
  <r>
    <x v="1"/>
    <n v="0"/>
  </r>
  <r>
    <x v="1"/>
    <n v="0"/>
  </r>
  <r>
    <x v="2"/>
    <n v="1"/>
  </r>
  <r>
    <x v="1"/>
    <n v="0"/>
  </r>
  <r>
    <x v="2"/>
    <n v="1"/>
  </r>
  <r>
    <x v="1"/>
    <n v="0"/>
  </r>
  <r>
    <x v="1"/>
    <n v="0"/>
  </r>
  <r>
    <x v="1"/>
    <n v="0"/>
  </r>
  <r>
    <x v="1"/>
    <n v="0"/>
  </r>
  <r>
    <x v="2"/>
    <n v="1"/>
  </r>
  <r>
    <x v="1"/>
    <n v="0"/>
  </r>
  <r>
    <x v="2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2"/>
    <n v="1"/>
  </r>
  <r>
    <x v="3"/>
    <n v="2"/>
  </r>
  <r>
    <x v="1"/>
    <n v="0"/>
  </r>
  <r>
    <x v="1"/>
    <n v="0"/>
  </r>
  <r>
    <x v="2"/>
    <n v="1"/>
  </r>
  <r>
    <x v="3"/>
    <n v="2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2"/>
    <n v="1"/>
  </r>
  <r>
    <x v="3"/>
    <n v="2"/>
  </r>
  <r>
    <x v="1"/>
    <n v="0"/>
  </r>
  <r>
    <x v="2"/>
    <n v="1"/>
  </r>
  <r>
    <x v="1"/>
    <n v="0"/>
  </r>
  <r>
    <x v="1"/>
    <n v="0"/>
  </r>
  <r>
    <x v="2"/>
    <n v="1"/>
  </r>
  <r>
    <x v="3"/>
    <n v="2"/>
  </r>
  <r>
    <x v="1"/>
    <n v="0"/>
  </r>
  <r>
    <x v="1"/>
    <n v="0"/>
  </r>
  <r>
    <x v="2"/>
    <n v="1"/>
  </r>
  <r>
    <x v="1"/>
    <n v="0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7"/>
    <n v="6"/>
  </r>
  <r>
    <x v="1"/>
    <n v="0"/>
  </r>
  <r>
    <x v="2"/>
    <n v="1"/>
  </r>
  <r>
    <x v="1"/>
    <n v="0"/>
  </r>
  <r>
    <x v="2"/>
    <n v="1"/>
  </r>
  <r>
    <x v="1"/>
    <n v="0"/>
  </r>
  <r>
    <x v="2"/>
    <n v="1"/>
  </r>
  <r>
    <x v="1"/>
    <n v="0"/>
  </r>
  <r>
    <x v="1"/>
    <n v="0"/>
  </r>
  <r>
    <x v="2"/>
    <n v="1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7"/>
    <n v="6"/>
  </r>
  <r>
    <x v="8"/>
    <n v="7"/>
  </r>
  <r>
    <x v="9"/>
    <n v="8"/>
  </r>
  <r>
    <x v="10"/>
    <n v="9"/>
  </r>
  <r>
    <x v="11"/>
    <n v="10"/>
  </r>
  <r>
    <x v="1"/>
    <n v="0"/>
  </r>
  <r>
    <x v="2"/>
    <n v="1"/>
  </r>
  <r>
    <x v="1"/>
    <n v="0"/>
  </r>
  <r>
    <x v="1"/>
    <n v="0"/>
  </r>
  <r>
    <x v="1"/>
    <n v="0"/>
  </r>
  <r>
    <x v="1"/>
    <n v="0"/>
  </r>
  <r>
    <x v="2"/>
    <n v="1"/>
  </r>
  <r>
    <x v="3"/>
    <n v="2"/>
  </r>
  <r>
    <x v="4"/>
    <n v="3"/>
  </r>
  <r>
    <x v="5"/>
    <n v="4"/>
  </r>
  <r>
    <x v="1"/>
    <n v="0"/>
  </r>
  <r>
    <x v="2"/>
    <n v="1"/>
  </r>
  <r>
    <x v="1"/>
    <n v="0"/>
  </r>
  <r>
    <x v="2"/>
    <n v="1"/>
  </r>
  <r>
    <x v="3"/>
    <n v="2"/>
  </r>
  <r>
    <x v="4"/>
    <n v="3"/>
  </r>
  <r>
    <x v="5"/>
    <n v="4"/>
  </r>
  <r>
    <x v="1"/>
    <n v="0"/>
  </r>
  <r>
    <x v="2"/>
    <n v="1"/>
  </r>
  <r>
    <x v="1"/>
    <n v="0"/>
  </r>
  <r>
    <x v="2"/>
    <n v="1"/>
  </r>
  <r>
    <x v="1"/>
    <n v="0"/>
  </r>
  <r>
    <x v="2"/>
    <n v="1"/>
  </r>
  <r>
    <x v="3"/>
    <n v="2"/>
  </r>
  <r>
    <x v="1"/>
    <n v="0"/>
  </r>
  <r>
    <x v="2"/>
    <n v="1"/>
  </r>
  <r>
    <x v="3"/>
    <n v="2"/>
  </r>
  <r>
    <x v="4"/>
    <n v="3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1"/>
    <n v="0"/>
  </r>
  <r>
    <x v="1"/>
    <n v="0"/>
  </r>
  <r>
    <x v="1"/>
    <n v="0"/>
  </r>
  <r>
    <x v="2"/>
    <n v="1"/>
  </r>
  <r>
    <x v="3"/>
    <n v="2"/>
  </r>
  <r>
    <x v="4"/>
    <n v="3"/>
  </r>
  <r>
    <x v="5"/>
    <n v="4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7"/>
    <n v="6"/>
  </r>
  <r>
    <x v="8"/>
    <n v="7"/>
  </r>
  <r>
    <x v="9"/>
    <n v="8"/>
  </r>
  <r>
    <x v="10"/>
    <n v="9"/>
  </r>
  <r>
    <x v="11"/>
    <n v="10"/>
  </r>
  <r>
    <x v="12"/>
    <n v="11"/>
  </r>
  <r>
    <x v="13"/>
    <n v="12"/>
  </r>
  <r>
    <x v="14"/>
    <n v="13"/>
  </r>
  <r>
    <x v="15"/>
    <n v="14"/>
  </r>
  <r>
    <x v="16"/>
    <n v="15"/>
  </r>
  <r>
    <x v="17"/>
    <n v="16"/>
  </r>
  <r>
    <x v="18"/>
    <n v="17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1"/>
    <n v="0"/>
  </r>
  <r>
    <x v="2"/>
    <n v="1"/>
  </r>
  <r>
    <x v="3"/>
    <n v="2"/>
  </r>
  <r>
    <x v="4"/>
    <n v="3"/>
  </r>
  <r>
    <x v="1"/>
    <n v="0"/>
  </r>
  <r>
    <x v="2"/>
    <n v="1"/>
  </r>
  <r>
    <x v="1"/>
    <n v="0"/>
  </r>
  <r>
    <x v="2"/>
    <n v="1"/>
  </r>
  <r>
    <x v="3"/>
    <n v="2"/>
  </r>
  <r>
    <x v="4"/>
    <n v="3"/>
  </r>
  <r>
    <x v="1"/>
    <n v="0"/>
  </r>
  <r>
    <x v="2"/>
    <n v="1"/>
  </r>
  <r>
    <x v="3"/>
    <n v="2"/>
  </r>
  <r>
    <x v="4"/>
    <n v="3"/>
  </r>
  <r>
    <x v="5"/>
    <n v="4"/>
  </r>
  <r>
    <x v="1"/>
    <n v="0"/>
  </r>
  <r>
    <x v="2"/>
    <n v="1"/>
  </r>
  <r>
    <x v="3"/>
    <n v="2"/>
  </r>
  <r>
    <x v="4"/>
    <n v="3"/>
  </r>
  <r>
    <x v="5"/>
    <n v="4"/>
  </r>
  <r>
    <x v="1"/>
    <n v="0"/>
  </r>
  <r>
    <x v="1"/>
    <n v="0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7"/>
    <n v="6"/>
  </r>
  <r>
    <x v="8"/>
    <n v="7"/>
  </r>
  <r>
    <x v="9"/>
    <n v="8"/>
  </r>
  <r>
    <x v="10"/>
    <n v="9"/>
  </r>
  <r>
    <x v="11"/>
    <n v="10"/>
  </r>
  <r>
    <x v="12"/>
    <n v="11"/>
  </r>
  <r>
    <x v="13"/>
    <n v="12"/>
  </r>
  <r>
    <x v="14"/>
    <n v="13"/>
  </r>
  <r>
    <x v="15"/>
    <n v="14"/>
  </r>
  <r>
    <x v="16"/>
    <n v="15"/>
  </r>
  <r>
    <x v="17"/>
    <n v="16"/>
  </r>
  <r>
    <x v="18"/>
    <n v="17"/>
  </r>
  <r>
    <x v="19"/>
    <n v="18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7"/>
    <n v="6"/>
  </r>
  <r>
    <x v="8"/>
    <n v="7"/>
  </r>
  <r>
    <x v="9"/>
    <n v="8"/>
  </r>
  <r>
    <x v="10"/>
    <n v="9"/>
  </r>
  <r>
    <x v="11"/>
    <n v="10"/>
  </r>
  <r>
    <x v="12"/>
    <n v="11"/>
  </r>
  <r>
    <x v="13"/>
    <n v="12"/>
  </r>
  <r>
    <x v="14"/>
    <n v="13"/>
  </r>
  <r>
    <x v="15"/>
    <n v="14"/>
  </r>
  <r>
    <x v="16"/>
    <n v="15"/>
  </r>
  <r>
    <x v="17"/>
    <n v="16"/>
  </r>
  <r>
    <x v="18"/>
    <n v="17"/>
  </r>
  <r>
    <x v="19"/>
    <n v="18"/>
  </r>
  <r>
    <x v="20"/>
    <n v="19"/>
  </r>
  <r>
    <x v="21"/>
    <n v="20"/>
  </r>
  <r>
    <x v="22"/>
    <n v="21"/>
  </r>
  <r>
    <x v="23"/>
    <n v="22"/>
  </r>
  <r>
    <x v="24"/>
    <n v="23"/>
  </r>
  <r>
    <x v="25"/>
    <n v="24"/>
  </r>
  <r>
    <x v="26"/>
    <n v="25"/>
  </r>
  <r>
    <x v="27"/>
    <n v="26"/>
  </r>
  <r>
    <x v="28"/>
    <n v="27"/>
  </r>
  <r>
    <x v="29"/>
    <n v="28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7"/>
    <n v="6"/>
  </r>
  <r>
    <x v="8"/>
    <n v="7"/>
  </r>
  <r>
    <x v="9"/>
    <n v="8"/>
  </r>
  <r>
    <x v="10"/>
    <n v="9"/>
  </r>
  <r>
    <x v="11"/>
    <n v="10"/>
  </r>
  <r>
    <x v="12"/>
    <n v="11"/>
  </r>
  <r>
    <x v="13"/>
    <n v="12"/>
  </r>
  <r>
    <x v="14"/>
    <n v="13"/>
  </r>
  <r>
    <x v="15"/>
    <n v="14"/>
  </r>
  <r>
    <x v="16"/>
    <n v="15"/>
  </r>
  <r>
    <x v="17"/>
    <n v="16"/>
  </r>
  <r>
    <x v="18"/>
    <n v="17"/>
  </r>
  <r>
    <x v="19"/>
    <n v="18"/>
  </r>
  <r>
    <x v="20"/>
    <n v="19"/>
  </r>
  <r>
    <x v="21"/>
    <n v="20"/>
  </r>
  <r>
    <x v="22"/>
    <n v="21"/>
  </r>
  <r>
    <x v="23"/>
    <n v="22"/>
  </r>
  <r>
    <x v="24"/>
    <n v="23"/>
  </r>
  <r>
    <x v="25"/>
    <n v="24"/>
  </r>
  <r>
    <x v="1"/>
    <n v="0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1"/>
    <n v="0"/>
  </r>
  <r>
    <x v="2"/>
    <n v="1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7"/>
    <n v="6"/>
  </r>
  <r>
    <x v="8"/>
    <n v="7"/>
  </r>
  <r>
    <x v="9"/>
    <n v="8"/>
  </r>
  <r>
    <x v="10"/>
    <n v="9"/>
  </r>
  <r>
    <x v="11"/>
    <n v="10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7"/>
    <n v="6"/>
  </r>
  <r>
    <x v="1"/>
    <n v="0"/>
  </r>
  <r>
    <x v="1"/>
    <n v="0"/>
  </r>
  <r>
    <x v="2"/>
    <n v="1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7"/>
    <n v="6"/>
  </r>
  <r>
    <x v="8"/>
    <n v="7"/>
  </r>
  <r>
    <x v="9"/>
    <n v="8"/>
  </r>
  <r>
    <x v="10"/>
    <n v="9"/>
  </r>
  <r>
    <x v="11"/>
    <n v="10"/>
  </r>
  <r>
    <x v="12"/>
    <n v="11"/>
  </r>
  <r>
    <x v="13"/>
    <n v="12"/>
  </r>
  <r>
    <x v="14"/>
    <n v="13"/>
  </r>
  <r>
    <x v="15"/>
    <n v="14"/>
  </r>
  <r>
    <x v="1"/>
    <n v="0"/>
  </r>
  <r>
    <x v="2"/>
    <n v="1"/>
  </r>
  <r>
    <x v="1"/>
    <n v="0"/>
  </r>
  <r>
    <x v="2"/>
    <n v="1"/>
  </r>
  <r>
    <x v="3"/>
    <n v="2"/>
  </r>
  <r>
    <x v="4"/>
    <n v="3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7"/>
    <n v="6"/>
  </r>
  <r>
    <x v="8"/>
    <n v="7"/>
  </r>
  <r>
    <x v="1"/>
    <n v="0"/>
  </r>
  <r>
    <x v="1"/>
    <n v="0"/>
  </r>
  <r>
    <x v="2"/>
    <n v="1"/>
  </r>
  <r>
    <x v="3"/>
    <n v="2"/>
  </r>
  <r>
    <x v="4"/>
    <n v="3"/>
  </r>
  <r>
    <x v="5"/>
    <n v="4"/>
  </r>
  <r>
    <x v="6"/>
    <n v="5"/>
  </r>
  <r>
    <x v="7"/>
    <n v="6"/>
  </r>
  <r>
    <x v="8"/>
    <n v="7"/>
  </r>
  <r>
    <x v="9"/>
    <n v="8"/>
  </r>
  <r>
    <x v="10"/>
    <n v="9"/>
  </r>
  <r>
    <x v="11"/>
    <n v="10"/>
  </r>
  <r>
    <x v="1"/>
    <n v="0"/>
  </r>
  <r>
    <x v="2"/>
    <n v="1"/>
  </r>
  <r>
    <x v="3"/>
    <n v="2"/>
  </r>
  <r>
    <x v="4"/>
    <n v="3"/>
  </r>
  <r>
    <x v="1"/>
    <n v="0"/>
  </r>
  <r>
    <x v="2"/>
    <n v="1"/>
  </r>
  <r>
    <x v="1"/>
    <n v="0"/>
  </r>
  <r>
    <x v="2"/>
    <n v="1"/>
  </r>
  <r>
    <x v="1"/>
    <n v="0"/>
  </r>
  <r>
    <x v="1"/>
    <n v="0"/>
  </r>
  <r>
    <x v="2"/>
    <n v="1"/>
  </r>
  <r>
    <x v="1"/>
    <n v="0"/>
  </r>
  <r>
    <x v="2"/>
    <n v="1"/>
  </r>
  <r>
    <x v="3"/>
    <n v="2"/>
  </r>
  <r>
    <x v="4"/>
    <n v="3"/>
  </r>
  <r>
    <x v="5"/>
    <n v="4"/>
  </r>
  <r>
    <x v="1"/>
    <n v="0"/>
  </r>
  <r>
    <x v="2"/>
    <n v="1"/>
  </r>
  <r>
    <x v="1"/>
    <n v="0"/>
  </r>
  <r>
    <x v="1"/>
    <n v="0"/>
  </r>
  <r>
    <x v="1"/>
    <n v="0"/>
  </r>
  <r>
    <x v="2"/>
    <n v="1"/>
  </r>
  <r>
    <x v="1"/>
    <n v="0"/>
  </r>
  <r>
    <x v="2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2"/>
    <n v="1"/>
  </r>
  <r>
    <x v="1"/>
    <n v="0"/>
  </r>
  <r>
    <x v="2"/>
    <n v="1"/>
  </r>
  <r>
    <x v="3"/>
    <n v="2"/>
  </r>
  <r>
    <x v="4"/>
    <n v="3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2"/>
    <n v="1"/>
  </r>
  <r>
    <x v="3"/>
    <n v="2"/>
  </r>
  <r>
    <x v="4"/>
    <n v="3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2"/>
    <n v="1"/>
  </r>
  <r>
    <x v="1"/>
    <n v="0"/>
  </r>
  <r>
    <x v="1"/>
    <n v="0"/>
  </r>
  <r>
    <x v="1"/>
    <n v="0"/>
  </r>
  <r>
    <x v="2"/>
    <n v="1"/>
  </r>
  <r>
    <x v="1"/>
    <n v="0"/>
  </r>
  <r>
    <x v="2"/>
    <n v="1"/>
  </r>
  <r>
    <x v="3"/>
    <n v="2"/>
  </r>
  <r>
    <x v="4"/>
    <n v="3"/>
  </r>
  <r>
    <x v="1"/>
    <n v="0"/>
  </r>
  <r>
    <x v="1"/>
    <n v="0"/>
  </r>
  <r>
    <x v="1"/>
    <n v="0"/>
  </r>
  <r>
    <x v="2"/>
    <n v="1"/>
  </r>
  <r>
    <x v="37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5"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8"/>
    <x v="8"/>
  </r>
  <r>
    <n v="9"/>
    <x v="9"/>
  </r>
  <r>
    <n v="10"/>
    <x v="10"/>
  </r>
  <r>
    <n v="11"/>
    <x v="11"/>
  </r>
  <r>
    <n v="12"/>
    <x v="12"/>
  </r>
  <r>
    <n v="13"/>
    <x v="13"/>
  </r>
  <r>
    <n v="14"/>
    <x v="14"/>
  </r>
  <r>
    <n v="15"/>
    <x v="15"/>
  </r>
  <r>
    <n v="16"/>
    <x v="16"/>
  </r>
  <r>
    <n v="17"/>
    <x v="17"/>
  </r>
  <r>
    <n v="18"/>
    <x v="18"/>
  </r>
  <r>
    <n v="19"/>
    <x v="19"/>
  </r>
  <r>
    <n v="20"/>
    <x v="20"/>
  </r>
  <r>
    <n v="21"/>
    <x v="21"/>
  </r>
  <r>
    <n v="22"/>
    <x v="22"/>
  </r>
  <r>
    <n v="23"/>
    <x v="23"/>
  </r>
  <r>
    <n v="24"/>
    <x v="24"/>
  </r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8"/>
    <x v="8"/>
  </r>
  <r>
    <n v="9"/>
    <x v="9"/>
  </r>
  <r>
    <n v="10"/>
    <x v="10"/>
  </r>
  <r>
    <n v="11"/>
    <x v="11"/>
  </r>
  <r>
    <n v="12"/>
    <x v="12"/>
  </r>
  <r>
    <n v="13"/>
    <x v="13"/>
  </r>
  <r>
    <n v="14"/>
    <x v="14"/>
  </r>
  <r>
    <n v="15"/>
    <x v="15"/>
  </r>
  <r>
    <n v="16"/>
    <x v="16"/>
  </r>
  <r>
    <n v="17"/>
    <x v="17"/>
  </r>
  <r>
    <n v="18"/>
    <x v="18"/>
  </r>
  <r>
    <n v="19"/>
    <x v="19"/>
  </r>
  <r>
    <n v="20"/>
    <x v="20"/>
  </r>
  <r>
    <n v="21"/>
    <x v="21"/>
  </r>
  <r>
    <n v="22"/>
    <x v="22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8"/>
    <x v="8"/>
  </r>
  <r>
    <n v="9"/>
    <x v="9"/>
  </r>
  <r>
    <n v="10"/>
    <x v="10"/>
  </r>
  <r>
    <n v="11"/>
    <x v="11"/>
  </r>
  <r>
    <n v="12"/>
    <x v="12"/>
  </r>
  <r>
    <n v="13"/>
    <x v="13"/>
  </r>
  <r>
    <n v="14"/>
    <x v="14"/>
  </r>
  <r>
    <n v="15"/>
    <x v="15"/>
  </r>
  <r>
    <n v="16"/>
    <x v="16"/>
  </r>
  <r>
    <n v="17"/>
    <x v="17"/>
  </r>
  <r>
    <n v="18"/>
    <x v="18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8"/>
    <x v="8"/>
  </r>
  <r>
    <n v="9"/>
    <x v="9"/>
  </r>
  <r>
    <n v="10"/>
    <x v="10"/>
  </r>
  <r>
    <n v="0"/>
    <x v="0"/>
  </r>
  <r>
    <n v="0"/>
    <x v="0"/>
  </r>
  <r>
    <n v="0"/>
    <x v="0"/>
  </r>
  <r>
    <n v="1"/>
    <x v="1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8"/>
    <x v="8"/>
  </r>
  <r>
    <n v="9"/>
    <x v="9"/>
  </r>
  <r>
    <n v="10"/>
    <x v="10"/>
  </r>
  <r>
    <n v="11"/>
    <x v="11"/>
  </r>
  <r>
    <n v="12"/>
    <x v="12"/>
  </r>
  <r>
    <n v="13"/>
    <x v="13"/>
  </r>
  <r>
    <n v="14"/>
    <x v="14"/>
  </r>
  <r>
    <n v="15"/>
    <x v="15"/>
  </r>
  <r>
    <n v="16"/>
    <x v="16"/>
  </r>
  <r>
    <n v="17"/>
    <x v="17"/>
  </r>
  <r>
    <n v="18"/>
    <x v="18"/>
  </r>
  <r>
    <n v="19"/>
    <x v="19"/>
  </r>
  <r>
    <n v="20"/>
    <x v="20"/>
  </r>
  <r>
    <n v="21"/>
    <x v="21"/>
  </r>
  <r>
    <n v="22"/>
    <x v="22"/>
  </r>
  <r>
    <n v="23"/>
    <x v="23"/>
  </r>
  <r>
    <n v="24"/>
    <x v="24"/>
  </r>
  <r>
    <n v="25"/>
    <x v="25"/>
  </r>
  <r>
    <n v="26"/>
    <x v="26"/>
  </r>
  <r>
    <n v="27"/>
    <x v="27"/>
  </r>
  <r>
    <n v="28"/>
    <x v="28"/>
  </r>
  <r>
    <n v="29"/>
    <x v="29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8"/>
    <x v="8"/>
  </r>
  <r>
    <n v="9"/>
    <x v="9"/>
  </r>
  <r>
    <n v="10"/>
    <x v="10"/>
  </r>
  <r>
    <n v="11"/>
    <x v="11"/>
  </r>
  <r>
    <n v="12"/>
    <x v="12"/>
  </r>
  <r>
    <n v="13"/>
    <x v="13"/>
  </r>
  <r>
    <n v="14"/>
    <x v="14"/>
  </r>
  <r>
    <n v="15"/>
    <x v="15"/>
  </r>
  <r>
    <n v="16"/>
    <x v="16"/>
  </r>
  <r>
    <n v="17"/>
    <x v="17"/>
  </r>
  <r>
    <n v="18"/>
    <x v="18"/>
  </r>
  <r>
    <n v="19"/>
    <x v="19"/>
  </r>
  <r>
    <n v="20"/>
    <x v="20"/>
  </r>
  <r>
    <n v="21"/>
    <x v="21"/>
  </r>
  <r>
    <n v="22"/>
    <x v="22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8"/>
    <x v="8"/>
  </r>
  <r>
    <n v="9"/>
    <x v="9"/>
  </r>
  <r>
    <n v="10"/>
    <x v="10"/>
  </r>
  <r>
    <n v="11"/>
    <x v="11"/>
  </r>
  <r>
    <n v="0"/>
    <x v="0"/>
  </r>
  <r>
    <n v="1"/>
    <x v="1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8"/>
    <x v="8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0"/>
    <x v="0"/>
  </r>
  <r>
    <n v="0"/>
    <x v="0"/>
  </r>
  <r>
    <n v="0"/>
    <x v="0"/>
  </r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8"/>
    <x v="8"/>
  </r>
  <r>
    <n v="9"/>
    <x v="9"/>
  </r>
  <r>
    <n v="10"/>
    <x v="10"/>
  </r>
  <r>
    <n v="11"/>
    <x v="11"/>
  </r>
  <r>
    <n v="12"/>
    <x v="12"/>
  </r>
  <r>
    <n v="13"/>
    <x v="13"/>
  </r>
  <r>
    <n v="14"/>
    <x v="14"/>
  </r>
  <r>
    <n v="15"/>
    <x v="15"/>
  </r>
  <r>
    <n v="16"/>
    <x v="16"/>
  </r>
  <r>
    <n v="17"/>
    <x v="17"/>
  </r>
  <r>
    <n v="18"/>
    <x v="18"/>
  </r>
  <r>
    <n v="19"/>
    <x v="19"/>
  </r>
  <r>
    <n v="20"/>
    <x v="20"/>
  </r>
  <r>
    <n v="21"/>
    <x v="21"/>
  </r>
  <r>
    <n v="22"/>
    <x v="22"/>
  </r>
  <r>
    <n v="23"/>
    <x v="23"/>
  </r>
  <r>
    <n v="24"/>
    <x v="24"/>
  </r>
  <r>
    <n v="25"/>
    <x v="25"/>
  </r>
  <r>
    <n v="26"/>
    <x v="26"/>
  </r>
  <r>
    <n v="27"/>
    <x v="27"/>
  </r>
  <r>
    <n v="28"/>
    <x v="28"/>
  </r>
  <r>
    <n v="29"/>
    <x v="29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8"/>
    <x v="8"/>
  </r>
  <r>
    <n v="9"/>
    <x v="9"/>
  </r>
  <r>
    <n v="10"/>
    <x v="10"/>
  </r>
  <r>
    <n v="11"/>
    <x v="11"/>
  </r>
  <r>
    <n v="12"/>
    <x v="12"/>
  </r>
  <r>
    <n v="13"/>
    <x v="13"/>
  </r>
  <r>
    <n v="14"/>
    <x v="14"/>
  </r>
  <r>
    <n v="15"/>
    <x v="15"/>
  </r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8"/>
    <x v="8"/>
  </r>
  <r>
    <n v="9"/>
    <x v="9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2"/>
    <x v="2"/>
  </r>
  <r>
    <n v="0"/>
    <x v="0"/>
  </r>
  <r>
    <n v="1"/>
    <x v="1"/>
  </r>
  <r>
    <n v="0"/>
    <x v="0"/>
  </r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8"/>
    <x v="8"/>
  </r>
  <r>
    <n v="9"/>
    <x v="9"/>
  </r>
  <r>
    <n v="10"/>
    <x v="10"/>
  </r>
  <r>
    <n v="11"/>
    <x v="11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8"/>
    <x v="8"/>
  </r>
  <r>
    <n v="9"/>
    <x v="9"/>
  </r>
  <r>
    <n v="10"/>
    <x v="1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8"/>
    <x v="8"/>
  </r>
  <r>
    <n v="9"/>
    <x v="9"/>
  </r>
  <r>
    <n v="10"/>
    <x v="10"/>
  </r>
  <r>
    <n v="11"/>
    <x v="11"/>
  </r>
  <r>
    <n v="12"/>
    <x v="12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8"/>
    <x v="8"/>
  </r>
  <r>
    <n v="9"/>
    <x v="9"/>
  </r>
  <r>
    <n v="10"/>
    <x v="10"/>
  </r>
  <r>
    <n v="11"/>
    <x v="11"/>
  </r>
  <r>
    <n v="12"/>
    <x v="12"/>
  </r>
  <r>
    <n v="13"/>
    <x v="13"/>
  </r>
  <r>
    <n v="14"/>
    <x v="14"/>
  </r>
  <r>
    <n v="15"/>
    <x v="15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8"/>
    <x v="8"/>
  </r>
  <r>
    <n v="9"/>
    <x v="9"/>
  </r>
  <r>
    <n v="10"/>
    <x v="10"/>
  </r>
  <r>
    <n v="11"/>
    <x v="11"/>
  </r>
  <r>
    <n v="12"/>
    <x v="12"/>
  </r>
  <r>
    <n v="13"/>
    <x v="13"/>
  </r>
  <r>
    <n v="14"/>
    <x v="14"/>
  </r>
  <r>
    <n v="15"/>
    <x v="15"/>
  </r>
  <r>
    <n v="16"/>
    <x v="16"/>
  </r>
  <r>
    <n v="17"/>
    <x v="17"/>
  </r>
  <r>
    <n v="18"/>
    <x v="18"/>
  </r>
  <r>
    <n v="19"/>
    <x v="19"/>
  </r>
  <r>
    <n v="20"/>
    <x v="20"/>
  </r>
  <r>
    <n v="21"/>
    <x v="21"/>
  </r>
  <r>
    <n v="22"/>
    <x v="22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8"/>
    <x v="8"/>
  </r>
  <r>
    <n v="9"/>
    <x v="9"/>
  </r>
  <r>
    <n v="10"/>
    <x v="10"/>
  </r>
  <r>
    <n v="11"/>
    <x v="11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m/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8CD5EE-2F8B-4731-B2B9-A7CB336399D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31" firstHeaderRow="1" firstDataRow="1" firstDataCol="1"/>
  <pivotFields count="2">
    <pivotField dataField="1" showAll="0"/>
    <pivotField axis="axisRow" showAll="0">
      <items count="32">
        <item h="1" x="0"/>
        <item x="1"/>
        <item h="1" x="3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 count="1">
    <field x="1"/>
  </rowFields>
  <rowItems count="30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Count of Count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36A384-D778-477E-83AC-A6BFFB4DEA2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:L37" firstHeaderRow="1" firstDataRow="1" firstDataCol="1"/>
  <pivotFields count="2">
    <pivotField axis="axisRow" showAll="0">
      <items count="39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h="1" x="0"/>
        <item h="1" x="37"/>
        <item t="default"/>
      </items>
    </pivotField>
    <pivotField dataField="1" showAll="0"/>
  </pivotFields>
  <rowFields count="1">
    <field x="0"/>
  </rowFields>
  <rowItems count="3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Count of Length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094A-4067-4770-8AAB-4544E22D8999}">
  <dimension ref="A1:L44"/>
  <sheetViews>
    <sheetView tabSelected="1" zoomScale="70" zoomScaleNormal="70" workbookViewId="0">
      <selection activeCell="B46" sqref="B46"/>
    </sheetView>
  </sheetViews>
  <sheetFormatPr defaultRowHeight="14.4" x14ac:dyDescent="0.3"/>
  <cols>
    <col min="1" max="1" width="53" customWidth="1"/>
    <col min="2" max="2" width="22" customWidth="1"/>
    <col min="3" max="3" width="27" customWidth="1"/>
    <col min="4" max="4" width="26" customWidth="1"/>
    <col min="5" max="5" width="33" customWidth="1"/>
    <col min="6" max="6" width="35" customWidth="1"/>
    <col min="7" max="9" width="21" customWidth="1"/>
    <col min="10" max="11" width="20" customWidth="1"/>
    <col min="12" max="12" width="31" customWidth="1"/>
  </cols>
  <sheetData>
    <row r="1" spans="1:12" x14ac:dyDescent="0.3">
      <c r="A1" s="1" t="s">
        <v>0</v>
      </c>
      <c r="D1" s="8"/>
    </row>
    <row r="2" spans="1:12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t="s">
        <v>12</v>
      </c>
    </row>
    <row r="4" spans="1:12" s="3" customFormat="1" x14ac:dyDescent="0.3">
      <c r="A4" s="3" t="s">
        <v>13</v>
      </c>
      <c r="B4" s="3">
        <v>218</v>
      </c>
      <c r="C4" s="3">
        <v>27.98459563543004</v>
      </c>
      <c r="D4" s="3">
        <v>9.3636363636334465</v>
      </c>
      <c r="E4" s="3">
        <v>8.7701394182357149</v>
      </c>
      <c r="F4" s="3">
        <v>6.9821626818068676</v>
      </c>
      <c r="G4" s="3">
        <v>-8.2407900393174014</v>
      </c>
      <c r="H4" s="3">
        <v>-27993647.07</v>
      </c>
      <c r="I4" s="3">
        <v>27.319107751391851</v>
      </c>
      <c r="J4" s="3">
        <v>3396961.57</v>
      </c>
      <c r="K4" s="3">
        <v>29.386552810102259</v>
      </c>
      <c r="L4" s="3">
        <v>0.12134758866916009</v>
      </c>
    </row>
    <row r="5" spans="1:12" s="4" customFormat="1" x14ac:dyDescent="0.3">
      <c r="A5" s="4" t="s">
        <v>14</v>
      </c>
      <c r="B5" s="4">
        <v>71</v>
      </c>
      <c r="C5" s="4">
        <v>9.1142490372272142</v>
      </c>
      <c r="D5" s="4">
        <v>8.8125000000001386</v>
      </c>
      <c r="E5" s="4">
        <v>8.8671060493157885</v>
      </c>
      <c r="F5" s="4">
        <v>6.0773904438173094</v>
      </c>
      <c r="G5" s="4">
        <v>-3.6306903659816161</v>
      </c>
      <c r="H5" s="4">
        <v>-3656023.98</v>
      </c>
      <c r="I5" s="4">
        <v>3.5679278516849751</v>
      </c>
      <c r="J5" s="4">
        <v>1006977.63</v>
      </c>
      <c r="K5" s="4">
        <v>8.7111969602254327</v>
      </c>
      <c r="L5" s="4">
        <v>0.27542971148673923</v>
      </c>
    </row>
    <row r="6" spans="1:12" s="5" customFormat="1" x14ac:dyDescent="0.3">
      <c r="A6" s="5" t="s">
        <v>15</v>
      </c>
      <c r="B6" s="5">
        <v>63</v>
      </c>
      <c r="C6" s="5">
        <v>8.0872913992297821</v>
      </c>
      <c r="D6" s="5">
        <v>9.6111111111105441</v>
      </c>
      <c r="E6" s="5">
        <v>8.7701841503846154</v>
      </c>
      <c r="F6" s="5">
        <v>8.0052149226341562</v>
      </c>
      <c r="G6" s="5">
        <v>-23.684591097402681</v>
      </c>
      <c r="H6" s="5">
        <v>-25690794.859999999</v>
      </c>
      <c r="I6" s="5">
        <v>25.071745430104968</v>
      </c>
      <c r="J6" s="5">
        <v>1084705.02</v>
      </c>
      <c r="K6" s="5">
        <v>9.3836037578761982</v>
      </c>
      <c r="L6" s="5">
        <v>4.2221543782939228E-2</v>
      </c>
    </row>
    <row r="7" spans="1:12" s="2" customFormat="1" x14ac:dyDescent="0.3">
      <c r="A7" s="2" t="s">
        <v>16</v>
      </c>
      <c r="B7" s="2">
        <v>112</v>
      </c>
      <c r="C7" s="2">
        <v>14.37740693196406</v>
      </c>
      <c r="D7" s="2">
        <v>8.6363636363647043</v>
      </c>
      <c r="E7" s="2">
        <v>9.0913142227794115</v>
      </c>
      <c r="F7" s="2">
        <v>7.1647349375685723</v>
      </c>
      <c r="G7" s="2">
        <v>-10.28353765229363</v>
      </c>
      <c r="H7" s="2">
        <v>-17185545.48</v>
      </c>
      <c r="I7" s="2">
        <v>16.77143987564623</v>
      </c>
      <c r="J7" s="2">
        <v>1671170.57</v>
      </c>
      <c r="K7" s="2">
        <v>14.45702025118692</v>
      </c>
      <c r="L7" s="2">
        <v>9.724280046535945E-2</v>
      </c>
    </row>
    <row r="8" spans="1:12" s="3" customFormat="1" x14ac:dyDescent="0.3">
      <c r="A8" s="3" t="s">
        <v>17</v>
      </c>
      <c r="B8" s="3">
        <v>137</v>
      </c>
      <c r="C8" s="3">
        <v>17.586649550706031</v>
      </c>
      <c r="D8" s="3">
        <v>9.1538461538429239</v>
      </c>
      <c r="E8" s="3">
        <v>8.4025202140808091</v>
      </c>
      <c r="F8" s="3">
        <v>6.8400061737852553</v>
      </c>
      <c r="G8" s="3">
        <v>-7.7728976427130512</v>
      </c>
      <c r="H8" s="3">
        <v>-15052024.449999999</v>
      </c>
      <c r="I8" s="3">
        <v>14.68932850363805</v>
      </c>
      <c r="J8" s="3">
        <v>1936475.32</v>
      </c>
      <c r="K8" s="3">
        <v>16.75212777183101</v>
      </c>
      <c r="L8" s="3">
        <v>0.12865215084074619</v>
      </c>
    </row>
    <row r="9" spans="1:12" s="4" customFormat="1" x14ac:dyDescent="0.3">
      <c r="A9" s="4" t="s">
        <v>18</v>
      </c>
      <c r="B9" s="4">
        <v>71</v>
      </c>
      <c r="C9" s="4">
        <v>9.1142490372272142</v>
      </c>
      <c r="D9" s="4">
        <v>12.23076923076672</v>
      </c>
      <c r="E9" s="4">
        <v>9.3458244632368412</v>
      </c>
      <c r="F9" s="4">
        <v>5.4353435816863049</v>
      </c>
      <c r="G9" s="4">
        <v>-0.80290323769766014</v>
      </c>
      <c r="H9" s="4">
        <v>-759935.05999999982</v>
      </c>
      <c r="I9" s="4">
        <v>0.74162354538109232</v>
      </c>
      <c r="J9" s="4">
        <v>946483.99</v>
      </c>
      <c r="K9" s="4">
        <v>8.187876483998993</v>
      </c>
      <c r="L9" s="4">
        <v>1.2454800940490891</v>
      </c>
    </row>
    <row r="10" spans="1:12" s="5" customFormat="1" x14ac:dyDescent="0.3">
      <c r="A10" s="5" t="s">
        <v>19</v>
      </c>
      <c r="B10" s="5">
        <v>59</v>
      </c>
      <c r="C10" s="5">
        <v>7.5738125802310652</v>
      </c>
      <c r="D10" s="5">
        <v>10.40000000000054</v>
      </c>
      <c r="E10" s="5">
        <v>8.3159909226078437</v>
      </c>
      <c r="F10" s="5">
        <v>7.4120986673364406</v>
      </c>
      <c r="G10" s="5">
        <v>-10.937620957841901</v>
      </c>
      <c r="H10" s="5">
        <v>-8904382.4100000001</v>
      </c>
      <c r="I10" s="5">
        <v>8.6898210122497002</v>
      </c>
      <c r="J10" s="5">
        <v>814105.96</v>
      </c>
      <c r="K10" s="5">
        <v>7.0426960369054159</v>
      </c>
      <c r="L10" s="5">
        <v>9.1427560330935964E-2</v>
      </c>
    </row>
    <row r="11" spans="1:12" s="2" customFormat="1" x14ac:dyDescent="0.3">
      <c r="A11" s="2" t="s">
        <v>20</v>
      </c>
      <c r="B11" s="2">
        <v>48</v>
      </c>
      <c r="C11" s="2">
        <v>6.1617458279845962</v>
      </c>
      <c r="D11" s="2">
        <v>9.333333333335263</v>
      </c>
      <c r="E11" s="2">
        <v>8.2457888536000006</v>
      </c>
      <c r="F11" s="2">
        <v>7.4882649418478486</v>
      </c>
      <c r="G11" s="2">
        <v>-4.5919549957577814</v>
      </c>
      <c r="H11" s="2">
        <v>-3226758.51</v>
      </c>
      <c r="I11" s="2">
        <v>3.1490060299031488</v>
      </c>
      <c r="J11" s="2">
        <v>702698.2</v>
      </c>
      <c r="K11" s="2">
        <v>6.0789259278737733</v>
      </c>
      <c r="L11" s="2">
        <v>0.21777216913576841</v>
      </c>
    </row>
    <row r="12" spans="1:12" x14ac:dyDescent="0.3">
      <c r="A12" s="1" t="s">
        <v>21</v>
      </c>
      <c r="D12" s="8"/>
    </row>
    <row r="13" spans="1:12" x14ac:dyDescent="0.3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 x14ac:dyDescent="0.3">
      <c r="A14" t="s">
        <v>12</v>
      </c>
    </row>
    <row r="15" spans="1:12" s="3" customFormat="1" x14ac:dyDescent="0.3">
      <c r="A15" s="3" t="s">
        <v>13</v>
      </c>
      <c r="B15" s="3">
        <v>186</v>
      </c>
      <c r="C15" s="3">
        <v>23.876765083440311</v>
      </c>
      <c r="D15" s="3">
        <v>9.5142857142849451</v>
      </c>
      <c r="E15" s="3">
        <v>13.42202918457143</v>
      </c>
      <c r="F15" s="3">
        <v>10.16143595587266</v>
      </c>
      <c r="G15" s="3">
        <v>-9.2663433631592564</v>
      </c>
      <c r="H15" s="3">
        <v>-15594449.615661001</v>
      </c>
      <c r="I15" s="3">
        <v>16.00028842181398</v>
      </c>
      <c r="J15" s="3">
        <v>1682912.99</v>
      </c>
      <c r="K15" s="3">
        <v>24.37858596323116</v>
      </c>
      <c r="L15" s="3">
        <v>0.1079174341818326</v>
      </c>
    </row>
    <row r="16" spans="1:12" s="4" customFormat="1" x14ac:dyDescent="0.3">
      <c r="A16" s="4" t="s">
        <v>14</v>
      </c>
      <c r="B16" s="4">
        <v>100</v>
      </c>
      <c r="C16" s="4">
        <v>12.836970474967909</v>
      </c>
      <c r="D16" s="4">
        <v>9.6428571428561547</v>
      </c>
      <c r="E16" s="4">
        <v>11.516318547328121</v>
      </c>
      <c r="F16" s="4">
        <v>8.2750352731930228</v>
      </c>
      <c r="G16" s="4">
        <v>-18.94385528227405</v>
      </c>
      <c r="H16" s="4">
        <v>-20065054.745259002</v>
      </c>
      <c r="I16" s="4">
        <v>20.5872391162311</v>
      </c>
      <c r="J16" s="4">
        <v>1059185.3899999999</v>
      </c>
      <c r="K16" s="4">
        <v>15.34330190244328</v>
      </c>
      <c r="L16" s="4">
        <v>5.278756541894139E-2</v>
      </c>
    </row>
    <row r="17" spans="1:12" s="5" customFormat="1" x14ac:dyDescent="0.3">
      <c r="A17" s="5" t="s">
        <v>15</v>
      </c>
      <c r="B17" s="5">
        <v>49</v>
      </c>
      <c r="C17" s="5">
        <v>6.2901155327342746</v>
      </c>
      <c r="D17" s="5">
        <v>10.62499999999959</v>
      </c>
      <c r="E17" s="5">
        <v>14.576219647037041</v>
      </c>
      <c r="F17" s="5">
        <v>10.34564329506007</v>
      </c>
      <c r="G17" s="5">
        <v>-55.284197299399999</v>
      </c>
      <c r="H17" s="5">
        <v>-22696347.270039</v>
      </c>
      <c r="I17" s="5">
        <v>23.287009890850939</v>
      </c>
      <c r="J17" s="5">
        <v>410539.51</v>
      </c>
      <c r="K17" s="5">
        <v>5.9470529940099874</v>
      </c>
      <c r="L17" s="5">
        <v>1.8088351623961319E-2</v>
      </c>
    </row>
    <row r="18" spans="1:12" s="2" customFormat="1" x14ac:dyDescent="0.3">
      <c r="A18" s="2" t="s">
        <v>16</v>
      </c>
      <c r="B18" s="2">
        <v>98</v>
      </c>
      <c r="C18" s="2">
        <v>12.580231065468549</v>
      </c>
      <c r="D18" s="2">
        <v>12.043478260868939</v>
      </c>
      <c r="E18" s="2">
        <v>12.950409732539679</v>
      </c>
      <c r="F18" s="2">
        <v>11.15399338985277</v>
      </c>
      <c r="G18" s="2">
        <v>-49.062215899826583</v>
      </c>
      <c r="H18" s="2">
        <v>-44402545.682161003</v>
      </c>
      <c r="I18" s="2">
        <v>45.558102728028402</v>
      </c>
      <c r="J18" s="2">
        <v>905025.28</v>
      </c>
      <c r="K18" s="2">
        <v>13.11014694073836</v>
      </c>
      <c r="L18" s="2">
        <v>2.0382283630273921E-2</v>
      </c>
    </row>
    <row r="19" spans="1:12" s="3" customFormat="1" x14ac:dyDescent="0.3">
      <c r="A19" s="3" t="s">
        <v>17</v>
      </c>
      <c r="B19" s="3">
        <v>182</v>
      </c>
      <c r="C19" s="3">
        <v>23.363286264441591</v>
      </c>
      <c r="D19" s="3">
        <v>15.59999999999658</v>
      </c>
      <c r="E19" s="3">
        <v>12.45022920520438</v>
      </c>
      <c r="F19" s="3">
        <v>10.76178862057685</v>
      </c>
      <c r="G19" s="3">
        <v>8.462321991248464</v>
      </c>
      <c r="H19" s="3">
        <v>12751131.370712999</v>
      </c>
      <c r="I19" s="3">
        <v>-13.082974049366619</v>
      </c>
      <c r="J19" s="3">
        <v>1506812.36</v>
      </c>
      <c r="K19" s="3">
        <v>21.827601823145489</v>
      </c>
      <c r="L19" s="3">
        <v>0.118170875680951</v>
      </c>
    </row>
    <row r="20" spans="1:12" s="4" customFormat="1" x14ac:dyDescent="0.3">
      <c r="A20" s="4" t="s">
        <v>18</v>
      </c>
      <c r="B20" s="4">
        <v>108</v>
      </c>
      <c r="C20" s="4">
        <v>13.86392811296534</v>
      </c>
      <c r="D20" s="4">
        <v>12.900000000000651</v>
      </c>
      <c r="E20" s="4">
        <v>12.38822819229487</v>
      </c>
      <c r="F20" s="4">
        <v>10.65287711190955</v>
      </c>
      <c r="G20" s="4">
        <v>1.308427015320782</v>
      </c>
      <c r="H20" s="4">
        <v>1174485.6053411299</v>
      </c>
      <c r="I20" s="4">
        <v>-1.2050510852178169</v>
      </c>
      <c r="J20" s="4">
        <v>897631.73</v>
      </c>
      <c r="K20" s="4">
        <v>13.00304437790863</v>
      </c>
      <c r="L20" s="4">
        <v>0.76427648488657496</v>
      </c>
    </row>
    <row r="21" spans="1:12" s="5" customFormat="1" x14ac:dyDescent="0.3">
      <c r="A21" s="5" t="s">
        <v>19</v>
      </c>
      <c r="B21" s="5">
        <v>28</v>
      </c>
      <c r="C21" s="5">
        <v>3.5943517329910142</v>
      </c>
      <c r="D21" s="5">
        <v>10.499999999999449</v>
      </c>
      <c r="E21" s="5">
        <v>12.895262183529409</v>
      </c>
      <c r="F21" s="5">
        <v>9.4857072619231992</v>
      </c>
      <c r="G21" s="5">
        <v>-15.87366828332091</v>
      </c>
      <c r="H21" s="5">
        <v>-3319782.3166</v>
      </c>
      <c r="I21" s="5">
        <v>3.4061782154782558</v>
      </c>
      <c r="J21" s="5">
        <v>209137.69</v>
      </c>
      <c r="K21" s="5">
        <v>3.0295571928627099</v>
      </c>
      <c r="L21" s="5">
        <v>6.299741068992476E-2</v>
      </c>
    </row>
    <row r="22" spans="1:12" s="2" customFormat="1" x14ac:dyDescent="0.3">
      <c r="A22" s="2" t="s">
        <v>20</v>
      </c>
      <c r="B22" s="2">
        <v>28</v>
      </c>
      <c r="C22" s="2">
        <v>3.5943517329910142</v>
      </c>
      <c r="D22" s="2">
        <v>9.9999999999988969</v>
      </c>
      <c r="E22" s="2">
        <v>13.567292644285709</v>
      </c>
      <c r="F22" s="2">
        <v>11.02245330366665</v>
      </c>
      <c r="G22" s="2">
        <v>-22.892408766260761</v>
      </c>
      <c r="H22" s="2">
        <v>-5310990.5307900002</v>
      </c>
      <c r="I22" s="2">
        <v>5.4492067621817748</v>
      </c>
      <c r="J22" s="2">
        <v>231997.89</v>
      </c>
      <c r="K22" s="2">
        <v>3.3607088056603849</v>
      </c>
      <c r="L22" s="2">
        <v>4.3682602831809372E-2</v>
      </c>
    </row>
    <row r="23" spans="1:12" x14ac:dyDescent="0.3">
      <c r="A23" s="1" t="s">
        <v>22</v>
      </c>
      <c r="D23" s="8"/>
    </row>
    <row r="24" spans="1:12" x14ac:dyDescent="0.3"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</row>
    <row r="25" spans="1:12" x14ac:dyDescent="0.3">
      <c r="A25" t="s">
        <v>12</v>
      </c>
    </row>
    <row r="26" spans="1:12" s="3" customFormat="1" x14ac:dyDescent="0.3">
      <c r="A26" s="3" t="s">
        <v>13</v>
      </c>
      <c r="B26" s="3">
        <v>209</v>
      </c>
      <c r="C26" s="3">
        <v>26.829268292682929</v>
      </c>
      <c r="D26" s="3">
        <v>13.3255813953483</v>
      </c>
      <c r="E26" s="3">
        <v>10.145633329578949</v>
      </c>
      <c r="F26" s="3">
        <v>8.5665631454708979</v>
      </c>
      <c r="G26" s="3">
        <v>-16.700578912690339</v>
      </c>
      <c r="H26" s="3">
        <v>-11730998</v>
      </c>
      <c r="I26" s="3">
        <v>28.365262333263381</v>
      </c>
      <c r="J26" s="3">
        <v>702430.62</v>
      </c>
      <c r="K26" s="3">
        <v>31.801280469099868</v>
      </c>
      <c r="L26" s="3">
        <v>5.9878163818628219E-2</v>
      </c>
    </row>
    <row r="27" spans="1:12" s="4" customFormat="1" x14ac:dyDescent="0.3">
      <c r="A27" s="4" t="s">
        <v>14</v>
      </c>
      <c r="B27" s="4">
        <v>86</v>
      </c>
      <c r="C27" s="4">
        <v>11.0397946084724</v>
      </c>
      <c r="D27" s="4">
        <v>11.78571428571162</v>
      </c>
      <c r="E27" s="4">
        <v>10.15061408109375</v>
      </c>
      <c r="F27" s="4">
        <v>9.4531982073895264</v>
      </c>
      <c r="G27" s="4">
        <v>-5.0382891985779494</v>
      </c>
      <c r="H27" s="4">
        <v>-1183878</v>
      </c>
      <c r="I27" s="4">
        <v>2.8625876537170312</v>
      </c>
      <c r="J27" s="4">
        <v>234976.19</v>
      </c>
      <c r="K27" s="4">
        <v>10.63812355126333</v>
      </c>
      <c r="L27" s="4">
        <v>0.19848007142627869</v>
      </c>
    </row>
    <row r="28" spans="1:12" s="5" customFormat="1" x14ac:dyDescent="0.3">
      <c r="A28" s="5" t="s">
        <v>15</v>
      </c>
      <c r="B28" s="5">
        <v>39</v>
      </c>
      <c r="C28" s="5">
        <v>5.006418485237484</v>
      </c>
      <c r="D28" s="5">
        <v>10.99999999999565</v>
      </c>
      <c r="E28" s="5">
        <v>9.5554077466538452</v>
      </c>
      <c r="F28" s="5">
        <v>7.5587346797857489</v>
      </c>
      <c r="G28" s="5">
        <v>-30.26588230695565</v>
      </c>
      <c r="H28" s="5">
        <v>-3871536</v>
      </c>
      <c r="I28" s="5">
        <v>9.3612780662543091</v>
      </c>
      <c r="J28" s="5">
        <v>127917.5</v>
      </c>
      <c r="K28" s="5">
        <v>5.7912342921583946</v>
      </c>
      <c r="L28" s="5">
        <v>3.3040503820705787E-2</v>
      </c>
    </row>
    <row r="29" spans="1:12" s="2" customFormat="1" x14ac:dyDescent="0.3">
      <c r="A29" s="2" t="s">
        <v>16</v>
      </c>
      <c r="B29" s="2">
        <v>134</v>
      </c>
      <c r="C29" s="2">
        <v>17.201540436457002</v>
      </c>
      <c r="D29" s="2">
        <v>14.0800000000001</v>
      </c>
      <c r="E29" s="2">
        <v>10.01319729215054</v>
      </c>
      <c r="F29" s="2">
        <v>8.8220709529482821</v>
      </c>
      <c r="G29" s="2">
        <v>-22.491897555436321</v>
      </c>
      <c r="H29" s="2">
        <v>-11527853</v>
      </c>
      <c r="I29" s="2">
        <v>27.87406275956209</v>
      </c>
      <c r="J29" s="2">
        <v>512533.59</v>
      </c>
      <c r="K29" s="2">
        <v>23.204034649606591</v>
      </c>
      <c r="L29" s="2">
        <v>4.4460455038765667E-2</v>
      </c>
    </row>
    <row r="30" spans="1:12" s="3" customFormat="1" x14ac:dyDescent="0.3">
      <c r="A30" s="3" t="s">
        <v>17</v>
      </c>
      <c r="B30" s="3">
        <v>158</v>
      </c>
      <c r="C30" s="3">
        <v>20.282413350449289</v>
      </c>
      <c r="D30" s="3">
        <v>12.17647058823154</v>
      </c>
      <c r="E30" s="3">
        <v>10.18641877957778</v>
      </c>
      <c r="F30" s="3">
        <v>8.463235899677942</v>
      </c>
      <c r="G30" s="3">
        <v>-23.025535520998371</v>
      </c>
      <c r="H30" s="3">
        <v>-7361132</v>
      </c>
      <c r="I30" s="3">
        <v>17.799034681429472</v>
      </c>
      <c r="J30" s="3">
        <v>319694.28000000003</v>
      </c>
      <c r="K30" s="3">
        <v>14.473582405401039</v>
      </c>
      <c r="L30" s="3">
        <v>4.3430043096632419E-2</v>
      </c>
    </row>
    <row r="31" spans="1:12" s="4" customFormat="1" x14ac:dyDescent="0.3">
      <c r="A31" s="4" t="s">
        <v>18</v>
      </c>
      <c r="B31" s="4">
        <v>81</v>
      </c>
      <c r="C31" s="4">
        <v>10.397946084724</v>
      </c>
      <c r="D31" s="4">
        <v>16.857142857142069</v>
      </c>
      <c r="E31" s="4">
        <v>10.391905170905661</v>
      </c>
      <c r="F31" s="4">
        <v>8.1727970001993295</v>
      </c>
      <c r="G31" s="4">
        <v>-1.035545201249719</v>
      </c>
      <c r="H31" s="4">
        <v>-148572</v>
      </c>
      <c r="I31" s="4">
        <v>0.35924341265573551</v>
      </c>
      <c r="J31" s="4">
        <v>143472.25</v>
      </c>
      <c r="K31" s="4">
        <v>6.495447567167294</v>
      </c>
      <c r="L31" s="4">
        <v>0.96567489163503217</v>
      </c>
    </row>
    <row r="32" spans="1:12" s="5" customFormat="1" x14ac:dyDescent="0.3">
      <c r="A32" s="5" t="s">
        <v>19</v>
      </c>
      <c r="B32" s="5">
        <v>25</v>
      </c>
      <c r="C32" s="5">
        <v>3.2092426187419769</v>
      </c>
      <c r="E32" s="5">
        <v>9.4227985869374997</v>
      </c>
      <c r="F32" s="5">
        <v>7.4412996206336803</v>
      </c>
      <c r="G32" s="5">
        <v>-33.018846697392711</v>
      </c>
      <c r="H32" s="5">
        <v>-2289229</v>
      </c>
      <c r="I32" s="5">
        <v>5.5352989682475613</v>
      </c>
      <c r="J32" s="5">
        <v>69330.98</v>
      </c>
      <c r="K32" s="5">
        <v>3.138835178024491</v>
      </c>
      <c r="L32" s="5">
        <v>3.028573375577541E-2</v>
      </c>
    </row>
    <row r="33" spans="1:12" s="2" customFormat="1" x14ac:dyDescent="0.3">
      <c r="A33" s="2" t="s">
        <v>20</v>
      </c>
      <c r="B33" s="2">
        <v>47</v>
      </c>
      <c r="C33" s="2">
        <v>6.033376123234917</v>
      </c>
      <c r="D33" s="2">
        <v>16.750000000001751</v>
      </c>
      <c r="E33" s="2">
        <v>9.9811130559687502</v>
      </c>
      <c r="F33" s="2">
        <v>9.1912156820474742</v>
      </c>
      <c r="G33" s="2">
        <v>-32.945549715779393</v>
      </c>
      <c r="H33" s="2">
        <v>-3243719</v>
      </c>
      <c r="I33" s="2">
        <v>7.8432321248704291</v>
      </c>
      <c r="J33" s="2">
        <v>98456.97</v>
      </c>
      <c r="K33" s="2">
        <v>4.4574618872789911</v>
      </c>
      <c r="L33" s="2">
        <v>3.0353113201235991E-2</v>
      </c>
    </row>
    <row r="34" spans="1:12" x14ac:dyDescent="0.3">
      <c r="A34" s="1" t="s">
        <v>23</v>
      </c>
      <c r="D34" s="8"/>
    </row>
    <row r="35" spans="1:12" x14ac:dyDescent="0.3"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</row>
    <row r="36" spans="1:12" x14ac:dyDescent="0.3">
      <c r="A36" t="s">
        <v>12</v>
      </c>
    </row>
    <row r="37" spans="1:12" s="3" customFormat="1" x14ac:dyDescent="0.3">
      <c r="A37" s="3" t="s">
        <v>13</v>
      </c>
      <c r="B37" s="3">
        <v>228</v>
      </c>
      <c r="C37" s="3">
        <v>29.45736434108527</v>
      </c>
      <c r="D37" s="3">
        <v>21.090909090912639</v>
      </c>
      <c r="E37" s="3">
        <v>26.65807651472868</v>
      </c>
      <c r="F37" s="3">
        <v>23.79990911940067</v>
      </c>
      <c r="G37" s="3">
        <v>-24.512778883793139</v>
      </c>
      <c r="H37" s="3">
        <v>-75429924.799999997</v>
      </c>
      <c r="I37" s="3">
        <v>19.789028942150679</v>
      </c>
      <c r="J37" s="3">
        <v>3077167.43</v>
      </c>
      <c r="K37" s="3">
        <v>25.860385897600089</v>
      </c>
      <c r="L37" s="3">
        <v>4.0795048359905037E-2</v>
      </c>
    </row>
    <row r="38" spans="1:12" s="4" customFormat="1" x14ac:dyDescent="0.3">
      <c r="A38" s="4" t="s">
        <v>14</v>
      </c>
      <c r="B38" s="4">
        <v>58</v>
      </c>
      <c r="C38" s="4">
        <v>7.4935400516795871</v>
      </c>
      <c r="D38" s="4">
        <v>21.200000000003449</v>
      </c>
      <c r="E38" s="4">
        <v>25.992435663125001</v>
      </c>
      <c r="F38" s="4">
        <v>23.215924176734891</v>
      </c>
      <c r="G38" s="4">
        <v>-14.62915967758703</v>
      </c>
      <c r="H38" s="4">
        <v>-11076314.789999999</v>
      </c>
      <c r="I38" s="4">
        <v>2.905869448138195</v>
      </c>
      <c r="J38" s="4">
        <v>757139.51</v>
      </c>
      <c r="K38" s="4">
        <v>6.3629686561838579</v>
      </c>
      <c r="L38" s="4">
        <v>6.83566262204435E-2</v>
      </c>
    </row>
    <row r="39" spans="1:12" s="5" customFormat="1" x14ac:dyDescent="0.3">
      <c r="A39" s="5" t="s">
        <v>15</v>
      </c>
      <c r="B39" s="5">
        <v>47</v>
      </c>
      <c r="C39" s="5">
        <v>6.0723514211886309</v>
      </c>
      <c r="D39" s="5">
        <v>20.200000000004358</v>
      </c>
      <c r="E39" s="5">
        <v>29.710637438461539</v>
      </c>
      <c r="F39" s="5">
        <v>27.84880148521632</v>
      </c>
      <c r="G39" s="5">
        <v>-50.370990406588128</v>
      </c>
      <c r="H39" s="5">
        <v>-42991445.880000003</v>
      </c>
      <c r="I39" s="5">
        <v>11.27879908458061</v>
      </c>
      <c r="J39" s="5">
        <v>853496.14</v>
      </c>
      <c r="K39" s="5">
        <v>7.172745729507513</v>
      </c>
      <c r="L39" s="5">
        <v>1.985269679885444E-2</v>
      </c>
    </row>
    <row r="40" spans="1:12" s="2" customFormat="1" x14ac:dyDescent="0.3">
      <c r="A40" s="2" t="s">
        <v>16</v>
      </c>
      <c r="B40" s="2">
        <v>89</v>
      </c>
      <c r="C40" s="2">
        <v>11.498708010335919</v>
      </c>
      <c r="D40" s="2">
        <v>19.00000000000545</v>
      </c>
      <c r="E40" s="2">
        <v>31.712538887627119</v>
      </c>
      <c r="F40" s="2">
        <v>29.780641705567991</v>
      </c>
      <c r="G40" s="2">
        <v>-68.249511511707126</v>
      </c>
      <c r="H40" s="2">
        <v>-93227783.730000004</v>
      </c>
      <c r="I40" s="2">
        <v>24.458294441326739</v>
      </c>
      <c r="J40" s="2">
        <v>1365984.63</v>
      </c>
      <c r="K40" s="2">
        <v>11.47967748442939</v>
      </c>
      <c r="L40" s="2">
        <v>1.4652119522180989E-2</v>
      </c>
    </row>
    <row r="41" spans="1:12" s="3" customFormat="1" x14ac:dyDescent="0.3">
      <c r="A41" s="3" t="s">
        <v>17</v>
      </c>
      <c r="B41" s="3">
        <v>203</v>
      </c>
      <c r="C41" s="3">
        <v>26.227390180878551</v>
      </c>
      <c r="D41" s="3">
        <v>20.571428571432591</v>
      </c>
      <c r="E41" s="3">
        <v>28.11334025109489</v>
      </c>
      <c r="F41" s="3">
        <v>25.45097491542192</v>
      </c>
      <c r="G41" s="3">
        <v>-27.085429538877861</v>
      </c>
      <c r="H41" s="3">
        <v>-89253858.379999995</v>
      </c>
      <c r="I41" s="3">
        <v>23.415735748956202</v>
      </c>
      <c r="J41" s="3">
        <v>3295272.03</v>
      </c>
      <c r="K41" s="3">
        <v>27.69332779964072</v>
      </c>
      <c r="L41" s="3">
        <v>3.6920219358700622E-2</v>
      </c>
    </row>
    <row r="42" spans="1:12" s="4" customFormat="1" x14ac:dyDescent="0.3">
      <c r="A42" s="4" t="s">
        <v>18</v>
      </c>
      <c r="B42" s="4">
        <v>45</v>
      </c>
      <c r="C42" s="4">
        <v>5.8139534883720927</v>
      </c>
      <c r="D42" s="4">
        <v>21.750000000002949</v>
      </c>
      <c r="E42" s="4">
        <v>27.124967325428571</v>
      </c>
      <c r="F42" s="4">
        <v>25.564200568361962</v>
      </c>
      <c r="G42" s="4">
        <v>-16.05507817468812</v>
      </c>
      <c r="H42" s="4">
        <v>-12538455.09</v>
      </c>
      <c r="I42" s="4">
        <v>3.2894617265463122</v>
      </c>
      <c r="J42" s="4">
        <v>780965.06</v>
      </c>
      <c r="K42" s="4">
        <v>6.5631975781514109</v>
      </c>
      <c r="L42" s="4">
        <v>6.2285588965649841E-2</v>
      </c>
    </row>
    <row r="43" spans="1:12" s="5" customFormat="1" x14ac:dyDescent="0.3">
      <c r="A43" s="5" t="s">
        <v>19</v>
      </c>
      <c r="B43" s="5">
        <v>54</v>
      </c>
      <c r="C43" s="5">
        <v>6.9767441860465116</v>
      </c>
      <c r="D43" s="5">
        <v>20.600000000003991</v>
      </c>
      <c r="E43" s="5">
        <v>30.53586442522727</v>
      </c>
      <c r="F43" s="5">
        <v>28.286124051068789</v>
      </c>
      <c r="G43" s="5">
        <v>-29.448502533241999</v>
      </c>
      <c r="H43" s="5">
        <v>-30238560.800000001</v>
      </c>
      <c r="I43" s="5">
        <v>7.9330816837853053</v>
      </c>
      <c r="J43" s="5">
        <v>1026828.47</v>
      </c>
      <c r="K43" s="5">
        <v>8.6294233540754295</v>
      </c>
      <c r="L43" s="5">
        <v>3.395758405274367E-2</v>
      </c>
    </row>
    <row r="44" spans="1:12" s="2" customFormat="1" x14ac:dyDescent="0.3">
      <c r="A44" s="2" t="s">
        <v>20</v>
      </c>
      <c r="B44" s="2">
        <v>50</v>
      </c>
      <c r="C44" s="2">
        <v>6.459948320413436</v>
      </c>
      <c r="D44" s="2">
        <v>22.750000000002039</v>
      </c>
      <c r="E44" s="2">
        <v>31.10896304195122</v>
      </c>
      <c r="F44" s="2">
        <v>29.641390081060081</v>
      </c>
      <c r="G44" s="2">
        <v>-35.584011040576158</v>
      </c>
      <c r="H44" s="2">
        <v>-26414076.870000001</v>
      </c>
      <c r="I44" s="2">
        <v>6.9297289245159472</v>
      </c>
      <c r="J44" s="2">
        <v>742301.84</v>
      </c>
      <c r="K44" s="2">
        <v>6.2382735004115757</v>
      </c>
      <c r="L44" s="2">
        <v>2.810250926630244E-2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486F-1D2D-4E90-BFEF-53FB9D47F42F}">
  <dimension ref="A1:L61"/>
  <sheetViews>
    <sheetView zoomScale="70" zoomScaleNormal="70" workbookViewId="0">
      <selection activeCell="A87" sqref="A87"/>
    </sheetView>
  </sheetViews>
  <sheetFormatPr defaultRowHeight="14.4" x14ac:dyDescent="0.3"/>
  <cols>
    <col min="1" max="1" width="53" customWidth="1"/>
    <col min="2" max="2" width="22" customWidth="1"/>
    <col min="3" max="3" width="27" customWidth="1"/>
    <col min="4" max="4" width="26" customWidth="1"/>
    <col min="5" max="5" width="33" customWidth="1"/>
    <col min="6" max="6" width="35" customWidth="1"/>
    <col min="7" max="9" width="21" customWidth="1"/>
    <col min="10" max="11" width="20" customWidth="1"/>
    <col min="12" max="12" width="31" customWidth="1"/>
  </cols>
  <sheetData>
    <row r="1" spans="1:12" x14ac:dyDescent="0.3">
      <c r="A1" s="1" t="s">
        <v>0</v>
      </c>
      <c r="D1" s="8"/>
    </row>
    <row r="2" spans="1:12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t="s">
        <v>12</v>
      </c>
    </row>
    <row r="4" spans="1:12" s="3" customFormat="1" x14ac:dyDescent="0.3">
      <c r="A4" s="3" t="s">
        <v>13</v>
      </c>
      <c r="B4" s="3">
        <v>6</v>
      </c>
      <c r="C4" s="3">
        <v>9.2307692307692317</v>
      </c>
      <c r="D4" s="3">
        <v>8.7500000000010871</v>
      </c>
      <c r="E4" s="3">
        <v>15.710562341833329</v>
      </c>
      <c r="F4" s="3">
        <v>10.765622391046801</v>
      </c>
      <c r="G4" s="32">
        <v>-16.763225652846391</v>
      </c>
      <c r="H4" s="3">
        <v>-2027036.57</v>
      </c>
      <c r="I4" s="3">
        <v>21.426773010434861</v>
      </c>
      <c r="J4" s="3">
        <v>120921.63</v>
      </c>
      <c r="K4" s="3">
        <v>10.10408073937411</v>
      </c>
      <c r="L4" s="3">
        <v>5.9654389955086012E-2</v>
      </c>
    </row>
    <row r="5" spans="1:12" s="4" customFormat="1" x14ac:dyDescent="0.3">
      <c r="A5" s="4" t="s">
        <v>14</v>
      </c>
      <c r="B5" s="4">
        <v>3</v>
      </c>
      <c r="C5" s="4">
        <v>4.6153846153846159</v>
      </c>
      <c r="D5" s="4">
        <v>11.999999999995</v>
      </c>
      <c r="E5" s="4">
        <v>12.822736941666671</v>
      </c>
      <c r="F5" s="4">
        <v>12.673816693143991</v>
      </c>
      <c r="G5" s="37">
        <v>-16.069190529110269</v>
      </c>
      <c r="H5" s="4">
        <v>-790217.71</v>
      </c>
      <c r="I5" s="4">
        <v>8.3529896557296173</v>
      </c>
      <c r="J5" s="4">
        <v>49175.95</v>
      </c>
      <c r="K5" s="4">
        <v>4.1090892442933828</v>
      </c>
      <c r="L5" s="4">
        <v>6.2230888244709182E-2</v>
      </c>
    </row>
    <row r="6" spans="1:12" s="5" customFormat="1" x14ac:dyDescent="0.3">
      <c r="A6" s="5" t="s">
        <v>15</v>
      </c>
      <c r="B6" s="39">
        <v>3</v>
      </c>
      <c r="C6" s="5">
        <v>4.6153846153846159</v>
      </c>
      <c r="D6" s="5">
        <v>7.0000000000014504</v>
      </c>
      <c r="E6" s="5">
        <v>8.2786295086666666</v>
      </c>
      <c r="F6" s="5">
        <v>8.2658030293746911</v>
      </c>
      <c r="G6" s="39">
        <v>1.194775282923771</v>
      </c>
      <c r="H6" s="5">
        <v>80882.320000000007</v>
      </c>
      <c r="I6" s="5">
        <v>-0.85496588312531341</v>
      </c>
      <c r="J6" s="5">
        <v>67696.679999999993</v>
      </c>
      <c r="K6" s="5">
        <v>5.6566614302798612</v>
      </c>
      <c r="L6" s="5">
        <v>0.8369774754235535</v>
      </c>
    </row>
    <row r="7" spans="1:12" s="2" customFormat="1" x14ac:dyDescent="0.3">
      <c r="A7" s="2" t="s">
        <v>16</v>
      </c>
      <c r="B7" s="40"/>
      <c r="G7" s="40"/>
    </row>
    <row r="8" spans="1:12" s="3" customFormat="1" x14ac:dyDescent="0.3">
      <c r="A8" s="3" t="s">
        <v>17</v>
      </c>
      <c r="B8" s="3">
        <v>27</v>
      </c>
      <c r="C8" s="3">
        <v>41.53846153846154</v>
      </c>
      <c r="D8" s="3">
        <v>8.6666666666691654</v>
      </c>
      <c r="E8" s="3">
        <v>11.56844827585185</v>
      </c>
      <c r="F8" s="3">
        <v>10.67257942615486</v>
      </c>
      <c r="G8" s="3">
        <v>-9.6738598503427173</v>
      </c>
      <c r="H8" s="3">
        <v>-4888238.53</v>
      </c>
      <c r="I8" s="3">
        <v>51.671084258322892</v>
      </c>
      <c r="J8" s="3">
        <v>505303.84</v>
      </c>
      <c r="K8" s="3">
        <v>42.22264285782267</v>
      </c>
      <c r="L8" s="3">
        <v>0.1033713549162667</v>
      </c>
    </row>
    <row r="9" spans="1:12" s="4" customFormat="1" x14ac:dyDescent="0.3">
      <c r="A9" s="4" t="s">
        <v>18</v>
      </c>
      <c r="B9" s="4">
        <v>18</v>
      </c>
      <c r="C9" s="4">
        <v>27.69230769230769</v>
      </c>
      <c r="D9" s="4">
        <v>12.06249999999465</v>
      </c>
      <c r="E9" s="4">
        <v>12.62416559488889</v>
      </c>
      <c r="F9" s="4">
        <v>12.269515311410419</v>
      </c>
      <c r="G9" s="4">
        <v>-1.1581527966028951</v>
      </c>
      <c r="H9" s="4">
        <v>-295201.52</v>
      </c>
      <c r="I9" s="4">
        <v>3.120425183732797</v>
      </c>
      <c r="J9" s="4">
        <v>254889.96</v>
      </c>
      <c r="K9" s="4">
        <v>21.298329632968361</v>
      </c>
      <c r="L9" s="4">
        <v>0.86344392806649495</v>
      </c>
    </row>
    <row r="10" spans="1:12" s="5" customFormat="1" x14ac:dyDescent="0.3">
      <c r="A10" s="5" t="s">
        <v>19</v>
      </c>
      <c r="B10" s="5">
        <v>7</v>
      </c>
      <c r="C10" s="5">
        <v>10.76923076923077</v>
      </c>
      <c r="D10" s="5">
        <v>7.0000000000014504</v>
      </c>
      <c r="E10" s="5">
        <v>9.0149257748571436</v>
      </c>
      <c r="F10" s="5">
        <v>9.1985447689863538</v>
      </c>
      <c r="G10" s="5">
        <v>-9.9300976208349283</v>
      </c>
      <c r="H10" s="5">
        <v>-1770740.37</v>
      </c>
      <c r="I10" s="5">
        <v>18.717596184465211</v>
      </c>
      <c r="J10" s="5">
        <v>178320.54</v>
      </c>
      <c r="K10" s="5">
        <v>14.900271635842071</v>
      </c>
      <c r="L10" s="5">
        <v>0.1007039445314053</v>
      </c>
    </row>
    <row r="11" spans="1:12" s="2" customFormat="1" x14ac:dyDescent="0.3">
      <c r="A11" s="2" t="s">
        <v>20</v>
      </c>
      <c r="B11" s="40">
        <v>1</v>
      </c>
      <c r="C11" s="2">
        <v>1.538461538461539</v>
      </c>
      <c r="D11" s="2">
        <v>7.0000000000014504</v>
      </c>
      <c r="E11" s="2">
        <v>8.3313079329999997</v>
      </c>
      <c r="F11" s="2">
        <v>8.3313079329999997</v>
      </c>
      <c r="G11" s="40">
        <v>11.2584324162308</v>
      </c>
      <c r="H11" s="2">
        <v>230254.42</v>
      </c>
      <c r="I11" s="2">
        <v>-2.433902409560047</v>
      </c>
      <c r="J11" s="2">
        <v>20451.73</v>
      </c>
      <c r="K11" s="2">
        <v>1.7089244594195401</v>
      </c>
      <c r="L11" s="2">
        <v>8.8822312292636985E-2</v>
      </c>
    </row>
    <row r="12" spans="1:12" x14ac:dyDescent="0.3">
      <c r="A12" s="1" t="s">
        <v>21</v>
      </c>
      <c r="D12" s="8"/>
    </row>
    <row r="13" spans="1:12" x14ac:dyDescent="0.3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 x14ac:dyDescent="0.3">
      <c r="A14" t="s">
        <v>12</v>
      </c>
    </row>
    <row r="15" spans="1:12" s="3" customFormat="1" x14ac:dyDescent="0.3">
      <c r="A15" s="3" t="s">
        <v>13</v>
      </c>
      <c r="B15" s="3">
        <v>5</v>
      </c>
      <c r="C15" s="3">
        <v>7.6923076923076934</v>
      </c>
      <c r="D15" s="3">
        <v>11.999999999999449</v>
      </c>
      <c r="E15" s="3">
        <v>15.237532401999999</v>
      </c>
      <c r="F15" s="3">
        <v>15.15187889178908</v>
      </c>
      <c r="G15" s="35">
        <v>4.3749036399506869</v>
      </c>
      <c r="H15" s="3">
        <v>339214.67232999997</v>
      </c>
      <c r="I15" s="3">
        <v>34.808973473645047</v>
      </c>
      <c r="J15" s="3">
        <v>77536.489999999991</v>
      </c>
      <c r="K15" s="3">
        <v>8.6838226555912925</v>
      </c>
      <c r="L15" s="3">
        <v>0.2285764630032564</v>
      </c>
    </row>
    <row r="16" spans="1:12" s="4" customFormat="1" x14ac:dyDescent="0.3">
      <c r="A16" s="4" t="s">
        <v>14</v>
      </c>
      <c r="B16" s="4">
        <v>21</v>
      </c>
      <c r="C16" s="4">
        <v>32.307692307692307</v>
      </c>
      <c r="D16" s="4">
        <v>13.1578947368382</v>
      </c>
      <c r="E16" s="4">
        <v>16.28416419142857</v>
      </c>
      <c r="F16" s="4">
        <v>14.64213884346325</v>
      </c>
      <c r="G16" s="41">
        <v>-9.3698152121702023</v>
      </c>
      <c r="H16" s="4">
        <v>-3003231.1618499998</v>
      </c>
      <c r="I16" s="4">
        <v>-308.18063714638282</v>
      </c>
      <c r="J16" s="4">
        <v>320521.92</v>
      </c>
      <c r="K16" s="4">
        <v>35.897362783763107</v>
      </c>
      <c r="L16" s="4">
        <v>0.10672569067329379</v>
      </c>
    </row>
    <row r="17" spans="1:12" s="5" customFormat="1" x14ac:dyDescent="0.3">
      <c r="A17" s="5" t="s">
        <v>15</v>
      </c>
      <c r="G17" s="39"/>
    </row>
    <row r="18" spans="1:12" s="2" customFormat="1" x14ac:dyDescent="0.3">
      <c r="A18" s="2" t="s">
        <v>16</v>
      </c>
      <c r="G18" s="40"/>
    </row>
    <row r="19" spans="1:12" s="3" customFormat="1" x14ac:dyDescent="0.3">
      <c r="A19" s="3" t="s">
        <v>17</v>
      </c>
      <c r="B19" s="3">
        <v>21</v>
      </c>
      <c r="C19" s="3">
        <v>32.307692307692307</v>
      </c>
      <c r="D19" s="3">
        <v>8.0000000000079989</v>
      </c>
      <c r="E19" s="3">
        <v>14.341999294333331</v>
      </c>
      <c r="F19" s="3">
        <v>12.795026486698079</v>
      </c>
      <c r="G19" s="32">
        <v>2.619299354531702</v>
      </c>
      <c r="H19" s="3">
        <v>731082.15090000024</v>
      </c>
      <c r="I19" s="3">
        <v>75.020986040888445</v>
      </c>
      <c r="J19" s="3">
        <v>279113.63</v>
      </c>
      <c r="K19" s="3">
        <v>31.259775412561559</v>
      </c>
      <c r="L19" s="3">
        <v>0.38178148605652118</v>
      </c>
    </row>
    <row r="20" spans="1:12" s="4" customFormat="1" x14ac:dyDescent="0.3">
      <c r="A20" s="4" t="s">
        <v>18</v>
      </c>
      <c r="B20" s="4">
        <v>18</v>
      </c>
      <c r="C20" s="4">
        <v>27.69230769230769</v>
      </c>
      <c r="D20" s="4">
        <v>13.133333333329791</v>
      </c>
      <c r="E20" s="4">
        <v>14.597674332222221</v>
      </c>
      <c r="F20" s="4">
        <v>14.316631741371109</v>
      </c>
      <c r="G20" s="41">
        <v>13.478314702311559</v>
      </c>
      <c r="H20" s="4">
        <v>2907437.8602100001</v>
      </c>
      <c r="I20" s="4">
        <v>298.35067763184941</v>
      </c>
      <c r="J20" s="4">
        <v>215712.27</v>
      </c>
      <c r="K20" s="4">
        <v>24.15903914808403</v>
      </c>
      <c r="L20" s="4">
        <v>7.4193252056097045E-2</v>
      </c>
    </row>
    <row r="21" spans="1:12" s="5" customFormat="1" x14ac:dyDescent="0.3">
      <c r="A21" s="5" t="s">
        <v>19</v>
      </c>
      <c r="G21" s="39"/>
    </row>
    <row r="22" spans="1:12" s="2" customFormat="1" x14ac:dyDescent="0.3">
      <c r="A22" s="2" t="s">
        <v>20</v>
      </c>
      <c r="G22" s="40"/>
    </row>
    <row r="23" spans="1:12" x14ac:dyDescent="0.3">
      <c r="A23" s="1" t="s">
        <v>22</v>
      </c>
      <c r="D23" s="8"/>
    </row>
    <row r="24" spans="1:12" x14ac:dyDescent="0.3"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</row>
    <row r="25" spans="1:12" x14ac:dyDescent="0.3">
      <c r="A25" t="s">
        <v>12</v>
      </c>
    </row>
    <row r="26" spans="1:12" s="3" customFormat="1" x14ac:dyDescent="0.3">
      <c r="A26" s="3" t="s">
        <v>13</v>
      </c>
      <c r="B26" s="3">
        <v>12</v>
      </c>
      <c r="C26" s="3">
        <v>18.46153846153846</v>
      </c>
      <c r="D26" s="3">
        <v>12.199999999998511</v>
      </c>
      <c r="E26" s="3">
        <v>11.76529170625</v>
      </c>
      <c r="F26" s="3">
        <v>11.73045486735046</v>
      </c>
      <c r="G26" s="35">
        <v>-8.0445148153534927</v>
      </c>
      <c r="H26" s="3">
        <v>-608414.69999999995</v>
      </c>
      <c r="I26" s="3">
        <v>17.201888925336931</v>
      </c>
      <c r="J26" s="3">
        <v>75631</v>
      </c>
      <c r="K26" s="3">
        <v>19.083702211482422</v>
      </c>
      <c r="L26" s="3">
        <v>0.1243083048453629</v>
      </c>
    </row>
    <row r="27" spans="1:12" s="4" customFormat="1" x14ac:dyDescent="0.3">
      <c r="A27" s="4" t="s">
        <v>14</v>
      </c>
      <c r="B27" s="4">
        <v>15</v>
      </c>
      <c r="C27" s="4">
        <v>23.07692307692308</v>
      </c>
      <c r="D27" s="4">
        <v>11.599999999996591</v>
      </c>
      <c r="E27" s="4">
        <v>10.99352369713333</v>
      </c>
      <c r="F27" s="4">
        <v>10.75325428638619</v>
      </c>
      <c r="G27" s="4">
        <v>-3.1602223182192208</v>
      </c>
      <c r="H27" s="4">
        <v>-311277</v>
      </c>
      <c r="I27" s="4">
        <v>8.8008267699845302</v>
      </c>
      <c r="J27" s="4">
        <v>98498.45</v>
      </c>
      <c r="K27" s="4">
        <v>24.853764833105348</v>
      </c>
      <c r="L27" s="4">
        <v>0.31643343388685963</v>
      </c>
    </row>
    <row r="28" spans="1:12" s="5" customFormat="1" x14ac:dyDescent="0.3">
      <c r="A28" s="5" t="s">
        <v>15</v>
      </c>
      <c r="B28" s="5">
        <v>8</v>
      </c>
      <c r="C28" s="5">
        <v>12.30769230769231</v>
      </c>
      <c r="E28" s="5">
        <v>24.052429581249999</v>
      </c>
      <c r="F28" s="5">
        <v>15.31512701505152</v>
      </c>
      <c r="G28" s="39">
        <v>-11.31774280433792</v>
      </c>
      <c r="H28" s="5">
        <v>-392042.31</v>
      </c>
      <c r="I28" s="5">
        <v>11.08432828899846</v>
      </c>
      <c r="J28" s="5">
        <v>34639.620000000003</v>
      </c>
      <c r="K28" s="5">
        <v>8.7404925599147276</v>
      </c>
      <c r="L28" s="5">
        <v>8.835684087260888E-2</v>
      </c>
    </row>
    <row r="29" spans="1:12" s="2" customFormat="1" x14ac:dyDescent="0.3">
      <c r="A29" s="2" t="s">
        <v>16</v>
      </c>
      <c r="B29" s="40">
        <v>3</v>
      </c>
      <c r="C29" s="2">
        <v>4.6153846153846159</v>
      </c>
      <c r="E29" s="2">
        <v>12.50175993</v>
      </c>
      <c r="F29" s="2">
        <v>12.520344087198</v>
      </c>
      <c r="G29" s="40">
        <v>-1.1114207983337441</v>
      </c>
      <c r="H29" s="2">
        <v>-16520.669999999998</v>
      </c>
      <c r="I29" s="2">
        <v>0.46709379361173592</v>
      </c>
      <c r="J29" s="2">
        <v>14864.46</v>
      </c>
      <c r="K29" s="2">
        <v>3.7506965156416281</v>
      </c>
      <c r="L29" s="2">
        <v>0.89974922324578832</v>
      </c>
    </row>
    <row r="30" spans="1:12" s="3" customFormat="1" x14ac:dyDescent="0.3">
      <c r="A30" s="3" t="s">
        <v>17</v>
      </c>
      <c r="B30" s="3">
        <v>9</v>
      </c>
      <c r="C30" s="3">
        <v>13.84615384615385</v>
      </c>
      <c r="D30" s="3">
        <v>12.59999999999758</v>
      </c>
      <c r="E30" s="3">
        <v>11.87605021088889</v>
      </c>
      <c r="F30" s="3">
        <v>11.859572910426939</v>
      </c>
      <c r="G30" s="35">
        <v>-6.0181683272371584</v>
      </c>
      <c r="H30" s="3">
        <v>-370497.58</v>
      </c>
      <c r="I30" s="3">
        <v>10.47518775970754</v>
      </c>
      <c r="J30" s="3">
        <v>61563.18</v>
      </c>
      <c r="K30" s="3">
        <v>15.53401904393556</v>
      </c>
      <c r="L30" s="3">
        <v>0.1661635144823348</v>
      </c>
    </row>
    <row r="31" spans="1:12" s="4" customFormat="1" x14ac:dyDescent="0.3">
      <c r="A31" s="4" t="s">
        <v>18</v>
      </c>
      <c r="B31" s="4">
        <v>16</v>
      </c>
      <c r="C31" s="4">
        <v>24.61538461538462</v>
      </c>
      <c r="D31" s="4">
        <v>14.49999999999814</v>
      </c>
      <c r="E31" s="4">
        <v>12.523891518625</v>
      </c>
      <c r="F31" s="4">
        <v>12.631663030380411</v>
      </c>
      <c r="G31" s="37">
        <v>-15.14860345958262</v>
      </c>
      <c r="H31" s="4">
        <v>-1490854.96</v>
      </c>
      <c r="I31" s="4">
        <v>42.151383629796648</v>
      </c>
      <c r="J31" s="4">
        <v>98415.34</v>
      </c>
      <c r="K31" s="4">
        <v>24.83279398132769</v>
      </c>
      <c r="L31" s="4">
        <v>6.601268576790327E-2</v>
      </c>
    </row>
    <row r="32" spans="1:12" s="5" customFormat="1" x14ac:dyDescent="0.3">
      <c r="A32" s="5" t="s">
        <v>19</v>
      </c>
      <c r="B32" s="5">
        <v>2</v>
      </c>
      <c r="C32" s="5">
        <v>3.0769230769230771</v>
      </c>
      <c r="E32" s="5">
        <v>12.331920365</v>
      </c>
      <c r="F32" s="5">
        <v>12.385316297774921</v>
      </c>
      <c r="G32" s="5">
        <v>-27.34651659771621</v>
      </c>
      <c r="H32" s="5">
        <v>-347299.12</v>
      </c>
      <c r="I32" s="5">
        <v>9.8192908325641444</v>
      </c>
      <c r="J32" s="5">
        <v>12699.94</v>
      </c>
      <c r="K32" s="5">
        <v>3.204530854592615</v>
      </c>
      <c r="L32" s="5">
        <v>3.6567728706021478E-2</v>
      </c>
    </row>
    <row r="33" spans="1:12" s="2" customFormat="1" x14ac:dyDescent="0.3">
      <c r="A33" s="2" t="s">
        <v>20</v>
      </c>
    </row>
    <row r="34" spans="1:12" x14ac:dyDescent="0.3">
      <c r="A34" s="1" t="s">
        <v>23</v>
      </c>
      <c r="D34" s="8"/>
    </row>
    <row r="35" spans="1:12" x14ac:dyDescent="0.3"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</row>
    <row r="36" spans="1:12" x14ac:dyDescent="0.3">
      <c r="A36" t="s">
        <v>12</v>
      </c>
    </row>
    <row r="37" spans="1:12" s="3" customFormat="1" x14ac:dyDescent="0.3">
      <c r="A37" s="3" t="s">
        <v>13</v>
      </c>
      <c r="B37" s="3">
        <v>5</v>
      </c>
      <c r="C37" s="3">
        <v>8.064516129032258</v>
      </c>
      <c r="D37" s="3">
        <v>22.000000000002721</v>
      </c>
      <c r="E37" s="3">
        <v>31.176582593999999</v>
      </c>
      <c r="F37" s="35">
        <v>31.48675833970248</v>
      </c>
      <c r="G37" s="32">
        <v>-83.597714785328449</v>
      </c>
      <c r="H37" s="3">
        <v>-11481332.720000001</v>
      </c>
      <c r="I37" s="3">
        <v>21.474204109843988</v>
      </c>
      <c r="J37" s="3">
        <v>137340.26999999999</v>
      </c>
      <c r="K37" s="3">
        <v>8.4227946353269498</v>
      </c>
      <c r="L37" s="3">
        <v>1.1962049471901369E-2</v>
      </c>
    </row>
    <row r="38" spans="1:12" s="4" customFormat="1" x14ac:dyDescent="0.3">
      <c r="A38" s="4" t="s">
        <v>14</v>
      </c>
      <c r="B38" s="4">
        <v>1</v>
      </c>
      <c r="C38" s="4">
        <v>1.612903225806452</v>
      </c>
      <c r="D38" s="4">
        <v>23.000000000001808</v>
      </c>
      <c r="E38" s="4">
        <v>27.609434629999999</v>
      </c>
      <c r="F38" s="37">
        <v>27.609434629999999</v>
      </c>
      <c r="G38" s="37">
        <v>-51.472963436434519</v>
      </c>
      <c r="H38" s="4">
        <v>-1574741.71</v>
      </c>
      <c r="I38" s="4">
        <v>2.945330975551133</v>
      </c>
      <c r="J38" s="4">
        <v>30593.57</v>
      </c>
      <c r="K38" s="4">
        <v>1.8762403574093709</v>
      </c>
      <c r="L38" s="4">
        <v>1.9427674904222869E-2</v>
      </c>
    </row>
    <row r="39" spans="1:12" s="5" customFormat="1" x14ac:dyDescent="0.3">
      <c r="A39" s="5" t="s">
        <v>15</v>
      </c>
      <c r="B39" s="5">
        <v>9</v>
      </c>
      <c r="C39" s="5">
        <v>14.516129032258069</v>
      </c>
      <c r="D39" s="5">
        <v>22.625000000002149</v>
      </c>
      <c r="E39" s="5">
        <v>25.96229294555555</v>
      </c>
      <c r="F39" s="38">
        <v>25.989872131556481</v>
      </c>
      <c r="G39" s="39">
        <v>-27.652738557973471</v>
      </c>
      <c r="H39" s="5">
        <v>-6418788.2400000002</v>
      </c>
      <c r="I39" s="5">
        <v>12.005432833029699</v>
      </c>
      <c r="J39" s="5">
        <v>232121.25</v>
      </c>
      <c r="K39" s="5">
        <v>14.2355160598227</v>
      </c>
      <c r="L39" s="5">
        <v>3.6162783584834393E-2</v>
      </c>
    </row>
    <row r="40" spans="1:12" s="2" customFormat="1" x14ac:dyDescent="0.3">
      <c r="A40" s="2" t="s">
        <v>16</v>
      </c>
      <c r="B40" s="2">
        <v>16</v>
      </c>
      <c r="C40" s="2">
        <v>25.806451612903221</v>
      </c>
      <c r="D40" s="2">
        <v>19.800000000004719</v>
      </c>
      <c r="E40" s="2">
        <v>26.707573262499999</v>
      </c>
      <c r="F40" s="36">
        <v>26.703818538863139</v>
      </c>
      <c r="G40" s="40">
        <v>-45.792046482686089</v>
      </c>
      <c r="H40" s="2">
        <v>-16989995.420000002</v>
      </c>
      <c r="I40" s="2">
        <v>31.777376230796541</v>
      </c>
      <c r="J40" s="2">
        <v>371025.03</v>
      </c>
      <c r="K40" s="2">
        <v>22.754197528925939</v>
      </c>
      <c r="L40" s="2">
        <v>2.1837853444224179E-2</v>
      </c>
    </row>
    <row r="41" spans="1:12" s="3" customFormat="1" x14ac:dyDescent="0.3">
      <c r="A41" s="3" t="s">
        <v>17</v>
      </c>
      <c r="B41" s="3">
        <v>12</v>
      </c>
      <c r="C41" s="3">
        <v>19.35483870967742</v>
      </c>
      <c r="D41" s="3">
        <v>22.333333333335752</v>
      </c>
      <c r="E41" s="3">
        <v>25.63471521</v>
      </c>
      <c r="F41" s="32">
        <v>25.70206195262444</v>
      </c>
      <c r="G41" s="32">
        <v>-44.260039067391219</v>
      </c>
      <c r="H41" s="3">
        <v>-15397223.109999999</v>
      </c>
      <c r="I41" s="3">
        <v>28.798321575767979</v>
      </c>
      <c r="J41" s="3">
        <v>347880.92</v>
      </c>
      <c r="K41" s="3">
        <v>21.334817142187092</v>
      </c>
      <c r="L41" s="3">
        <v>2.259374417806952E-2</v>
      </c>
    </row>
    <row r="42" spans="1:12" s="4" customFormat="1" x14ac:dyDescent="0.3">
      <c r="A42" s="4" t="s">
        <v>18</v>
      </c>
      <c r="B42" s="4">
        <v>2</v>
      </c>
      <c r="C42" s="4">
        <v>3.225806451612903</v>
      </c>
      <c r="D42" s="4">
        <v>23.000000000001808</v>
      </c>
      <c r="E42" s="4">
        <v>26.744808304999999</v>
      </c>
      <c r="F42" s="37">
        <v>26.817400995633569</v>
      </c>
      <c r="G42" s="4">
        <v>-10.835849433226009</v>
      </c>
      <c r="H42" s="4">
        <v>-671507.45</v>
      </c>
      <c r="I42" s="4">
        <v>1.2559594251163599</v>
      </c>
      <c r="J42" s="4">
        <v>61970.91</v>
      </c>
      <c r="K42" s="4">
        <v>3.8005477074883371</v>
      </c>
      <c r="L42" s="4">
        <v>9.2286258328183865E-2</v>
      </c>
    </row>
    <row r="43" spans="1:12" s="5" customFormat="1" x14ac:dyDescent="0.3">
      <c r="A43" s="5" t="s">
        <v>19</v>
      </c>
      <c r="B43" s="5">
        <v>9</v>
      </c>
      <c r="C43" s="5">
        <v>14.516129032258069</v>
      </c>
      <c r="D43" s="5">
        <v>24.777777777777981</v>
      </c>
      <c r="E43" s="5">
        <v>28.953049944444441</v>
      </c>
      <c r="F43" s="5">
        <v>29.224370970997029</v>
      </c>
      <c r="G43" s="39">
        <v>5.4719997921887948</v>
      </c>
      <c r="H43" s="5">
        <v>1337644.8500000001</v>
      </c>
      <c r="I43" s="5">
        <v>-2.5018749335035082</v>
      </c>
      <c r="J43" s="5">
        <v>244452.65</v>
      </c>
      <c r="K43" s="5">
        <v>14.991775311141129</v>
      </c>
      <c r="L43" s="5">
        <v>0.18274854495197279</v>
      </c>
    </row>
    <row r="44" spans="1:12" s="2" customFormat="1" x14ac:dyDescent="0.3">
      <c r="A44" s="2" t="s">
        <v>20</v>
      </c>
      <c r="B44" s="2">
        <v>8</v>
      </c>
      <c r="C44" s="2">
        <v>12.90322580645161</v>
      </c>
      <c r="D44" s="2">
        <v>22.83333333333529</v>
      </c>
      <c r="E44" s="2">
        <v>27.186299506249998</v>
      </c>
      <c r="F44" s="36">
        <v>26.81639414045711</v>
      </c>
      <c r="G44" s="40">
        <v>-11.06150551332448</v>
      </c>
      <c r="H44" s="2">
        <v>-2269752.35</v>
      </c>
      <c r="I44" s="2">
        <v>4.2452497833977976</v>
      </c>
      <c r="J44" s="2">
        <v>205193.8</v>
      </c>
      <c r="K44" s="2">
        <v>12.584111257698501</v>
      </c>
      <c r="L44" s="2">
        <v>9.0403607248165194E-2</v>
      </c>
    </row>
    <row r="46" spans="1:12" x14ac:dyDescent="0.3">
      <c r="A46" s="6" t="s">
        <v>0</v>
      </c>
      <c r="B46" t="s">
        <v>35</v>
      </c>
      <c r="C46" t="s">
        <v>36</v>
      </c>
    </row>
    <row r="47" spans="1:12" x14ac:dyDescent="0.3">
      <c r="A47" s="3" t="s">
        <v>32</v>
      </c>
      <c r="B47">
        <v>1</v>
      </c>
    </row>
    <row r="48" spans="1:12" x14ac:dyDescent="0.3">
      <c r="A48" s="27" t="s">
        <v>33</v>
      </c>
      <c r="B48">
        <v>1</v>
      </c>
    </row>
    <row r="49" spans="1:4" x14ac:dyDescent="0.3">
      <c r="A49" s="2" t="s">
        <v>34</v>
      </c>
      <c r="B49">
        <v>0</v>
      </c>
      <c r="D49" t="s">
        <v>37</v>
      </c>
    </row>
    <row r="50" spans="1:4" x14ac:dyDescent="0.3">
      <c r="A50" s="1" t="s">
        <v>21</v>
      </c>
    </row>
    <row r="51" spans="1:4" x14ac:dyDescent="0.3">
      <c r="A51" s="3" t="s">
        <v>32</v>
      </c>
      <c r="B51">
        <v>0</v>
      </c>
    </row>
    <row r="52" spans="1:4" x14ac:dyDescent="0.3">
      <c r="A52" s="27" t="s">
        <v>33</v>
      </c>
      <c r="B52">
        <v>0</v>
      </c>
    </row>
    <row r="53" spans="1:4" x14ac:dyDescent="0.3">
      <c r="A53" s="2" t="s">
        <v>34</v>
      </c>
      <c r="B53">
        <v>0</v>
      </c>
      <c r="D53" t="s">
        <v>38</v>
      </c>
    </row>
    <row r="54" spans="1:4" x14ac:dyDescent="0.3">
      <c r="A54" s="1" t="s">
        <v>22</v>
      </c>
    </row>
    <row r="55" spans="1:4" x14ac:dyDescent="0.3">
      <c r="A55" s="3" t="s">
        <v>32</v>
      </c>
      <c r="B55">
        <v>0</v>
      </c>
    </row>
    <row r="56" spans="1:4" x14ac:dyDescent="0.3">
      <c r="A56" s="27" t="s">
        <v>33</v>
      </c>
      <c r="B56">
        <v>0</v>
      </c>
    </row>
    <row r="57" spans="1:4" x14ac:dyDescent="0.3">
      <c r="A57" s="2" t="s">
        <v>34</v>
      </c>
      <c r="B57">
        <v>0</v>
      </c>
    </row>
    <row r="58" spans="1:4" x14ac:dyDescent="0.3">
      <c r="A58" s="6" t="s">
        <v>23</v>
      </c>
    </row>
    <row r="59" spans="1:4" x14ac:dyDescent="0.3">
      <c r="A59" s="3" t="s">
        <v>32</v>
      </c>
      <c r="B59">
        <v>2</v>
      </c>
      <c r="C59">
        <v>3</v>
      </c>
    </row>
    <row r="60" spans="1:4" x14ac:dyDescent="0.3">
      <c r="A60" s="27" t="s">
        <v>33</v>
      </c>
      <c r="B60">
        <v>2</v>
      </c>
    </row>
    <row r="61" spans="1:4" x14ac:dyDescent="0.3">
      <c r="A61" s="2" t="s">
        <v>34</v>
      </c>
      <c r="B61">
        <v>0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B5BE-033C-439E-8AA0-F3BC376A6770}">
  <dimension ref="A1:L34"/>
  <sheetViews>
    <sheetView zoomScale="70" zoomScaleNormal="70" workbookViewId="0">
      <selection activeCell="F6" activeCellId="1" sqref="F4 F6"/>
    </sheetView>
  </sheetViews>
  <sheetFormatPr defaultRowHeight="14.4" x14ac:dyDescent="0.3"/>
  <cols>
    <col min="1" max="1" width="53" customWidth="1"/>
    <col min="2" max="2" width="22" customWidth="1"/>
    <col min="3" max="3" width="27" customWidth="1"/>
    <col min="4" max="4" width="26" customWidth="1"/>
    <col min="5" max="5" width="33" customWidth="1"/>
    <col min="6" max="6" width="35" customWidth="1"/>
    <col min="7" max="9" width="21" customWidth="1"/>
    <col min="10" max="11" width="20" customWidth="1"/>
    <col min="12" max="12" width="31" customWidth="1"/>
  </cols>
  <sheetData>
    <row r="1" spans="1:12" x14ac:dyDescent="0.3">
      <c r="A1" s="31" t="s">
        <v>0</v>
      </c>
      <c r="D1" s="8"/>
    </row>
    <row r="2" spans="1:12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t="s">
        <v>12</v>
      </c>
    </row>
    <row r="4" spans="1:12" s="3" customFormat="1" x14ac:dyDescent="0.3">
      <c r="A4" s="3" t="s">
        <v>13</v>
      </c>
      <c r="B4" s="3">
        <v>2</v>
      </c>
      <c r="C4" s="3">
        <v>8.695652173913043</v>
      </c>
      <c r="E4" s="3">
        <v>25.510484075000001</v>
      </c>
      <c r="F4" s="3">
        <v>13.510141957197</v>
      </c>
      <c r="G4" s="3">
        <v>-27.32164613269563</v>
      </c>
      <c r="H4" s="3">
        <v>-414956.79</v>
      </c>
      <c r="I4" s="3">
        <v>19.806772499401049</v>
      </c>
      <c r="J4" s="3">
        <v>15187.84</v>
      </c>
      <c r="K4" s="3">
        <v>4.3110583416267021</v>
      </c>
      <c r="L4" s="3">
        <v>3.6601015734674447E-2</v>
      </c>
    </row>
    <row r="5" spans="1:12" s="4" customFormat="1" x14ac:dyDescent="0.3">
      <c r="A5" s="4" t="s">
        <v>14</v>
      </c>
      <c r="B5" s="4">
        <v>1</v>
      </c>
      <c r="C5" s="4">
        <v>4.3478260869565224</v>
      </c>
      <c r="E5" s="4">
        <v>9.6132085650000008</v>
      </c>
      <c r="F5" s="4">
        <v>9.6132085650000008</v>
      </c>
      <c r="G5" s="4">
        <v>-3.3094338963688652</v>
      </c>
      <c r="H5" s="4">
        <v>-58750.99</v>
      </c>
      <c r="I5" s="4">
        <v>2.8043100416421329</v>
      </c>
      <c r="J5" s="4">
        <v>17752.580000000002</v>
      </c>
      <c r="K5" s="4">
        <v>5.0390580947913177</v>
      </c>
      <c r="L5" s="4">
        <v>0.30216648264139889</v>
      </c>
    </row>
    <row r="6" spans="1:12" s="3" customFormat="1" x14ac:dyDescent="0.3">
      <c r="A6" s="3" t="s">
        <v>17</v>
      </c>
      <c r="B6" s="3">
        <v>18</v>
      </c>
      <c r="C6" s="3">
        <v>78.260869565217391</v>
      </c>
      <c r="E6" s="3">
        <v>12.116794158777781</v>
      </c>
      <c r="F6" s="3">
        <v>10.90666789129711</v>
      </c>
      <c r="G6" s="3">
        <v>-6.2108819001563864</v>
      </c>
      <c r="H6" s="3">
        <v>-1792781.06</v>
      </c>
      <c r="I6" s="3">
        <v>85.573263174353798</v>
      </c>
      <c r="J6" s="3">
        <v>288651.61</v>
      </c>
      <c r="K6" s="3">
        <v>81.933568638758217</v>
      </c>
      <c r="L6" s="3">
        <v>0.1610077306372257</v>
      </c>
    </row>
    <row r="7" spans="1:12" s="4" customFormat="1" x14ac:dyDescent="0.3">
      <c r="A7" s="4" t="s">
        <v>18</v>
      </c>
      <c r="B7" s="4">
        <v>2</v>
      </c>
      <c r="C7" s="4">
        <v>8.695652173913043</v>
      </c>
      <c r="E7" s="4">
        <v>10.23290446</v>
      </c>
      <c r="F7" s="4">
        <v>10.23809717079266</v>
      </c>
      <c r="G7" s="4">
        <v>5.5837774696377496</v>
      </c>
      <c r="H7" s="4">
        <v>171464.07</v>
      </c>
      <c r="I7" s="4">
        <v>-8.1843457153969617</v>
      </c>
      <c r="J7" s="4">
        <v>30707.54</v>
      </c>
      <c r="K7" s="4">
        <v>8.7163149248237808</v>
      </c>
      <c r="L7" s="4">
        <v>0.17909023155696699</v>
      </c>
    </row>
    <row r="8" spans="1:12" x14ac:dyDescent="0.3">
      <c r="A8" s="31" t="s">
        <v>21</v>
      </c>
      <c r="D8" s="8"/>
    </row>
    <row r="9" spans="1:12" x14ac:dyDescent="0.3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 x14ac:dyDescent="0.3">
      <c r="A10" t="s">
        <v>12</v>
      </c>
    </row>
    <row r="11" spans="1:12" s="3" customFormat="1" x14ac:dyDescent="0.3">
      <c r="A11" s="3" t="s">
        <v>13</v>
      </c>
      <c r="B11" s="3">
        <v>1</v>
      </c>
      <c r="C11" s="3">
        <v>4.3478260869565224</v>
      </c>
      <c r="E11" s="3">
        <v>14.372185999999999</v>
      </c>
      <c r="F11" s="3">
        <v>14.372185999999999</v>
      </c>
      <c r="G11" s="3">
        <v>-8.1454897153470309</v>
      </c>
      <c r="H11" s="3">
        <v>-107843.27</v>
      </c>
      <c r="I11" s="3">
        <v>-71.223848698820518</v>
      </c>
      <c r="J11" s="3">
        <v>13239.63</v>
      </c>
      <c r="K11" s="3">
        <v>4.4818511943874819</v>
      </c>
      <c r="L11" s="3">
        <v>0.1227673270663992</v>
      </c>
    </row>
    <row r="12" spans="1:12" s="4" customFormat="1" x14ac:dyDescent="0.3">
      <c r="A12" s="4" t="s">
        <v>14</v>
      </c>
      <c r="B12" s="4">
        <v>2</v>
      </c>
      <c r="C12" s="4">
        <v>8.695652173913043</v>
      </c>
      <c r="E12" s="4">
        <v>30.902494165</v>
      </c>
      <c r="F12" s="4">
        <v>14.402973372005439</v>
      </c>
      <c r="G12" s="4">
        <v>27.353080829940779</v>
      </c>
      <c r="H12" s="4">
        <v>573190.1</v>
      </c>
      <c r="I12" s="4">
        <v>378.55681636936453</v>
      </c>
      <c r="J12" s="4">
        <v>20955.23</v>
      </c>
      <c r="K12" s="4">
        <v>7.0937195831125486</v>
      </c>
      <c r="L12" s="4">
        <v>3.6558953129162561E-2</v>
      </c>
    </row>
    <row r="13" spans="1:12" s="3" customFormat="1" x14ac:dyDescent="0.3">
      <c r="A13" s="3" t="s">
        <v>17</v>
      </c>
      <c r="B13" s="3">
        <v>17</v>
      </c>
      <c r="C13" s="3">
        <v>73.91304347826086</v>
      </c>
      <c r="E13" s="3">
        <v>15.46786156588235</v>
      </c>
      <c r="F13" s="3">
        <v>13.75185918228612</v>
      </c>
      <c r="G13" s="3">
        <v>-3.909010926823866</v>
      </c>
      <c r="H13" s="3">
        <v>-836091.7799999998</v>
      </c>
      <c r="I13" s="3">
        <v>-552.18721054218315</v>
      </c>
      <c r="J13" s="3">
        <v>213888.32</v>
      </c>
      <c r="K13" s="3">
        <v>72.405016035760212</v>
      </c>
      <c r="L13" s="3">
        <v>0.25581918769731238</v>
      </c>
    </row>
    <row r="14" spans="1:12" s="4" customFormat="1" x14ac:dyDescent="0.3">
      <c r="A14" s="4" t="s">
        <v>18</v>
      </c>
      <c r="B14" s="4">
        <v>3</v>
      </c>
      <c r="C14" s="4">
        <v>13.043478260869559</v>
      </c>
      <c r="E14" s="4">
        <v>14.83834613</v>
      </c>
      <c r="F14" s="4">
        <v>14.982692112780351</v>
      </c>
      <c r="G14" s="4">
        <v>11.0341317533564</v>
      </c>
      <c r="H14" s="4">
        <v>522159.49999999988</v>
      </c>
      <c r="I14" s="4">
        <v>344.8542428716392</v>
      </c>
      <c r="J14" s="4">
        <v>47322.21</v>
      </c>
      <c r="K14" s="4">
        <v>16.019413186739751</v>
      </c>
      <c r="L14" s="4">
        <v>9.0627882859547718E-2</v>
      </c>
    </row>
    <row r="15" spans="1:12" x14ac:dyDescent="0.3">
      <c r="A15" s="31" t="s">
        <v>22</v>
      </c>
      <c r="D15" s="8"/>
    </row>
    <row r="16" spans="1:12" x14ac:dyDescent="0.3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  <row r="17" spans="1:12" x14ac:dyDescent="0.3">
      <c r="A17" t="s">
        <v>12</v>
      </c>
    </row>
    <row r="18" spans="1:12" s="3" customFormat="1" x14ac:dyDescent="0.3">
      <c r="A18" s="3" t="s">
        <v>13</v>
      </c>
      <c r="B18" s="3">
        <v>2</v>
      </c>
      <c r="C18" s="3">
        <v>8.695652173913043</v>
      </c>
      <c r="E18" s="3">
        <v>12.155181195000001</v>
      </c>
      <c r="F18" s="3">
        <v>12.0824723829567</v>
      </c>
      <c r="G18" s="3">
        <v>-10.478744001232309</v>
      </c>
      <c r="H18" s="3">
        <v>-123128.7</v>
      </c>
      <c r="I18" s="3">
        <v>10.52384542824943</v>
      </c>
      <c r="J18" s="3">
        <v>11750.33</v>
      </c>
      <c r="K18" s="3">
        <v>9.6487707934408924</v>
      </c>
      <c r="L18" s="3">
        <v>9.5431284501501276E-2</v>
      </c>
    </row>
    <row r="19" spans="1:12" s="5" customFormat="1" x14ac:dyDescent="0.3">
      <c r="A19" s="5" t="s">
        <v>15</v>
      </c>
      <c r="B19" s="5">
        <v>8</v>
      </c>
      <c r="C19" s="5">
        <v>34.782608695652172</v>
      </c>
      <c r="E19" s="5">
        <v>24.052429581249999</v>
      </c>
      <c r="F19" s="5">
        <v>15.31512701505152</v>
      </c>
      <c r="G19" s="5">
        <v>-11.31774280433792</v>
      </c>
      <c r="H19" s="5">
        <v>-392042.31</v>
      </c>
      <c r="I19" s="5">
        <v>33.507969074422512</v>
      </c>
      <c r="J19" s="5">
        <v>34639.620000000003</v>
      </c>
      <c r="K19" s="5">
        <v>28.444286564878691</v>
      </c>
      <c r="L19" s="5">
        <v>8.835684087260888E-2</v>
      </c>
    </row>
    <row r="20" spans="1:12" s="2" customFormat="1" x14ac:dyDescent="0.3">
      <c r="A20" s="2" t="s">
        <v>16</v>
      </c>
      <c r="B20" s="2">
        <v>3</v>
      </c>
      <c r="C20" s="2">
        <v>13.043478260869559</v>
      </c>
      <c r="E20" s="2">
        <v>12.50175993</v>
      </c>
      <c r="F20" s="2">
        <v>12.520344087198</v>
      </c>
      <c r="G20" s="2">
        <v>-1.1114207983337441</v>
      </c>
      <c r="H20" s="2">
        <v>-16520.669999999998</v>
      </c>
      <c r="I20" s="2">
        <v>1.4120264199257979</v>
      </c>
      <c r="J20" s="2">
        <v>14864.46</v>
      </c>
      <c r="K20" s="2">
        <v>12.20593528081938</v>
      </c>
      <c r="L20" s="2">
        <v>0.89974922324578832</v>
      </c>
    </row>
    <row r="21" spans="1:12" s="3" customFormat="1" x14ac:dyDescent="0.3">
      <c r="A21" s="3" t="s">
        <v>17</v>
      </c>
      <c r="B21" s="3">
        <v>4</v>
      </c>
      <c r="C21" s="3">
        <v>17.39130434782609</v>
      </c>
      <c r="E21" s="3">
        <v>11.87550779</v>
      </c>
      <c r="F21" s="3">
        <v>11.75251199215473</v>
      </c>
      <c r="G21" s="3">
        <v>1.9725746147782071</v>
      </c>
      <c r="H21" s="3">
        <v>49018.42</v>
      </c>
      <c r="I21" s="3">
        <v>-4.1896184660197866</v>
      </c>
      <c r="J21" s="3">
        <v>24849.97</v>
      </c>
      <c r="K21" s="3">
        <v>20.405526036620451</v>
      </c>
      <c r="L21" s="3">
        <v>0.50695167245292694</v>
      </c>
    </row>
    <row r="22" spans="1:12" s="4" customFormat="1" x14ac:dyDescent="0.3">
      <c r="A22" s="4" t="s">
        <v>18</v>
      </c>
      <c r="B22" s="4">
        <v>4</v>
      </c>
      <c r="C22" s="4">
        <v>17.39130434782609</v>
      </c>
      <c r="E22" s="4">
        <v>11.471908279999999</v>
      </c>
      <c r="F22" s="4">
        <v>11.54928230740501</v>
      </c>
      <c r="G22" s="4">
        <v>-14.79895779428079</v>
      </c>
      <c r="H22" s="4">
        <v>-340024.85</v>
      </c>
      <c r="I22" s="4">
        <v>29.06202179641058</v>
      </c>
      <c r="J22" s="4">
        <v>22976.27</v>
      </c>
      <c r="K22" s="4">
        <v>18.866939304531201</v>
      </c>
      <c r="L22" s="4">
        <v>6.7572325963822941E-2</v>
      </c>
    </row>
    <row r="23" spans="1:12" s="5" customFormat="1" x14ac:dyDescent="0.3">
      <c r="A23" s="5" t="s">
        <v>19</v>
      </c>
      <c r="B23" s="5">
        <v>2</v>
      </c>
      <c r="C23" s="5">
        <v>8.695652173913043</v>
      </c>
      <c r="E23" s="5">
        <v>12.331920365</v>
      </c>
      <c r="F23" s="5">
        <v>12.385316297774921</v>
      </c>
      <c r="G23" s="5">
        <v>-27.34651659771621</v>
      </c>
      <c r="H23" s="5">
        <v>-347299.12</v>
      </c>
      <c r="I23" s="5">
        <v>29.683755747011471</v>
      </c>
      <c r="J23" s="5">
        <v>12699.94</v>
      </c>
      <c r="K23" s="5">
        <v>10.428542019709379</v>
      </c>
      <c r="L23" s="5">
        <v>3.6567728706021478E-2</v>
      </c>
    </row>
    <row r="24" spans="1:12" x14ac:dyDescent="0.3">
      <c r="A24" s="31" t="s">
        <v>23</v>
      </c>
      <c r="D24" s="8"/>
    </row>
    <row r="25" spans="1:12" x14ac:dyDescent="0.3"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</row>
    <row r="26" spans="1:12" x14ac:dyDescent="0.3">
      <c r="A26" t="s">
        <v>12</v>
      </c>
    </row>
    <row r="27" spans="1:12" s="3" customFormat="1" x14ac:dyDescent="0.3">
      <c r="A27" s="3" t="s">
        <v>13</v>
      </c>
      <c r="B27" s="3">
        <v>1</v>
      </c>
      <c r="C27" s="3">
        <v>4.7619047619047619</v>
      </c>
      <c r="E27" s="32">
        <v>27.7992992</v>
      </c>
      <c r="F27" s="32">
        <v>27.7992992</v>
      </c>
      <c r="G27" s="3">
        <v>-52.95305896308313</v>
      </c>
      <c r="H27" s="3">
        <v>-989683.67</v>
      </c>
      <c r="I27" s="3">
        <v>2.5700079890290479</v>
      </c>
      <c r="J27" s="3">
        <v>18689.830000000002</v>
      </c>
      <c r="K27" s="3">
        <v>3.6313250938484591</v>
      </c>
      <c r="L27" s="3">
        <v>1.8884650284267099E-2</v>
      </c>
    </row>
    <row r="28" spans="1:12" s="5" customFormat="1" x14ac:dyDescent="0.3">
      <c r="A28" s="5" t="s">
        <v>15</v>
      </c>
      <c r="B28" s="5">
        <v>1</v>
      </c>
      <c r="C28" s="5">
        <v>4.7619047619047619</v>
      </c>
      <c r="E28" s="33">
        <v>28.6463778</v>
      </c>
      <c r="F28" s="33">
        <v>28.6463778</v>
      </c>
      <c r="G28" s="5">
        <v>-117.2659921963488</v>
      </c>
      <c r="H28" s="5">
        <v>-3192951.27</v>
      </c>
      <c r="I28" s="5">
        <v>8.2914475819131646</v>
      </c>
      <c r="J28" s="5">
        <v>27228.28</v>
      </c>
      <c r="K28" s="5">
        <v>5.2902961892286919</v>
      </c>
      <c r="L28" s="5">
        <v>8.527621531787424E-3</v>
      </c>
    </row>
    <row r="29" spans="1:12" s="2" customFormat="1" x14ac:dyDescent="0.3">
      <c r="A29" s="2" t="s">
        <v>16</v>
      </c>
      <c r="B29" s="2">
        <v>11</v>
      </c>
      <c r="C29" s="2">
        <v>52.380952380952387</v>
      </c>
      <c r="E29" s="2">
        <v>29.439884603636362</v>
      </c>
      <c r="F29" s="2">
        <v>29.53891548618919</v>
      </c>
      <c r="G29" s="2">
        <v>-57.836468040877527</v>
      </c>
      <c r="H29" s="2">
        <v>-14476118.039999999</v>
      </c>
      <c r="I29" s="2">
        <v>37.591545804658502</v>
      </c>
      <c r="J29" s="2">
        <v>250293.95</v>
      </c>
      <c r="K29" s="2">
        <v>48.630656430446457</v>
      </c>
      <c r="L29" s="2">
        <v>1.7290129115305281E-2</v>
      </c>
    </row>
    <row r="30" spans="1:12" s="3" customFormat="1" x14ac:dyDescent="0.3">
      <c r="A30" s="3" t="s">
        <v>17</v>
      </c>
      <c r="B30" s="3">
        <v>6</v>
      </c>
      <c r="C30" s="3">
        <v>28.571428571428569</v>
      </c>
      <c r="E30" s="32">
        <v>27.390109129999999</v>
      </c>
      <c r="F30" s="32">
        <v>27.525472200449439</v>
      </c>
      <c r="G30" s="3">
        <v>-95.859913071025019</v>
      </c>
      <c r="H30" s="3">
        <v>-15962137.390000001</v>
      </c>
      <c r="I30" s="3">
        <v>41.450437001026067</v>
      </c>
      <c r="J30" s="3">
        <v>166515.25</v>
      </c>
      <c r="K30" s="3">
        <v>32.352943062266988</v>
      </c>
      <c r="L30" s="3">
        <v>1.0431889284721911E-2</v>
      </c>
    </row>
    <row r="31" spans="1:12" s="2" customFormat="1" x14ac:dyDescent="0.3">
      <c r="A31" s="2" t="s">
        <v>20</v>
      </c>
      <c r="B31" s="2">
        <v>2</v>
      </c>
      <c r="C31" s="2">
        <v>9.5238095238095237</v>
      </c>
      <c r="E31" s="34">
        <v>31.313140845</v>
      </c>
      <c r="F31" s="34">
        <v>30.48220754524371</v>
      </c>
      <c r="G31" s="2">
        <v>-74.833901119713232</v>
      </c>
      <c r="H31" s="2">
        <v>-3888082.14</v>
      </c>
      <c r="I31" s="2">
        <v>10.09656162337321</v>
      </c>
      <c r="J31" s="2">
        <v>51956.160000000003</v>
      </c>
      <c r="K31" s="2">
        <v>10.0947792242094</v>
      </c>
      <c r="L31" s="2">
        <v>1.3362927564076621E-2</v>
      </c>
    </row>
    <row r="34" spans="1:1" x14ac:dyDescent="0.3">
      <c r="A34" s="4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41D3-1270-47FB-8CE3-D6D9F9FA5E47}">
  <dimension ref="A1:N111"/>
  <sheetViews>
    <sheetView topLeftCell="A4" zoomScale="70" zoomScaleNormal="70" workbookViewId="0">
      <pane xSplit="1" topLeftCell="B1" activePane="topRight" state="frozen"/>
      <selection pane="topRight" activeCell="F71" sqref="F71"/>
    </sheetView>
  </sheetViews>
  <sheetFormatPr defaultRowHeight="14.4" x14ac:dyDescent="0.3"/>
  <cols>
    <col min="1" max="1" width="63.88671875" style="43" bestFit="1" customWidth="1"/>
    <col min="2" max="2" width="35.109375" style="43" customWidth="1"/>
    <col min="3" max="3" width="21.109375" style="44" bestFit="1" customWidth="1"/>
    <col min="4" max="4" width="12.44140625" style="49" bestFit="1" customWidth="1"/>
    <col min="5" max="5" width="24.88671875" style="44" bestFit="1" customWidth="1"/>
    <col min="6" max="6" width="35.6640625" style="43" bestFit="1" customWidth="1"/>
    <col min="7" max="7" width="23" style="49" bestFit="1" customWidth="1"/>
    <col min="8" max="8" width="26.77734375" style="45" bestFit="1" customWidth="1"/>
    <col min="9" max="9" width="14" style="50" bestFit="1" customWidth="1"/>
    <col min="10" max="11" width="50.77734375" style="49" bestFit="1" customWidth="1"/>
    <col min="12" max="12" width="26" style="45" bestFit="1" customWidth="1"/>
    <col min="13" max="13" width="21.109375" style="49" bestFit="1" customWidth="1"/>
    <col min="14" max="14" width="26" style="49" bestFit="1" customWidth="1"/>
    <col min="15" max="15" width="8.88671875" style="43"/>
    <col min="16" max="16" width="52.44140625" style="43" bestFit="1" customWidth="1"/>
    <col min="17" max="17" width="95" style="43" bestFit="1" customWidth="1"/>
    <col min="18" max="16384" width="8.88671875" style="43"/>
  </cols>
  <sheetData>
    <row r="1" spans="1:14" x14ac:dyDescent="0.3">
      <c r="A1" s="48" t="s">
        <v>0</v>
      </c>
      <c r="B1" s="47"/>
    </row>
    <row r="2" spans="1:14" x14ac:dyDescent="0.3">
      <c r="B2" s="47" t="s">
        <v>44</v>
      </c>
      <c r="C2" s="44" t="s">
        <v>42</v>
      </c>
      <c r="D2" s="49" t="s">
        <v>9</v>
      </c>
      <c r="E2" s="44" t="s">
        <v>10</v>
      </c>
      <c r="F2" s="43" t="s">
        <v>43</v>
      </c>
      <c r="G2" s="49" t="s">
        <v>47</v>
      </c>
      <c r="H2" s="45" t="s">
        <v>48</v>
      </c>
      <c r="I2" s="50" t="s">
        <v>52</v>
      </c>
      <c r="J2" s="49" t="s">
        <v>66</v>
      </c>
      <c r="K2" s="49" t="s">
        <v>67</v>
      </c>
      <c r="L2" s="45" t="s">
        <v>54</v>
      </c>
      <c r="M2" s="51" t="s">
        <v>57</v>
      </c>
      <c r="N2" s="45" t="s">
        <v>58</v>
      </c>
    </row>
    <row r="3" spans="1:14" x14ac:dyDescent="0.3">
      <c r="A3" s="43" t="s">
        <v>12</v>
      </c>
      <c r="B3" s="47"/>
      <c r="D3" s="49">
        <f>SUM(D4:D11)</f>
        <v>1196760.33</v>
      </c>
      <c r="G3" s="49">
        <v>1214964.9267027457</v>
      </c>
      <c r="M3" s="47"/>
      <c r="N3" s="47"/>
    </row>
    <row r="4" spans="1:14" x14ac:dyDescent="0.3">
      <c r="A4" s="43" t="s">
        <v>13</v>
      </c>
      <c r="B4" s="52">
        <v>27.98459563543004</v>
      </c>
      <c r="C4" s="44">
        <f>'2020-2022'!G4</f>
        <v>-8.2407900393174014</v>
      </c>
      <c r="D4" s="49">
        <f>E4/100*SUM('1Q23'!$J$4:$J$11)</f>
        <v>351686.60638580407</v>
      </c>
      <c r="E4" s="44">
        <f>'2020-2022'!K4</f>
        <v>29.386552810102259</v>
      </c>
      <c r="F4" s="44">
        <f>('2020-2022'!C4-'1Q23'!C4/4)/0.75</f>
        <v>34.235871103650311</v>
      </c>
      <c r="G4" s="49">
        <f>D4*((F4-B4)/B4+1)*$D$3/$G$3</f>
        <v>423800.65099670365</v>
      </c>
      <c r="H4" s="45">
        <f>G4/$D$3</f>
        <v>0.35412324454028621</v>
      </c>
      <c r="I4" s="50">
        <v>-1</v>
      </c>
      <c r="J4" s="49">
        <f>IFERROR(IF(D4="","",I4*D4),"")</f>
        <v>-351686.60638580407</v>
      </c>
      <c r="K4" s="49">
        <f>IFERROR(IF(G4="","",I4*G4),"")</f>
        <v>-423800.65099670365</v>
      </c>
      <c r="L4" s="44">
        <f>IFERROR(IF(C4="","",C4+I4),"")</f>
        <v>-9.2407900393174014</v>
      </c>
      <c r="M4" s="47">
        <v>-8.533735184840701</v>
      </c>
      <c r="N4" s="52">
        <f>M4+I4</f>
        <v>-9.533735184840701</v>
      </c>
    </row>
    <row r="5" spans="1:14" x14ac:dyDescent="0.3">
      <c r="A5" s="43" t="s">
        <v>14</v>
      </c>
      <c r="B5" s="52">
        <v>9.1142490372272142</v>
      </c>
      <c r="C5" s="44">
        <f>'2020-2022'!G5</f>
        <v>-3.6306903659816161</v>
      </c>
      <c r="D5" s="49">
        <f>E5/100*SUM('1Q23'!$J$4:$J$11)</f>
        <v>104252.14948814387</v>
      </c>
      <c r="E5" s="44">
        <f>'2020-2022'!K5</f>
        <v>8.7111969602254327</v>
      </c>
      <c r="F5" s="44">
        <f>('2020-2022'!C5-'1Q23'!C5/4)/0.75</f>
        <v>10.613870511174747</v>
      </c>
      <c r="G5" s="49">
        <f>D5*((F5-B5)/B5+1)*$D$3/$G$3</f>
        <v>119586.27984439407</v>
      </c>
      <c r="H5" s="45">
        <f t="shared" ref="H5:H11" si="0">G5/$D$3</f>
        <v>9.9925003233014967E-2</v>
      </c>
      <c r="I5" s="50">
        <v>-1</v>
      </c>
      <c r="J5" s="49">
        <f>IFERROR(IF(D5="","",I5*D5),"")</f>
        <v>-104252.14948814387</v>
      </c>
      <c r="K5" s="49">
        <f t="shared" ref="K5:K44" si="1">IFERROR(IF(G5="","",I5*G5),"")</f>
        <v>-119586.27984439407</v>
      </c>
      <c r="L5" s="44">
        <f>IFERROR(IF(C5="","",C5+I5),"")</f>
        <v>-4.6306903659816161</v>
      </c>
      <c r="M5" s="47">
        <v>-4.2098438846365509</v>
      </c>
      <c r="N5" s="52">
        <f t="shared" ref="N5:N44" si="2">M5+I5</f>
        <v>-5.2098438846365509</v>
      </c>
    </row>
    <row r="6" spans="1:14" x14ac:dyDescent="0.3">
      <c r="A6" s="43" t="s">
        <v>15</v>
      </c>
      <c r="B6" s="52">
        <v>8.0872913992297821</v>
      </c>
      <c r="C6" s="44">
        <f>'2020-2022'!G6</f>
        <v>-23.684591097402681</v>
      </c>
      <c r="D6" s="49">
        <f>E6/100*SUM('1Q23'!$J$4:$J$11)</f>
        <v>112299.24729865159</v>
      </c>
      <c r="E6" s="44">
        <f>'2020-2022'!K6</f>
        <v>9.3836037578761982</v>
      </c>
      <c r="F6" s="44">
        <f>('2020-2022'!C6-'1Q23'!C6/4)/0.75</f>
        <v>9.2445936605115033</v>
      </c>
      <c r="G6" s="49">
        <f>D6*((F6-B6)/B6+1)*$D$3/$G$3</f>
        <v>126445.97927309269</v>
      </c>
      <c r="H6" s="45">
        <f t="shared" si="0"/>
        <v>0.10565689395226918</v>
      </c>
      <c r="I6" s="50">
        <v>-1</v>
      </c>
      <c r="J6" s="49">
        <f>IFERROR(IF(D6="","",I6*D6),"")</f>
        <v>-112299.24729865159</v>
      </c>
      <c r="K6" s="49">
        <f t="shared" si="1"/>
        <v>-126445.97927309269</v>
      </c>
      <c r="L6" s="44">
        <f>IFERROR(IF(C6="","",C6+I6),"")</f>
        <v>-24.684591097402681</v>
      </c>
      <c r="M6" s="47">
        <v>-22.223077716737141</v>
      </c>
      <c r="N6" s="52">
        <f t="shared" si="2"/>
        <v>-23.223077716737141</v>
      </c>
    </row>
    <row r="7" spans="1:14" x14ac:dyDescent="0.3">
      <c r="A7" s="47" t="s">
        <v>16</v>
      </c>
      <c r="B7" s="52">
        <v>14.37740693196406</v>
      </c>
      <c r="C7" s="44">
        <f>'2020-2022'!G7</f>
        <v>-10.28353765229363</v>
      </c>
      <c r="D7" s="49">
        <f>E7/100*SUM('1Q23'!$J$4:$J$11)</f>
        <v>173015.88326627141</v>
      </c>
      <c r="E7" s="44">
        <f>'2020-2022'!K7</f>
        <v>14.45702025118692</v>
      </c>
      <c r="F7" s="52">
        <f>'2020-2022'!C7/0.75</f>
        <v>19.169875909285413</v>
      </c>
      <c r="G7" s="49">
        <f>D7*((F7-B7)/B7+1)*$D$3/$G$3</f>
        <v>227231.30081339221</v>
      </c>
      <c r="H7" s="45">
        <f t="shared" si="0"/>
        <v>0.18987201958256103</v>
      </c>
      <c r="I7" s="50">
        <v>0</v>
      </c>
      <c r="J7" s="49">
        <f>IFERROR(IF(D7="","",I7*D7),"")</f>
        <v>0</v>
      </c>
      <c r="K7" s="49">
        <f t="shared" si="1"/>
        <v>0</v>
      </c>
      <c r="L7" s="44">
        <f>IFERROR(IF(C7="","",C7+I7),"")</f>
        <v>-10.28353765229363</v>
      </c>
      <c r="M7" s="47">
        <v>-10.28353765229363</v>
      </c>
      <c r="N7" s="52">
        <f t="shared" si="2"/>
        <v>-10.28353765229363</v>
      </c>
    </row>
    <row r="8" spans="1:14" x14ac:dyDescent="0.3">
      <c r="A8" s="43" t="s">
        <v>17</v>
      </c>
      <c r="B8" s="52">
        <v>17.586649550706031</v>
      </c>
      <c r="C8" s="44">
        <f>'2020-2022'!G8</f>
        <v>-7.7728976427130512</v>
      </c>
      <c r="D8" s="49">
        <f>E8/100*SUM('1Q23'!$J$4:$J$11)</f>
        <v>200482.81960418646</v>
      </c>
      <c r="E8" s="44">
        <f>'2020-2022'!K8</f>
        <v>16.75212777183101</v>
      </c>
      <c r="F8" s="44">
        <f>('2020-2022'!C8-'1Q23'!C8/4)/0.75</f>
        <v>9.6027122214541958</v>
      </c>
      <c r="G8" s="49">
        <f>D8*((F8-B8)/B8+1)*$D$3/$G$3</f>
        <v>107827.96522563662</v>
      </c>
      <c r="H8" s="45">
        <f t="shared" si="0"/>
        <v>9.0099882593565425E-2</v>
      </c>
      <c r="I8" s="50">
        <v>-1</v>
      </c>
      <c r="J8" s="49">
        <f>IFERROR(IF(D8="","",I8*D8),"")</f>
        <v>-200482.81960418646</v>
      </c>
      <c r="K8" s="49">
        <f t="shared" si="1"/>
        <v>-107827.96522563662</v>
      </c>
      <c r="L8" s="44">
        <f>IFERROR(IF(C8="","",C8+I8),"")</f>
        <v>-8.7728976427130512</v>
      </c>
      <c r="M8" s="47">
        <v>-8.0520723524514324</v>
      </c>
      <c r="N8" s="52">
        <f t="shared" si="2"/>
        <v>-9.0520723524514324</v>
      </c>
    </row>
    <row r="9" spans="1:14" x14ac:dyDescent="0.3">
      <c r="A9" s="43" t="s">
        <v>18</v>
      </c>
      <c r="B9" s="52">
        <v>9.1142490372272142</v>
      </c>
      <c r="C9" s="44">
        <f>'2020-2022'!G9</f>
        <v>-0.80290323769766014</v>
      </c>
      <c r="D9" s="49">
        <f>E9/100*SUM('1Q23'!$J$4:$J$11)</f>
        <v>97989.257629898755</v>
      </c>
      <c r="E9" s="44">
        <f>'2020-2022'!K9</f>
        <v>8.187876483998993</v>
      </c>
      <c r="F9" s="44">
        <f>('2020-2022'!C9-'1Q23'!C9/4)/0.75</f>
        <v>2.9215628188670557</v>
      </c>
      <c r="G9" s="49">
        <f>D9*((F9-B9)/B9+1)*$D$3/$G$3</f>
        <v>30939.710739671889</v>
      </c>
      <c r="H9" s="45">
        <f t="shared" si="0"/>
        <v>2.5852887971037516E-2</v>
      </c>
      <c r="I9" s="50">
        <v>-1</v>
      </c>
      <c r="J9" s="49">
        <f>IFERROR(IF(D9="","",I9*D9),"")</f>
        <v>-97989.257629898755</v>
      </c>
      <c r="K9" s="49">
        <f t="shared" si="1"/>
        <v>-30939.710739671889</v>
      </c>
      <c r="L9" s="44">
        <f>IFERROR(IF(C9="","",C9+I9),"")</f>
        <v>-1.8029032376976601</v>
      </c>
      <c r="M9" s="47">
        <v>-0.87827489517314727</v>
      </c>
      <c r="N9" s="52">
        <f t="shared" si="2"/>
        <v>-1.8782748951731474</v>
      </c>
    </row>
    <row r="10" spans="1:14" x14ac:dyDescent="0.3">
      <c r="A10" s="43" t="s">
        <v>19</v>
      </c>
      <c r="B10" s="52">
        <v>7.5738125802310652</v>
      </c>
      <c r="C10" s="44">
        <f>'2020-2022'!G10</f>
        <v>-10.937620957841901</v>
      </c>
      <c r="D10" s="49">
        <f>E10/100*SUM('1Q23'!$J$4:$J$11)</f>
        <v>84284.192332166189</v>
      </c>
      <c r="E10" s="44">
        <f>'2020-2022'!K10</f>
        <v>7.0426960369054159</v>
      </c>
      <c r="F10" s="44">
        <f>('2020-2022'!C10-'1Q23'!C10/4)/0.75</f>
        <v>6.5086731838978302</v>
      </c>
      <c r="G10" s="49">
        <f>D10*((F10-B10)/B10+1)*$D$3/$G$3</f>
        <v>71345.647612215442</v>
      </c>
      <c r="H10" s="45">
        <f t="shared" si="0"/>
        <v>5.9615652210175979E-2</v>
      </c>
      <c r="I10" s="50">
        <v>-1</v>
      </c>
      <c r="J10" s="49">
        <f>IFERROR(IF(D10="","",I10*D10),"")</f>
        <v>-84284.192332166189</v>
      </c>
      <c r="K10" s="49">
        <f t="shared" si="1"/>
        <v>-71345.647612215442</v>
      </c>
      <c r="L10" s="44">
        <f>IFERROR(IF(C10="","",C10+I10),"")</f>
        <v>-11.937620957841901</v>
      </c>
      <c r="M10" s="47">
        <v>-10.75658779768577</v>
      </c>
      <c r="N10" s="52">
        <f t="shared" si="2"/>
        <v>-11.75658779768577</v>
      </c>
    </row>
    <row r="11" spans="1:14" x14ac:dyDescent="0.3">
      <c r="A11" s="43" t="s">
        <v>20</v>
      </c>
      <c r="B11" s="52">
        <v>6.1617458279845962</v>
      </c>
      <c r="C11" s="44">
        <f>'2020-2022'!G11</f>
        <v>-4.5919549957577814</v>
      </c>
      <c r="D11" s="49">
        <f>E11/100*SUM('1Q23'!$J$4:$J$11)</f>
        <v>72750.173994877739</v>
      </c>
      <c r="E11" s="44">
        <f>'2020-2022'!K11</f>
        <v>6.0789259278737733</v>
      </c>
      <c r="F11" s="44">
        <f>('2020-2022'!C11-'1Q23'!C11/4)/0.75</f>
        <v>7.7028405911589486</v>
      </c>
      <c r="G11" s="49">
        <f>D11*((F11-B11)/B11+1)*$D$3/$G$3</f>
        <v>89582.795494893609</v>
      </c>
      <c r="H11" s="45">
        <f t="shared" si="0"/>
        <v>7.4854415917089773E-2</v>
      </c>
      <c r="I11" s="50">
        <v>0</v>
      </c>
      <c r="J11" s="49">
        <f>IFERROR(IF(D11="","",I11*D11),"")</f>
        <v>0</v>
      </c>
      <c r="K11" s="49">
        <f t="shared" si="1"/>
        <v>0</v>
      </c>
      <c r="L11" s="44">
        <f>IFERROR(IF(C11="","",C11+I11),"")</f>
        <v>-4.5919549957577814</v>
      </c>
      <c r="M11" s="47">
        <v>-4.1436830257316064</v>
      </c>
      <c r="N11" s="52">
        <f t="shared" si="2"/>
        <v>-4.1436830257316064</v>
      </c>
    </row>
    <row r="12" spans="1:14" x14ac:dyDescent="0.3">
      <c r="A12" s="48" t="s">
        <v>21</v>
      </c>
      <c r="B12" s="47"/>
      <c r="E12" s="46">
        <f>B108</f>
        <v>0.26145549965737414</v>
      </c>
      <c r="F12" s="44"/>
      <c r="J12" s="49" t="str">
        <f>IFERROR(IF(D12="","",I12*D12),"")</f>
        <v/>
      </c>
      <c r="K12" s="49" t="str">
        <f t="shared" si="1"/>
        <v/>
      </c>
      <c r="L12" s="44" t="str">
        <f>IFERROR(IF(C12="","",C12+I12),"")</f>
        <v/>
      </c>
      <c r="M12" s="47"/>
      <c r="N12" s="52">
        <f t="shared" si="2"/>
        <v>0</v>
      </c>
    </row>
    <row r="13" spans="1:14" x14ac:dyDescent="0.3">
      <c r="B13" s="47" t="s">
        <v>2</v>
      </c>
      <c r="C13" s="44" t="s">
        <v>6</v>
      </c>
      <c r="D13" s="49" t="s">
        <v>9</v>
      </c>
      <c r="E13" s="44" t="s">
        <v>10</v>
      </c>
      <c r="F13" s="44" t="s">
        <v>2</v>
      </c>
      <c r="J13" s="49" t="str">
        <f>IFERROR(IF(D13="","",I13*D13),"")</f>
        <v/>
      </c>
      <c r="K13" s="49" t="str">
        <f t="shared" si="1"/>
        <v/>
      </c>
      <c r="L13" s="44" t="str">
        <f>IFERROR(IF(C13="","",C13+I13),"")</f>
        <v/>
      </c>
      <c r="M13" s="51" t="s">
        <v>57</v>
      </c>
      <c r="N13" s="52"/>
    </row>
    <row r="14" spans="1:14" x14ac:dyDescent="0.3">
      <c r="A14" s="43" t="s">
        <v>12</v>
      </c>
      <c r="B14" s="47"/>
      <c r="D14" s="49">
        <f>SUM(D15:D22)</f>
        <v>892884.30999999994</v>
      </c>
      <c r="F14" s="44"/>
      <c r="G14" s="49">
        <v>885067.51956233685</v>
      </c>
      <c r="J14" s="49">
        <f>IFERROR(IF(D14="","",I14*D14),"")</f>
        <v>0</v>
      </c>
      <c r="K14" s="49">
        <f t="shared" si="1"/>
        <v>0</v>
      </c>
      <c r="L14" s="44" t="str">
        <f>IFERROR(IF(C14="","",C14+I14),"")</f>
        <v/>
      </c>
      <c r="M14" s="47"/>
      <c r="N14" s="52">
        <f t="shared" si="2"/>
        <v>0</v>
      </c>
    </row>
    <row r="15" spans="1:14" x14ac:dyDescent="0.3">
      <c r="A15" s="43" t="s">
        <v>13</v>
      </c>
      <c r="B15" s="52">
        <v>23.876765083440311</v>
      </c>
      <c r="C15" s="44">
        <f>'2020-2022'!G15</f>
        <v>-9.2663433631592564</v>
      </c>
      <c r="D15" s="49">
        <f>E15/100*SUM('1Q23'!$J$15:$J$22)</f>
        <v>217672.5690655534</v>
      </c>
      <c r="E15" s="44">
        <f>'2020-2022'!K15</f>
        <v>24.37858596323116</v>
      </c>
      <c r="F15" s="44">
        <f>('2020-2022'!C15-'1Q23'!C15/4)/0.75</f>
        <v>29.271584213817849</v>
      </c>
      <c r="G15" s="49">
        <f>D15*((F15-B15)/B15+1)*$D$14/$G$14</f>
        <v>269211.26726197061</v>
      </c>
      <c r="H15" s="45">
        <f>G15/$D$14</f>
        <v>0.30150744530606727</v>
      </c>
      <c r="I15" s="50">
        <v>0</v>
      </c>
      <c r="J15" s="49">
        <f>IFERROR(IF(D15="","",I15*D15),"")</f>
        <v>0</v>
      </c>
      <c r="K15" s="49">
        <f t="shared" si="1"/>
        <v>0</v>
      </c>
      <c r="L15" s="44">
        <f>IFERROR(IF(C15="","",C15+I15),"")</f>
        <v>-9.2663433631592564</v>
      </c>
      <c r="M15" s="47">
        <v>-8.6655340676581076</v>
      </c>
      <c r="N15" s="52">
        <f t="shared" si="2"/>
        <v>-8.6655340676581076</v>
      </c>
    </row>
    <row r="16" spans="1:14" x14ac:dyDescent="0.3">
      <c r="A16" s="43" t="s">
        <v>14</v>
      </c>
      <c r="B16" s="52">
        <v>12.836970474967909</v>
      </c>
      <c r="C16" s="44">
        <f>'2020-2022'!G16</f>
        <v>-18.94385528227405</v>
      </c>
      <c r="D16" s="49">
        <f>E16/100*SUM('1Q23'!$J$15:$J$22)</f>
        <v>136997.93532284757</v>
      </c>
      <c r="E16" s="44">
        <f>'2020-2022'!K16</f>
        <v>15.34330190244328</v>
      </c>
      <c r="F16" s="44">
        <f>('2020-2022'!C16-'1Q23'!C16/4)/0.75</f>
        <v>6.3467298640597773</v>
      </c>
      <c r="G16" s="49">
        <f>D16*((F16-B16)/B16+1)*$D$14/$G$14</f>
        <v>68331.394180047122</v>
      </c>
      <c r="H16" s="45">
        <f t="shared" ref="H16:H22" si="3">G16/$D$14</f>
        <v>7.6528832923547646E-2</v>
      </c>
      <c r="I16" s="50">
        <v>0</v>
      </c>
      <c r="J16" s="49">
        <f>IFERROR(IF(D16="","",I16*D16),"")</f>
        <v>0</v>
      </c>
      <c r="K16" s="49">
        <f t="shared" si="1"/>
        <v>0</v>
      </c>
      <c r="L16" s="44">
        <f>IFERROR(IF(C16="","",C16+I16),"")</f>
        <v>-18.94385528227405</v>
      </c>
      <c r="M16" s="47">
        <v>-16.719695358509771</v>
      </c>
      <c r="N16" s="52">
        <f t="shared" si="2"/>
        <v>-16.719695358509771</v>
      </c>
    </row>
    <row r="17" spans="1:14" x14ac:dyDescent="0.3">
      <c r="A17" s="47" t="s">
        <v>15</v>
      </c>
      <c r="B17" s="52">
        <v>6.2901155327342746</v>
      </c>
      <c r="C17" s="44">
        <f>'2020-2022'!G17</f>
        <v>-55.284197299399999</v>
      </c>
      <c r="D17" s="49">
        <f>E17/100*SUM('1Q23'!$J$15:$J$22)</f>
        <v>53100.303090900423</v>
      </c>
      <c r="E17" s="44">
        <f>'2020-2022'!K17</f>
        <v>5.9470529940099874</v>
      </c>
      <c r="F17" s="44">
        <f>('2020-2022'!C17-'1Q23'!C17/4)/0.75</f>
        <v>8.3868207103123655</v>
      </c>
      <c r="G17" s="49">
        <f>D17*((F17-B17)/B17+1)*$D$14/$G$14</f>
        <v>71425.703219500938</v>
      </c>
      <c r="H17" s="45">
        <f t="shared" si="3"/>
        <v>7.9994353601645155E-2</v>
      </c>
      <c r="I17" s="50">
        <v>0</v>
      </c>
      <c r="J17" s="49">
        <f>IFERROR(IF(D17="","",I17*D17),"")</f>
        <v>0</v>
      </c>
      <c r="K17" s="49">
        <f t="shared" si="1"/>
        <v>0</v>
      </c>
      <c r="L17" s="44">
        <f>IFERROR(IF(C17="","",C17+I17),"")</f>
        <v>-55.284197299399999</v>
      </c>
      <c r="M17" s="47">
        <v>-55.284197299399999</v>
      </c>
      <c r="N17" s="52">
        <f t="shared" si="2"/>
        <v>-55.284197299399999</v>
      </c>
    </row>
    <row r="18" spans="1:14" x14ac:dyDescent="0.3">
      <c r="A18" s="47" t="s">
        <v>16</v>
      </c>
      <c r="B18" s="52">
        <v>12.580231065468549</v>
      </c>
      <c r="C18" s="44">
        <f>'2020-2022'!G18</f>
        <v>-49.062215899826583</v>
      </c>
      <c r="D18" s="49">
        <f>E18/100*SUM('1Q23'!$J$15:$J$22)</f>
        <v>117058.44505179783</v>
      </c>
      <c r="E18" s="44">
        <f>'2020-2022'!K18</f>
        <v>13.11014694073836</v>
      </c>
      <c r="F18" s="44">
        <f>('2020-2022'!C18-'1Q23'!C18/4)/0.75</f>
        <v>16.773641420624731</v>
      </c>
      <c r="G18" s="49">
        <f>D18*((F18-B18)/B18+1)*$D$14/$G$14</f>
        <v>157456.38478358812</v>
      </c>
      <c r="H18" s="45">
        <f t="shared" si="3"/>
        <v>0.17634578524914177</v>
      </c>
      <c r="I18" s="50">
        <v>0</v>
      </c>
      <c r="J18" s="49">
        <f>IFERROR(IF(D18="","",I18*D18),"")</f>
        <v>0</v>
      </c>
      <c r="K18" s="49">
        <f t="shared" si="1"/>
        <v>0</v>
      </c>
      <c r="L18" s="44">
        <f>IFERROR(IF(C18="","",C18+I18),"")</f>
        <v>-49.062215899826583</v>
      </c>
      <c r="M18" s="47">
        <v>-49.062215899826583</v>
      </c>
      <c r="N18" s="52">
        <f t="shared" si="2"/>
        <v>-49.062215899826583</v>
      </c>
    </row>
    <row r="19" spans="1:14" x14ac:dyDescent="0.3">
      <c r="A19" s="43" t="s">
        <v>17</v>
      </c>
      <c r="B19" s="52">
        <v>23.363286264441591</v>
      </c>
      <c r="C19" s="44">
        <f>'2020-2022'!G19</f>
        <v>8.462321991248464</v>
      </c>
      <c r="D19" s="49">
        <f>E19/100*SUM('1Q23'!$J$15:$J$22)</f>
        <v>194895.23192814004</v>
      </c>
      <c r="E19" s="44">
        <f>'2020-2022'!K19</f>
        <v>21.827601823145489</v>
      </c>
      <c r="F19" s="44">
        <f>('2020-2022'!C19-'1Q23'!C19/4)/0.75</f>
        <v>20.381817583358018</v>
      </c>
      <c r="G19" s="49">
        <f>D19*((F19-B19)/B19+1)*$D$14/$G$14</f>
        <v>171525.61401734297</v>
      </c>
      <c r="H19" s="45">
        <f t="shared" si="3"/>
        <v>0.19210284254781337</v>
      </c>
      <c r="I19" s="50">
        <v>0</v>
      </c>
      <c r="J19" s="49">
        <f>IFERROR(IF(D19="","",I19*D19),"")</f>
        <v>0</v>
      </c>
      <c r="K19" s="49">
        <f t="shared" si="1"/>
        <v>0</v>
      </c>
      <c r="L19" s="44">
        <f>IFERROR(IF(C19="","",C19+I19),"")</f>
        <v>8.462321991248464</v>
      </c>
      <c r="M19" s="47">
        <v>7.5491445877961603</v>
      </c>
      <c r="N19" s="52">
        <f t="shared" si="2"/>
        <v>7.5491445877961603</v>
      </c>
    </row>
    <row r="20" spans="1:14" x14ac:dyDescent="0.3">
      <c r="A20" s="43" t="s">
        <v>18</v>
      </c>
      <c r="B20" s="52">
        <v>13.86392811296534</v>
      </c>
      <c r="C20" s="44">
        <f>'2020-2022'!G20</f>
        <v>1.308427015320782</v>
      </c>
      <c r="D20" s="49">
        <f>E20/100*SUM('1Q23'!$J$15:$J$22)</f>
        <v>116102.14307268326</v>
      </c>
      <c r="E20" s="44">
        <f>'2020-2022'!K20</f>
        <v>13.00304437790863</v>
      </c>
      <c r="F20" s="44">
        <f>('2020-2022'!C20-'1Q23'!C20/4)/0.75</f>
        <v>9.254468253184557</v>
      </c>
      <c r="G20" s="49">
        <f>D20*((F20-B20)/B20+1)*$D$14/$G$14</f>
        <v>78185.1361328161</v>
      </c>
      <c r="H20" s="45">
        <f t="shared" si="3"/>
        <v>8.7564688120475659E-2</v>
      </c>
      <c r="I20" s="50">
        <v>0</v>
      </c>
      <c r="J20" s="49">
        <f>IFERROR(IF(D20="","",I20*D20),"")</f>
        <v>0</v>
      </c>
      <c r="K20" s="49">
        <f t="shared" si="1"/>
        <v>0</v>
      </c>
      <c r="L20" s="44">
        <f>IFERROR(IF(C20="","",C20+I20),"")</f>
        <v>1.308427015320782</v>
      </c>
      <c r="M20" s="47">
        <v>4.1018848029942001</v>
      </c>
      <c r="N20" s="52">
        <f t="shared" si="2"/>
        <v>4.1018848029942001</v>
      </c>
    </row>
    <row r="21" spans="1:14" x14ac:dyDescent="0.3">
      <c r="A21" s="47" t="s">
        <v>19</v>
      </c>
      <c r="B21" s="52">
        <v>3.5943517329910142</v>
      </c>
      <c r="C21" s="44">
        <f>'2020-2022'!G21</f>
        <v>-15.87366828332091</v>
      </c>
      <c r="D21" s="49">
        <f>E21/100*SUM('1Q23'!$J$15:$J$22)</f>
        <v>27050.44083754758</v>
      </c>
      <c r="E21" s="44">
        <f>'2020-2022'!K21</f>
        <v>3.0295571928627099</v>
      </c>
      <c r="F21" s="44">
        <f>('2020-2022'!C21-'1Q23'!C21/4)/0.75</f>
        <v>4.7924689773213522</v>
      </c>
      <c r="G21" s="49">
        <f>D21*((F21-B21)/B21+1)*$D$14/$G$14</f>
        <v>36385.795311033493</v>
      </c>
      <c r="H21" s="45">
        <f t="shared" si="3"/>
        <v>4.0750850814069622E-2</v>
      </c>
      <c r="I21" s="50">
        <v>0</v>
      </c>
      <c r="J21" s="49">
        <f>IFERROR(IF(D21="","",I21*D21),"")</f>
        <v>0</v>
      </c>
      <c r="K21" s="49">
        <f t="shared" si="1"/>
        <v>0</v>
      </c>
      <c r="L21" s="44">
        <f>IFERROR(IF(C21="","",C21+I21),"")</f>
        <v>-15.87366828332091</v>
      </c>
      <c r="M21" s="47">
        <v>-15.87366828332091</v>
      </c>
      <c r="N21" s="52">
        <f t="shared" si="2"/>
        <v>-15.87366828332091</v>
      </c>
    </row>
    <row r="22" spans="1:14" x14ac:dyDescent="0.3">
      <c r="A22" s="47" t="s">
        <v>20</v>
      </c>
      <c r="B22" s="52">
        <v>3.5943517329910142</v>
      </c>
      <c r="C22" s="44">
        <f>'2020-2022'!G22</f>
        <v>-22.892408766260761</v>
      </c>
      <c r="D22" s="49">
        <f>E22/100*SUM('1Q23'!$J$15:$J$22)</f>
        <v>30007.24163052997</v>
      </c>
      <c r="E22" s="44">
        <f>'2020-2022'!K22</f>
        <v>3.3607088056603849</v>
      </c>
      <c r="F22" s="44">
        <f>('2020-2022'!C22-'1Q23'!C22/4)/0.75</f>
        <v>4.7924689773213522</v>
      </c>
      <c r="G22" s="49">
        <f>D22*((F22-B22)/B22+1)*$D$14/$G$14</f>
        <v>40363.015093700538</v>
      </c>
      <c r="H22" s="45">
        <f t="shared" si="3"/>
        <v>4.5205201437239433E-2</v>
      </c>
      <c r="I22" s="50">
        <v>0</v>
      </c>
      <c r="J22" s="49">
        <f>IFERROR(IF(D22="","",I22*D22),"")</f>
        <v>0</v>
      </c>
      <c r="K22" s="49">
        <f t="shared" si="1"/>
        <v>0</v>
      </c>
      <c r="L22" s="44">
        <f>IFERROR(IF(C22="","",C22+I22),"")</f>
        <v>-22.892408766260761</v>
      </c>
      <c r="M22" s="47">
        <v>-22.892408766260761</v>
      </c>
      <c r="N22" s="52">
        <f t="shared" si="2"/>
        <v>-22.892408766260761</v>
      </c>
    </row>
    <row r="23" spans="1:14" x14ac:dyDescent="0.3">
      <c r="A23" s="48" t="s">
        <v>22</v>
      </c>
      <c r="B23" s="47"/>
      <c r="E23" s="46">
        <f>B109</f>
        <v>0.18241096064736673</v>
      </c>
      <c r="F23" s="44"/>
      <c r="J23" s="49" t="str">
        <f>IFERROR(IF(D23="","",I23*D23),"")</f>
        <v/>
      </c>
      <c r="K23" s="49" t="str">
        <f t="shared" si="1"/>
        <v/>
      </c>
      <c r="L23" s="44" t="str">
        <f>IFERROR(IF(C23="","",C23+I23),"")</f>
        <v/>
      </c>
      <c r="M23" s="47"/>
      <c r="N23" s="52">
        <f t="shared" si="2"/>
        <v>0</v>
      </c>
    </row>
    <row r="24" spans="1:14" x14ac:dyDescent="0.3">
      <c r="B24" s="47" t="s">
        <v>2</v>
      </c>
      <c r="C24" s="44" t="s">
        <v>6</v>
      </c>
      <c r="D24" s="49" t="s">
        <v>9</v>
      </c>
      <c r="E24" s="44" t="s">
        <v>10</v>
      </c>
      <c r="F24" s="44" t="s">
        <v>2</v>
      </c>
      <c r="J24" s="49" t="str">
        <f>IFERROR(IF(D24="","",I24*D24),"")</f>
        <v/>
      </c>
      <c r="K24" s="49" t="str">
        <f t="shared" si="1"/>
        <v/>
      </c>
      <c r="L24" s="44" t="str">
        <f>IFERROR(IF(C24="","",C24+I24),"")</f>
        <v/>
      </c>
      <c r="M24" s="51" t="s">
        <v>57</v>
      </c>
      <c r="N24" s="52"/>
    </row>
    <row r="25" spans="1:14" x14ac:dyDescent="0.3">
      <c r="A25" s="43" t="s">
        <v>12</v>
      </c>
      <c r="B25" s="47"/>
      <c r="D25" s="49">
        <f>SUM(D26:D33)</f>
        <v>396311.99000000005</v>
      </c>
      <c r="F25" s="44"/>
      <c r="G25" s="49">
        <v>405757.32345185458</v>
      </c>
      <c r="J25" s="49">
        <f>IFERROR(IF(D25="","",I25*D25),"")</f>
        <v>0</v>
      </c>
      <c r="K25" s="49">
        <f t="shared" si="1"/>
        <v>0</v>
      </c>
      <c r="L25" s="44" t="str">
        <f>IFERROR(IF(C25="","",C25+I25),"")</f>
        <v/>
      </c>
      <c r="M25" s="47"/>
      <c r="N25" s="52">
        <f t="shared" si="2"/>
        <v>0</v>
      </c>
    </row>
    <row r="26" spans="1:14" x14ac:dyDescent="0.3">
      <c r="A26" s="43" t="s">
        <v>13</v>
      </c>
      <c r="B26" s="52">
        <v>26.829268292682929</v>
      </c>
      <c r="C26" s="44">
        <f>'2020-2022'!G26</f>
        <v>-16.700578912690339</v>
      </c>
      <c r="D26" s="49">
        <f>E26/100*SUM('1Q23'!$J$26:$J$33)</f>
        <v>126032.28747257104</v>
      </c>
      <c r="E26" s="44">
        <f>'2020-2022'!K26</f>
        <v>31.801280469099868</v>
      </c>
      <c r="F26" s="44">
        <f>('2020-2022'!C26-'1Q23'!C26/4)/0.75</f>
        <v>29.618511569731083</v>
      </c>
      <c r="G26" s="49">
        <f>D26*((F26-B26)/B26+1)*$D$25/$G$25</f>
        <v>135896.12236404061</v>
      </c>
      <c r="H26" s="45">
        <f>G26/$D$25</f>
        <v>0.34290186972148029</v>
      </c>
      <c r="I26" s="50">
        <v>0</v>
      </c>
      <c r="J26" s="49">
        <f>IFERROR(IF(D26="","",I26*D26),"")</f>
        <v>0</v>
      </c>
      <c r="K26" s="49">
        <f t="shared" si="1"/>
        <v>0</v>
      </c>
      <c r="L26" s="44">
        <f>IFERROR(IF(C26="","",C26+I26),"")</f>
        <v>-16.700578912690339</v>
      </c>
      <c r="M26" s="47">
        <v>-15.866058068630741</v>
      </c>
      <c r="N26" s="52">
        <f t="shared" si="2"/>
        <v>-15.866058068630741</v>
      </c>
    </row>
    <row r="27" spans="1:14" x14ac:dyDescent="0.3">
      <c r="A27" s="43" t="s">
        <v>14</v>
      </c>
      <c r="B27" s="52">
        <v>11.0397946084724</v>
      </c>
      <c r="C27" s="44">
        <f>'2020-2022'!G27</f>
        <v>-5.0382891985779494</v>
      </c>
      <c r="D27" s="49">
        <f>E27/100*SUM('1Q23'!$J$26:$J$33)</f>
        <v>42160.159144670382</v>
      </c>
      <c r="E27" s="44">
        <f>'2020-2022'!K27</f>
        <v>10.63812355126333</v>
      </c>
      <c r="F27" s="44">
        <f>('2020-2022'!C27-'1Q23'!C27/4)/0.75</f>
        <v>7.0274184523221734</v>
      </c>
      <c r="G27" s="49">
        <f>D27*((F27-B27)/B27+1)*$D$25/$G$25</f>
        <v>26212.46763407746</v>
      </c>
      <c r="H27" s="45">
        <f t="shared" ref="H27:H33" si="4">G27/$D$25</f>
        <v>6.614099067272089E-2</v>
      </c>
      <c r="I27" s="50">
        <v>0</v>
      </c>
      <c r="J27" s="49">
        <f>IFERROR(IF(D27="","",I27*D27),"")</f>
        <v>0</v>
      </c>
      <c r="K27" s="49">
        <f t="shared" si="1"/>
        <v>0</v>
      </c>
      <c r="L27" s="44">
        <f>IFERROR(IF(C27="","",C27+I27),"")</f>
        <v>-5.0382891985779494</v>
      </c>
      <c r="M27" s="47">
        <v>-4.4835643274103241</v>
      </c>
      <c r="N27" s="52">
        <f t="shared" si="2"/>
        <v>-4.4835643274103241</v>
      </c>
    </row>
    <row r="28" spans="1:14" x14ac:dyDescent="0.3">
      <c r="A28" s="43" t="s">
        <v>15</v>
      </c>
      <c r="B28" s="52">
        <v>5.006418485237484</v>
      </c>
      <c r="C28" s="44">
        <f>'2020-2022'!G28</f>
        <v>-30.26588230695565</v>
      </c>
      <c r="D28" s="49">
        <f>E28/100*SUM('1Q23'!$J$26:$J$33)</f>
        <v>22951.35586881535</v>
      </c>
      <c r="E28" s="44">
        <f>'2020-2022'!K28</f>
        <v>5.7912342921583946</v>
      </c>
      <c r="F28" s="44">
        <f>('2020-2022'!C28-'1Q23'!C28/4)/0.75</f>
        <v>2.5726605444192088</v>
      </c>
      <c r="G28" s="49">
        <f>D28*((F28-B28)/B28+1)*$D$25/$G$25</f>
        <v>11519.523846834865</v>
      </c>
      <c r="H28" s="45">
        <f t="shared" si="4"/>
        <v>2.9066806297823246E-2</v>
      </c>
      <c r="I28" s="50">
        <v>0</v>
      </c>
      <c r="J28" s="49">
        <f>IFERROR(IF(D28="","",I28*D28),"")</f>
        <v>0</v>
      </c>
      <c r="K28" s="49">
        <f t="shared" si="1"/>
        <v>0</v>
      </c>
      <c r="L28" s="44">
        <f>IFERROR(IF(C28="","",C28+I28),"")</f>
        <v>-30.26588230695565</v>
      </c>
      <c r="M28" s="47">
        <v>-26.22818557563027</v>
      </c>
      <c r="N28" s="52">
        <f t="shared" si="2"/>
        <v>-26.22818557563027</v>
      </c>
    </row>
    <row r="29" spans="1:14" x14ac:dyDescent="0.3">
      <c r="A29" s="43" t="s">
        <v>16</v>
      </c>
      <c r="B29" s="52">
        <v>17.201540436457002</v>
      </c>
      <c r="C29" s="44">
        <f>'2020-2022'!G29</f>
        <v>-22.491897555436321</v>
      </c>
      <c r="D29" s="49">
        <f>E29/100*SUM('1Q23'!$J$26:$J$33)</f>
        <v>91960.371480145419</v>
      </c>
      <c r="E29" s="44">
        <f>'2020-2022'!K29</f>
        <v>23.204034649606591</v>
      </c>
      <c r="F29" s="44">
        <f>('2020-2022'!C29-'1Q23'!C29/4)/0.75</f>
        <v>21.396925710147798</v>
      </c>
      <c r="G29" s="49">
        <f>D29*((F29-B29)/B29+1)*$D$25/$G$25</f>
        <v>111726.34708518934</v>
      </c>
      <c r="H29" s="45">
        <f t="shared" si="4"/>
        <v>0.2819151322804776</v>
      </c>
      <c r="I29" s="50">
        <v>0</v>
      </c>
      <c r="J29" s="49">
        <f>IFERROR(IF(D29="","",I29*D29),"")</f>
        <v>0</v>
      </c>
      <c r="K29" s="49">
        <f t="shared" si="1"/>
        <v>0</v>
      </c>
      <c r="L29" s="44">
        <f>IFERROR(IF(C29="","",C29+I29),"")</f>
        <v>-22.491897555436321</v>
      </c>
      <c r="M29" s="47">
        <v>-21.889299116672881</v>
      </c>
      <c r="N29" s="52">
        <f t="shared" si="2"/>
        <v>-21.889299116672881</v>
      </c>
    </row>
    <row r="30" spans="1:14" x14ac:dyDescent="0.3">
      <c r="A30" s="43" t="s">
        <v>17</v>
      </c>
      <c r="B30" s="52">
        <v>20.282413350449289</v>
      </c>
      <c r="C30" s="44">
        <f>'2020-2022'!G30</f>
        <v>-23.025535520998371</v>
      </c>
      <c r="D30" s="49">
        <f>E30/100*SUM('1Q23'!$J$26:$J$33)</f>
        <v>57360.542455134731</v>
      </c>
      <c r="E30" s="44">
        <f>'2020-2022'!K30</f>
        <v>14.473582405401039</v>
      </c>
      <c r="F30" s="44">
        <f>('2020-2022'!C30-'1Q23'!C30/4)/0.75</f>
        <v>22.427833185214435</v>
      </c>
      <c r="G30" s="49">
        <f>D30*((F30-B30)/B30+1)*$D$25/$G$25</f>
        <v>61951.493737157754</v>
      </c>
      <c r="H30" s="45">
        <f t="shared" si="4"/>
        <v>0.15632000873139806</v>
      </c>
      <c r="I30" s="50">
        <v>0</v>
      </c>
      <c r="J30" s="49">
        <f>IFERROR(IF(D30="","",I30*D30),"")</f>
        <v>0</v>
      </c>
      <c r="K30" s="49">
        <f t="shared" si="1"/>
        <v>0</v>
      </c>
      <c r="L30" s="44">
        <f>IFERROR(IF(C30="","",C30+I30),"")</f>
        <v>-23.025535520998371</v>
      </c>
      <c r="M30" s="47">
        <v>-20.27928733512519</v>
      </c>
      <c r="N30" s="52">
        <f t="shared" si="2"/>
        <v>-20.27928733512519</v>
      </c>
    </row>
    <row r="31" spans="1:14" x14ac:dyDescent="0.3">
      <c r="A31" s="43" t="s">
        <v>18</v>
      </c>
      <c r="B31" s="52">
        <v>10.397946084724</v>
      </c>
      <c r="C31" s="44">
        <f>'2020-2022'!G31</f>
        <v>-1.035545201249719</v>
      </c>
      <c r="D31" s="49">
        <f>E31/100*SUM('1Q23'!$J$26:$J$33)</f>
        <v>25742.237512847292</v>
      </c>
      <c r="E31" s="44">
        <f>'2020-2022'!K31</f>
        <v>6.495447567167294</v>
      </c>
      <c r="F31" s="44">
        <f>('2020-2022'!C31-'1Q23'!C31/4)/0.75</f>
        <v>5.6587999078371256</v>
      </c>
      <c r="G31" s="49">
        <f>D31*((F31-B31)/B31+1)*$D$25/$G$25</f>
        <v>13683.39658247795</v>
      </c>
      <c r="H31" s="45">
        <f t="shared" si="4"/>
        <v>3.4526829689099106E-2</v>
      </c>
      <c r="I31" s="50">
        <v>0</v>
      </c>
      <c r="J31" s="49">
        <f>IFERROR(IF(D31="","",I31*D31),"")</f>
        <v>0</v>
      </c>
      <c r="K31" s="49">
        <f t="shared" si="1"/>
        <v>0</v>
      </c>
      <c r="L31" s="44">
        <f>IFERROR(IF(C31="","",C31+I31),"")</f>
        <v>-1.035545201249719</v>
      </c>
      <c r="M31" s="47">
        <v>-6.7776398119473598</v>
      </c>
      <c r="N31" s="52">
        <f t="shared" si="2"/>
        <v>-6.7776398119473598</v>
      </c>
    </row>
    <row r="32" spans="1:14" x14ac:dyDescent="0.3">
      <c r="A32" s="43" t="s">
        <v>19</v>
      </c>
      <c r="B32" s="52">
        <v>3.2092426187419769</v>
      </c>
      <c r="C32" s="44">
        <f>'2020-2022'!G32</f>
        <v>-33.018846697392711</v>
      </c>
      <c r="D32" s="49">
        <f>E32/100*SUM('1Q23'!$J$26:$J$33)</f>
        <v>12439.580156848906</v>
      </c>
      <c r="E32" s="44">
        <f>'2020-2022'!K32</f>
        <v>3.138835178024491</v>
      </c>
      <c r="F32" s="44">
        <f>('2020-2022'!C32-'1Q23'!C32/4)/0.75</f>
        <v>3.2533491326816102</v>
      </c>
      <c r="G32" s="49">
        <f>D32*((F32-B32)/B32+1)*$D$25/$G$25</f>
        <v>12316.992827084825</v>
      </c>
      <c r="H32" s="45">
        <f t="shared" si="4"/>
        <v>3.107903151525853E-2</v>
      </c>
      <c r="I32" s="50">
        <v>0</v>
      </c>
      <c r="J32" s="49">
        <f>IFERROR(IF(D32="","",I32*D32),"")</f>
        <v>0</v>
      </c>
      <c r="K32" s="49">
        <f t="shared" si="1"/>
        <v>0</v>
      </c>
      <c r="L32" s="44">
        <f>IFERROR(IF(C32="","",C32+I32),"")</f>
        <v>-33.018846697392711</v>
      </c>
      <c r="M32" s="47">
        <v>-32.140662569674951</v>
      </c>
      <c r="N32" s="52">
        <f t="shared" si="2"/>
        <v>-32.140662569674951</v>
      </c>
    </row>
    <row r="33" spans="1:14" x14ac:dyDescent="0.3">
      <c r="A33" s="47" t="s">
        <v>20</v>
      </c>
      <c r="B33" s="52">
        <v>6.033376123234917</v>
      </c>
      <c r="C33" s="44">
        <f>'2020-2022'!G33</f>
        <v>-32.945549715779393</v>
      </c>
      <c r="D33" s="49">
        <f>E33/100*SUM('1Q23'!$J$26:$J$33)</f>
        <v>17665.455908966931</v>
      </c>
      <c r="E33" s="44">
        <f>'2020-2022'!K33</f>
        <v>4.4574618872789911</v>
      </c>
      <c r="F33" s="44">
        <f>('2020-2022'!C33-'1Q23'!C33/4)/0.75</f>
        <v>8.0445014976465554</v>
      </c>
      <c r="G33" s="49">
        <f>D33*((F33-B33)/B33+1)*$D$25/$G$25</f>
        <v>23005.64592313729</v>
      </c>
      <c r="H33" s="45">
        <f t="shared" si="4"/>
        <v>5.8049331091742359E-2</v>
      </c>
      <c r="I33" s="50">
        <v>0</v>
      </c>
      <c r="J33" s="49">
        <f>IFERROR(IF(D33="","",I33*D33),"")</f>
        <v>0</v>
      </c>
      <c r="K33" s="49">
        <f t="shared" si="1"/>
        <v>0</v>
      </c>
      <c r="L33" s="44">
        <f>IFERROR(IF(C33="","",C33+I33),"")</f>
        <v>-32.945549715779393</v>
      </c>
      <c r="M33" s="47">
        <v>-32.945549715779393</v>
      </c>
      <c r="N33" s="52">
        <f t="shared" si="2"/>
        <v>-32.945549715779393</v>
      </c>
    </row>
    <row r="34" spans="1:14" x14ac:dyDescent="0.3">
      <c r="A34" s="48" t="s">
        <v>23</v>
      </c>
      <c r="B34" s="47"/>
      <c r="E34" s="46">
        <f>B110</f>
        <v>4.9434948146847305E-2</v>
      </c>
      <c r="F34" s="44"/>
      <c r="J34" s="49" t="str">
        <f>IFERROR(IF(D34="","",I34*D34),"")</f>
        <v/>
      </c>
      <c r="K34" s="49" t="str">
        <f t="shared" si="1"/>
        <v/>
      </c>
      <c r="L34" s="44" t="str">
        <f>IFERROR(IF(C34="","",C34+I34),"")</f>
        <v/>
      </c>
      <c r="M34" s="47"/>
      <c r="N34" s="52">
        <f t="shared" si="2"/>
        <v>0</v>
      </c>
    </row>
    <row r="35" spans="1:14" x14ac:dyDescent="0.3">
      <c r="B35" s="47" t="s">
        <v>2</v>
      </c>
      <c r="C35" s="44" t="s">
        <v>6</v>
      </c>
      <c r="D35" s="49" t="s">
        <v>9</v>
      </c>
      <c r="E35" s="44" t="s">
        <v>10</v>
      </c>
      <c r="F35" s="44" t="s">
        <v>2</v>
      </c>
      <c r="J35" s="49" t="str">
        <f>IFERROR(IF(D35="","",I35*D35),"")</f>
        <v/>
      </c>
      <c r="K35" s="49" t="str">
        <f t="shared" si="1"/>
        <v/>
      </c>
      <c r="L35" s="44" t="str">
        <f>IFERROR(IF(C35="","",C35+I35),"")</f>
        <v/>
      </c>
      <c r="M35" s="51" t="s">
        <v>57</v>
      </c>
      <c r="N35" s="52"/>
    </row>
    <row r="36" spans="1:14" x14ac:dyDescent="0.3">
      <c r="A36" s="43" t="s">
        <v>12</v>
      </c>
      <c r="B36" s="47"/>
      <c r="D36" s="49">
        <f>SUM(D37:D44)</f>
        <v>1630578.3999999997</v>
      </c>
      <c r="F36" s="44"/>
      <c r="G36" s="49">
        <v>1598765.2310009552</v>
      </c>
      <c r="J36" s="49">
        <f>IFERROR(IF(D36="","",I36*D36),"")</f>
        <v>0</v>
      </c>
      <c r="K36" s="49">
        <f t="shared" si="1"/>
        <v>0</v>
      </c>
      <c r="L36" s="44" t="str">
        <f>IFERROR(IF(C36="","",C36+I36),"")</f>
        <v/>
      </c>
      <c r="M36" s="47"/>
      <c r="N36" s="52">
        <f t="shared" si="2"/>
        <v>0</v>
      </c>
    </row>
    <row r="37" spans="1:14" x14ac:dyDescent="0.3">
      <c r="A37" s="43" t="s">
        <v>13</v>
      </c>
      <c r="B37" s="52">
        <v>29.45736434108527</v>
      </c>
      <c r="C37" s="44">
        <f>'2020-2022'!G37</f>
        <v>-24.512778883793139</v>
      </c>
      <c r="D37" s="49">
        <f>E37/100*SUM('1Q23'!$J$37:$J$44)</f>
        <v>421673.86660291319</v>
      </c>
      <c r="E37" s="44">
        <f>'2020-2022'!K37</f>
        <v>25.860385897600089</v>
      </c>
      <c r="F37" s="44">
        <f>('2020-2022'!C37-'1Q23'!C37/4)/0.75</f>
        <v>36.588313745102944</v>
      </c>
      <c r="G37" s="49">
        <f>D37*((F37-B37)/B37+1)*$D$36/$G$36</f>
        <v>534173.30985707126</v>
      </c>
      <c r="H37" s="45">
        <f>G37/$D$36</f>
        <v>0.32759744018261949</v>
      </c>
      <c r="I37" s="50">
        <v>-2</v>
      </c>
      <c r="J37" s="49">
        <f>IFERROR(IF(D37="","",I37*D37),"")</f>
        <v>-843347.73320582637</v>
      </c>
      <c r="K37" s="49">
        <f t="shared" si="1"/>
        <v>-1068346.6197141425</v>
      </c>
      <c r="L37" s="44">
        <f>IFERROR(IF(C37="","",C37+I37),"")</f>
        <v>-26.512778883793139</v>
      </c>
      <c r="M37" s="47">
        <v>-27.037190646642401</v>
      </c>
      <c r="N37" s="52">
        <f t="shared" si="2"/>
        <v>-29.037190646642401</v>
      </c>
    </row>
    <row r="38" spans="1:14" x14ac:dyDescent="0.3">
      <c r="A38" s="43" t="s">
        <v>14</v>
      </c>
      <c r="B38" s="52">
        <v>7.4935400516795871</v>
      </c>
      <c r="C38" s="44">
        <f>'2020-2022'!G38</f>
        <v>-14.62915967758703</v>
      </c>
      <c r="D38" s="49">
        <f>E38/100*SUM('1Q23'!$J$37:$J$44)</f>
        <v>103753.19250650425</v>
      </c>
      <c r="E38" s="44">
        <f>'2020-2022'!K38</f>
        <v>6.3629686561838579</v>
      </c>
      <c r="F38" s="44">
        <f>('2020-2022'!C38-'1Q23'!C38/4)/0.75</f>
        <v>9.4537523269706316</v>
      </c>
      <c r="G38" s="49">
        <f>D38*((F38-B38)/B38+1)*$D$36/$G$36</f>
        <v>133498.27267434011</v>
      </c>
      <c r="H38" s="45">
        <f t="shared" ref="H38:H44" si="5">G38/$D$36</f>
        <v>8.1871728875066746E-2</v>
      </c>
      <c r="I38" s="50">
        <v>-2</v>
      </c>
      <c r="J38" s="49">
        <f>IFERROR(IF(D38="","",I38*D38),"")</f>
        <v>-207506.38501300849</v>
      </c>
      <c r="K38" s="49">
        <f t="shared" si="1"/>
        <v>-266996.54534868023</v>
      </c>
      <c r="L38" s="44">
        <f>IFERROR(IF(C38="","",C38+I38),"")</f>
        <v>-16.62915967758703</v>
      </c>
      <c r="M38" s="47">
        <v>-16.060080274907339</v>
      </c>
      <c r="N38" s="52">
        <f t="shared" si="2"/>
        <v>-18.060080274907339</v>
      </c>
    </row>
    <row r="39" spans="1:14" x14ac:dyDescent="0.3">
      <c r="A39" s="43" t="s">
        <v>15</v>
      </c>
      <c r="B39" s="52">
        <v>6.0723514211886309</v>
      </c>
      <c r="C39" s="44">
        <f>'2020-2022'!G39</f>
        <v>-50.370990406588128</v>
      </c>
      <c r="D39" s="49">
        <f>E39/100*SUM('1Q23'!$J$37:$J$44)</f>
        <v>116957.24255227191</v>
      </c>
      <c r="E39" s="44">
        <f>'2020-2022'!K39</f>
        <v>7.172745729507513</v>
      </c>
      <c r="F39" s="44">
        <f>('2020-2022'!C39-'1Q23'!C39/4)/0.75</f>
        <v>3.2577588841654848</v>
      </c>
      <c r="G39" s="49">
        <f>D39*((F39-B39)/B39+1)*$D$36/$G$36</f>
        <v>63995.015887445268</v>
      </c>
      <c r="H39" s="45">
        <f t="shared" si="5"/>
        <v>3.9246819341802443E-2</v>
      </c>
      <c r="I39" s="50">
        <v>-2</v>
      </c>
      <c r="J39" s="49">
        <f>IFERROR(IF(D39="","",I39*D39),"")</f>
        <v>-233914.48510454383</v>
      </c>
      <c r="K39" s="49">
        <f t="shared" si="1"/>
        <v>-127990.03177489054</v>
      </c>
      <c r="L39" s="44">
        <f>IFERROR(IF(C39="","",C39+I39),"")</f>
        <v>-52.370990406588128</v>
      </c>
      <c r="M39" s="47">
        <v>-45.513488062308951</v>
      </c>
      <c r="N39" s="52">
        <f t="shared" si="2"/>
        <v>-47.513488062308951</v>
      </c>
    </row>
    <row r="40" spans="1:14" x14ac:dyDescent="0.3">
      <c r="A40" s="43" t="s">
        <v>16</v>
      </c>
      <c r="B40" s="52">
        <v>11.498708010335919</v>
      </c>
      <c r="C40" s="44">
        <f>'2020-2022'!G40</f>
        <v>-68.249511511707126</v>
      </c>
      <c r="D40" s="49">
        <f>E40/100*SUM('1Q23'!$J$37:$J$44)</f>
        <v>187185.14145076898</v>
      </c>
      <c r="E40" s="44">
        <f>'2020-2022'!K40</f>
        <v>11.47967748442939</v>
      </c>
      <c r="F40" s="44">
        <f>('2020-2022'!C40-'1Q23'!C40/4)/0.75</f>
        <v>6.7294601428134859</v>
      </c>
      <c r="G40" s="49">
        <f>D40*((F40-B40)/B40+1)*$D$36/$G$36</f>
        <v>111727.36111905488</v>
      </c>
      <c r="H40" s="45">
        <f t="shared" si="5"/>
        <v>6.8520079205670145E-2</v>
      </c>
      <c r="I40" s="50">
        <v>0</v>
      </c>
      <c r="J40" s="49">
        <f>IFERROR(IF(D40="","",I40*D40),"")</f>
        <v>0</v>
      </c>
      <c r="K40" s="49">
        <f t="shared" si="1"/>
        <v>0</v>
      </c>
      <c r="L40" s="44">
        <f>IFERROR(IF(C40="","",C40+I40),"")</f>
        <v>-68.249511511707126</v>
      </c>
      <c r="M40" s="47">
        <v>-63.452599998781821</v>
      </c>
      <c r="N40" s="52">
        <f t="shared" si="2"/>
        <v>-63.452599998781821</v>
      </c>
    </row>
    <row r="41" spans="1:14" x14ac:dyDescent="0.3">
      <c r="A41" s="43" t="s">
        <v>17</v>
      </c>
      <c r="B41" s="52">
        <v>26.227390180878551</v>
      </c>
      <c r="C41" s="44">
        <f>'2020-2022'!G41</f>
        <v>-27.085429538877861</v>
      </c>
      <c r="D41" s="49">
        <f>E41/100*SUM('1Q23'!$J$37:$J$44)</f>
        <v>451561.42134213686</v>
      </c>
      <c r="E41" s="44">
        <f>'2020-2022'!K41</f>
        <v>27.69332779964072</v>
      </c>
      <c r="F41" s="44">
        <f>('2020-2022'!C41-'1Q23'!C41/4)/0.75</f>
        <v>28.518240671278928</v>
      </c>
      <c r="G41" s="49">
        <f>D41*((F41-B41)/B41+1)*$D$36/$G$36</f>
        <v>500773.65596193552</v>
      </c>
      <c r="H41" s="45">
        <f t="shared" si="5"/>
        <v>0.30711412340672217</v>
      </c>
      <c r="I41" s="50">
        <v>-2</v>
      </c>
      <c r="J41" s="49">
        <f>IFERROR(IF(D41="","",I41*D41),"")</f>
        <v>-903122.84268427372</v>
      </c>
      <c r="K41" s="49">
        <f t="shared" si="1"/>
        <v>-1001547.311923871</v>
      </c>
      <c r="L41" s="44">
        <f>IFERROR(IF(C41="","",C41+I41),"")</f>
        <v>-29.085429538877861</v>
      </c>
      <c r="M41" s="47">
        <v>-28.807020921533031</v>
      </c>
      <c r="N41" s="52">
        <f t="shared" si="2"/>
        <v>-30.807020921533031</v>
      </c>
    </row>
    <row r="42" spans="1:14" x14ac:dyDescent="0.3">
      <c r="A42" s="43" t="s">
        <v>18</v>
      </c>
      <c r="B42" s="52">
        <v>5.8139534883720927</v>
      </c>
      <c r="C42" s="44">
        <f>'2020-2022'!G42</f>
        <v>-16.05507817468812</v>
      </c>
      <c r="D42" s="49">
        <f>E42/100*SUM('1Q23'!$J$37:$J$44)</f>
        <v>107018.08205866003</v>
      </c>
      <c r="E42" s="44">
        <f>'2020-2022'!K42</f>
        <v>6.5631975781514109</v>
      </c>
      <c r="F42" s="44">
        <f>('2020-2022'!C42-'1Q23'!C42/4)/0.75</f>
        <v>6.6766691672918226</v>
      </c>
      <c r="G42" s="49">
        <f>D42*((F42-B42)/B42+1)*$D$36/$G$36</f>
        <v>125343.68477197528</v>
      </c>
      <c r="H42" s="45">
        <f t="shared" si="5"/>
        <v>7.6870688813230517E-2</v>
      </c>
      <c r="I42" s="50">
        <v>-2</v>
      </c>
      <c r="J42" s="49">
        <f>IFERROR(IF(D42="","",I42*D42),"")</f>
        <v>-214036.16411732006</v>
      </c>
      <c r="K42" s="49">
        <f t="shared" si="1"/>
        <v>-250687.36954395057</v>
      </c>
      <c r="L42" s="44">
        <f>IFERROR(IF(C42="","",C42+I42),"")</f>
        <v>-18.05507817468812</v>
      </c>
      <c r="M42" s="47">
        <v>-15.67137126678792</v>
      </c>
      <c r="N42" s="52">
        <f t="shared" si="2"/>
        <v>-17.671371266787922</v>
      </c>
    </row>
    <row r="43" spans="1:14" x14ac:dyDescent="0.3">
      <c r="A43" s="43" t="s">
        <v>19</v>
      </c>
      <c r="B43" s="52">
        <v>6.9767441860465116</v>
      </c>
      <c r="C43" s="44">
        <f>'2020-2022'!G43</f>
        <v>-29.448502533241999</v>
      </c>
      <c r="D43" s="49">
        <f>E43/100*SUM('1Q23'!$J$37:$J$44)</f>
        <v>140709.51325610947</v>
      </c>
      <c r="E43" s="44">
        <f>'2020-2022'!K43</f>
        <v>8.6294233540754295</v>
      </c>
      <c r="F43" s="44">
        <f>('2020-2022'!C43-'1Q23'!C43/4)/0.75</f>
        <v>4.4636159039759926</v>
      </c>
      <c r="G43" s="49">
        <f>D43*((F43-B43)/B43+1)*$D$36/$G$36</f>
        <v>91815.175352097271</v>
      </c>
      <c r="H43" s="45">
        <f t="shared" si="5"/>
        <v>5.6308347609717688E-2</v>
      </c>
      <c r="I43" s="50">
        <v>-2</v>
      </c>
      <c r="J43" s="49">
        <f>IFERROR(IF(D43="","",I43*D43),"")</f>
        <v>-281419.02651221893</v>
      </c>
      <c r="K43" s="49">
        <f t="shared" si="1"/>
        <v>-183630.35070419454</v>
      </c>
      <c r="L43" s="44">
        <f>IFERROR(IF(C43="","",C43+I43),"")</f>
        <v>-31.448502533241999</v>
      </c>
      <c r="M43" s="47">
        <v>-22.733693984222779</v>
      </c>
      <c r="N43" s="52">
        <f t="shared" si="2"/>
        <v>-24.733693984222779</v>
      </c>
    </row>
    <row r="44" spans="1:14" x14ac:dyDescent="0.3">
      <c r="A44" s="43" t="s">
        <v>20</v>
      </c>
      <c r="B44" s="52">
        <v>6.459948320413436</v>
      </c>
      <c r="C44" s="44">
        <f>'2020-2022'!G44</f>
        <v>-35.584011040576158</v>
      </c>
      <c r="D44" s="49">
        <f>E44/100*SUM('1Q23'!$J$37:$J$44)</f>
        <v>101719.94023063505</v>
      </c>
      <c r="E44" s="44">
        <f>'2020-2022'!K44</f>
        <v>6.2382735004115757</v>
      </c>
      <c r="F44" s="44">
        <f>('2020-2022'!C44-'1Q23'!C44/4)/0.75</f>
        <v>4.3121891584007113</v>
      </c>
      <c r="G44" s="49">
        <f>D44*((F44-B44)/B44+1)*$D$36/$G$36</f>
        <v>69251.924376080104</v>
      </c>
      <c r="H44" s="45">
        <f t="shared" si="5"/>
        <v>4.247077256517081E-2</v>
      </c>
      <c r="I44" s="50">
        <v>0</v>
      </c>
      <c r="J44" s="49">
        <f>IFERROR(IF(D44="","",I44*D44),"")</f>
        <v>0</v>
      </c>
      <c r="K44" s="49">
        <f t="shared" si="1"/>
        <v>0</v>
      </c>
      <c r="L44" s="44">
        <f>IFERROR(IF(C44="","",C44+I44),"")</f>
        <v>-35.584011040576158</v>
      </c>
      <c r="M44" s="47">
        <v>-30.273309985890801</v>
      </c>
      <c r="N44" s="52">
        <f t="shared" si="2"/>
        <v>-30.273309985890801</v>
      </c>
    </row>
    <row r="45" spans="1:14" x14ac:dyDescent="0.3">
      <c r="E45" s="46">
        <f>B111</f>
        <v>0.5066985915484119</v>
      </c>
    </row>
    <row r="46" spans="1:14" x14ac:dyDescent="0.3">
      <c r="J46" s="60">
        <f>SUM(J4:J44)</f>
        <v>-3634340.909376042</v>
      </c>
      <c r="K46" s="60">
        <f>SUM(K4:K44)</f>
        <v>-3779144.4627014436</v>
      </c>
    </row>
    <row r="47" spans="1:14" x14ac:dyDescent="0.3">
      <c r="A47" s="51" t="s">
        <v>55</v>
      </c>
      <c r="B47" s="47" t="s">
        <v>2</v>
      </c>
      <c r="C47" s="47" t="s">
        <v>6</v>
      </c>
      <c r="D47" s="47" t="s">
        <v>56</v>
      </c>
      <c r="E47" s="47" t="s">
        <v>30</v>
      </c>
      <c r="F47" s="47"/>
    </row>
    <row r="48" spans="1:14" x14ac:dyDescent="0.3">
      <c r="A48" s="47" t="s">
        <v>13</v>
      </c>
      <c r="B48" s="53">
        <f>(B4*$E$12+B15*$E$23+B26*$E$34+B37*$E$45)/100</f>
        <v>0.27924418599815737</v>
      </c>
      <c r="C48" s="52">
        <f>C15*$E$23+C26*$E$34+C37*$E$45+C4*$E$12</f>
        <v>-17.091065259790291</v>
      </c>
      <c r="D48" s="54">
        <f>D4+D15+D26+D37</f>
        <v>1117065.3295268416</v>
      </c>
      <c r="E48" s="53">
        <f>D48/SUM($D$48:$D$55)</f>
        <v>0.27136057907585492</v>
      </c>
      <c r="F48" s="55"/>
    </row>
    <row r="49" spans="1:6" x14ac:dyDescent="0.3">
      <c r="A49" s="47" t="s">
        <v>14</v>
      </c>
      <c r="B49" s="53">
        <f>(B5*$E$12+B16*$E$23+B27*$E$34+B38*$E$45)/100</f>
        <v>9.0672925160901002E-2</v>
      </c>
      <c r="C49" s="52">
        <f>C16*$E$23+C27*$E$34+C38*$E$45+C5*$E$12</f>
        <v>-12.06647297359393</v>
      </c>
      <c r="D49" s="54">
        <f t="shared" ref="D49:D55" si="6">D5+D16+D27+D38</f>
        <v>387163.43646216602</v>
      </c>
      <c r="E49" s="53">
        <f t="shared" ref="E49:E55" si="7">D49/SUM($D$48:$D$55)</f>
        <v>9.4050805748194036E-2</v>
      </c>
      <c r="F49" s="55"/>
    </row>
    <row r="50" spans="1:6" x14ac:dyDescent="0.3">
      <c r="A50" s="47" t="s">
        <v>15</v>
      </c>
      <c r="B50" s="53">
        <f>(B6*$E$12+B17*$E$23+B28*$E$34+B39*$E$45)/100</f>
        <v>6.586196781291799E-2</v>
      </c>
      <c r="C50" s="52">
        <f>C17*$E$23+C28*$E$34+C39*$E$45+C6*$E$12</f>
        <v>-43.296012353933833</v>
      </c>
      <c r="D50" s="54">
        <f t="shared" si="6"/>
        <v>305308.14881063928</v>
      </c>
      <c r="E50" s="53">
        <f t="shared" si="7"/>
        <v>7.4166294367872615E-2</v>
      </c>
      <c r="F50" s="55"/>
    </row>
    <row r="51" spans="1:6" x14ac:dyDescent="0.3">
      <c r="A51" s="47" t="s">
        <v>16</v>
      </c>
      <c r="B51" s="53">
        <f>(B7*$E$12+B18*$E$23+B29*$E$34+B40*$E$45)/100</f>
        <v>0.12730560559977822</v>
      </c>
      <c r="C51" s="52">
        <f>C18*$E$23+C29*$E$34+C40*$E$45+C7*$E$12</f>
        <v>-47.331990555128051</v>
      </c>
      <c r="D51" s="54">
        <f t="shared" si="6"/>
        <v>569219.84124898363</v>
      </c>
      <c r="E51" s="53">
        <f t="shared" si="7"/>
        <v>0.13827644781368076</v>
      </c>
      <c r="F51" s="55"/>
    </row>
    <row r="52" spans="1:6" x14ac:dyDescent="0.3">
      <c r="A52" s="47" t="s">
        <v>17</v>
      </c>
      <c r="B52" s="53">
        <f>(B8*$E$12+B19*$E$23+B30*$E$34+B41*$E$45)/100</f>
        <v>0.23151887453869391</v>
      </c>
      <c r="C52" s="52">
        <f>C19*$E$23+C30*$E$34+C41*$E$45+C8*$E$12</f>
        <v>-15.351061706597307</v>
      </c>
      <c r="D52" s="54">
        <f t="shared" si="6"/>
        <v>904300.0153295981</v>
      </c>
      <c r="E52" s="53">
        <f t="shared" si="7"/>
        <v>0.21967504436117921</v>
      </c>
      <c r="F52" s="55"/>
    </row>
    <row r="53" spans="1:6" x14ac:dyDescent="0.3">
      <c r="A53" s="47" t="s">
        <v>18</v>
      </c>
      <c r="B53" s="53">
        <f>(B9*$E$12+B20*$E$23+B31*$E$34+B42*$E$45)/100</f>
        <v>8.3718469508801852E-2</v>
      </c>
      <c r="C53" s="52">
        <f>C20*$E$23+C31*$E$34+C42*$E$45+C9*$E$12</f>
        <v>-8.1575296600287501</v>
      </c>
      <c r="D53" s="54">
        <f t="shared" si="6"/>
        <v>346851.72027408937</v>
      </c>
      <c r="E53" s="53">
        <f t="shared" si="7"/>
        <v>8.4258172892091102E-2</v>
      </c>
      <c r="F53" s="55"/>
    </row>
    <row r="54" spans="1:6" x14ac:dyDescent="0.3">
      <c r="A54" s="47" t="s">
        <v>19</v>
      </c>
      <c r="B54" s="53">
        <f>(B10*$E$12+B21*$E$23+B32*$E$34+B43*$E$45)/100</f>
        <v>6.3296193001065384E-2</v>
      </c>
      <c r="C54" s="52">
        <f>C21*$E$23+C32*$E$34+C43*$E$45+C10*$E$12</f>
        <v>-22.309031964311593</v>
      </c>
      <c r="D54" s="54">
        <f t="shared" si="6"/>
        <v>264483.72658267216</v>
      </c>
      <c r="E54" s="53">
        <f t="shared" si="7"/>
        <v>6.424911355185825E-2</v>
      </c>
      <c r="F54" s="55"/>
    </row>
    <row r="55" spans="1:6" x14ac:dyDescent="0.3">
      <c r="A55" s="47" t="s">
        <v>20</v>
      </c>
      <c r="B55" s="53">
        <f>(B11*$E$12+B22*$E$23+B33*$E$34+B44*$E$45)/100</f>
        <v>5.8381778379684335E-2</v>
      </c>
      <c r="C55" s="52">
        <f>C22*$E$23+C33*$E$34+C44*$E$45+C11*$E$12</f>
        <v>-25.035447980177864</v>
      </c>
      <c r="D55" s="54">
        <f t="shared" si="6"/>
        <v>222142.81176500971</v>
      </c>
      <c r="E55" s="53">
        <f t="shared" si="7"/>
        <v>5.3963542189269249E-2</v>
      </c>
      <c r="F55" s="55"/>
    </row>
    <row r="56" spans="1:6" x14ac:dyDescent="0.3">
      <c r="A56" s="47"/>
      <c r="B56" s="47"/>
      <c r="C56" s="47"/>
      <c r="D56" s="54"/>
      <c r="E56" s="47"/>
      <c r="F56" s="47"/>
    </row>
    <row r="57" spans="1:6" x14ac:dyDescent="0.3">
      <c r="A57" s="47" t="s">
        <v>13</v>
      </c>
      <c r="B57" s="53">
        <f>B48</f>
        <v>0.27924418599815737</v>
      </c>
      <c r="C57" s="52">
        <f t="shared" ref="C57:F57" si="8">C48</f>
        <v>-17.091065259790291</v>
      </c>
      <c r="D57" s="54">
        <f>D48</f>
        <v>1117065.3295268416</v>
      </c>
      <c r="E57" s="53">
        <f t="shared" si="8"/>
        <v>0.27136057907585492</v>
      </c>
      <c r="F57" s="54"/>
    </row>
    <row r="58" spans="1:6" x14ac:dyDescent="0.3">
      <c r="A58" s="47" t="s">
        <v>28</v>
      </c>
      <c r="B58" s="53">
        <f>B49+B50</f>
        <v>0.15653489297381901</v>
      </c>
      <c r="C58" s="52">
        <f>(C5*B5+C6*B6)/(B5+B6)*$E$12+(C16*B16+C17*B17)/(B16+B17)*$E$23+(C27*B27+C28*B28)/(B27+B28)*$E$34+(C38*B38+C39*B39)/(B38+B39)*$E$45</f>
        <v>-25.207160900979844</v>
      </c>
      <c r="D58" s="54">
        <f>D49+D50</f>
        <v>692471.5852728053</v>
      </c>
      <c r="E58" s="53">
        <f>D58/SUM($D$57:$D$62)</f>
        <v>0.16821710011606664</v>
      </c>
      <c r="F58" s="54"/>
    </row>
    <row r="59" spans="1:6" x14ac:dyDescent="0.3">
      <c r="A59" s="47" t="s">
        <v>16</v>
      </c>
      <c r="B59" s="53">
        <f>B51</f>
        <v>0.12730560559977822</v>
      </c>
      <c r="C59" s="52">
        <f t="shared" ref="C59:F60" si="9">C51</f>
        <v>-47.331990555128051</v>
      </c>
      <c r="D59" s="54">
        <f t="shared" si="9"/>
        <v>569219.84124898363</v>
      </c>
      <c r="E59" s="53">
        <f t="shared" si="9"/>
        <v>0.13827644781368076</v>
      </c>
      <c r="F59" s="54"/>
    </row>
    <row r="60" spans="1:6" x14ac:dyDescent="0.3">
      <c r="A60" s="47" t="s">
        <v>17</v>
      </c>
      <c r="B60" s="53">
        <f>B52</f>
        <v>0.23151887453869391</v>
      </c>
      <c r="C60" s="52">
        <f t="shared" si="9"/>
        <v>-15.351061706597307</v>
      </c>
      <c r="D60" s="54">
        <f t="shared" si="9"/>
        <v>904300.0153295981</v>
      </c>
      <c r="E60" s="53">
        <f t="shared" si="9"/>
        <v>0.21967504436117921</v>
      </c>
      <c r="F60" s="54"/>
    </row>
    <row r="61" spans="1:6" x14ac:dyDescent="0.3">
      <c r="A61" s="47" t="s">
        <v>28</v>
      </c>
      <c r="B61" s="53">
        <f>B53+B54</f>
        <v>0.14701466250986722</v>
      </c>
      <c r="C61" s="52">
        <f>(C9*B9+C10*B10)/(B9+B10)*$E$12+(C20*B20+C21*B21)/(B20+B21)*$E$23+(C31*B31+C32*B32)/(B31+B32)*$E$34+(C42*B42+C43*B43)/(B42+B43)*$E$45</f>
        <v>-14.079986002085544</v>
      </c>
      <c r="D61" s="54">
        <f>D53+D54</f>
        <v>611335.44685676158</v>
      </c>
      <c r="E61" s="53">
        <f>D61/SUM($D$57:$D$62)</f>
        <v>0.14850728644394937</v>
      </c>
      <c r="F61" s="54"/>
    </row>
    <row r="62" spans="1:6" x14ac:dyDescent="0.3">
      <c r="A62" s="47" t="s">
        <v>20</v>
      </c>
      <c r="B62" s="53">
        <f>B55</f>
        <v>5.8381778379684335E-2</v>
      </c>
      <c r="C62" s="52">
        <f t="shared" ref="C62:F62" si="10">C55</f>
        <v>-25.035447980177864</v>
      </c>
      <c r="D62" s="54">
        <f t="shared" si="10"/>
        <v>222142.81176500971</v>
      </c>
      <c r="E62" s="53">
        <f t="shared" si="10"/>
        <v>5.3963542189269249E-2</v>
      </c>
      <c r="F62" s="54"/>
    </row>
    <row r="63" spans="1:6" x14ac:dyDescent="0.3">
      <c r="A63" s="47"/>
      <c r="B63" s="47"/>
      <c r="C63" s="47"/>
      <c r="D63" s="47"/>
      <c r="E63" s="47"/>
      <c r="F63" s="47"/>
    </row>
    <row r="64" spans="1:6" x14ac:dyDescent="0.3">
      <c r="A64" s="58" t="s">
        <v>64</v>
      </c>
      <c r="B64" s="58">
        <f>B57*C57+B58*C58+B59*C59+B60*C60+B61*C61+B62*C62</f>
        <v>-21.82964745712437</v>
      </c>
      <c r="C64" s="58"/>
    </row>
    <row r="65" spans="1:3" x14ac:dyDescent="0.3">
      <c r="A65" s="58" t="s">
        <v>60</v>
      </c>
      <c r="B65" s="58">
        <f>(L4*B4+L5*B5+L6*B6+L7*B7+L8*B8+L9*B9+L10*B10+L11*B11)*E12/100+(L15*B15+L16*B16+L17*B17+L18*B18+L19*B19+L20*B20+L21*B21+L22*B22)*E23/100+(L26*B26+L27*B27+L28*B28+L29*B29+L30*B30+L31*B31+L32*B32+L33*B33)*E34/100+(L37*B37+L38*B38+L39*B39+L40*B40+L41*B41+L42*B42+L43*B43+L44*B44)*E45/100</f>
        <v>-22.671716002363482</v>
      </c>
      <c r="C65" s="59">
        <f>(B65-B64)/B64</f>
        <v>3.8574537078210701E-2</v>
      </c>
    </row>
    <row r="66" spans="1:3" x14ac:dyDescent="0.3">
      <c r="A66" s="58" t="s">
        <v>61</v>
      </c>
      <c r="B66" s="58">
        <f>(L4*F4+L5*F5+L6*F6+L7*F7+L8*F8+L9*F9+L10*F10+L11*F11)*E12/100+(L15*F15+L16*F16+L17*F17+L18*F18+L19*F19+L20*F20+L21*F21+L22*F22)*E23/100+(L26*F26+L27*F27+L28*F28+L29*F29+L30*F30+L31*F31+L32*F32+L33*F33)*E34/100+(L37*F37+L38*F38+L39*F39+L40*F40+L41*F41+L42*F42+L43*F43+L44*F44)*E45/100</f>
        <v>-21.847294646453058</v>
      </c>
      <c r="C66" s="59">
        <f>(B66-B64)/B64</f>
        <v>8.0840468740271177E-4</v>
      </c>
    </row>
    <row r="67" spans="1:3" x14ac:dyDescent="0.3">
      <c r="A67" s="58"/>
      <c r="B67" s="58"/>
      <c r="C67" s="58"/>
    </row>
    <row r="68" spans="1:3" x14ac:dyDescent="0.3">
      <c r="A68" s="58" t="s">
        <v>65</v>
      </c>
      <c r="B68" s="58">
        <f>'2020-2023 weight NV'!B64</f>
        <v>-21.408299256450352</v>
      </c>
      <c r="C68" s="58"/>
    </row>
    <row r="69" spans="1:3" x14ac:dyDescent="0.3">
      <c r="A69" s="58" t="s">
        <v>62</v>
      </c>
      <c r="B69" s="58">
        <f>(N4*B4+N5*B5+N6*B6+N7*B7+N8*B8+N9*B9+N10*B10+N11*B11)*E12/100+(N15*B15+N16*B16+N17*B17+N18*B18+N19*B19+N20*B20+N21*B21+N22*B22)*E23/100+(N26*B26+N27*B27+N28*B28+N29*B29+N30*B30+N31*B31+N32*B32+N33*B33)*E34/100+(N37*B37+N38*B38+N39*B39+N40*B40+N41*B41+N42*B42+N43*B43+N44*B44)*E45/100</f>
        <v>-22.349730054675419</v>
      </c>
      <c r="C69" s="59">
        <f>(B69-B68)/B68</f>
        <v>4.39750391634409E-2</v>
      </c>
    </row>
    <row r="70" spans="1:3" x14ac:dyDescent="0.3">
      <c r="A70" s="58" t="s">
        <v>63</v>
      </c>
      <c r="B70" s="58">
        <f>(N4*F4+N5*F5+N6*F6+N7*F7+N8*F8+N9*F9+N10*F10+N11*F11)*E12/100+(N15*F15+N16*F16+N17*F17+N18*F18+N19*F19+N20*F20+N21*F21+N22*F22)*E23/100+(N26*F26+N27*F27+N28*F28+N29*F29+N30*F30+N31*F31+N32*F32+N33*F33)*E34/100+(N37*F37+N38*F38+N39*F39+N40*F40+N41*F41+N42*F42+N43*F43+N44*F44)*E45/100</f>
        <v>-21.99793807725495</v>
      </c>
      <c r="C70" s="59">
        <f>(B70-B68)/B68</f>
        <v>2.7542534497547223E-2</v>
      </c>
    </row>
    <row r="71" spans="1:3" x14ac:dyDescent="0.3">
      <c r="C71" s="43"/>
    </row>
    <row r="74" spans="1:3" x14ac:dyDescent="0.3">
      <c r="A74" s="56" t="s">
        <v>39</v>
      </c>
      <c r="B74" s="56" t="s">
        <v>40</v>
      </c>
    </row>
    <row r="75" spans="1:3" x14ac:dyDescent="0.3">
      <c r="A75" s="47"/>
    </row>
    <row r="76" spans="1:3" x14ac:dyDescent="0.3">
      <c r="A76" s="47" t="s">
        <v>44</v>
      </c>
      <c r="B76" s="43" t="s">
        <v>45</v>
      </c>
    </row>
    <row r="77" spans="1:3" x14ac:dyDescent="0.3">
      <c r="A77" s="43" t="s">
        <v>42</v>
      </c>
      <c r="B77" s="43" t="s">
        <v>41</v>
      </c>
    </row>
    <row r="78" spans="1:3" x14ac:dyDescent="0.3">
      <c r="A78" s="43" t="s">
        <v>9</v>
      </c>
      <c r="B78" s="43" t="s">
        <v>46</v>
      </c>
    </row>
    <row r="79" spans="1:3" x14ac:dyDescent="0.3">
      <c r="A79" s="43" t="s">
        <v>10</v>
      </c>
      <c r="B79" s="43" t="s">
        <v>45</v>
      </c>
    </row>
    <row r="80" spans="1:3" x14ac:dyDescent="0.3">
      <c r="A80" s="43" t="s">
        <v>43</v>
      </c>
      <c r="B80" s="43" t="s">
        <v>50</v>
      </c>
    </row>
    <row r="81" spans="1:2" x14ac:dyDescent="0.3">
      <c r="A81" s="50" t="s">
        <v>47</v>
      </c>
      <c r="B81" s="43" t="s">
        <v>51</v>
      </c>
    </row>
    <row r="82" spans="1:2" x14ac:dyDescent="0.3">
      <c r="A82" s="44" t="s">
        <v>48</v>
      </c>
      <c r="B82" s="43" t="s">
        <v>49</v>
      </c>
    </row>
    <row r="83" spans="1:2" x14ac:dyDescent="0.3">
      <c r="A83" s="50" t="s">
        <v>52</v>
      </c>
      <c r="B83" s="43" t="s">
        <v>68</v>
      </c>
    </row>
    <row r="84" spans="1:2" x14ac:dyDescent="0.3">
      <c r="A84" s="49" t="s">
        <v>66</v>
      </c>
      <c r="B84" s="43" t="s">
        <v>69</v>
      </c>
    </row>
    <row r="85" spans="1:2" x14ac:dyDescent="0.3">
      <c r="A85" s="49" t="s">
        <v>67</v>
      </c>
      <c r="B85" s="43" t="s">
        <v>70</v>
      </c>
    </row>
    <row r="86" spans="1:2" x14ac:dyDescent="0.3">
      <c r="A86" s="45" t="s">
        <v>54</v>
      </c>
      <c r="B86" s="43" t="s">
        <v>73</v>
      </c>
    </row>
    <row r="87" spans="1:2" x14ac:dyDescent="0.3">
      <c r="A87" s="57" t="s">
        <v>57</v>
      </c>
      <c r="B87" s="43" t="s">
        <v>71</v>
      </c>
    </row>
    <row r="88" spans="1:2" x14ac:dyDescent="0.3">
      <c r="A88" s="45" t="s">
        <v>58</v>
      </c>
      <c r="B88" s="43" t="s">
        <v>72</v>
      </c>
    </row>
    <row r="107" spans="1:2" x14ac:dyDescent="0.3">
      <c r="A107" s="48" t="s">
        <v>53</v>
      </c>
    </row>
    <row r="108" spans="1:2" x14ac:dyDescent="0.3">
      <c r="A108" s="43" t="str">
        <f>A1</f>
        <v>EURUSD</v>
      </c>
      <c r="B108" s="45">
        <f>'2020-2023 weight NV'!K12</f>
        <v>0.26145549965737414</v>
      </c>
    </row>
    <row r="109" spans="1:2" x14ac:dyDescent="0.3">
      <c r="A109" s="43" t="str">
        <f>A12</f>
        <v>GBPUSD</v>
      </c>
      <c r="B109" s="45">
        <f>'2020-2023 weight NV'!K23</f>
        <v>0.18241096064736673</v>
      </c>
    </row>
    <row r="110" spans="1:2" x14ac:dyDescent="0.3">
      <c r="A110" s="43" t="str">
        <f>A23</f>
        <v>USDJPY</v>
      </c>
      <c r="B110" s="45">
        <f>'2020-2023 weight NV'!K34</f>
        <v>4.9434948146847305E-2</v>
      </c>
    </row>
    <row r="111" spans="1:2" x14ac:dyDescent="0.3">
      <c r="A111" s="43" t="str">
        <f>A34</f>
        <v>XAUUSD</v>
      </c>
      <c r="B111" s="45">
        <f>'2020-2023 weight NV'!K45</f>
        <v>0.5066985915484119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96D8-CA28-4562-8AAC-50A6F30B7526}">
  <dimension ref="A1:X88"/>
  <sheetViews>
    <sheetView topLeftCell="A22" zoomScale="70" zoomScaleNormal="70" workbookViewId="0">
      <pane xSplit="1" topLeftCell="B1" activePane="topRight" state="frozen"/>
      <selection pane="topRight" activeCell="C65" sqref="C65:C70"/>
    </sheetView>
  </sheetViews>
  <sheetFormatPr defaultRowHeight="14.4" x14ac:dyDescent="0.3"/>
  <cols>
    <col min="1" max="1" width="63.88671875" style="43" bestFit="1" customWidth="1"/>
    <col min="2" max="2" width="35.6640625" style="43" customWidth="1"/>
    <col min="3" max="3" width="22" style="44" bestFit="1" customWidth="1"/>
    <col min="4" max="4" width="12.44140625" style="49" bestFit="1" customWidth="1"/>
    <col min="5" max="5" width="25" style="44" bestFit="1" customWidth="1"/>
    <col min="6" max="6" width="35.77734375" style="43" bestFit="1" customWidth="1"/>
    <col min="7" max="7" width="23" style="49" bestFit="1" customWidth="1"/>
    <col min="8" max="8" width="26.77734375" style="45" bestFit="1" customWidth="1"/>
    <col min="9" max="9" width="14.21875" style="50" bestFit="1" customWidth="1"/>
    <col min="10" max="11" width="52.44140625" style="49" bestFit="1" customWidth="1"/>
    <col min="12" max="12" width="26.6640625" style="45" bestFit="1" customWidth="1"/>
    <col min="13" max="13" width="22.33203125" style="49" bestFit="1" customWidth="1"/>
    <col min="14" max="14" width="26.6640625" style="49" bestFit="1" customWidth="1"/>
    <col min="15" max="15" width="8.88671875" style="43"/>
    <col min="16" max="16" width="38.77734375" style="43" bestFit="1" customWidth="1"/>
    <col min="17" max="17" width="12.33203125" style="43" bestFit="1" customWidth="1"/>
    <col min="18" max="16384" width="8.88671875" style="43"/>
  </cols>
  <sheetData>
    <row r="1" spans="1:16" x14ac:dyDescent="0.3">
      <c r="A1" s="48" t="s">
        <v>0</v>
      </c>
      <c r="B1" s="47"/>
    </row>
    <row r="2" spans="1:16" x14ac:dyDescent="0.3">
      <c r="B2" s="47" t="s">
        <v>44</v>
      </c>
      <c r="C2" s="44" t="s">
        <v>42</v>
      </c>
      <c r="D2" s="49" t="s">
        <v>9</v>
      </c>
      <c r="E2" s="44" t="s">
        <v>10</v>
      </c>
      <c r="F2" s="43" t="s">
        <v>43</v>
      </c>
      <c r="G2" s="49" t="s">
        <v>47</v>
      </c>
      <c r="H2" s="45" t="s">
        <v>48</v>
      </c>
      <c r="I2" s="50" t="s">
        <v>52</v>
      </c>
      <c r="J2" s="49" t="s">
        <v>66</v>
      </c>
      <c r="K2" s="49" t="s">
        <v>67</v>
      </c>
      <c r="L2" s="45" t="s">
        <v>54</v>
      </c>
      <c r="M2" s="51" t="s">
        <v>57</v>
      </c>
      <c r="N2" s="45" t="s">
        <v>58</v>
      </c>
    </row>
    <row r="3" spans="1:16" x14ac:dyDescent="0.3">
      <c r="A3" s="43" t="s">
        <v>12</v>
      </c>
      <c r="B3" s="47"/>
      <c r="D3" s="49">
        <f>SUM(D4:D11)</f>
        <v>1196760.33</v>
      </c>
      <c r="G3" s="49">
        <v>1214964.9267027457</v>
      </c>
      <c r="M3" s="47"/>
      <c r="N3" s="47"/>
      <c r="P3" s="47"/>
    </row>
    <row r="4" spans="1:16" x14ac:dyDescent="0.3">
      <c r="A4" s="43" t="s">
        <v>13</v>
      </c>
      <c r="B4" s="52">
        <v>27.98459563543004</v>
      </c>
      <c r="C4" s="44">
        <f>'2020-2022'!G4</f>
        <v>-8.2407900393174014</v>
      </c>
      <c r="D4" s="49">
        <f>E4/100*SUM('1Q23'!$J$4:$J$11)</f>
        <v>351686.60638580407</v>
      </c>
      <c r="E4" s="44">
        <f>'2020-2022'!K4</f>
        <v>29.386552810102259</v>
      </c>
      <c r="F4" s="44">
        <f>('2020-2022'!C4-'1Q23'!C4/4)/0.75</f>
        <v>34.235871103650311</v>
      </c>
      <c r="G4" s="49">
        <f>D4*((F4-B4)/B4+1)*$D$3/$G$3</f>
        <v>423800.65099670365</v>
      </c>
      <c r="H4" s="45">
        <f>G4/$D$3</f>
        <v>0.35412324454028621</v>
      </c>
      <c r="I4" s="50">
        <v>-1</v>
      </c>
      <c r="J4" s="49">
        <f>IFERROR(IF(D4="","",I4*D4),"")</f>
        <v>-351686.60638580407</v>
      </c>
      <c r="K4" s="49">
        <f>IFERROR(IF(G4="","",I4*G4),"")</f>
        <v>-423800.65099670365</v>
      </c>
      <c r="L4" s="44">
        <f>IFERROR(IF(C4="","",C4+I4),"")</f>
        <v>-9.2407900393174014</v>
      </c>
      <c r="M4" s="47">
        <v>-8.533735184840701</v>
      </c>
      <c r="N4" s="52">
        <f>M4+I4</f>
        <v>-9.533735184840701</v>
      </c>
      <c r="P4" s="47"/>
    </row>
    <row r="5" spans="1:16" x14ac:dyDescent="0.3">
      <c r="A5" s="43" t="s">
        <v>14</v>
      </c>
      <c r="B5" s="52">
        <v>9.1142490372272142</v>
      </c>
      <c r="C5" s="44">
        <f>'2020-2022'!G5</f>
        <v>-3.6306903659816161</v>
      </c>
      <c r="D5" s="49">
        <f>E5/100*SUM('1Q23'!$J$4:$J$11)</f>
        <v>104252.14948814387</v>
      </c>
      <c r="E5" s="44">
        <f>'2020-2022'!K5</f>
        <v>8.7111969602254327</v>
      </c>
      <c r="F5" s="44">
        <f>('2020-2022'!C5-'1Q23'!C5/4)/0.75</f>
        <v>10.613870511174747</v>
      </c>
      <c r="G5" s="49">
        <f>D5*((F5-B5)/B5+1)*$D$3/$G$3</f>
        <v>119586.27984439407</v>
      </c>
      <c r="H5" s="45">
        <f t="shared" ref="H5:H11" si="0">G5/$D$3</f>
        <v>9.9925003233014967E-2</v>
      </c>
      <c r="I5" s="50">
        <v>-1</v>
      </c>
      <c r="J5" s="49">
        <f>IFERROR(IF(D5="","",I5*D5),"")</f>
        <v>-104252.14948814387</v>
      </c>
      <c r="K5" s="49">
        <f t="shared" ref="K5:K44" si="1">IFERROR(IF(G5="","",I5*G5),"")</f>
        <v>-119586.27984439407</v>
      </c>
      <c r="L5" s="44">
        <f>IFERROR(IF(C5="","",C5+I5),"")</f>
        <v>-4.6306903659816161</v>
      </c>
      <c r="M5" s="47">
        <v>-4.2098438846365509</v>
      </c>
      <c r="N5" s="52">
        <f t="shared" ref="N5:N44" si="2">M5+I5</f>
        <v>-5.2098438846365509</v>
      </c>
    </row>
    <row r="6" spans="1:16" x14ac:dyDescent="0.3">
      <c r="A6" s="43" t="s">
        <v>15</v>
      </c>
      <c r="B6" s="52">
        <v>8.0872913992297821</v>
      </c>
      <c r="C6" s="44">
        <f>'2020-2022'!G6</f>
        <v>-23.684591097402681</v>
      </c>
      <c r="D6" s="49">
        <f>E6/100*SUM('1Q23'!$J$4:$J$11)</f>
        <v>112299.24729865159</v>
      </c>
      <c r="E6" s="44">
        <f>'2020-2022'!K6</f>
        <v>9.3836037578761982</v>
      </c>
      <c r="F6" s="44">
        <f>('2020-2022'!C6-'1Q23'!C6/4)/0.75</f>
        <v>9.2445936605115033</v>
      </c>
      <c r="G6" s="49">
        <f>D6*((F6-B6)/B6+1)*$D$3/$G$3</f>
        <v>126445.97927309269</v>
      </c>
      <c r="H6" s="45">
        <f t="shared" si="0"/>
        <v>0.10565689395226918</v>
      </c>
      <c r="I6" s="50">
        <v>-1</v>
      </c>
      <c r="J6" s="49">
        <f>IFERROR(IF(D6="","",I6*D6),"")</f>
        <v>-112299.24729865159</v>
      </c>
      <c r="K6" s="49">
        <f t="shared" si="1"/>
        <v>-126445.97927309269</v>
      </c>
      <c r="L6" s="44">
        <f>IFERROR(IF(C6="","",C6+I6),"")</f>
        <v>-24.684591097402681</v>
      </c>
      <c r="M6" s="47">
        <v>-22.223077716737141</v>
      </c>
      <c r="N6" s="52">
        <f t="shared" si="2"/>
        <v>-23.223077716737141</v>
      </c>
    </row>
    <row r="7" spans="1:16" x14ac:dyDescent="0.3">
      <c r="A7" s="47" t="s">
        <v>16</v>
      </c>
      <c r="B7" s="52">
        <v>14.37740693196406</v>
      </c>
      <c r="C7" s="44">
        <f>'2020-2022'!G7</f>
        <v>-10.28353765229363</v>
      </c>
      <c r="D7" s="49">
        <f>E7/100*SUM('1Q23'!$J$4:$J$11)</f>
        <v>173015.88326627141</v>
      </c>
      <c r="E7" s="44">
        <f>'2020-2022'!K7</f>
        <v>14.45702025118692</v>
      </c>
      <c r="F7" s="52">
        <f>'2020-2022'!C7/0.75</f>
        <v>19.169875909285413</v>
      </c>
      <c r="G7" s="49">
        <f>D7*((F7-B7)/B7+1)*$D$3/$G$3</f>
        <v>227231.30081339221</v>
      </c>
      <c r="H7" s="45">
        <f t="shared" si="0"/>
        <v>0.18987201958256103</v>
      </c>
      <c r="I7" s="50">
        <v>0</v>
      </c>
      <c r="J7" s="49">
        <f>IFERROR(IF(D7="","",I7*D7),"")</f>
        <v>0</v>
      </c>
      <c r="K7" s="49">
        <f t="shared" si="1"/>
        <v>0</v>
      </c>
      <c r="L7" s="44">
        <f>IFERROR(IF(C7="","",C7+I7),"")</f>
        <v>-10.28353765229363</v>
      </c>
      <c r="M7" s="47">
        <v>-10.28353765229363</v>
      </c>
      <c r="N7" s="52">
        <f t="shared" si="2"/>
        <v>-10.28353765229363</v>
      </c>
    </row>
    <row r="8" spans="1:16" x14ac:dyDescent="0.3">
      <c r="A8" s="43" t="s">
        <v>17</v>
      </c>
      <c r="B8" s="52">
        <v>17.586649550706031</v>
      </c>
      <c r="C8" s="44">
        <f>'2020-2022'!G8</f>
        <v>-7.7728976427130512</v>
      </c>
      <c r="D8" s="49">
        <f>E8/100*SUM('1Q23'!$J$4:$J$11)</f>
        <v>200482.81960418646</v>
      </c>
      <c r="E8" s="44">
        <f>'2020-2022'!K8</f>
        <v>16.75212777183101</v>
      </c>
      <c r="F8" s="44">
        <f>('2020-2022'!C8-'1Q23'!C8/4)/0.75</f>
        <v>9.6027122214541958</v>
      </c>
      <c r="G8" s="49">
        <f>D8*((F8-B8)/B8+1)*$D$3/$G$3</f>
        <v>107827.96522563662</v>
      </c>
      <c r="H8" s="45">
        <f t="shared" si="0"/>
        <v>9.0099882593565425E-2</v>
      </c>
      <c r="I8" s="50">
        <v>-1</v>
      </c>
      <c r="J8" s="49">
        <f>IFERROR(IF(D8="","",I8*D8),"")</f>
        <v>-200482.81960418646</v>
      </c>
      <c r="K8" s="49">
        <f t="shared" si="1"/>
        <v>-107827.96522563662</v>
      </c>
      <c r="L8" s="44">
        <f>IFERROR(IF(C8="","",C8+I8),"")</f>
        <v>-8.7728976427130512</v>
      </c>
      <c r="M8" s="47">
        <v>-8.0520723524514324</v>
      </c>
      <c r="N8" s="52">
        <f t="shared" si="2"/>
        <v>-9.0520723524514324</v>
      </c>
    </row>
    <row r="9" spans="1:16" x14ac:dyDescent="0.3">
      <c r="A9" s="43" t="s">
        <v>18</v>
      </c>
      <c r="B9" s="52">
        <v>9.1142490372272142</v>
      </c>
      <c r="C9" s="44">
        <f>'2020-2022'!G9</f>
        <v>-0.80290323769766014</v>
      </c>
      <c r="D9" s="49">
        <f>E9/100*SUM('1Q23'!$J$4:$J$11)</f>
        <v>97989.257629898755</v>
      </c>
      <c r="E9" s="44">
        <f>'2020-2022'!K9</f>
        <v>8.187876483998993</v>
      </c>
      <c r="F9" s="44">
        <f>('2020-2022'!C9-'1Q23'!C9/4)/0.75</f>
        <v>2.9215628188670557</v>
      </c>
      <c r="G9" s="49">
        <f>D9*((F9-B9)/B9+1)*$D$3/$G$3</f>
        <v>30939.710739671889</v>
      </c>
      <c r="H9" s="45">
        <f t="shared" si="0"/>
        <v>2.5852887971037516E-2</v>
      </c>
      <c r="I9" s="50">
        <v>-1</v>
      </c>
      <c r="J9" s="49">
        <f>IFERROR(IF(D9="","",I9*D9),"")</f>
        <v>-97989.257629898755</v>
      </c>
      <c r="K9" s="49">
        <f t="shared" si="1"/>
        <v>-30939.710739671889</v>
      </c>
      <c r="L9" s="44">
        <f>IFERROR(IF(C9="","",C9+I9),"")</f>
        <v>-1.8029032376976601</v>
      </c>
      <c r="M9" s="47">
        <v>-0.87827489517314727</v>
      </c>
      <c r="N9" s="52">
        <f t="shared" si="2"/>
        <v>-1.8782748951731474</v>
      </c>
    </row>
    <row r="10" spans="1:16" x14ac:dyDescent="0.3">
      <c r="A10" s="43" t="s">
        <v>19</v>
      </c>
      <c r="B10" s="52">
        <v>7.5738125802310652</v>
      </c>
      <c r="C10" s="44">
        <f>'2020-2022'!G10</f>
        <v>-10.937620957841901</v>
      </c>
      <c r="D10" s="49">
        <f>E10/100*SUM('1Q23'!$J$4:$J$11)</f>
        <v>84284.192332166189</v>
      </c>
      <c r="E10" s="44">
        <f>'2020-2022'!K10</f>
        <v>7.0426960369054159</v>
      </c>
      <c r="F10" s="44">
        <f>('2020-2022'!C10-'1Q23'!C10/4)/0.75</f>
        <v>6.5086731838978302</v>
      </c>
      <c r="G10" s="49">
        <f>D10*((F10-B10)/B10+1)*$D$3/$G$3</f>
        <v>71345.647612215442</v>
      </c>
      <c r="H10" s="45">
        <f t="shared" si="0"/>
        <v>5.9615652210175979E-2</v>
      </c>
      <c r="I10" s="50">
        <v>-1</v>
      </c>
      <c r="J10" s="49">
        <f>IFERROR(IF(D10="","",I10*D10),"")</f>
        <v>-84284.192332166189</v>
      </c>
      <c r="K10" s="49">
        <f t="shared" si="1"/>
        <v>-71345.647612215442</v>
      </c>
      <c r="L10" s="44">
        <f>IFERROR(IF(C10="","",C10+I10),"")</f>
        <v>-11.937620957841901</v>
      </c>
      <c r="M10" s="47">
        <v>-10.75658779768577</v>
      </c>
      <c r="N10" s="52">
        <f t="shared" si="2"/>
        <v>-11.75658779768577</v>
      </c>
    </row>
    <row r="11" spans="1:16" x14ac:dyDescent="0.3">
      <c r="A11" s="43" t="s">
        <v>20</v>
      </c>
      <c r="B11" s="52">
        <v>6.1617458279845962</v>
      </c>
      <c r="C11" s="44">
        <f>'2020-2022'!G11</f>
        <v>-4.5919549957577814</v>
      </c>
      <c r="D11" s="49">
        <f>E11/100*SUM('1Q23'!$J$4:$J$11)</f>
        <v>72750.173994877739</v>
      </c>
      <c r="E11" s="44">
        <f>'2020-2022'!K11</f>
        <v>6.0789259278737733</v>
      </c>
      <c r="F11" s="44">
        <f>('2020-2022'!C11-'1Q23'!C11/4)/0.75</f>
        <v>7.7028405911589486</v>
      </c>
      <c r="G11" s="49">
        <f>D11*((F11-B11)/B11+1)*$D$3/$G$3</f>
        <v>89582.795494893609</v>
      </c>
      <c r="H11" s="45">
        <f t="shared" si="0"/>
        <v>7.4854415917089773E-2</v>
      </c>
      <c r="I11" s="50">
        <v>0</v>
      </c>
      <c r="J11" s="49">
        <f>IFERROR(IF(D11="","",I11*D11),"")</f>
        <v>0</v>
      </c>
      <c r="K11" s="49">
        <f t="shared" si="1"/>
        <v>0</v>
      </c>
      <c r="L11" s="44">
        <f>IFERROR(IF(C11="","",C11+I11),"")</f>
        <v>-4.5919549957577814</v>
      </c>
      <c r="M11" s="47">
        <v>-4.1436830257316064</v>
      </c>
      <c r="N11" s="52">
        <f t="shared" si="2"/>
        <v>-4.1436830257316064</v>
      </c>
    </row>
    <row r="12" spans="1:16" x14ac:dyDescent="0.3">
      <c r="A12" s="48" t="s">
        <v>21</v>
      </c>
      <c r="B12" s="47"/>
      <c r="E12" s="46">
        <f>'2020-2023 weight V'!K12</f>
        <v>0.3473130293674711</v>
      </c>
      <c r="F12" s="44"/>
      <c r="J12" s="49" t="str">
        <f>IFERROR(IF(D12="","",I12*D12),"")</f>
        <v/>
      </c>
      <c r="K12" s="49" t="str">
        <f t="shared" si="1"/>
        <v/>
      </c>
      <c r="L12" s="44" t="str">
        <f>IFERROR(IF(C12="","",C12+I12),"")</f>
        <v/>
      </c>
      <c r="M12" s="47"/>
      <c r="N12" s="52">
        <f t="shared" si="2"/>
        <v>0</v>
      </c>
    </row>
    <row r="13" spans="1:16" x14ac:dyDescent="0.3">
      <c r="B13" s="47" t="s">
        <v>2</v>
      </c>
      <c r="C13" s="44" t="s">
        <v>6</v>
      </c>
      <c r="D13" s="49" t="s">
        <v>9</v>
      </c>
      <c r="E13" s="44" t="s">
        <v>10</v>
      </c>
      <c r="F13" s="44" t="s">
        <v>2</v>
      </c>
      <c r="J13" s="49" t="str">
        <f>IFERROR(IF(D13="","",I13*D13),"")</f>
        <v/>
      </c>
      <c r="K13" s="49" t="str">
        <f t="shared" si="1"/>
        <v/>
      </c>
      <c r="L13" s="44" t="str">
        <f>IFERROR(IF(C13="","",C13+I13),"")</f>
        <v/>
      </c>
      <c r="M13" s="51" t="s">
        <v>57</v>
      </c>
      <c r="N13" s="52"/>
    </row>
    <row r="14" spans="1:16" x14ac:dyDescent="0.3">
      <c r="A14" s="43" t="s">
        <v>12</v>
      </c>
      <c r="B14" s="47"/>
      <c r="D14" s="49">
        <f>SUM(D15:D22)</f>
        <v>892884.30999999994</v>
      </c>
      <c r="F14" s="44"/>
      <c r="G14" s="49">
        <v>885067.51956233685</v>
      </c>
      <c r="J14" s="49">
        <f>IFERROR(IF(D14="","",I14*D14),"")</f>
        <v>0</v>
      </c>
      <c r="K14" s="49">
        <f t="shared" si="1"/>
        <v>0</v>
      </c>
      <c r="L14" s="44" t="str">
        <f>IFERROR(IF(C14="","",C14+I14),"")</f>
        <v/>
      </c>
      <c r="M14" s="47"/>
      <c r="N14" s="52">
        <f t="shared" si="2"/>
        <v>0</v>
      </c>
    </row>
    <row r="15" spans="1:16" x14ac:dyDescent="0.3">
      <c r="A15" s="43" t="s">
        <v>13</v>
      </c>
      <c r="B15" s="52">
        <v>23.876765083440311</v>
      </c>
      <c r="C15" s="44">
        <f>'2020-2022'!G15</f>
        <v>-9.2663433631592564</v>
      </c>
      <c r="D15" s="49">
        <f>E15/100*SUM('1Q23'!$J$15:$J$22)</f>
        <v>217672.5690655534</v>
      </c>
      <c r="E15" s="44">
        <f>'2020-2022'!K15</f>
        <v>24.37858596323116</v>
      </c>
      <c r="F15" s="44">
        <f>('2020-2022'!C15-'1Q23'!C15/4)/0.75</f>
        <v>29.271584213817849</v>
      </c>
      <c r="G15" s="49">
        <f>D15*((F15-B15)/B15+1)*$D$14/$G$14</f>
        <v>269211.26726197061</v>
      </c>
      <c r="H15" s="45">
        <f>G15/$D$14</f>
        <v>0.30150744530606727</v>
      </c>
      <c r="I15" s="50">
        <v>0</v>
      </c>
      <c r="J15" s="49">
        <f>IFERROR(IF(D15="","",I15*D15),"")</f>
        <v>0</v>
      </c>
      <c r="K15" s="49">
        <f t="shared" si="1"/>
        <v>0</v>
      </c>
      <c r="L15" s="44">
        <f>IFERROR(IF(C15="","",C15+I15),"")</f>
        <v>-9.2663433631592564</v>
      </c>
      <c r="M15" s="47">
        <v>-8.6655340676581076</v>
      </c>
      <c r="N15" s="52">
        <f t="shared" si="2"/>
        <v>-8.6655340676581076</v>
      </c>
    </row>
    <row r="16" spans="1:16" x14ac:dyDescent="0.3">
      <c r="A16" s="43" t="s">
        <v>14</v>
      </c>
      <c r="B16" s="52">
        <v>12.836970474967909</v>
      </c>
      <c r="C16" s="44">
        <f>'2020-2022'!G16</f>
        <v>-18.94385528227405</v>
      </c>
      <c r="D16" s="49">
        <f>E16/100*SUM('1Q23'!$J$15:$J$22)</f>
        <v>136997.93532284757</v>
      </c>
      <c r="E16" s="44">
        <f>'2020-2022'!K16</f>
        <v>15.34330190244328</v>
      </c>
      <c r="F16" s="44">
        <f>('2020-2022'!C16-'1Q23'!C16/4)/0.75</f>
        <v>6.3467298640597773</v>
      </c>
      <c r="G16" s="49">
        <f>D16*((F16-B16)/B16+1)*$D$14/$G$14</f>
        <v>68331.394180047122</v>
      </c>
      <c r="H16" s="45">
        <f t="shared" ref="H16:H22" si="3">G16/$D$14</f>
        <v>7.6528832923547646E-2</v>
      </c>
      <c r="I16" s="50">
        <v>0</v>
      </c>
      <c r="J16" s="49">
        <f>IFERROR(IF(D16="","",I16*D16),"")</f>
        <v>0</v>
      </c>
      <c r="K16" s="49">
        <f t="shared" si="1"/>
        <v>0</v>
      </c>
      <c r="L16" s="44">
        <f>IFERROR(IF(C16="","",C16+I16),"")</f>
        <v>-18.94385528227405</v>
      </c>
      <c r="M16" s="47">
        <v>-16.719695358509771</v>
      </c>
      <c r="N16" s="52">
        <f t="shared" si="2"/>
        <v>-16.719695358509771</v>
      </c>
      <c r="P16" s="50"/>
    </row>
    <row r="17" spans="1:17" x14ac:dyDescent="0.3">
      <c r="A17" s="47" t="s">
        <v>15</v>
      </c>
      <c r="B17" s="52">
        <v>6.2901155327342746</v>
      </c>
      <c r="C17" s="44">
        <f>'2020-2022'!G17</f>
        <v>-55.284197299399999</v>
      </c>
      <c r="D17" s="49">
        <f>E17/100*SUM('1Q23'!$J$15:$J$22)</f>
        <v>53100.303090900423</v>
      </c>
      <c r="E17" s="44">
        <f>'2020-2022'!K17</f>
        <v>5.9470529940099874</v>
      </c>
      <c r="F17" s="44">
        <f>('2020-2022'!C17-'1Q23'!C17/4)/0.75</f>
        <v>8.3868207103123655</v>
      </c>
      <c r="G17" s="49">
        <f>D17*((F17-B17)/B17+1)*$D$14/$G$14</f>
        <v>71425.703219500938</v>
      </c>
      <c r="H17" s="45">
        <f t="shared" si="3"/>
        <v>7.9994353601645155E-2</v>
      </c>
      <c r="I17" s="50">
        <v>0</v>
      </c>
      <c r="J17" s="49">
        <f>IFERROR(IF(D17="","",I17*D17),"")</f>
        <v>0</v>
      </c>
      <c r="K17" s="49">
        <f t="shared" si="1"/>
        <v>0</v>
      </c>
      <c r="L17" s="44">
        <f>IFERROR(IF(C17="","",C17+I17),"")</f>
        <v>-55.284197299399999</v>
      </c>
      <c r="M17" s="47">
        <v>-55.284197299399999</v>
      </c>
      <c r="N17" s="52">
        <f t="shared" si="2"/>
        <v>-55.284197299399999</v>
      </c>
      <c r="P17" s="44"/>
    </row>
    <row r="18" spans="1:17" x14ac:dyDescent="0.3">
      <c r="A18" s="47" t="s">
        <v>16</v>
      </c>
      <c r="B18" s="52">
        <v>12.580231065468549</v>
      </c>
      <c r="C18" s="44">
        <f>'2020-2022'!G18</f>
        <v>-49.062215899826583</v>
      </c>
      <c r="D18" s="49">
        <f>E18/100*SUM('1Q23'!$J$15:$J$22)</f>
        <v>117058.44505179783</v>
      </c>
      <c r="E18" s="44">
        <f>'2020-2022'!K18</f>
        <v>13.11014694073836</v>
      </c>
      <c r="F18" s="44">
        <f>('2020-2022'!C18-'1Q23'!C18/4)/0.75</f>
        <v>16.773641420624731</v>
      </c>
      <c r="G18" s="49">
        <f>D18*((F18-B18)/B18+1)*$D$14/$G$14</f>
        <v>157456.38478358812</v>
      </c>
      <c r="H18" s="45">
        <f t="shared" si="3"/>
        <v>0.17634578524914177</v>
      </c>
      <c r="I18" s="50">
        <v>0</v>
      </c>
      <c r="J18" s="49">
        <f>IFERROR(IF(D18="","",I18*D18),"")</f>
        <v>0</v>
      </c>
      <c r="K18" s="49">
        <f t="shared" si="1"/>
        <v>0</v>
      </c>
      <c r="L18" s="44">
        <f>IFERROR(IF(C18="","",C18+I18),"")</f>
        <v>-49.062215899826583</v>
      </c>
      <c r="M18" s="47">
        <v>-49.062215899826583</v>
      </c>
      <c r="N18" s="52">
        <f t="shared" si="2"/>
        <v>-49.062215899826583</v>
      </c>
    </row>
    <row r="19" spans="1:17" x14ac:dyDescent="0.3">
      <c r="A19" s="43" t="s">
        <v>17</v>
      </c>
      <c r="B19" s="52">
        <v>23.363286264441591</v>
      </c>
      <c r="C19" s="44">
        <f>'2020-2022'!G19</f>
        <v>8.462321991248464</v>
      </c>
      <c r="D19" s="49">
        <f>E19/100*SUM('1Q23'!$J$15:$J$22)</f>
        <v>194895.23192814004</v>
      </c>
      <c r="E19" s="44">
        <f>'2020-2022'!K19</f>
        <v>21.827601823145489</v>
      </c>
      <c r="F19" s="44">
        <f>('2020-2022'!C19-'1Q23'!C19/4)/0.75</f>
        <v>20.381817583358018</v>
      </c>
      <c r="G19" s="49">
        <f>D19*((F19-B19)/B19+1)*$D$14/$G$14</f>
        <v>171525.61401734297</v>
      </c>
      <c r="H19" s="45">
        <f t="shared" si="3"/>
        <v>0.19210284254781337</v>
      </c>
      <c r="I19" s="50">
        <v>0</v>
      </c>
      <c r="J19" s="49">
        <f>IFERROR(IF(D19="","",I19*D19),"")</f>
        <v>0</v>
      </c>
      <c r="K19" s="49">
        <f t="shared" si="1"/>
        <v>0</v>
      </c>
      <c r="L19" s="44">
        <f>IFERROR(IF(C19="","",C19+I19),"")</f>
        <v>8.462321991248464</v>
      </c>
      <c r="M19" s="47">
        <v>7.5491445877961603</v>
      </c>
      <c r="N19" s="52">
        <f t="shared" si="2"/>
        <v>7.5491445877961603</v>
      </c>
    </row>
    <row r="20" spans="1:17" x14ac:dyDescent="0.3">
      <c r="A20" s="43" t="s">
        <v>18</v>
      </c>
      <c r="B20" s="52">
        <v>13.86392811296534</v>
      </c>
      <c r="C20" s="44">
        <f>'2020-2022'!G20</f>
        <v>1.308427015320782</v>
      </c>
      <c r="D20" s="49">
        <f>E20/100*SUM('1Q23'!$J$15:$J$22)</f>
        <v>116102.14307268326</v>
      </c>
      <c r="E20" s="44">
        <f>'2020-2022'!K20</f>
        <v>13.00304437790863</v>
      </c>
      <c r="F20" s="44">
        <f>('2020-2022'!C20-'1Q23'!C20/4)/0.75</f>
        <v>9.254468253184557</v>
      </c>
      <c r="G20" s="49">
        <f>D20*((F20-B20)/B20+1)*$D$14/$G$14</f>
        <v>78185.1361328161</v>
      </c>
      <c r="H20" s="45">
        <f t="shared" si="3"/>
        <v>8.7564688120475659E-2</v>
      </c>
      <c r="I20" s="50">
        <v>0</v>
      </c>
      <c r="J20" s="49">
        <f>IFERROR(IF(D20="","",I20*D20),"")</f>
        <v>0</v>
      </c>
      <c r="K20" s="49">
        <f t="shared" si="1"/>
        <v>0</v>
      </c>
      <c r="L20" s="44">
        <f>IFERROR(IF(C20="","",C20+I20),"")</f>
        <v>1.308427015320782</v>
      </c>
      <c r="M20" s="47">
        <v>4.1018848029942001</v>
      </c>
      <c r="N20" s="52">
        <f t="shared" si="2"/>
        <v>4.1018848029942001</v>
      </c>
    </row>
    <row r="21" spans="1:17" x14ac:dyDescent="0.3">
      <c r="A21" s="47" t="s">
        <v>19</v>
      </c>
      <c r="B21" s="52">
        <v>3.5943517329910142</v>
      </c>
      <c r="C21" s="44">
        <f>'2020-2022'!G21</f>
        <v>-15.87366828332091</v>
      </c>
      <c r="D21" s="49">
        <f>E21/100*SUM('1Q23'!$J$15:$J$22)</f>
        <v>27050.44083754758</v>
      </c>
      <c r="E21" s="44">
        <f>'2020-2022'!K21</f>
        <v>3.0295571928627099</v>
      </c>
      <c r="F21" s="44">
        <f>('2020-2022'!C21-'1Q23'!C21/4)/0.75</f>
        <v>4.7924689773213522</v>
      </c>
      <c r="G21" s="49">
        <f>D21*((F21-B21)/B21+1)*$D$14/$G$14</f>
        <v>36385.795311033493</v>
      </c>
      <c r="H21" s="45">
        <f t="shared" si="3"/>
        <v>4.0750850814069622E-2</v>
      </c>
      <c r="I21" s="50">
        <v>0</v>
      </c>
      <c r="J21" s="49">
        <f>IFERROR(IF(D21="","",I21*D21),"")</f>
        <v>0</v>
      </c>
      <c r="K21" s="49">
        <f t="shared" si="1"/>
        <v>0</v>
      </c>
      <c r="L21" s="44">
        <f>IFERROR(IF(C21="","",C21+I21),"")</f>
        <v>-15.87366828332091</v>
      </c>
      <c r="M21" s="47">
        <v>-15.87366828332091</v>
      </c>
      <c r="N21" s="52">
        <f t="shared" si="2"/>
        <v>-15.87366828332091</v>
      </c>
      <c r="P21" s="48"/>
    </row>
    <row r="22" spans="1:17" x14ac:dyDescent="0.3">
      <c r="A22" s="47" t="s">
        <v>20</v>
      </c>
      <c r="B22" s="52">
        <v>3.5943517329910142</v>
      </c>
      <c r="C22" s="44">
        <f>'2020-2022'!G22</f>
        <v>-22.892408766260761</v>
      </c>
      <c r="D22" s="49">
        <f>E22/100*SUM('1Q23'!$J$15:$J$22)</f>
        <v>30007.24163052997</v>
      </c>
      <c r="E22" s="44">
        <f>'2020-2022'!K22</f>
        <v>3.3607088056603849</v>
      </c>
      <c r="F22" s="44">
        <f>('2020-2022'!C22-'1Q23'!C22/4)/0.75</f>
        <v>4.7924689773213522</v>
      </c>
      <c r="G22" s="49">
        <f>D22*((F22-B22)/B22+1)*$D$14/$G$14</f>
        <v>40363.015093700538</v>
      </c>
      <c r="H22" s="45">
        <f t="shared" si="3"/>
        <v>4.5205201437239433E-2</v>
      </c>
      <c r="I22" s="50">
        <v>0</v>
      </c>
      <c r="J22" s="49">
        <f>IFERROR(IF(D22="","",I22*D22),"")</f>
        <v>0</v>
      </c>
      <c r="K22" s="49">
        <f t="shared" si="1"/>
        <v>0</v>
      </c>
      <c r="L22" s="44">
        <f>IFERROR(IF(C22="","",C22+I22),"")</f>
        <v>-22.892408766260761</v>
      </c>
      <c r="M22" s="47">
        <v>-22.892408766260761</v>
      </c>
      <c r="N22" s="52">
        <f t="shared" si="2"/>
        <v>-22.892408766260761</v>
      </c>
      <c r="Q22" s="45"/>
    </row>
    <row r="23" spans="1:17" x14ac:dyDescent="0.3">
      <c r="A23" s="48" t="s">
        <v>22</v>
      </c>
      <c r="B23" s="47"/>
      <c r="E23" s="46">
        <f>'2020-2023 weight V'!K23</f>
        <v>0.21276141455498629</v>
      </c>
      <c r="F23" s="44"/>
      <c r="J23" s="49" t="str">
        <f>IFERROR(IF(D23="","",I23*D23),"")</f>
        <v/>
      </c>
      <c r="K23" s="49" t="str">
        <f t="shared" si="1"/>
        <v/>
      </c>
      <c r="L23" s="44" t="str">
        <f>IFERROR(IF(C23="","",C23+I23),"")</f>
        <v/>
      </c>
      <c r="M23" s="47"/>
      <c r="N23" s="52">
        <f t="shared" si="2"/>
        <v>0</v>
      </c>
      <c r="Q23" s="45"/>
    </row>
    <row r="24" spans="1:17" x14ac:dyDescent="0.3">
      <c r="B24" s="47" t="s">
        <v>2</v>
      </c>
      <c r="C24" s="44" t="s">
        <v>6</v>
      </c>
      <c r="D24" s="49" t="s">
        <v>9</v>
      </c>
      <c r="E24" s="44" t="s">
        <v>10</v>
      </c>
      <c r="F24" s="44" t="s">
        <v>2</v>
      </c>
      <c r="J24" s="49" t="str">
        <f>IFERROR(IF(D24="","",I24*D24),"")</f>
        <v/>
      </c>
      <c r="K24" s="49" t="str">
        <f t="shared" si="1"/>
        <v/>
      </c>
      <c r="L24" s="44" t="str">
        <f>IFERROR(IF(C24="","",C24+I24),"")</f>
        <v/>
      </c>
      <c r="M24" s="51" t="s">
        <v>57</v>
      </c>
      <c r="N24" s="52"/>
      <c r="Q24" s="45"/>
    </row>
    <row r="25" spans="1:17" x14ac:dyDescent="0.3">
      <c r="A25" s="43" t="s">
        <v>12</v>
      </c>
      <c r="B25" s="47"/>
      <c r="D25" s="49">
        <f>SUM(D26:D33)</f>
        <v>396311.99000000005</v>
      </c>
      <c r="F25" s="44"/>
      <c r="G25" s="49">
        <v>405757.32345185458</v>
      </c>
      <c r="J25" s="49">
        <f>IFERROR(IF(D25="","",I25*D25),"")</f>
        <v>0</v>
      </c>
      <c r="K25" s="49">
        <f t="shared" si="1"/>
        <v>0</v>
      </c>
      <c r="L25" s="44" t="str">
        <f>IFERROR(IF(C25="","",C25+I25),"")</f>
        <v/>
      </c>
      <c r="M25" s="47"/>
      <c r="N25" s="52">
        <f t="shared" si="2"/>
        <v>0</v>
      </c>
      <c r="Q25" s="45"/>
    </row>
    <row r="26" spans="1:17" x14ac:dyDescent="0.3">
      <c r="A26" s="43" t="s">
        <v>13</v>
      </c>
      <c r="B26" s="52">
        <v>26.829268292682929</v>
      </c>
      <c r="C26" s="44">
        <f>'2020-2022'!G26</f>
        <v>-16.700578912690339</v>
      </c>
      <c r="D26" s="49">
        <f>E26/100*SUM('1Q23'!$J$26:$J$33)</f>
        <v>126032.28747257104</v>
      </c>
      <c r="E26" s="44">
        <f>'2020-2022'!K26</f>
        <v>31.801280469099868</v>
      </c>
      <c r="F26" s="44">
        <f>('2020-2022'!C26-'1Q23'!C26/4)/0.75</f>
        <v>29.618511569731083</v>
      </c>
      <c r="G26" s="49">
        <f>D26*((F26-B26)/B26+1)*$D$25/$G$25</f>
        <v>135896.12236404061</v>
      </c>
      <c r="H26" s="45">
        <f>G26/$D$25</f>
        <v>0.34290186972148029</v>
      </c>
      <c r="I26" s="50">
        <v>0</v>
      </c>
      <c r="J26" s="49">
        <f>IFERROR(IF(D26="","",I26*D26),"")</f>
        <v>0</v>
      </c>
      <c r="K26" s="49">
        <f t="shared" si="1"/>
        <v>0</v>
      </c>
      <c r="L26" s="44">
        <f>IFERROR(IF(C26="","",C26+I26),"")</f>
        <v>-16.700578912690339</v>
      </c>
      <c r="M26" s="47">
        <v>-15.866058068630741</v>
      </c>
      <c r="N26" s="52">
        <f t="shared" si="2"/>
        <v>-15.866058068630741</v>
      </c>
    </row>
    <row r="27" spans="1:17" x14ac:dyDescent="0.3">
      <c r="A27" s="43" t="s">
        <v>14</v>
      </c>
      <c r="B27" s="52">
        <v>11.0397946084724</v>
      </c>
      <c r="C27" s="44">
        <f>'2020-2022'!G27</f>
        <v>-5.0382891985779494</v>
      </c>
      <c r="D27" s="49">
        <f>E27/100*SUM('1Q23'!$J$26:$J$33)</f>
        <v>42160.159144670382</v>
      </c>
      <c r="E27" s="44">
        <f>'2020-2022'!K27</f>
        <v>10.63812355126333</v>
      </c>
      <c r="F27" s="44">
        <f>('2020-2022'!C27-'1Q23'!C27/4)/0.75</f>
        <v>7.0274184523221734</v>
      </c>
      <c r="G27" s="49">
        <f>D27*((F27-B27)/B27+1)*$D$25/$G$25</f>
        <v>26212.46763407746</v>
      </c>
      <c r="H27" s="45">
        <f t="shared" ref="H27:H33" si="4">G27/$D$25</f>
        <v>6.614099067272089E-2</v>
      </c>
      <c r="I27" s="50">
        <v>0</v>
      </c>
      <c r="J27" s="49">
        <f>IFERROR(IF(D27="","",I27*D27),"")</f>
        <v>0</v>
      </c>
      <c r="K27" s="49">
        <f t="shared" si="1"/>
        <v>0</v>
      </c>
      <c r="L27" s="44">
        <f>IFERROR(IF(C27="","",C27+I27),"")</f>
        <v>-5.0382891985779494</v>
      </c>
      <c r="M27" s="47">
        <v>-4.4835643274103241</v>
      </c>
      <c r="N27" s="52">
        <f t="shared" si="2"/>
        <v>-4.4835643274103241</v>
      </c>
    </row>
    <row r="28" spans="1:17" x14ac:dyDescent="0.3">
      <c r="A28" s="43" t="s">
        <v>15</v>
      </c>
      <c r="B28" s="52">
        <v>5.006418485237484</v>
      </c>
      <c r="C28" s="44">
        <f>'2020-2022'!G28</f>
        <v>-30.26588230695565</v>
      </c>
      <c r="D28" s="49">
        <f>E28/100*SUM('1Q23'!$J$26:$J$33)</f>
        <v>22951.35586881535</v>
      </c>
      <c r="E28" s="44">
        <f>'2020-2022'!K28</f>
        <v>5.7912342921583946</v>
      </c>
      <c r="F28" s="44">
        <f>('2020-2022'!C28-'1Q23'!C28/4)/0.75</f>
        <v>2.5726605444192088</v>
      </c>
      <c r="G28" s="49">
        <f>D28*((F28-B28)/B28+1)*$D$25/$G$25</f>
        <v>11519.523846834865</v>
      </c>
      <c r="H28" s="45">
        <f t="shared" si="4"/>
        <v>2.9066806297823246E-2</v>
      </c>
      <c r="I28" s="50">
        <v>0</v>
      </c>
      <c r="J28" s="49">
        <f>IFERROR(IF(D28="","",I28*D28),"")</f>
        <v>0</v>
      </c>
      <c r="K28" s="49">
        <f t="shared" si="1"/>
        <v>0</v>
      </c>
      <c r="L28" s="44">
        <f>IFERROR(IF(C28="","",C28+I28),"")</f>
        <v>-30.26588230695565</v>
      </c>
      <c r="M28" s="47">
        <v>-26.22818557563027</v>
      </c>
      <c r="N28" s="52">
        <f t="shared" si="2"/>
        <v>-26.22818557563027</v>
      </c>
    </row>
    <row r="29" spans="1:17" x14ac:dyDescent="0.3">
      <c r="A29" s="43" t="s">
        <v>16</v>
      </c>
      <c r="B29" s="52">
        <v>17.201540436457002</v>
      </c>
      <c r="C29" s="44">
        <f>'2020-2022'!G29</f>
        <v>-22.491897555436321</v>
      </c>
      <c r="D29" s="49">
        <f>E29/100*SUM('1Q23'!$J$26:$J$33)</f>
        <v>91960.371480145419</v>
      </c>
      <c r="E29" s="44">
        <f>'2020-2022'!K29</f>
        <v>23.204034649606591</v>
      </c>
      <c r="F29" s="44">
        <f>('2020-2022'!C29-'1Q23'!C29/4)/0.75</f>
        <v>21.396925710147798</v>
      </c>
      <c r="G29" s="49">
        <f>D29*((F29-B29)/B29+1)*$D$25/$G$25</f>
        <v>111726.34708518934</v>
      </c>
      <c r="H29" s="45">
        <f t="shared" si="4"/>
        <v>0.2819151322804776</v>
      </c>
      <c r="I29" s="50">
        <v>0</v>
      </c>
      <c r="J29" s="49">
        <f>IFERROR(IF(D29="","",I29*D29),"")</f>
        <v>0</v>
      </c>
      <c r="K29" s="49">
        <f t="shared" si="1"/>
        <v>0</v>
      </c>
      <c r="L29" s="44">
        <f>IFERROR(IF(C29="","",C29+I29),"")</f>
        <v>-22.491897555436321</v>
      </c>
      <c r="M29" s="47">
        <v>-21.889299116672881</v>
      </c>
      <c r="N29" s="52">
        <f t="shared" si="2"/>
        <v>-21.889299116672881</v>
      </c>
    </row>
    <row r="30" spans="1:17" x14ac:dyDescent="0.3">
      <c r="A30" s="43" t="s">
        <v>17</v>
      </c>
      <c r="B30" s="52">
        <v>20.282413350449289</v>
      </c>
      <c r="C30" s="44">
        <f>'2020-2022'!G30</f>
        <v>-23.025535520998371</v>
      </c>
      <c r="D30" s="49">
        <f>E30/100*SUM('1Q23'!$J$26:$J$33)</f>
        <v>57360.542455134731</v>
      </c>
      <c r="E30" s="44">
        <f>'2020-2022'!K30</f>
        <v>14.473582405401039</v>
      </c>
      <c r="F30" s="44">
        <f>('2020-2022'!C30-'1Q23'!C30/4)/0.75</f>
        <v>22.427833185214435</v>
      </c>
      <c r="G30" s="49">
        <f>D30*((F30-B30)/B30+1)*$D$25/$G$25</f>
        <v>61951.493737157754</v>
      </c>
      <c r="H30" s="45">
        <f t="shared" si="4"/>
        <v>0.15632000873139806</v>
      </c>
      <c r="I30" s="50">
        <v>0</v>
      </c>
      <c r="J30" s="49">
        <f>IFERROR(IF(D30="","",I30*D30),"")</f>
        <v>0</v>
      </c>
      <c r="K30" s="49">
        <f t="shared" si="1"/>
        <v>0</v>
      </c>
      <c r="L30" s="44">
        <f>IFERROR(IF(C30="","",C30+I30),"")</f>
        <v>-23.025535520998371</v>
      </c>
      <c r="M30" s="47">
        <v>-20.27928733512519</v>
      </c>
      <c r="N30" s="52">
        <f t="shared" si="2"/>
        <v>-20.27928733512519</v>
      </c>
    </row>
    <row r="31" spans="1:17" x14ac:dyDescent="0.3">
      <c r="A31" s="43" t="s">
        <v>18</v>
      </c>
      <c r="B31" s="52">
        <v>10.397946084724</v>
      </c>
      <c r="C31" s="44">
        <f>'2020-2022'!G31</f>
        <v>-1.035545201249719</v>
      </c>
      <c r="D31" s="49">
        <f>E31/100*SUM('1Q23'!$J$26:$J$33)</f>
        <v>25742.237512847292</v>
      </c>
      <c r="E31" s="44">
        <f>'2020-2022'!K31</f>
        <v>6.495447567167294</v>
      </c>
      <c r="F31" s="44">
        <f>('2020-2022'!C31-'1Q23'!C31/4)/0.75</f>
        <v>5.6587999078371256</v>
      </c>
      <c r="G31" s="49">
        <f>D31*((F31-B31)/B31+1)*$D$25/$G$25</f>
        <v>13683.39658247795</v>
      </c>
      <c r="H31" s="45">
        <f t="shared" si="4"/>
        <v>3.4526829689099106E-2</v>
      </c>
      <c r="I31" s="50">
        <v>0</v>
      </c>
      <c r="J31" s="49">
        <f>IFERROR(IF(D31="","",I31*D31),"")</f>
        <v>0</v>
      </c>
      <c r="K31" s="49">
        <f t="shared" si="1"/>
        <v>0</v>
      </c>
      <c r="L31" s="44">
        <f>IFERROR(IF(C31="","",C31+I31),"")</f>
        <v>-1.035545201249719</v>
      </c>
      <c r="M31" s="47">
        <v>-6.7776398119473598</v>
      </c>
      <c r="N31" s="52">
        <f t="shared" si="2"/>
        <v>-6.7776398119473598</v>
      </c>
    </row>
    <row r="32" spans="1:17" x14ac:dyDescent="0.3">
      <c r="A32" s="43" t="s">
        <v>19</v>
      </c>
      <c r="B32" s="52">
        <v>3.2092426187419769</v>
      </c>
      <c r="C32" s="44">
        <f>'2020-2022'!G32</f>
        <v>-33.018846697392711</v>
      </c>
      <c r="D32" s="49">
        <f>E32/100*SUM('1Q23'!$J$26:$J$33)</f>
        <v>12439.580156848906</v>
      </c>
      <c r="E32" s="44">
        <f>'2020-2022'!K32</f>
        <v>3.138835178024491</v>
      </c>
      <c r="F32" s="44">
        <f>('2020-2022'!C32-'1Q23'!C32/4)/0.75</f>
        <v>3.2533491326816102</v>
      </c>
      <c r="G32" s="49">
        <f>D32*((F32-B32)/B32+1)*$D$25/$G$25</f>
        <v>12316.992827084825</v>
      </c>
      <c r="H32" s="45">
        <f t="shared" si="4"/>
        <v>3.107903151525853E-2</v>
      </c>
      <c r="I32" s="50">
        <v>0</v>
      </c>
      <c r="J32" s="49">
        <f>IFERROR(IF(D32="","",I32*D32),"")</f>
        <v>0</v>
      </c>
      <c r="K32" s="49">
        <f t="shared" si="1"/>
        <v>0</v>
      </c>
      <c r="L32" s="44">
        <f>IFERROR(IF(C32="","",C32+I32),"")</f>
        <v>-33.018846697392711</v>
      </c>
      <c r="M32" s="47">
        <v>-32.140662569674951</v>
      </c>
      <c r="N32" s="52">
        <f t="shared" si="2"/>
        <v>-32.140662569674951</v>
      </c>
    </row>
    <row r="33" spans="1:14" x14ac:dyDescent="0.3">
      <c r="A33" s="47" t="s">
        <v>20</v>
      </c>
      <c r="B33" s="52">
        <v>6.033376123234917</v>
      </c>
      <c r="C33" s="44">
        <f>'2020-2022'!G33</f>
        <v>-32.945549715779393</v>
      </c>
      <c r="D33" s="49">
        <f>E33/100*SUM('1Q23'!$J$26:$J$33)</f>
        <v>17665.455908966931</v>
      </c>
      <c r="E33" s="44">
        <f>'2020-2022'!K33</f>
        <v>4.4574618872789911</v>
      </c>
      <c r="F33" s="44">
        <f>('2020-2022'!C33-'1Q23'!C33/4)/0.75</f>
        <v>8.0445014976465554</v>
      </c>
      <c r="G33" s="49">
        <f>D33*((F33-B33)/B33+1)*$D$25/$G$25</f>
        <v>23005.64592313729</v>
      </c>
      <c r="H33" s="45">
        <f t="shared" si="4"/>
        <v>5.8049331091742359E-2</v>
      </c>
      <c r="I33" s="50">
        <v>0</v>
      </c>
      <c r="J33" s="49">
        <f>IFERROR(IF(D33="","",I33*D33),"")</f>
        <v>0</v>
      </c>
      <c r="K33" s="49">
        <f t="shared" si="1"/>
        <v>0</v>
      </c>
      <c r="L33" s="44">
        <f>IFERROR(IF(C33="","",C33+I33),"")</f>
        <v>-32.945549715779393</v>
      </c>
      <c r="M33" s="47">
        <v>-32.945549715779393</v>
      </c>
      <c r="N33" s="52">
        <f t="shared" si="2"/>
        <v>-32.945549715779393</v>
      </c>
    </row>
    <row r="34" spans="1:14" x14ac:dyDescent="0.3">
      <c r="A34" s="48" t="s">
        <v>23</v>
      </c>
      <c r="B34" s="47"/>
      <c r="E34" s="46">
        <f>'2020-2023 weight V'!K34</f>
        <v>7.0922025926421675E-2</v>
      </c>
      <c r="F34" s="44"/>
      <c r="J34" s="49" t="str">
        <f>IFERROR(IF(D34="","",I34*D34),"")</f>
        <v/>
      </c>
      <c r="K34" s="49" t="str">
        <f t="shared" si="1"/>
        <v/>
      </c>
      <c r="L34" s="44" t="str">
        <f>IFERROR(IF(C34="","",C34+I34),"")</f>
        <v/>
      </c>
      <c r="M34" s="47"/>
      <c r="N34" s="52">
        <f t="shared" si="2"/>
        <v>0</v>
      </c>
    </row>
    <row r="35" spans="1:14" x14ac:dyDescent="0.3">
      <c r="B35" s="47" t="s">
        <v>2</v>
      </c>
      <c r="C35" s="44" t="s">
        <v>6</v>
      </c>
      <c r="D35" s="49" t="s">
        <v>9</v>
      </c>
      <c r="E35" s="44" t="s">
        <v>10</v>
      </c>
      <c r="F35" s="44" t="s">
        <v>2</v>
      </c>
      <c r="J35" s="49" t="str">
        <f>IFERROR(IF(D35="","",I35*D35),"")</f>
        <v/>
      </c>
      <c r="K35" s="49" t="str">
        <f t="shared" si="1"/>
        <v/>
      </c>
      <c r="L35" s="44" t="str">
        <f>IFERROR(IF(C35="","",C35+I35),"")</f>
        <v/>
      </c>
      <c r="M35" s="51" t="s">
        <v>57</v>
      </c>
      <c r="N35" s="52"/>
    </row>
    <row r="36" spans="1:14" x14ac:dyDescent="0.3">
      <c r="A36" s="43" t="s">
        <v>12</v>
      </c>
      <c r="B36" s="47"/>
      <c r="D36" s="49">
        <f>SUM(D37:D44)</f>
        <v>1630578.3999999997</v>
      </c>
      <c r="F36" s="44"/>
      <c r="G36" s="49">
        <v>1598765.2310009552</v>
      </c>
      <c r="J36" s="49">
        <f>IFERROR(IF(D36="","",I36*D36),"")</f>
        <v>0</v>
      </c>
      <c r="K36" s="49">
        <f t="shared" si="1"/>
        <v>0</v>
      </c>
      <c r="L36" s="44" t="str">
        <f>IFERROR(IF(C36="","",C36+I36),"")</f>
        <v/>
      </c>
      <c r="M36" s="47"/>
      <c r="N36" s="52">
        <f t="shared" si="2"/>
        <v>0</v>
      </c>
    </row>
    <row r="37" spans="1:14" x14ac:dyDescent="0.3">
      <c r="A37" s="43" t="s">
        <v>13</v>
      </c>
      <c r="B37" s="52">
        <v>29.45736434108527</v>
      </c>
      <c r="C37" s="44">
        <f>'2020-2022'!G37</f>
        <v>-24.512778883793139</v>
      </c>
      <c r="D37" s="49">
        <f>E37/100*SUM('1Q23'!$J$37:$J$44)</f>
        <v>421673.86660291319</v>
      </c>
      <c r="E37" s="44">
        <f>'2020-2022'!K37</f>
        <v>25.860385897600089</v>
      </c>
      <c r="F37" s="44">
        <f>('2020-2022'!C37-'1Q23'!C37/4)/0.75</f>
        <v>36.588313745102944</v>
      </c>
      <c r="G37" s="49">
        <f>D37*((F37-B37)/B37+1)*$D$36/$G$36</f>
        <v>534173.30985707126</v>
      </c>
      <c r="H37" s="45">
        <f>G37/$D$36</f>
        <v>0.32759744018261949</v>
      </c>
      <c r="I37" s="50">
        <v>-2</v>
      </c>
      <c r="J37" s="49">
        <f>IFERROR(IF(D37="","",I37*D37),"")</f>
        <v>-843347.73320582637</v>
      </c>
      <c r="K37" s="49">
        <f t="shared" si="1"/>
        <v>-1068346.6197141425</v>
      </c>
      <c r="L37" s="44">
        <f>IFERROR(IF(C37="","",C37+I37),"")</f>
        <v>-26.512778883793139</v>
      </c>
      <c r="M37" s="47">
        <v>-27.037190646642401</v>
      </c>
      <c r="N37" s="52">
        <f t="shared" si="2"/>
        <v>-29.037190646642401</v>
      </c>
    </row>
    <row r="38" spans="1:14" x14ac:dyDescent="0.3">
      <c r="A38" s="43" t="s">
        <v>14</v>
      </c>
      <c r="B38" s="52">
        <v>7.4935400516795871</v>
      </c>
      <c r="C38" s="44">
        <f>'2020-2022'!G38</f>
        <v>-14.62915967758703</v>
      </c>
      <c r="D38" s="49">
        <f>E38/100*SUM('1Q23'!$J$37:$J$44)</f>
        <v>103753.19250650425</v>
      </c>
      <c r="E38" s="44">
        <f>'2020-2022'!K38</f>
        <v>6.3629686561838579</v>
      </c>
      <c r="F38" s="44">
        <f>('2020-2022'!C38-'1Q23'!C38/4)/0.75</f>
        <v>9.4537523269706316</v>
      </c>
      <c r="G38" s="49">
        <f>D38*((F38-B38)/B38+1)*$D$36/$G$36</f>
        <v>133498.27267434011</v>
      </c>
      <c r="H38" s="45">
        <f t="shared" ref="H38:H44" si="5">G38/$D$36</f>
        <v>8.1871728875066746E-2</v>
      </c>
      <c r="I38" s="50">
        <v>-2</v>
      </c>
      <c r="J38" s="49">
        <f>IFERROR(IF(D38="","",I38*D38),"")</f>
        <v>-207506.38501300849</v>
      </c>
      <c r="K38" s="49">
        <f t="shared" si="1"/>
        <v>-266996.54534868023</v>
      </c>
      <c r="L38" s="44">
        <f>IFERROR(IF(C38="","",C38+I38),"")</f>
        <v>-16.62915967758703</v>
      </c>
      <c r="M38" s="47">
        <v>-16.060080274907339</v>
      </c>
      <c r="N38" s="52">
        <f t="shared" si="2"/>
        <v>-18.060080274907339</v>
      </c>
    </row>
    <row r="39" spans="1:14" x14ac:dyDescent="0.3">
      <c r="A39" s="43" t="s">
        <v>15</v>
      </c>
      <c r="B39" s="52">
        <v>6.0723514211886309</v>
      </c>
      <c r="C39" s="44">
        <f>'2020-2022'!G39</f>
        <v>-50.370990406588128</v>
      </c>
      <c r="D39" s="49">
        <f>E39/100*SUM('1Q23'!$J$37:$J$44)</f>
        <v>116957.24255227191</v>
      </c>
      <c r="E39" s="44">
        <f>'2020-2022'!K39</f>
        <v>7.172745729507513</v>
      </c>
      <c r="F39" s="44">
        <f>('2020-2022'!C39-'1Q23'!C39/4)/0.75</f>
        <v>3.2577588841654848</v>
      </c>
      <c r="G39" s="49">
        <f>D39*((F39-B39)/B39+1)*$D$36/$G$36</f>
        <v>63995.015887445268</v>
      </c>
      <c r="H39" s="45">
        <f t="shared" si="5"/>
        <v>3.9246819341802443E-2</v>
      </c>
      <c r="I39" s="50">
        <v>-2</v>
      </c>
      <c r="J39" s="49">
        <f>IFERROR(IF(D39="","",I39*D39),"")</f>
        <v>-233914.48510454383</v>
      </c>
      <c r="K39" s="49">
        <f t="shared" si="1"/>
        <v>-127990.03177489054</v>
      </c>
      <c r="L39" s="44">
        <f>IFERROR(IF(C39="","",C39+I39),"")</f>
        <v>-52.370990406588128</v>
      </c>
      <c r="M39" s="47">
        <v>-45.513488062308951</v>
      </c>
      <c r="N39" s="52">
        <f t="shared" si="2"/>
        <v>-47.513488062308951</v>
      </c>
    </row>
    <row r="40" spans="1:14" x14ac:dyDescent="0.3">
      <c r="A40" s="43" t="s">
        <v>16</v>
      </c>
      <c r="B40" s="52">
        <v>11.498708010335919</v>
      </c>
      <c r="C40" s="44">
        <f>'2020-2022'!G40</f>
        <v>-68.249511511707126</v>
      </c>
      <c r="D40" s="49">
        <f>E40/100*SUM('1Q23'!$J$37:$J$44)</f>
        <v>187185.14145076898</v>
      </c>
      <c r="E40" s="44">
        <f>'2020-2022'!K40</f>
        <v>11.47967748442939</v>
      </c>
      <c r="F40" s="44">
        <f>('2020-2022'!C40-'1Q23'!C40/4)/0.75</f>
        <v>6.7294601428134859</v>
      </c>
      <c r="G40" s="49">
        <f>D40*((F40-B40)/B40+1)*$D$36/$G$36</f>
        <v>111727.36111905488</v>
      </c>
      <c r="H40" s="45">
        <f t="shared" si="5"/>
        <v>6.8520079205670145E-2</v>
      </c>
      <c r="I40" s="50">
        <v>0</v>
      </c>
      <c r="J40" s="49">
        <f>IFERROR(IF(D40="","",I40*D40),"")</f>
        <v>0</v>
      </c>
      <c r="K40" s="49">
        <f t="shared" si="1"/>
        <v>0</v>
      </c>
      <c r="L40" s="44">
        <f>IFERROR(IF(C40="","",C40+I40),"")</f>
        <v>-68.249511511707126</v>
      </c>
      <c r="M40" s="47">
        <v>-63.452599998781821</v>
      </c>
      <c r="N40" s="52">
        <f t="shared" si="2"/>
        <v>-63.452599998781821</v>
      </c>
    </row>
    <row r="41" spans="1:14" x14ac:dyDescent="0.3">
      <c r="A41" s="43" t="s">
        <v>17</v>
      </c>
      <c r="B41" s="52">
        <v>26.227390180878551</v>
      </c>
      <c r="C41" s="44">
        <f>'2020-2022'!G41</f>
        <v>-27.085429538877861</v>
      </c>
      <c r="D41" s="49">
        <f>E41/100*SUM('1Q23'!$J$37:$J$44)</f>
        <v>451561.42134213686</v>
      </c>
      <c r="E41" s="44">
        <f>'2020-2022'!K41</f>
        <v>27.69332779964072</v>
      </c>
      <c r="F41" s="44">
        <f>('2020-2022'!C41-'1Q23'!C41/4)/0.75</f>
        <v>28.518240671278928</v>
      </c>
      <c r="G41" s="49">
        <f>D41*((F41-B41)/B41+1)*$D$36/$G$36</f>
        <v>500773.65596193552</v>
      </c>
      <c r="H41" s="45">
        <f t="shared" si="5"/>
        <v>0.30711412340672217</v>
      </c>
      <c r="I41" s="50">
        <v>-2</v>
      </c>
      <c r="J41" s="49">
        <f>IFERROR(IF(D41="","",I41*D41),"")</f>
        <v>-903122.84268427372</v>
      </c>
      <c r="K41" s="49">
        <f t="shared" si="1"/>
        <v>-1001547.311923871</v>
      </c>
      <c r="L41" s="44">
        <f>IFERROR(IF(C41="","",C41+I41),"")</f>
        <v>-29.085429538877861</v>
      </c>
      <c r="M41" s="47">
        <v>-28.807020921533031</v>
      </c>
      <c r="N41" s="52">
        <f t="shared" si="2"/>
        <v>-30.807020921533031</v>
      </c>
    </row>
    <row r="42" spans="1:14" x14ac:dyDescent="0.3">
      <c r="A42" s="43" t="s">
        <v>18</v>
      </c>
      <c r="B42" s="52">
        <v>5.8139534883720927</v>
      </c>
      <c r="C42" s="44">
        <f>'2020-2022'!G42</f>
        <v>-16.05507817468812</v>
      </c>
      <c r="D42" s="49">
        <f>E42/100*SUM('1Q23'!$J$37:$J$44)</f>
        <v>107018.08205866003</v>
      </c>
      <c r="E42" s="44">
        <f>'2020-2022'!K42</f>
        <v>6.5631975781514109</v>
      </c>
      <c r="F42" s="44">
        <f>('2020-2022'!C42-'1Q23'!C42/4)/0.75</f>
        <v>6.6766691672918226</v>
      </c>
      <c r="G42" s="49">
        <f>D42*((F42-B42)/B42+1)*$D$36/$G$36</f>
        <v>125343.68477197528</v>
      </c>
      <c r="H42" s="45">
        <f t="shared" si="5"/>
        <v>7.6870688813230517E-2</v>
      </c>
      <c r="I42" s="50">
        <v>-2</v>
      </c>
      <c r="J42" s="49">
        <f>IFERROR(IF(D42="","",I42*D42),"")</f>
        <v>-214036.16411732006</v>
      </c>
      <c r="K42" s="49">
        <f t="shared" si="1"/>
        <v>-250687.36954395057</v>
      </c>
      <c r="L42" s="44">
        <f>IFERROR(IF(C42="","",C42+I42),"")</f>
        <v>-18.05507817468812</v>
      </c>
      <c r="M42" s="47">
        <v>-15.67137126678792</v>
      </c>
      <c r="N42" s="52">
        <f t="shared" si="2"/>
        <v>-17.671371266787922</v>
      </c>
    </row>
    <row r="43" spans="1:14" x14ac:dyDescent="0.3">
      <c r="A43" s="43" t="s">
        <v>19</v>
      </c>
      <c r="B43" s="52">
        <v>6.9767441860465116</v>
      </c>
      <c r="C43" s="44">
        <f>'2020-2022'!G43</f>
        <v>-29.448502533241999</v>
      </c>
      <c r="D43" s="49">
        <f>E43/100*SUM('1Q23'!$J$37:$J$44)</f>
        <v>140709.51325610947</v>
      </c>
      <c r="E43" s="44">
        <f>'2020-2022'!K43</f>
        <v>8.6294233540754295</v>
      </c>
      <c r="F43" s="44">
        <f>('2020-2022'!C43-'1Q23'!C43/4)/0.75</f>
        <v>4.4636159039759926</v>
      </c>
      <c r="G43" s="49">
        <f>D43*((F43-B43)/B43+1)*$D$36/$G$36</f>
        <v>91815.175352097271</v>
      </c>
      <c r="H43" s="45">
        <f t="shared" si="5"/>
        <v>5.6308347609717688E-2</v>
      </c>
      <c r="I43" s="50">
        <v>-2</v>
      </c>
      <c r="J43" s="49">
        <f>IFERROR(IF(D43="","",I43*D43),"")</f>
        <v>-281419.02651221893</v>
      </c>
      <c r="K43" s="49">
        <f t="shared" si="1"/>
        <v>-183630.35070419454</v>
      </c>
      <c r="L43" s="44">
        <f>IFERROR(IF(C43="","",C43+I43),"")</f>
        <v>-31.448502533241999</v>
      </c>
      <c r="M43" s="47">
        <v>-22.733693984222779</v>
      </c>
      <c r="N43" s="52">
        <f t="shared" si="2"/>
        <v>-24.733693984222779</v>
      </c>
    </row>
    <row r="44" spans="1:14" x14ac:dyDescent="0.3">
      <c r="A44" s="43" t="s">
        <v>20</v>
      </c>
      <c r="B44" s="52">
        <v>6.459948320413436</v>
      </c>
      <c r="C44" s="44">
        <f>'2020-2022'!G44</f>
        <v>-35.584011040576158</v>
      </c>
      <c r="D44" s="49">
        <f>E44/100*SUM('1Q23'!$J$37:$J$44)</f>
        <v>101719.94023063505</v>
      </c>
      <c r="E44" s="44">
        <f>'2020-2022'!K44</f>
        <v>6.2382735004115757</v>
      </c>
      <c r="F44" s="44">
        <f>('2020-2022'!C44-'1Q23'!C44/4)/0.75</f>
        <v>4.3121891584007113</v>
      </c>
      <c r="G44" s="49">
        <f>D44*((F44-B44)/B44+1)*$D$36/$G$36</f>
        <v>69251.924376080104</v>
      </c>
      <c r="H44" s="45">
        <f t="shared" si="5"/>
        <v>4.247077256517081E-2</v>
      </c>
      <c r="I44" s="50">
        <v>0</v>
      </c>
      <c r="J44" s="49">
        <f>IFERROR(IF(D44="","",I44*D44),"")</f>
        <v>0</v>
      </c>
      <c r="K44" s="49">
        <f t="shared" si="1"/>
        <v>0</v>
      </c>
      <c r="L44" s="44">
        <f>IFERROR(IF(C44="","",C44+I44),"")</f>
        <v>-35.584011040576158</v>
      </c>
      <c r="M44" s="47">
        <v>-30.273309985890801</v>
      </c>
      <c r="N44" s="52">
        <f t="shared" si="2"/>
        <v>-30.273309985890801</v>
      </c>
    </row>
    <row r="45" spans="1:14" x14ac:dyDescent="0.3">
      <c r="E45" s="46">
        <f>'2020-2023 weight V'!K45</f>
        <v>0.36900353015112097</v>
      </c>
    </row>
    <row r="46" spans="1:14" x14ac:dyDescent="0.3">
      <c r="J46" s="60">
        <f>SUM(J4:J44)</f>
        <v>-3634340.909376042</v>
      </c>
      <c r="K46" s="60">
        <f>SUM(K4:K44)</f>
        <v>-3779144.4627014436</v>
      </c>
    </row>
    <row r="47" spans="1:14" x14ac:dyDescent="0.3">
      <c r="A47" s="51" t="s">
        <v>55</v>
      </c>
      <c r="B47" s="47" t="s">
        <v>2</v>
      </c>
      <c r="C47" s="47" t="s">
        <v>6</v>
      </c>
      <c r="D47" s="47" t="s">
        <v>56</v>
      </c>
      <c r="E47" s="47" t="s">
        <v>30</v>
      </c>
      <c r="F47" s="47"/>
    </row>
    <row r="48" spans="1:14" x14ac:dyDescent="0.3">
      <c r="A48" s="47" t="s">
        <v>13</v>
      </c>
      <c r="B48" s="53">
        <f>(B4*$E$12+B15*$E$23+B26*$E$34+B37*$E$45)/100</f>
        <v>0.27572126492163579</v>
      </c>
      <c r="C48" s="52">
        <f>C15*$E$23+C26*$E$34+C37*$E$45+C4*$E$12</f>
        <v>-15.063394907200179</v>
      </c>
      <c r="D48" s="54">
        <f>D4+D15+D26+D37</f>
        <v>1117065.3295268416</v>
      </c>
      <c r="E48" s="53">
        <f>D48/SUM($D$48:$D$55)</f>
        <v>0.27136057907585492</v>
      </c>
      <c r="F48" s="55"/>
    </row>
    <row r="49" spans="1:24" s="49" customFormat="1" x14ac:dyDescent="0.3">
      <c r="A49" s="47" t="s">
        <v>14</v>
      </c>
      <c r="B49" s="53">
        <f>(B5*$E$12+B16*$E$23+B27*$E$34+B38*$E$45)/100</f>
        <v>9.4448167722267384E-2</v>
      </c>
      <c r="C49" s="52">
        <f>C16*$E$23+C27*$E$34+C38*$E$45+C5*$E$12</f>
        <v>-11.047044758026347</v>
      </c>
      <c r="D49" s="54">
        <f t="shared" ref="D49:D55" si="6">D5+D16+D27+D38</f>
        <v>387163.43646216602</v>
      </c>
      <c r="E49" s="53">
        <f t="shared" ref="E49:E55" si="7">D49/SUM($D$48:$D$55)</f>
        <v>9.4050805748194036E-2</v>
      </c>
      <c r="F49" s="55"/>
      <c r="H49" s="45"/>
      <c r="I49" s="50"/>
      <c r="L49" s="45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1:24" s="49" customFormat="1" x14ac:dyDescent="0.3">
      <c r="A50" s="47" t="s">
        <v>15</v>
      </c>
      <c r="B50" s="53">
        <f>(B6*$E$12+B17*$E$23+B28*$E$34+B39*$E$45)/100</f>
        <v>6.7429000060481373E-2</v>
      </c>
      <c r="C50" s="52">
        <f>C17*$E$23+C28*$E$34+C39*$E$45+C6*$E$12</f>
        <v>-40.721902070225255</v>
      </c>
      <c r="D50" s="54">
        <f t="shared" si="6"/>
        <v>305308.14881063928</v>
      </c>
      <c r="E50" s="53">
        <f t="shared" si="7"/>
        <v>7.4166294367872615E-2</v>
      </c>
      <c r="F50" s="55"/>
      <c r="H50" s="45"/>
      <c r="I50" s="50"/>
      <c r="L50" s="45"/>
      <c r="O50" s="43"/>
      <c r="P50" s="43"/>
      <c r="Q50" s="43"/>
      <c r="R50" s="43"/>
      <c r="S50" s="43"/>
      <c r="T50" s="43"/>
      <c r="U50" s="43"/>
      <c r="V50" s="43"/>
      <c r="W50" s="43"/>
      <c r="X50" s="43"/>
    </row>
    <row r="51" spans="1:24" s="49" customFormat="1" x14ac:dyDescent="0.3">
      <c r="A51" s="47" t="s">
        <v>16</v>
      </c>
      <c r="B51" s="53">
        <f>(B7*$E$12+B18*$E$23+B29*$E$34+B40*$E$45)/100</f>
        <v>0.13133080457706708</v>
      </c>
      <c r="C51" s="52">
        <f>C18*$E$23+C29*$E$34+C40*$E$45+C7*$E$12</f>
        <v>-40.789634691152365</v>
      </c>
      <c r="D51" s="54">
        <f t="shared" si="6"/>
        <v>569219.84124898363</v>
      </c>
      <c r="E51" s="53">
        <f t="shared" si="7"/>
        <v>0.13827644781368076</v>
      </c>
      <c r="F51" s="55"/>
      <c r="H51" s="45"/>
      <c r="I51" s="50"/>
      <c r="L51" s="45"/>
      <c r="O51" s="43"/>
      <c r="P51" s="43"/>
      <c r="Q51" s="43"/>
      <c r="R51" s="43"/>
      <c r="S51" s="43"/>
      <c r="T51" s="43"/>
      <c r="U51" s="43"/>
      <c r="V51" s="43"/>
      <c r="W51" s="43"/>
      <c r="X51" s="43"/>
    </row>
    <row r="52" spans="1:24" s="49" customFormat="1" x14ac:dyDescent="0.3">
      <c r="A52" s="47" t="s">
        <v>17</v>
      </c>
      <c r="B52" s="53">
        <f>(B8*$E$12+B19*$E$23+B30*$E$34+B41*$E$45)/100</f>
        <v>0.22195347775041457</v>
      </c>
      <c r="C52" s="52">
        <f>C19*$E$23+C30*$E$34+C41*$E$45+C8*$E$12</f>
        <v>-12.526809772671523</v>
      </c>
      <c r="D52" s="54">
        <f t="shared" si="6"/>
        <v>904300.0153295981</v>
      </c>
      <c r="E52" s="53">
        <f t="shared" si="7"/>
        <v>0.21967504436117921</v>
      </c>
      <c r="F52" s="55"/>
      <c r="H52" s="45"/>
      <c r="I52" s="50"/>
      <c r="L52" s="45"/>
      <c r="O52" s="43"/>
      <c r="P52" s="43"/>
      <c r="Q52" s="43"/>
      <c r="R52" s="43"/>
      <c r="S52" s="43"/>
      <c r="T52" s="43"/>
      <c r="U52" s="43"/>
      <c r="V52" s="43"/>
      <c r="W52" s="43"/>
      <c r="X52" s="43"/>
    </row>
    <row r="53" spans="1:24" s="49" customFormat="1" x14ac:dyDescent="0.3">
      <c r="A53" s="47" t="s">
        <v>18</v>
      </c>
      <c r="B53" s="53">
        <f>(B9*$E$12+B20*$E$23+B31*$E$34+B42*$E$45)/100</f>
        <v>8.9980191632781439E-2</v>
      </c>
      <c r="C53" s="52">
        <f>C20*$E$23+C31*$E$34+C42*$E$45+C9*$E$12</f>
        <v>-5.9982994600752626</v>
      </c>
      <c r="D53" s="54">
        <f t="shared" si="6"/>
        <v>346851.72027408937</v>
      </c>
      <c r="E53" s="53">
        <f t="shared" si="7"/>
        <v>8.4258172892091102E-2</v>
      </c>
      <c r="F53" s="55"/>
      <c r="H53" s="45"/>
      <c r="I53" s="50"/>
      <c r="L53" s="45"/>
      <c r="O53" s="43"/>
      <c r="P53" s="43"/>
      <c r="Q53" s="43"/>
      <c r="R53" s="43"/>
      <c r="S53" s="43"/>
      <c r="T53" s="43"/>
      <c r="U53" s="43"/>
      <c r="V53" s="43"/>
      <c r="W53" s="43"/>
      <c r="X53" s="43"/>
    </row>
    <row r="54" spans="1:24" s="49" customFormat="1" x14ac:dyDescent="0.3">
      <c r="A54" s="47" t="s">
        <v>19</v>
      </c>
      <c r="B54" s="53">
        <f>(B10*$E$12+B21*$E$23+B32*$E$34+B43*$E$45)/100</f>
        <v>6.1972723720439174E-2</v>
      </c>
      <c r="C54" s="52">
        <f>C21*$E$23+C32*$E$34+C43*$E$45+C10*$E$12</f>
        <v>-20.384447281040746</v>
      </c>
      <c r="D54" s="54">
        <f t="shared" si="6"/>
        <v>264483.72658267216</v>
      </c>
      <c r="E54" s="53">
        <f t="shared" si="7"/>
        <v>6.424911355185825E-2</v>
      </c>
      <c r="F54" s="55"/>
      <c r="H54" s="45"/>
      <c r="I54" s="50"/>
      <c r="L54" s="45"/>
      <c r="O54" s="43"/>
      <c r="P54" s="43"/>
      <c r="Q54" s="43"/>
      <c r="R54" s="43"/>
      <c r="S54" s="43"/>
      <c r="T54" s="43"/>
      <c r="U54" s="43"/>
      <c r="V54" s="43"/>
      <c r="W54" s="43"/>
      <c r="X54" s="43"/>
    </row>
    <row r="55" spans="1:24" s="49" customFormat="1" x14ac:dyDescent="0.3">
      <c r="A55" s="47" t="s">
        <v>20</v>
      </c>
      <c r="B55" s="53">
        <f>(B11*$E$12+B22*$E$23+B33*$E$34+B44*$E$45)/100</f>
        <v>5.7164369614913245E-2</v>
      </c>
      <c r="C55" s="52">
        <f>C22*$E$23+C33*$E$34+C44*$E$45+C11*$E$12</f>
        <v>-21.932657893988122</v>
      </c>
      <c r="D55" s="54">
        <f t="shared" si="6"/>
        <v>222142.81176500971</v>
      </c>
      <c r="E55" s="53">
        <f t="shared" si="7"/>
        <v>5.3963542189269249E-2</v>
      </c>
      <c r="F55" s="55"/>
      <c r="H55" s="45"/>
      <c r="I55" s="50"/>
      <c r="L55" s="45"/>
      <c r="O55" s="43"/>
      <c r="P55" s="43"/>
      <c r="Q55" s="43"/>
      <c r="R55" s="43"/>
      <c r="S55" s="43"/>
      <c r="T55" s="43"/>
      <c r="U55" s="43"/>
      <c r="V55" s="43"/>
      <c r="W55" s="43"/>
      <c r="X55" s="43"/>
    </row>
    <row r="56" spans="1:24" s="49" customFormat="1" x14ac:dyDescent="0.3">
      <c r="A56" s="47"/>
      <c r="B56" s="47"/>
      <c r="C56" s="47"/>
      <c r="D56" s="54"/>
      <c r="E56" s="47"/>
      <c r="F56" s="47"/>
      <c r="H56" s="45"/>
      <c r="I56" s="50"/>
      <c r="L56" s="45"/>
      <c r="O56" s="43"/>
      <c r="P56" s="43"/>
      <c r="Q56" s="43"/>
      <c r="R56" s="43"/>
      <c r="S56" s="43"/>
      <c r="T56" s="43"/>
      <c r="U56" s="43"/>
      <c r="V56" s="43"/>
      <c r="W56" s="43"/>
      <c r="X56" s="43"/>
    </row>
    <row r="57" spans="1:24" s="49" customFormat="1" x14ac:dyDescent="0.3">
      <c r="A57" s="47" t="s">
        <v>13</v>
      </c>
      <c r="B57" s="53">
        <f>B48</f>
        <v>0.27572126492163579</v>
      </c>
      <c r="C57" s="52">
        <f>C48</f>
        <v>-15.063394907200179</v>
      </c>
      <c r="D57" s="54">
        <f>D48</f>
        <v>1117065.3295268416</v>
      </c>
      <c r="E57" s="53">
        <f t="shared" ref="E57:F57" si="8">E48</f>
        <v>0.27136057907585492</v>
      </c>
      <c r="F57" s="54"/>
      <c r="H57" s="45"/>
      <c r="I57" s="50"/>
      <c r="L57" s="45"/>
      <c r="O57" s="43"/>
      <c r="P57" s="43"/>
      <c r="Q57" s="43"/>
      <c r="R57" s="43"/>
      <c r="S57" s="43"/>
      <c r="T57" s="43"/>
      <c r="U57" s="43"/>
      <c r="V57" s="43"/>
      <c r="W57" s="43"/>
      <c r="X57" s="43"/>
    </row>
    <row r="58" spans="1:24" s="49" customFormat="1" x14ac:dyDescent="0.3">
      <c r="A58" s="47" t="s">
        <v>28</v>
      </c>
      <c r="B58" s="53">
        <f>B49+B50</f>
        <v>0.16187716778274874</v>
      </c>
      <c r="C58" s="52">
        <f>(C5*B5+C6*B6)/(B5+B6)*$E$12+(C16*B16+C17*B17)/(B16+B17)*$E$23+(C27*B27+C28*B28)/(B27+B28)*$E$34+(C38*B38+C39*B39)/(B38+B39)*$E$45</f>
        <v>-23.326118917482269</v>
      </c>
      <c r="D58" s="54">
        <f>D49+D50</f>
        <v>692471.5852728053</v>
      </c>
      <c r="E58" s="53">
        <f>D58/SUM($D$57:$D$62)</f>
        <v>0.16821710011606664</v>
      </c>
      <c r="F58" s="54"/>
      <c r="H58" s="45"/>
      <c r="I58" s="50"/>
      <c r="L58" s="45"/>
      <c r="O58" s="43"/>
      <c r="P58" s="43"/>
      <c r="Q58" s="43"/>
      <c r="R58" s="43"/>
      <c r="S58" s="43"/>
      <c r="T58" s="43"/>
      <c r="U58" s="43"/>
      <c r="V58" s="43"/>
      <c r="W58" s="43"/>
      <c r="X58" s="43"/>
    </row>
    <row r="59" spans="1:24" s="49" customFormat="1" x14ac:dyDescent="0.3">
      <c r="A59" s="47" t="s">
        <v>16</v>
      </c>
      <c r="B59" s="53">
        <f>B51</f>
        <v>0.13133080457706708</v>
      </c>
      <c r="C59" s="52">
        <f t="shared" ref="C59:F60" si="9">C51</f>
        <v>-40.789634691152365</v>
      </c>
      <c r="D59" s="54">
        <f t="shared" si="9"/>
        <v>569219.84124898363</v>
      </c>
      <c r="E59" s="53">
        <f t="shared" si="9"/>
        <v>0.13827644781368076</v>
      </c>
      <c r="F59" s="54"/>
      <c r="H59" s="45"/>
      <c r="I59" s="50"/>
      <c r="L59" s="45"/>
      <c r="O59" s="43"/>
      <c r="P59" s="43"/>
      <c r="Q59" s="43"/>
      <c r="R59" s="43"/>
      <c r="S59" s="43"/>
      <c r="T59" s="43"/>
      <c r="U59" s="43"/>
      <c r="V59" s="43"/>
      <c r="W59" s="43"/>
      <c r="X59" s="43"/>
    </row>
    <row r="60" spans="1:24" s="49" customFormat="1" x14ac:dyDescent="0.3">
      <c r="A60" s="47" t="s">
        <v>17</v>
      </c>
      <c r="B60" s="53">
        <f>B52</f>
        <v>0.22195347775041457</v>
      </c>
      <c r="C60" s="52">
        <f t="shared" si="9"/>
        <v>-12.526809772671523</v>
      </c>
      <c r="D60" s="54">
        <f t="shared" si="9"/>
        <v>904300.0153295981</v>
      </c>
      <c r="E60" s="53">
        <f t="shared" si="9"/>
        <v>0.21967504436117921</v>
      </c>
      <c r="F60" s="54"/>
      <c r="H60" s="45"/>
      <c r="I60" s="50"/>
      <c r="L60" s="45"/>
      <c r="O60" s="43"/>
      <c r="P60" s="43"/>
      <c r="Q60" s="43"/>
      <c r="R60" s="43"/>
      <c r="S60" s="43"/>
      <c r="T60" s="43"/>
      <c r="U60" s="43"/>
      <c r="V60" s="43"/>
      <c r="W60" s="43"/>
      <c r="X60" s="43"/>
    </row>
    <row r="61" spans="1:24" s="49" customFormat="1" x14ac:dyDescent="0.3">
      <c r="A61" s="47" t="s">
        <v>28</v>
      </c>
      <c r="B61" s="53">
        <f>B53+B54</f>
        <v>0.15195291535322061</v>
      </c>
      <c r="C61" s="52">
        <f>(C9*B9+C10*B10)/(B9+B10)*$E$12+(C20*B20+C21*B21)/(B20+B21)*$E$23+(C31*B31+C32*B32)/(B31+B32)*$E$34+(C42*B42+C43*B43)/(B42+B43)*$E$45</f>
        <v>-11.579180910363377</v>
      </c>
      <c r="D61" s="54">
        <f>D53+D54</f>
        <v>611335.44685676158</v>
      </c>
      <c r="E61" s="53">
        <f>D61/SUM($D$57:$D$62)</f>
        <v>0.14850728644394937</v>
      </c>
      <c r="F61" s="54"/>
      <c r="H61" s="45"/>
      <c r="I61" s="50"/>
      <c r="L61" s="45"/>
      <c r="O61" s="43"/>
      <c r="P61" s="43"/>
      <c r="Q61" s="43"/>
      <c r="R61" s="43"/>
      <c r="S61" s="43"/>
      <c r="T61" s="43"/>
      <c r="U61" s="43"/>
      <c r="V61" s="43"/>
      <c r="W61" s="43"/>
      <c r="X61" s="43"/>
    </row>
    <row r="62" spans="1:24" s="49" customFormat="1" x14ac:dyDescent="0.3">
      <c r="A62" s="47" t="s">
        <v>20</v>
      </c>
      <c r="B62" s="53">
        <f>B55</f>
        <v>5.7164369614913245E-2</v>
      </c>
      <c r="C62" s="52">
        <f t="shared" ref="C62:F62" si="10">C55</f>
        <v>-21.932657893988122</v>
      </c>
      <c r="D62" s="54">
        <f t="shared" si="10"/>
        <v>222142.81176500971</v>
      </c>
      <c r="E62" s="53">
        <f t="shared" si="10"/>
        <v>5.3963542189269249E-2</v>
      </c>
      <c r="F62" s="54"/>
      <c r="H62" s="45"/>
      <c r="I62" s="50"/>
      <c r="L62" s="45"/>
      <c r="O62" s="43"/>
      <c r="P62" s="43"/>
      <c r="Q62" s="43"/>
      <c r="R62" s="43"/>
      <c r="S62" s="43"/>
      <c r="T62" s="43"/>
      <c r="U62" s="43"/>
      <c r="V62" s="43"/>
      <c r="W62" s="43"/>
      <c r="X62" s="43"/>
    </row>
    <row r="63" spans="1:24" s="49" customFormat="1" x14ac:dyDescent="0.3">
      <c r="A63" s="47"/>
      <c r="B63" s="47"/>
      <c r="C63" s="47"/>
      <c r="D63" s="47"/>
      <c r="E63" s="47"/>
      <c r="F63" s="47"/>
      <c r="H63" s="45"/>
      <c r="I63" s="50"/>
      <c r="L63" s="45"/>
      <c r="O63" s="43"/>
      <c r="P63" s="43"/>
      <c r="Q63" s="43"/>
      <c r="R63" s="43"/>
      <c r="S63" s="43"/>
      <c r="T63" s="43"/>
      <c r="U63" s="43"/>
      <c r="V63" s="43"/>
      <c r="W63" s="43"/>
      <c r="X63" s="43"/>
    </row>
    <row r="64" spans="1:24" s="49" customFormat="1" x14ac:dyDescent="0.3">
      <c r="A64" s="58" t="s">
        <v>64</v>
      </c>
      <c r="B64" s="58">
        <f>B57*C57+B58*C58+B59*C59+B60*C60+B61*C61+B62*C62</f>
        <v>-19.079825759330454</v>
      </c>
      <c r="C64" s="58"/>
      <c r="E64" s="44"/>
      <c r="F64" s="43"/>
      <c r="H64" s="45"/>
      <c r="I64" s="50"/>
      <c r="L64" s="45"/>
      <c r="O64" s="43"/>
      <c r="P64" s="43"/>
      <c r="Q64" s="43"/>
      <c r="R64" s="43"/>
      <c r="S64" s="43"/>
      <c r="T64" s="43"/>
      <c r="U64" s="43"/>
      <c r="V64" s="43"/>
      <c r="W64" s="43"/>
      <c r="X64" s="43"/>
    </row>
    <row r="65" spans="1:3" x14ac:dyDescent="0.3">
      <c r="A65" s="58" t="s">
        <v>60</v>
      </c>
      <c r="B65" s="58">
        <f>(L4*B4+L5*B5+L6*B6+L7*B7+L8*B8+L9*B9+L10*B10+L11*B11)*E12/100+(L15*B15+L16*B16+L17*B17+L18*B18+L19*B19+L20*B20+L21*B21+L22*B22)*E23/100+(L26*B26+L27*B27+L28*B28+L29*B29+L30*B30+L31*B31+L32*B32+L33*B33)*E34/100+(L37*B37+L38*B38+L39*B39+L40*B40+L41*B41+L42*B42+L43*B43+L44*B44)*E45/100</f>
        <v>-19.70044244629085</v>
      </c>
      <c r="C65" s="59">
        <f>(B65-B64)/B64</f>
        <v>3.2527377072974629E-2</v>
      </c>
    </row>
    <row r="66" spans="1:3" x14ac:dyDescent="0.3">
      <c r="A66" s="58" t="s">
        <v>61</v>
      </c>
      <c r="B66" s="58">
        <f>(L4*F4+L5*F5+L6*F6+L7*F7+L8*F8+L9*F9+L10*F10+L11*F11)*E12/100+(L15*F15+L16*F16+L17*F17+L18*F18+L19*F19+L20*F20+L21*F21+L22*F22)*E23/100+(L26*F26+L27*F27+L28*F28+L29*F29+L30*F30+L31*F31+L32*F32+L33*F33)*E34/100+(L37*F37+L38*F38+L39*F39+L40*F40+L41*F41+L42*F42+L43*F43+L44*F44)*E45/100</f>
        <v>-19.503961751699471</v>
      </c>
      <c r="C66" s="59">
        <f>(B66-B64)/B64</f>
        <v>2.2229552707608194E-2</v>
      </c>
    </row>
    <row r="67" spans="1:3" x14ac:dyDescent="0.3">
      <c r="A67" s="58"/>
      <c r="B67" s="58"/>
      <c r="C67" s="58"/>
    </row>
    <row r="68" spans="1:3" x14ac:dyDescent="0.3">
      <c r="A68" s="58" t="s">
        <v>59</v>
      </c>
      <c r="B68" s="58">
        <f>'2020-2023 weight V'!B64</f>
        <v>-18.558730162463171</v>
      </c>
      <c r="C68" s="58"/>
    </row>
    <row r="69" spans="1:3" x14ac:dyDescent="0.3">
      <c r="A69" s="58" t="s">
        <v>62</v>
      </c>
      <c r="B69" s="58">
        <f>(N4*B4+N5*B5+N6*B6+N7*B7+N8*B8+N9*B9+N10*B10+N11*B11)*E12/100+(N15*B15+N16*B16+N17*B17+N18*B18+N19*B19+N20*B20+N21*B21+N22*B22)*E23/100+(N26*B26+N27*B27+N28*B28+N29*B29+N30*B30+N31*B31+N32*B32+N33*B33)*E34/100+(N37*B37+N38*B38+N39*B39+N40*B40+N41*B41+N42*B42+N43*B43+N44*B44)*E45/100</f>
        <v>-19.402446070105039</v>
      </c>
      <c r="C69" s="59">
        <f>(B69-B68)/B68</f>
        <v>4.5461941644497093E-2</v>
      </c>
    </row>
    <row r="70" spans="1:3" x14ac:dyDescent="0.3">
      <c r="A70" s="58" t="s">
        <v>63</v>
      </c>
      <c r="B70" s="58">
        <f>(N4*F4+N5*F5+N6*F6+N7*F7+N8*F8+N9*F9+N10*F10+N11*F11)*E12/100+(N15*F15+N16*F16+N17*F17+N18*F18+N19*F19+N20*F20+N21*F21+N22*F22)*E23/100+(N26*F26+N27*F27+N28*F28+N29*F29+N30*F30+N31*F31+N32*F32+N33*F33)*E34/100+(N37*F37+N38*F38+N39*F39+N40*F40+N41*F41+N42*F42+N43*F43+N44*F44)*E45/100</f>
        <v>-19.554729587990913</v>
      </c>
      <c r="C70" s="59">
        <f>(B70-B68)/B68</f>
        <v>5.3667433968205842E-2</v>
      </c>
    </row>
    <row r="71" spans="1:3" x14ac:dyDescent="0.3">
      <c r="C71" s="43"/>
    </row>
    <row r="74" spans="1:3" x14ac:dyDescent="0.3">
      <c r="A74" s="56" t="s">
        <v>39</v>
      </c>
      <c r="B74" s="56" t="s">
        <v>40</v>
      </c>
    </row>
    <row r="75" spans="1:3" x14ac:dyDescent="0.3">
      <c r="A75" s="47"/>
    </row>
    <row r="76" spans="1:3" x14ac:dyDescent="0.3">
      <c r="A76" s="47" t="s">
        <v>44</v>
      </c>
      <c r="B76" s="43" t="s">
        <v>45</v>
      </c>
    </row>
    <row r="77" spans="1:3" x14ac:dyDescent="0.3">
      <c r="A77" s="43" t="s">
        <v>42</v>
      </c>
      <c r="B77" s="43" t="s">
        <v>41</v>
      </c>
    </row>
    <row r="78" spans="1:3" x14ac:dyDescent="0.3">
      <c r="A78" s="43" t="s">
        <v>9</v>
      </c>
      <c r="B78" s="43" t="s">
        <v>46</v>
      </c>
    </row>
    <row r="79" spans="1:3" x14ac:dyDescent="0.3">
      <c r="A79" s="43" t="s">
        <v>10</v>
      </c>
      <c r="B79" s="43" t="s">
        <v>45</v>
      </c>
    </row>
    <row r="80" spans="1:3" x14ac:dyDescent="0.3">
      <c r="A80" s="43" t="s">
        <v>43</v>
      </c>
      <c r="B80" s="43" t="s">
        <v>50</v>
      </c>
    </row>
    <row r="81" spans="1:2" x14ac:dyDescent="0.3">
      <c r="A81" s="50" t="s">
        <v>47</v>
      </c>
      <c r="B81" s="43" t="s">
        <v>51</v>
      </c>
    </row>
    <row r="82" spans="1:2" x14ac:dyDescent="0.3">
      <c r="A82" s="44" t="s">
        <v>48</v>
      </c>
      <c r="B82" s="43" t="s">
        <v>49</v>
      </c>
    </row>
    <row r="83" spans="1:2" x14ac:dyDescent="0.3">
      <c r="A83" s="50" t="s">
        <v>52</v>
      </c>
      <c r="B83" s="43" t="s">
        <v>68</v>
      </c>
    </row>
    <row r="84" spans="1:2" x14ac:dyDescent="0.3">
      <c r="A84" s="49" t="s">
        <v>66</v>
      </c>
      <c r="B84" s="43" t="s">
        <v>69</v>
      </c>
    </row>
    <row r="85" spans="1:2" x14ac:dyDescent="0.3">
      <c r="A85" s="49" t="s">
        <v>67</v>
      </c>
      <c r="B85" s="43" t="s">
        <v>70</v>
      </c>
    </row>
    <row r="86" spans="1:2" x14ac:dyDescent="0.3">
      <c r="A86" s="45" t="s">
        <v>54</v>
      </c>
      <c r="B86" s="43" t="s">
        <v>73</v>
      </c>
    </row>
    <row r="87" spans="1:2" x14ac:dyDescent="0.3">
      <c r="A87" s="57" t="s">
        <v>57</v>
      </c>
      <c r="B87" s="43" t="s">
        <v>71</v>
      </c>
    </row>
    <row r="88" spans="1:2" x14ac:dyDescent="0.3">
      <c r="A88" s="45" t="s">
        <v>58</v>
      </c>
      <c r="B88" s="43" t="s">
        <v>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opLeftCell="A31" zoomScale="70" zoomScaleNormal="70" workbookViewId="0">
      <selection activeCell="A65" sqref="A65"/>
    </sheetView>
  </sheetViews>
  <sheetFormatPr defaultRowHeight="14.4" x14ac:dyDescent="0.3"/>
  <cols>
    <col min="1" max="1" width="45.21875" customWidth="1"/>
    <col min="2" max="2" width="20.109375" bestFit="1" customWidth="1"/>
    <col min="3" max="3" width="25.21875" bestFit="1" customWidth="1"/>
    <col min="4" max="4" width="22.88671875" bestFit="1" customWidth="1"/>
    <col min="5" max="5" width="32.109375" bestFit="1" customWidth="1"/>
    <col min="6" max="6" width="35.21875" bestFit="1" customWidth="1"/>
    <col min="7" max="7" width="12.6640625" bestFit="1" customWidth="1"/>
    <col min="8" max="8" width="16.77734375" bestFit="1" customWidth="1"/>
    <col min="9" max="9" width="15.21875" bestFit="1" customWidth="1"/>
    <col min="10" max="10" width="20.21875" bestFit="1" customWidth="1"/>
    <col min="11" max="11" width="24.88671875" bestFit="1" customWidth="1"/>
    <col min="12" max="12" width="30.109375" bestFit="1" customWidth="1"/>
    <col min="13" max="13" width="25.44140625" bestFit="1" customWidth="1"/>
  </cols>
  <sheetData>
    <row r="1" spans="1:12" x14ac:dyDescent="0.3">
      <c r="A1" s="1" t="s">
        <v>0</v>
      </c>
      <c r="B1">
        <v>1.08</v>
      </c>
      <c r="C1" t="s">
        <v>25</v>
      </c>
      <c r="D1" s="8">
        <f>100000*B1</f>
        <v>108000</v>
      </c>
    </row>
    <row r="2" spans="1:12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s="6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t="s">
        <v>12</v>
      </c>
    </row>
    <row r="4" spans="1:12" s="3" customFormat="1" x14ac:dyDescent="0.3">
      <c r="A4" s="3" t="s">
        <v>13</v>
      </c>
      <c r="B4" s="3">
        <v>224</v>
      </c>
      <c r="C4" s="3">
        <v>26.508875739644971</v>
      </c>
      <c r="D4" s="3">
        <v>9.2972972972948131</v>
      </c>
      <c r="E4" s="3">
        <v>9.0553622781095893</v>
      </c>
      <c r="F4" s="3">
        <v>7.1122130811722082</v>
      </c>
      <c r="G4" s="3">
        <v>-8.533735184840701</v>
      </c>
      <c r="H4" s="3">
        <v>-30020683.640000001</v>
      </c>
      <c r="I4" s="3">
        <v>26.874212426986869</v>
      </c>
      <c r="J4" s="3">
        <v>3517883.2</v>
      </c>
      <c r="K4" s="3">
        <v>27.562070969106049</v>
      </c>
      <c r="L4" s="3">
        <v>0.1171819816692222</v>
      </c>
    </row>
    <row r="5" spans="1:12" s="4" customFormat="1" x14ac:dyDescent="0.3">
      <c r="A5" s="4" t="s">
        <v>14</v>
      </c>
      <c r="B5" s="4">
        <v>74</v>
      </c>
      <c r="C5" s="4">
        <v>8.7573964497041423</v>
      </c>
      <c r="D5" s="4">
        <v>9.1666666666662344</v>
      </c>
      <c r="E5" s="4">
        <v>9.1565424560731721</v>
      </c>
      <c r="F5" s="4">
        <v>6.38452903952758</v>
      </c>
      <c r="G5" s="4">
        <v>-4.2098438846365509</v>
      </c>
      <c r="H5" s="4">
        <v>-4446241.6900000004</v>
      </c>
      <c r="I5" s="4">
        <v>3.9802306007307542</v>
      </c>
      <c r="J5" s="4">
        <v>1056153.58</v>
      </c>
      <c r="K5" s="4">
        <v>8.2748000065026091</v>
      </c>
      <c r="L5" s="4">
        <v>0.23753849962213819</v>
      </c>
    </row>
    <row r="6" spans="1:12" s="5" customFormat="1" x14ac:dyDescent="0.3">
      <c r="A6" s="5" t="s">
        <v>15</v>
      </c>
      <c r="B6" s="5">
        <v>66</v>
      </c>
      <c r="C6" s="5">
        <v>7.8106508875739644</v>
      </c>
      <c r="D6" s="5">
        <v>9.2380952380949601</v>
      </c>
      <c r="E6" s="5">
        <v>8.7433720790181813</v>
      </c>
      <c r="F6" s="5">
        <v>8.0205229091407908</v>
      </c>
      <c r="G6" s="5">
        <v>-22.223077716737141</v>
      </c>
      <c r="H6" s="5">
        <v>-25609912.539999999</v>
      </c>
      <c r="I6" s="5">
        <v>22.925734739747408</v>
      </c>
      <c r="J6" s="5">
        <v>1152401.7</v>
      </c>
      <c r="K6" s="5">
        <v>9.0288891456994502</v>
      </c>
      <c r="L6" s="5">
        <v>4.4998267690296453E-2</v>
      </c>
    </row>
    <row r="7" spans="1:12" s="2" customFormat="1" x14ac:dyDescent="0.3">
      <c r="A7" s="2" t="s">
        <v>16</v>
      </c>
      <c r="B7" s="2">
        <v>112</v>
      </c>
      <c r="C7" s="2">
        <v>13.254437869822491</v>
      </c>
      <c r="D7" s="2">
        <v>8.6363636363647043</v>
      </c>
      <c r="E7" s="2">
        <v>9.0913142227794115</v>
      </c>
      <c r="F7" s="2">
        <v>7.1647349375685723</v>
      </c>
      <c r="G7" s="2">
        <v>-10.28353765229363</v>
      </c>
      <c r="H7" s="2">
        <v>-17185545.48</v>
      </c>
      <c r="I7" s="2">
        <v>15.38432653438281</v>
      </c>
      <c r="J7" s="2">
        <v>1671170.57</v>
      </c>
      <c r="K7" s="2">
        <v>13.093363034856131</v>
      </c>
      <c r="L7" s="2">
        <v>9.724280046535945E-2</v>
      </c>
    </row>
    <row r="8" spans="1:12" s="3" customFormat="1" x14ac:dyDescent="0.3">
      <c r="A8" s="3" t="s">
        <v>17</v>
      </c>
      <c r="B8" s="3">
        <v>165</v>
      </c>
      <c r="C8" s="3">
        <v>19.526627218934909</v>
      </c>
      <c r="D8" s="3">
        <v>10.91304347825959</v>
      </c>
      <c r="E8" s="3">
        <v>9.2383669503307075</v>
      </c>
      <c r="F8" s="3">
        <v>7.6957696221051357</v>
      </c>
      <c r="G8" s="3">
        <v>-8.0520723524514324</v>
      </c>
      <c r="H8" s="3">
        <v>-19718996.170000002</v>
      </c>
      <c r="I8" s="3">
        <v>17.652245973953459</v>
      </c>
      <c r="J8" s="3">
        <v>2448934.2999999998</v>
      </c>
      <c r="K8" s="3">
        <v>19.187021608698672</v>
      </c>
      <c r="L8" s="3">
        <v>0.12419163120107241</v>
      </c>
    </row>
    <row r="9" spans="1:12" s="4" customFormat="1" x14ac:dyDescent="0.3">
      <c r="A9" s="4" t="s">
        <v>18</v>
      </c>
      <c r="B9" s="4">
        <v>89</v>
      </c>
      <c r="C9" s="4">
        <v>10.532544378698219</v>
      </c>
      <c r="D9" s="4">
        <v>12.137931034478679</v>
      </c>
      <c r="E9" s="4">
        <v>10.399576969839289</v>
      </c>
      <c r="F9" s="4">
        <v>6.8853182201596201</v>
      </c>
      <c r="G9" s="4">
        <v>-0.87827489517314727</v>
      </c>
      <c r="H9" s="4">
        <v>-1055136.58</v>
      </c>
      <c r="I9" s="4">
        <v>0.9445475969315541</v>
      </c>
      <c r="J9" s="4">
        <v>1201373.95</v>
      </c>
      <c r="K9" s="4">
        <v>9.4125791528084992</v>
      </c>
      <c r="L9" s="4">
        <v>1.1385956782959801</v>
      </c>
    </row>
    <row r="10" spans="1:12" s="5" customFormat="1" x14ac:dyDescent="0.3">
      <c r="A10" s="5" t="s">
        <v>19</v>
      </c>
      <c r="B10" s="5">
        <v>66</v>
      </c>
      <c r="C10" s="5">
        <v>7.8106508875739644</v>
      </c>
      <c r="D10" s="5">
        <v>8.4166666666677372</v>
      </c>
      <c r="E10" s="5">
        <v>8.4003451289137931</v>
      </c>
      <c r="F10" s="5">
        <v>7.7330897266512686</v>
      </c>
      <c r="G10" s="5">
        <v>-10.75658779768577</v>
      </c>
      <c r="H10" s="5">
        <v>-10675122.779999999</v>
      </c>
      <c r="I10" s="5">
        <v>9.5562619663876056</v>
      </c>
      <c r="J10" s="5">
        <v>992426.5</v>
      </c>
      <c r="K10" s="5">
        <v>7.7755081876002929</v>
      </c>
      <c r="L10" s="5">
        <v>9.2966284365302645E-2</v>
      </c>
    </row>
    <row r="11" spans="1:12" s="2" customFormat="1" x14ac:dyDescent="0.3">
      <c r="A11" s="2" t="s">
        <v>20</v>
      </c>
      <c r="B11" s="2">
        <v>49</v>
      </c>
      <c r="C11" s="2">
        <v>5.7988165680473376</v>
      </c>
      <c r="D11" s="2">
        <v>8.7500000000018101</v>
      </c>
      <c r="E11" s="2">
        <v>8.2478746848048772</v>
      </c>
      <c r="F11" s="2">
        <v>7.5121074216963031</v>
      </c>
      <c r="G11" s="2">
        <v>-4.1436830257316064</v>
      </c>
      <c r="H11" s="2">
        <v>-2996504.09</v>
      </c>
      <c r="I11" s="2">
        <v>2.6824401608795272</v>
      </c>
      <c r="J11" s="2">
        <v>723149.93</v>
      </c>
      <c r="K11" s="2">
        <v>5.6657678947283037</v>
      </c>
      <c r="L11" s="2">
        <v>0.2413312007193022</v>
      </c>
    </row>
    <row r="12" spans="1:12" x14ac:dyDescent="0.3">
      <c r="A12" s="1" t="s">
        <v>21</v>
      </c>
      <c r="B12">
        <v>1.23</v>
      </c>
      <c r="C12" t="s">
        <v>24</v>
      </c>
      <c r="D12" s="8">
        <f>100000*B12</f>
        <v>123000</v>
      </c>
      <c r="I12" t="s">
        <v>26</v>
      </c>
      <c r="J12" s="7">
        <f>SUM(J4:J11)*D1</f>
        <v>1378457322840</v>
      </c>
      <c r="K12" s="10">
        <f>J12/SUM($J$12,$J$23,$J$34,$J$45)</f>
        <v>0.26145549965737414</v>
      </c>
    </row>
    <row r="13" spans="1:12" x14ac:dyDescent="0.3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 x14ac:dyDescent="0.3">
      <c r="A14" t="s">
        <v>12</v>
      </c>
    </row>
    <row r="15" spans="1:12" s="3" customFormat="1" x14ac:dyDescent="0.3">
      <c r="A15" s="3" t="s">
        <v>13</v>
      </c>
      <c r="B15" s="3">
        <v>191</v>
      </c>
      <c r="C15" s="3">
        <v>22.603550295857989</v>
      </c>
      <c r="D15" s="3">
        <v>9.7692307692300222</v>
      </c>
      <c r="E15" s="3">
        <v>13.495234959467741</v>
      </c>
      <c r="F15" s="3">
        <v>10.38123290727183</v>
      </c>
      <c r="G15" s="3">
        <v>-8.6655340676581076</v>
      </c>
      <c r="H15" s="3">
        <v>-15255234.943330999</v>
      </c>
      <c r="I15" s="3">
        <v>15.90560396047926</v>
      </c>
      <c r="J15" s="3">
        <v>1760449.48</v>
      </c>
      <c r="K15" s="3">
        <v>22.515531542335211</v>
      </c>
      <c r="L15" s="3">
        <v>0.1153996963363452</v>
      </c>
    </row>
    <row r="16" spans="1:12" s="4" customFormat="1" x14ac:dyDescent="0.3">
      <c r="A16" s="4" t="s">
        <v>14</v>
      </c>
      <c r="B16" s="4">
        <v>121</v>
      </c>
      <c r="C16" s="4">
        <v>14.319526627218931</v>
      </c>
      <c r="D16" s="4">
        <v>11.063829787231869</v>
      </c>
      <c r="E16" s="4">
        <v>12.694256882929411</v>
      </c>
      <c r="F16" s="4">
        <v>9.7541868630920909</v>
      </c>
      <c r="G16" s="4">
        <v>-16.719695358509771</v>
      </c>
      <c r="H16" s="4">
        <v>-23068285.907109</v>
      </c>
      <c r="I16" s="4">
        <v>24.05174492877816</v>
      </c>
      <c r="J16" s="4">
        <v>1379707.31</v>
      </c>
      <c r="K16" s="4">
        <v>17.645972696413569</v>
      </c>
      <c r="L16" s="4">
        <v>5.9809702184019348E-2</v>
      </c>
    </row>
    <row r="17" spans="1:12" s="5" customFormat="1" x14ac:dyDescent="0.3">
      <c r="A17" s="5" t="s">
        <v>15</v>
      </c>
      <c r="B17" s="5">
        <v>49</v>
      </c>
      <c r="C17" s="5">
        <v>5.7988165680473376</v>
      </c>
      <c r="D17" s="5">
        <v>10.62499999999959</v>
      </c>
      <c r="E17" s="5">
        <v>14.576219647037041</v>
      </c>
      <c r="F17" s="5">
        <v>10.34564329506007</v>
      </c>
      <c r="G17" s="5">
        <v>-55.284197299399999</v>
      </c>
      <c r="H17" s="5">
        <v>-22696347.270039</v>
      </c>
      <c r="I17" s="5">
        <v>23.663949612559701</v>
      </c>
      <c r="J17" s="5">
        <v>410539.51</v>
      </c>
      <c r="K17" s="5">
        <v>5.2506563759954323</v>
      </c>
      <c r="L17" s="5">
        <v>1.8088351623961319E-2</v>
      </c>
    </row>
    <row r="18" spans="1:12" s="2" customFormat="1" x14ac:dyDescent="0.3">
      <c r="A18" s="2" t="s">
        <v>16</v>
      </c>
      <c r="B18" s="2">
        <v>98</v>
      </c>
      <c r="C18" s="2">
        <v>11.59763313609468</v>
      </c>
      <c r="D18" s="2">
        <v>12.043478260868939</v>
      </c>
      <c r="E18" s="2">
        <v>12.950409732539679</v>
      </c>
      <c r="F18" s="2">
        <v>11.15399338985277</v>
      </c>
      <c r="G18" s="2">
        <v>-49.062215899826583</v>
      </c>
      <c r="H18" s="2">
        <v>-44402545.682161003</v>
      </c>
      <c r="I18" s="2">
        <v>46.295537832164698</v>
      </c>
      <c r="J18" s="2">
        <v>905025.28</v>
      </c>
      <c r="K18" s="2">
        <v>11.57495598138423</v>
      </c>
      <c r="L18" s="2">
        <v>2.0382283630273921E-2</v>
      </c>
    </row>
    <row r="19" spans="1:12" s="3" customFormat="1" x14ac:dyDescent="0.3">
      <c r="A19" s="3" t="s">
        <v>17</v>
      </c>
      <c r="B19" s="3">
        <v>203</v>
      </c>
      <c r="C19" s="3">
        <v>24.023668639053259</v>
      </c>
      <c r="D19" s="3">
        <v>12.222222222223881</v>
      </c>
      <c r="E19" s="3">
        <v>12.701667001860759</v>
      </c>
      <c r="F19" s="3">
        <v>11.07955341298381</v>
      </c>
      <c r="G19" s="3">
        <v>7.5491445877961603</v>
      </c>
      <c r="H19" s="3">
        <v>13482213.521613</v>
      </c>
      <c r="I19" s="3">
        <v>-14.0569941781946</v>
      </c>
      <c r="J19" s="3">
        <v>1785925.99</v>
      </c>
      <c r="K19" s="3">
        <v>22.841367171820941</v>
      </c>
      <c r="L19" s="3">
        <v>0.13246533939972291</v>
      </c>
    </row>
    <row r="20" spans="1:12" s="4" customFormat="1" x14ac:dyDescent="0.3">
      <c r="A20" s="4" t="s">
        <v>18</v>
      </c>
      <c r="B20" s="4">
        <v>127</v>
      </c>
      <c r="C20" s="4">
        <v>15.029585798816569</v>
      </c>
      <c r="D20" s="4">
        <v>14.269230769228979</v>
      </c>
      <c r="E20" s="4">
        <v>13.0508891398866</v>
      </c>
      <c r="F20" s="4">
        <v>11.8728387854699</v>
      </c>
      <c r="G20" s="4">
        <v>4.1018848029942001</v>
      </c>
      <c r="H20" s="4">
        <v>4659903.1606511297</v>
      </c>
      <c r="I20" s="4">
        <v>-4.8585665473414554</v>
      </c>
      <c r="J20" s="4">
        <v>1136039.5</v>
      </c>
      <c r="K20" s="4">
        <v>14.52954684935845</v>
      </c>
      <c r="L20" s="4">
        <v>0.24379036663097969</v>
      </c>
    </row>
    <row r="21" spans="1:12" s="5" customFormat="1" x14ac:dyDescent="0.3">
      <c r="A21" s="5" t="s">
        <v>19</v>
      </c>
      <c r="B21" s="5">
        <v>28</v>
      </c>
      <c r="C21" s="5">
        <v>3.3136094674556209</v>
      </c>
      <c r="D21" s="5">
        <v>10.499999999999449</v>
      </c>
      <c r="E21" s="5">
        <v>12.895262183529409</v>
      </c>
      <c r="F21" s="5">
        <v>9.4857072619231992</v>
      </c>
      <c r="G21" s="5">
        <v>-15.87366828332091</v>
      </c>
      <c r="H21" s="5">
        <v>-3319782.3166</v>
      </c>
      <c r="I21" s="5">
        <v>3.461312982657502</v>
      </c>
      <c r="J21" s="5">
        <v>209137.69</v>
      </c>
      <c r="K21" s="5">
        <v>2.6747977203447628</v>
      </c>
      <c r="L21" s="5">
        <v>6.299741068992476E-2</v>
      </c>
    </row>
    <row r="22" spans="1:12" s="2" customFormat="1" x14ac:dyDescent="0.3">
      <c r="A22" s="2" t="s">
        <v>20</v>
      </c>
      <c r="B22" s="2">
        <v>28</v>
      </c>
      <c r="C22" s="2">
        <v>3.3136094674556209</v>
      </c>
      <c r="D22" s="2">
        <v>9.9999999999988969</v>
      </c>
      <c r="E22" s="2">
        <v>13.567292644285709</v>
      </c>
      <c r="F22" s="2">
        <v>11.02245330366665</v>
      </c>
      <c r="G22" s="2">
        <v>-22.892408766260761</v>
      </c>
      <c r="H22" s="2">
        <v>-5310990.5307900002</v>
      </c>
      <c r="I22" s="2">
        <v>5.5374114088967383</v>
      </c>
      <c r="J22" s="2">
        <v>231997.89</v>
      </c>
      <c r="K22" s="2">
        <v>2.9671716623474</v>
      </c>
      <c r="L22" s="2">
        <v>4.3682602831809372E-2</v>
      </c>
    </row>
    <row r="23" spans="1:12" x14ac:dyDescent="0.3">
      <c r="A23" s="1" t="s">
        <v>22</v>
      </c>
      <c r="B23">
        <v>1</v>
      </c>
      <c r="C23" t="s">
        <v>24</v>
      </c>
      <c r="D23" s="8">
        <f>100000*B23</f>
        <v>100000</v>
      </c>
      <c r="I23" t="s">
        <v>26</v>
      </c>
      <c r="J23" s="7">
        <f>SUM(J15:J22)*D12</f>
        <v>961715185950</v>
      </c>
      <c r="K23" s="10">
        <f>J23/SUM($J$12,$J$23,$J$34,$J$45)</f>
        <v>0.18241096064736673</v>
      </c>
    </row>
    <row r="24" spans="1:12" x14ac:dyDescent="0.3"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</row>
    <row r="25" spans="1:12" x14ac:dyDescent="0.3">
      <c r="A25" t="s">
        <v>12</v>
      </c>
    </row>
    <row r="26" spans="1:12" s="3" customFormat="1" x14ac:dyDescent="0.3">
      <c r="A26" s="3" t="s">
        <v>13</v>
      </c>
      <c r="B26" s="3">
        <v>222</v>
      </c>
      <c r="C26" s="3">
        <v>26.27218934911242</v>
      </c>
      <c r="D26" s="3">
        <v>13.7962962962958</v>
      </c>
      <c r="E26" s="3">
        <v>10.34570982073333</v>
      </c>
      <c r="F26" s="3">
        <v>8.8971049930822819</v>
      </c>
      <c r="G26" s="3">
        <v>-15.866058068630741</v>
      </c>
      <c r="H26" s="3">
        <v>-12363920.699999999</v>
      </c>
      <c r="I26" s="3">
        <v>27.52533393641421</v>
      </c>
      <c r="J26" s="3">
        <v>779268.59</v>
      </c>
      <c r="K26" s="3">
        <v>29.899060723415161</v>
      </c>
      <c r="L26" s="3">
        <v>6.3027627635948852E-2</v>
      </c>
    </row>
    <row r="27" spans="1:12" s="4" customFormat="1" x14ac:dyDescent="0.3">
      <c r="A27" s="4" t="s">
        <v>14</v>
      </c>
      <c r="B27" s="4">
        <v>101</v>
      </c>
      <c r="C27" s="4">
        <v>11.952662721893491</v>
      </c>
      <c r="D27" s="4">
        <v>11.68965517241074</v>
      </c>
      <c r="E27" s="4">
        <v>10.310660210721521</v>
      </c>
      <c r="F27" s="4">
        <v>9.8371959491495851</v>
      </c>
      <c r="G27" s="4">
        <v>-4.4835643274103241</v>
      </c>
      <c r="H27" s="4">
        <v>-1495155</v>
      </c>
      <c r="I27" s="4">
        <v>3.3286076205341071</v>
      </c>
      <c r="J27" s="4">
        <v>333474.64</v>
      </c>
      <c r="K27" s="4">
        <v>12.79479070377905</v>
      </c>
      <c r="L27" s="4">
        <v>0.22303683564580259</v>
      </c>
    </row>
    <row r="28" spans="1:12" s="5" customFormat="1" x14ac:dyDescent="0.3">
      <c r="A28" s="5" t="s">
        <v>15</v>
      </c>
      <c r="B28" s="5">
        <v>47</v>
      </c>
      <c r="C28" s="5">
        <v>5.5621301775147929</v>
      </c>
      <c r="D28" s="5">
        <v>10.99999999999565</v>
      </c>
      <c r="E28" s="5">
        <v>12.966471707735289</v>
      </c>
      <c r="F28" s="5">
        <v>9.2115597486878009</v>
      </c>
      <c r="G28" s="5">
        <v>-26.22818557563027</v>
      </c>
      <c r="H28" s="5">
        <v>-4263578.3099999996</v>
      </c>
      <c r="I28" s="5">
        <v>9.4918448277335301</v>
      </c>
      <c r="J28" s="5">
        <v>162557.12</v>
      </c>
      <c r="K28" s="5">
        <v>6.2370089905760029</v>
      </c>
      <c r="L28" s="5">
        <v>3.8126922547366091E-2</v>
      </c>
    </row>
    <row r="29" spans="1:12" s="2" customFormat="1" x14ac:dyDescent="0.3">
      <c r="A29" s="2" t="s">
        <v>16</v>
      </c>
      <c r="B29" s="2">
        <v>137</v>
      </c>
      <c r="C29" s="2">
        <v>16.213017751479288</v>
      </c>
      <c r="D29" s="2">
        <v>14.0800000000001</v>
      </c>
      <c r="E29" s="2">
        <v>10.09096487458333</v>
      </c>
      <c r="F29" s="2">
        <v>8.9263049998377806</v>
      </c>
      <c r="G29" s="2">
        <v>-21.889299116672881</v>
      </c>
      <c r="H29" s="2">
        <v>-11544373.67</v>
      </c>
      <c r="I29" s="2">
        <v>25.700807054957711</v>
      </c>
      <c r="J29" s="2">
        <v>527398.05000000005</v>
      </c>
      <c r="K29" s="2">
        <v>20.235264868510541</v>
      </c>
      <c r="L29" s="2">
        <v>4.5684422999104121E-2</v>
      </c>
    </row>
    <row r="30" spans="1:12" s="3" customFormat="1" x14ac:dyDescent="0.3">
      <c r="A30" s="3" t="s">
        <v>17</v>
      </c>
      <c r="B30" s="3">
        <v>167</v>
      </c>
      <c r="C30" s="3">
        <v>19.76331360946746</v>
      </c>
      <c r="D30" s="3">
        <v>12.27272727272382</v>
      </c>
      <c r="E30" s="3">
        <v>10.3400216369697</v>
      </c>
      <c r="F30" s="3">
        <v>9.0116561371033352</v>
      </c>
      <c r="G30" s="3">
        <v>-20.27928733512519</v>
      </c>
      <c r="H30" s="3">
        <v>-7731629.5800000001</v>
      </c>
      <c r="I30" s="3">
        <v>17.212637578802809</v>
      </c>
      <c r="J30" s="3">
        <v>381257.46</v>
      </c>
      <c r="K30" s="3">
        <v>14.62812705924029</v>
      </c>
      <c r="L30" s="3">
        <v>4.9311397559219337E-2</v>
      </c>
    </row>
    <row r="31" spans="1:12" s="4" customFormat="1" x14ac:dyDescent="0.3">
      <c r="A31" s="4" t="s">
        <v>18</v>
      </c>
      <c r="B31" s="4">
        <v>97</v>
      </c>
      <c r="C31" s="4">
        <v>11.4792899408284</v>
      </c>
      <c r="D31" s="4">
        <v>15.36842105263012</v>
      </c>
      <c r="E31" s="4">
        <v>10.88627881675362</v>
      </c>
      <c r="F31" s="4">
        <v>9.9869488397985471</v>
      </c>
      <c r="G31" s="4">
        <v>-6.7776398119473598</v>
      </c>
      <c r="H31" s="4">
        <v>-1639426.96</v>
      </c>
      <c r="I31" s="4">
        <v>3.649794885724265</v>
      </c>
      <c r="J31" s="4">
        <v>241887.59</v>
      </c>
      <c r="K31" s="4">
        <v>9.2807689600969923</v>
      </c>
      <c r="L31" s="4">
        <v>0.14754398695505169</v>
      </c>
    </row>
    <row r="32" spans="1:12" s="5" customFormat="1" x14ac:dyDescent="0.3">
      <c r="A32" s="5" t="s">
        <v>19</v>
      </c>
      <c r="B32" s="5">
        <v>27</v>
      </c>
      <c r="C32" s="5">
        <v>3.195266272189349</v>
      </c>
      <c r="E32" s="5">
        <v>9.7460343400555551</v>
      </c>
      <c r="F32" s="5">
        <v>8.2067270370114684</v>
      </c>
      <c r="G32" s="5">
        <v>-32.140662569674951</v>
      </c>
      <c r="H32" s="5">
        <v>-2636528.12</v>
      </c>
      <c r="I32" s="5">
        <v>5.8696038818613872</v>
      </c>
      <c r="J32" s="5">
        <v>82030.92</v>
      </c>
      <c r="K32" s="5">
        <v>3.1473711243482958</v>
      </c>
      <c r="L32" s="5">
        <v>3.1113235386239689E-2</v>
      </c>
    </row>
    <row r="33" spans="1:13" s="2" customFormat="1" x14ac:dyDescent="0.3">
      <c r="A33" s="2" t="s">
        <v>20</v>
      </c>
      <c r="B33" s="2">
        <v>47</v>
      </c>
      <c r="C33" s="2">
        <v>5.5621301775147929</v>
      </c>
      <c r="D33" s="2">
        <v>16.750000000001751</v>
      </c>
      <c r="E33" s="2">
        <v>9.9811130559687502</v>
      </c>
      <c r="F33" s="2">
        <v>9.1912156820474742</v>
      </c>
      <c r="G33" s="2">
        <v>-32.945549715779393</v>
      </c>
      <c r="H33" s="2">
        <v>-3243719</v>
      </c>
      <c r="I33" s="2">
        <v>7.2213702139719764</v>
      </c>
      <c r="J33" s="2">
        <v>98456.97</v>
      </c>
      <c r="K33" s="2">
        <v>3.7776075700336711</v>
      </c>
      <c r="L33" s="2">
        <v>3.0353113201235991E-2</v>
      </c>
    </row>
    <row r="34" spans="1:13" x14ac:dyDescent="0.3">
      <c r="A34" s="1" t="s">
        <v>23</v>
      </c>
      <c r="B34">
        <v>1970</v>
      </c>
      <c r="C34" t="s">
        <v>24</v>
      </c>
      <c r="D34" s="8">
        <f>100*B34</f>
        <v>197000</v>
      </c>
      <c r="I34" t="s">
        <v>26</v>
      </c>
      <c r="J34" s="7">
        <f>SUM(J26:J33)*D23</f>
        <v>260633134000.00003</v>
      </c>
      <c r="K34" s="10">
        <f>J34/SUM($J$12,$J$23,$J$34,$J$45)</f>
        <v>4.9434948146847305E-2</v>
      </c>
    </row>
    <row r="35" spans="1:13" x14ac:dyDescent="0.3"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</row>
    <row r="36" spans="1:13" x14ac:dyDescent="0.3">
      <c r="A36" t="s">
        <v>12</v>
      </c>
    </row>
    <row r="37" spans="1:13" s="3" customFormat="1" x14ac:dyDescent="0.3">
      <c r="A37" s="3" t="s">
        <v>13</v>
      </c>
      <c r="B37" s="3">
        <v>233</v>
      </c>
      <c r="C37" s="3">
        <v>27.837514934289121</v>
      </c>
      <c r="D37" s="3">
        <v>21.16666666667015</v>
      </c>
      <c r="E37" s="3">
        <v>26.82667748783582</v>
      </c>
      <c r="F37" s="3">
        <v>24.128330777051548</v>
      </c>
      <c r="G37" s="3">
        <v>-27.037190646642401</v>
      </c>
      <c r="H37" s="3">
        <v>-86911257.519999996</v>
      </c>
      <c r="I37" s="3">
        <v>19.941884625732669</v>
      </c>
      <c r="J37" s="3">
        <v>3214507.7</v>
      </c>
      <c r="K37" s="3">
        <v>23.704754187932931</v>
      </c>
      <c r="L37" s="3">
        <v>3.6986091235192163E-2</v>
      </c>
    </row>
    <row r="38" spans="1:13" s="4" customFormat="1" x14ac:dyDescent="0.3">
      <c r="A38" s="4" t="s">
        <v>14</v>
      </c>
      <c r="B38" s="4">
        <v>59</v>
      </c>
      <c r="C38" s="4">
        <v>7.0489844683393077</v>
      </c>
      <c r="D38" s="4">
        <v>21.500000000003169</v>
      </c>
      <c r="E38" s="4">
        <v>26.041435631818182</v>
      </c>
      <c r="F38" s="4">
        <v>23.386557063699211</v>
      </c>
      <c r="G38" s="4">
        <v>-16.060080274907339</v>
      </c>
      <c r="H38" s="4">
        <v>-12651056.5</v>
      </c>
      <c r="I38" s="4">
        <v>2.9027989735227271</v>
      </c>
      <c r="J38" s="4">
        <v>787733.08</v>
      </c>
      <c r="K38" s="4">
        <v>5.8089825160796176</v>
      </c>
      <c r="L38" s="4">
        <v>6.2266189389004779E-2</v>
      </c>
    </row>
    <row r="39" spans="1:13" s="5" customFormat="1" x14ac:dyDescent="0.3">
      <c r="A39" s="5" t="s">
        <v>15</v>
      </c>
      <c r="B39" s="5">
        <v>56</v>
      </c>
      <c r="C39" s="5">
        <v>6.6905615292712062</v>
      </c>
      <c r="D39" s="5">
        <v>21.692307692310699</v>
      </c>
      <c r="E39" s="5">
        <v>29.00782284604167</v>
      </c>
      <c r="F39" s="5">
        <v>27.451334560673761</v>
      </c>
      <c r="G39" s="5">
        <v>-45.513488062308951</v>
      </c>
      <c r="H39" s="5">
        <v>-49410234.119999997</v>
      </c>
      <c r="I39" s="5">
        <v>11.337233130296561</v>
      </c>
      <c r="J39" s="5">
        <v>1085617.3899999999</v>
      </c>
      <c r="K39" s="5">
        <v>8.0056717151728432</v>
      </c>
      <c r="L39" s="5">
        <v>2.1971508723545391E-2</v>
      </c>
    </row>
    <row r="40" spans="1:13" s="2" customFormat="1" x14ac:dyDescent="0.3">
      <c r="A40" s="2" t="s">
        <v>16</v>
      </c>
      <c r="B40" s="2">
        <v>105</v>
      </c>
      <c r="C40" s="2">
        <v>12.54480286738351</v>
      </c>
      <c r="D40" s="2">
        <v>19.33333333333848</v>
      </c>
      <c r="E40" s="2">
        <v>30.644812887600001</v>
      </c>
      <c r="F40" s="2">
        <v>29.123432690546529</v>
      </c>
      <c r="G40" s="2">
        <v>-63.452599998781821</v>
      </c>
      <c r="H40" s="2">
        <v>-110217779.15000001</v>
      </c>
      <c r="I40" s="2">
        <v>25.28959191515543</v>
      </c>
      <c r="J40" s="2">
        <v>1737009.66</v>
      </c>
      <c r="K40" s="2">
        <v>12.80923576955966</v>
      </c>
      <c r="L40" s="2">
        <v>1.575979550119614E-2</v>
      </c>
    </row>
    <row r="41" spans="1:13" s="3" customFormat="1" x14ac:dyDescent="0.3">
      <c r="A41" s="3" t="s">
        <v>17</v>
      </c>
      <c r="B41" s="3">
        <v>216</v>
      </c>
      <c r="C41" s="3">
        <v>25.806451612903221</v>
      </c>
      <c r="D41" s="3">
        <v>20.85714285714662</v>
      </c>
      <c r="E41" s="3">
        <v>27.876636521799998</v>
      </c>
      <c r="F41" s="3">
        <v>25.44870525644453</v>
      </c>
      <c r="G41" s="3">
        <v>-28.807020921533031</v>
      </c>
      <c r="H41" s="3">
        <v>-105837652.53</v>
      </c>
      <c r="I41" s="3">
        <v>24.284566994395998</v>
      </c>
      <c r="J41" s="3">
        <v>3674022.83</v>
      </c>
      <c r="K41" s="3">
        <v>27.093358048575741</v>
      </c>
      <c r="L41" s="3">
        <v>3.4713759632552188E-2</v>
      </c>
    </row>
    <row r="42" spans="1:13" s="4" customFormat="1" x14ac:dyDescent="0.3">
      <c r="A42" s="4" t="s">
        <v>18</v>
      </c>
      <c r="B42" s="4">
        <v>47</v>
      </c>
      <c r="C42" s="4">
        <v>5.6152927120669061</v>
      </c>
      <c r="D42" s="4">
        <v>22.000000000002721</v>
      </c>
      <c r="E42" s="4">
        <v>27.10441818918919</v>
      </c>
      <c r="F42" s="4">
        <v>25.65633327316327</v>
      </c>
      <c r="G42" s="4">
        <v>-15.67137126678792</v>
      </c>
      <c r="H42" s="4">
        <v>-13209962.539999999</v>
      </c>
      <c r="I42" s="4">
        <v>3.031040585534154</v>
      </c>
      <c r="J42" s="4">
        <v>842935.97</v>
      </c>
      <c r="K42" s="4">
        <v>6.2160653604957314</v>
      </c>
      <c r="L42" s="4">
        <v>6.3810625310069952E-2</v>
      </c>
    </row>
    <row r="43" spans="1:13" s="5" customFormat="1" x14ac:dyDescent="0.3">
      <c r="A43" s="5" t="s">
        <v>19</v>
      </c>
      <c r="B43" s="5">
        <v>63</v>
      </c>
      <c r="C43" s="5">
        <v>7.5268817204301079</v>
      </c>
      <c r="D43" s="5">
        <v>23.285714285715841</v>
      </c>
      <c r="E43" s="5">
        <v>30.26708460773585</v>
      </c>
      <c r="F43" s="5">
        <v>28.46653807777188</v>
      </c>
      <c r="G43" s="5">
        <v>-22.733693984222779</v>
      </c>
      <c r="H43" s="5">
        <v>-28900915.949999999</v>
      </c>
      <c r="I43" s="5">
        <v>6.631347283408827</v>
      </c>
      <c r="J43" s="5">
        <v>1271281.1200000001</v>
      </c>
      <c r="K43" s="5">
        <v>9.3748123401166747</v>
      </c>
      <c r="L43" s="5">
        <v>4.3987571957905383E-2</v>
      </c>
    </row>
    <row r="44" spans="1:13" s="2" customFormat="1" x14ac:dyDescent="0.3">
      <c r="A44" s="2" t="s">
        <v>20</v>
      </c>
      <c r="B44" s="2">
        <v>58</v>
      </c>
      <c r="C44" s="2">
        <v>6.9295101553166063</v>
      </c>
      <c r="D44" s="2">
        <v>22.785714285716288</v>
      </c>
      <c r="E44" s="2">
        <v>30.468528178979589</v>
      </c>
      <c r="F44" s="2">
        <v>29.029596604061179</v>
      </c>
      <c r="G44" s="2">
        <v>-30.273309985890801</v>
      </c>
      <c r="H44" s="2">
        <v>-28683829.219999999</v>
      </c>
      <c r="I44" s="2">
        <v>6.5815364919536314</v>
      </c>
      <c r="J44" s="2">
        <v>947495.64</v>
      </c>
      <c r="K44" s="2">
        <v>6.9871200620667953</v>
      </c>
      <c r="L44" s="2">
        <v>3.3032397199581433E-2</v>
      </c>
    </row>
    <row r="45" spans="1:13" x14ac:dyDescent="0.3">
      <c r="I45" t="s">
        <v>26</v>
      </c>
      <c r="J45" s="7">
        <f>SUM(J37:J44)*D34</f>
        <v>2671438867830</v>
      </c>
      <c r="K45" s="10">
        <f>J45/SUM($J$12,$J$23,$J$34,$J$45)</f>
        <v>0.5066985915484119</v>
      </c>
    </row>
    <row r="47" spans="1:13" x14ac:dyDescent="0.3">
      <c r="A47" s="6" t="s">
        <v>27</v>
      </c>
      <c r="C47" t="s">
        <v>2</v>
      </c>
      <c r="G47" t="s">
        <v>6</v>
      </c>
      <c r="H47" t="s">
        <v>7</v>
      </c>
      <c r="I47" t="s">
        <v>8</v>
      </c>
      <c r="J47" t="s">
        <v>29</v>
      </c>
      <c r="K47" t="s">
        <v>30</v>
      </c>
      <c r="L47" t="s">
        <v>11</v>
      </c>
      <c r="M47" t="s">
        <v>31</v>
      </c>
    </row>
    <row r="48" spans="1:13" s="3" customFormat="1" x14ac:dyDescent="0.3">
      <c r="A48" s="3" t="s">
        <v>13</v>
      </c>
      <c r="C48" s="16">
        <f>(C4*$K$12+C15*$K$23+C26*$K$34+C37*$K$45)/100</f>
        <v>0.26458020602962351</v>
      </c>
      <c r="G48" s="12">
        <f>G15*$K$23+G26*$K$34+G37*$K$45+G4*$K$12</f>
        <v>-18.295924568497469</v>
      </c>
      <c r="H48" s="15">
        <f>H4+H15+H26+H37</f>
        <v>-144551096.80333102</v>
      </c>
      <c r="I48" s="16">
        <f>H48/SUM($H$48:$H$55)</f>
        <v>0.20999338736305576</v>
      </c>
      <c r="J48" s="17">
        <f>J4*$D$1+J15*$D$12+J26*$D$23+J37*$D$34</f>
        <v>1307651547540</v>
      </c>
      <c r="K48" s="16">
        <f>J48/SUM($J$48:$J$55)</f>
        <v>0.24802558851471479</v>
      </c>
      <c r="L48" s="16">
        <f>L4*$K$12+L15*$K$23+L26*$K$34+L37*$K$45</f>
        <v>7.3544610875049737E-2</v>
      </c>
      <c r="M48" s="17">
        <f>J4+J15+J26+J37</f>
        <v>9272108.9699999988</v>
      </c>
    </row>
    <row r="49" spans="1:13" s="4" customFormat="1" x14ac:dyDescent="0.3">
      <c r="A49" s="4" t="s">
        <v>14</v>
      </c>
      <c r="C49" s="19">
        <f>(C5*$K$12+C16*$K$23+C27*$K$34+C38*$K$45)/100</f>
        <v>9.064297836369381E-2</v>
      </c>
      <c r="G49" s="13">
        <f>G16*$K$23+G27*$K$34+G38*$K$45+G5*$K$12</f>
        <v>-12.509807353902842</v>
      </c>
      <c r="H49" s="18">
        <f>H5+H16+H27+H38</f>
        <v>-41660739.097109005</v>
      </c>
      <c r="I49" s="19">
        <f t="shared" ref="I49:I55" si="0">H49/SUM($H$48:$H$55)</f>
        <v>6.0521711121660708E-2</v>
      </c>
      <c r="J49" s="20">
        <f>J5*$D$1+J16*$D$12+J27*$D$23+J38*$D$34</f>
        <v>472299466530</v>
      </c>
      <c r="K49" s="19">
        <f t="shared" ref="K49:K55" si="1">J49/SUM($J$48:$J$55)</f>
        <v>8.9582238755929591E-2</v>
      </c>
      <c r="L49" s="19">
        <f>L5*$K$12+L16*$K$23+L27*$K$34+L38*$K$45</f>
        <v>0.11559169720747153</v>
      </c>
      <c r="M49" s="20">
        <f>J5+J16+J27+J38</f>
        <v>3557068.6100000003</v>
      </c>
    </row>
    <row r="50" spans="1:13" s="5" customFormat="1" x14ac:dyDescent="0.3">
      <c r="A50" s="5" t="s">
        <v>15</v>
      </c>
      <c r="C50" s="22">
        <f>(C6*$K$12+C17*$K$23+C28*$K$34+C39*$K$45)/100</f>
        <v>6.7649670517165125E-2</v>
      </c>
      <c r="G50" s="14">
        <f>G17*$K$23+G28*$K$34+G39*$K$45+G6*$K$12</f>
        <v>-40.252998717900851</v>
      </c>
      <c r="H50" s="21">
        <f>H6+H17+H28+H39</f>
        <v>-101980072.24003899</v>
      </c>
      <c r="I50" s="22">
        <f t="shared" si="0"/>
        <v>0.14814927929845653</v>
      </c>
      <c r="J50" s="23">
        <f>J6*$D$1+J17*$D$12+J28*$D$23+J39*$D$34</f>
        <v>405078081160</v>
      </c>
      <c r="K50" s="22">
        <f t="shared" si="1"/>
        <v>7.6832187950320235E-2</v>
      </c>
      <c r="L50" s="22">
        <f>L6*$K$12+L17*$K$23+L28*$K$34+L39*$K$45</f>
        <v>2.8082293122478875E-2</v>
      </c>
      <c r="M50" s="23">
        <f>J6+J17+J28+J39</f>
        <v>2811115.7199999997</v>
      </c>
    </row>
    <row r="51" spans="1:13" s="2" customFormat="1" x14ac:dyDescent="0.3">
      <c r="A51" s="2" t="s">
        <v>16</v>
      </c>
      <c r="C51" s="25">
        <f>(C7*$K$12+C18*$K$23+C29*$K$34+C40*$K$45)/100</f>
        <v>0.12738904713526822</v>
      </c>
      <c r="G51" s="11">
        <f>G18*$K$23+G29*$K$34+G40*$K$45+G7*$K$12</f>
        <v>-44.871612825172797</v>
      </c>
      <c r="H51" s="24">
        <f>H7+H18+H29+H40</f>
        <v>-183350243.98216102</v>
      </c>
      <c r="I51" s="25">
        <f t="shared" si="0"/>
        <v>0.26635798454051907</v>
      </c>
      <c r="J51" s="26">
        <f>J7*$D$1+J18*$D$12+J29*$D$23+J40*$D$34</f>
        <v>686735239020</v>
      </c>
      <c r="K51" s="25">
        <f t="shared" si="1"/>
        <v>0.1302548160724894</v>
      </c>
      <c r="L51" s="25">
        <f>L7*$K$12+L18*$K$23+L29*$K$34+L40*$K$45</f>
        <v>3.9386490186564684E-2</v>
      </c>
      <c r="M51" s="26">
        <f>J7+J18+J29+J40</f>
        <v>4840603.5600000005</v>
      </c>
    </row>
    <row r="52" spans="1:13" s="3" customFormat="1" x14ac:dyDescent="0.3">
      <c r="A52" s="3" t="s">
        <v>17</v>
      </c>
      <c r="C52" s="16">
        <f>(C8*$K$12+C19*$K$23+C30*$K$34+C41*$K$45)/100</f>
        <v>0.23540615619487837</v>
      </c>
      <c r="G52" s="12">
        <f>G19*$K$23+G30*$K$34+G41*$K$45+G8*$K$12</f>
        <v>-16.327194329375104</v>
      </c>
      <c r="H52" s="15">
        <f>H8+H19+H30+H41</f>
        <v>-119806064.758387</v>
      </c>
      <c r="I52" s="16">
        <f t="shared" si="0"/>
        <v>0.17404559302293413</v>
      </c>
      <c r="J52" s="17">
        <f>J8*$D$1+J19*$D$12+J30*$D$23+J41*$D$34</f>
        <v>1246062044680</v>
      </c>
      <c r="K52" s="16">
        <f t="shared" si="1"/>
        <v>0.23634375116139422</v>
      </c>
      <c r="L52" s="16">
        <f>L8*$K$12+L19*$K$23+L30*$K$34+L41*$K$45</f>
        <v>7.6660834295876557E-2</v>
      </c>
      <c r="M52" s="17">
        <f>J8+J19+J30+J41</f>
        <v>8290140.5800000001</v>
      </c>
    </row>
    <row r="53" spans="1:13" s="4" customFormat="1" x14ac:dyDescent="0.3">
      <c r="A53" s="4" t="s">
        <v>18</v>
      </c>
      <c r="C53" s="19">
        <f>(C9*$K$12+C20*$K$23+C31*$K$34+C42*$K$45)/100</f>
        <v>8.9080918482140031E-2</v>
      </c>
      <c r="G53" s="13">
        <f>G20*$K$23+G31*$K$34+G42*$K$45+G9*$K$12</f>
        <v>-7.7571150753503328</v>
      </c>
      <c r="H53" s="18">
        <f>H9+H20+H31+H42</f>
        <v>-11244622.919348869</v>
      </c>
      <c r="I53" s="19">
        <f t="shared" si="0"/>
        <v>1.6335375577723795E-2</v>
      </c>
      <c r="J53" s="20">
        <f>J9*$D$1+J20*$D$12+J31*$D$23+J42*$D$34</f>
        <v>459728390190</v>
      </c>
      <c r="K53" s="19">
        <f t="shared" si="1"/>
        <v>8.7197850794658485E-2</v>
      </c>
      <c r="L53" s="19">
        <f>L9*$K$12+L20*$K$23+L31*$K$34+L42*$K$45</f>
        <v>0.381788720265271</v>
      </c>
      <c r="M53" s="20">
        <f>J9+J20+J31+J42</f>
        <v>3422237.01</v>
      </c>
    </row>
    <row r="54" spans="1:13" s="5" customFormat="1" x14ac:dyDescent="0.3">
      <c r="A54" s="5" t="s">
        <v>19</v>
      </c>
      <c r="C54" s="22">
        <f>(C10*$K$12+C21*$K$23+C32*$K$34+C43*$K$45)/100</f>
        <v>6.6183945056032256E-2</v>
      </c>
      <c r="G54" s="14">
        <f>G21*$K$23+G32*$K$34+G43*$K$45+G10*$K$12</f>
        <v>-18.815902827846031</v>
      </c>
      <c r="H54" s="21">
        <f>H10+H21+H32+H43</f>
        <v>-45532349.166600004</v>
      </c>
      <c r="I54" s="22">
        <f t="shared" si="0"/>
        <v>6.6146106446363609E-2</v>
      </c>
      <c r="J54" s="23">
        <f>J10*$D$1+J21*$D$12+J32*$D$23+J43*$D$34</f>
        <v>391551470510</v>
      </c>
      <c r="K54" s="22">
        <f t="shared" si="1"/>
        <v>7.4266561370833456E-2</v>
      </c>
      <c r="L54" s="22">
        <f>L10*$K$12+L21*$K$23+L32*$K$34+L43*$K$45</f>
        <v>5.9624486466970078E-2</v>
      </c>
      <c r="M54" s="23">
        <f>J10+J21+J32+J43</f>
        <v>2554876.23</v>
      </c>
    </row>
    <row r="55" spans="1:13" s="2" customFormat="1" x14ac:dyDescent="0.3">
      <c r="A55" s="2" t="s">
        <v>20</v>
      </c>
      <c r="C55" s="25">
        <f>(C11*$K$12+C22*$K$23+C33*$K$34+C44*$K$45)/100</f>
        <v>5.9067078221198645E-2</v>
      </c>
      <c r="G55" s="11">
        <f>G22*$K$23+G33*$K$34+G44*$K$45+G11*$K$12</f>
        <v>-22.227320063728541</v>
      </c>
      <c r="H55" s="24">
        <f>H11+H22+H33+H44</f>
        <v>-40235042.840790004</v>
      </c>
      <c r="I55" s="25">
        <f t="shared" si="0"/>
        <v>5.8450562629286516E-2</v>
      </c>
      <c r="J55" s="26">
        <f>J11*$D$1+J22*$D$12+J33*$D$23+J44*$D$34</f>
        <v>303138270990</v>
      </c>
      <c r="K55" s="25">
        <f t="shared" si="1"/>
        <v>5.74970053796598E-2</v>
      </c>
      <c r="L55" s="25">
        <f>L11*$K$12+L22*$K$23+L33*$K$34+L44*$K$45</f>
        <v>8.9303528926801046E-2</v>
      </c>
      <c r="M55" s="26">
        <f>J11+J22+J33+J44</f>
        <v>2001100.4300000002</v>
      </c>
    </row>
    <row r="57" spans="1:13" s="3" customFormat="1" x14ac:dyDescent="0.3">
      <c r="A57" s="3" t="s">
        <v>13</v>
      </c>
      <c r="C57" s="16">
        <f>C48</f>
        <v>0.26458020602962351</v>
      </c>
      <c r="D57" s="16"/>
      <c r="E57" s="16"/>
      <c r="F57" s="16"/>
      <c r="G57" s="12">
        <f t="shared" ref="G57:M57" si="2">G48</f>
        <v>-18.295924568497469</v>
      </c>
      <c r="H57" s="15">
        <f t="shared" si="2"/>
        <v>-144551096.80333102</v>
      </c>
      <c r="I57" s="16">
        <f t="shared" si="2"/>
        <v>0.20999338736305576</v>
      </c>
      <c r="J57" s="15">
        <f t="shared" si="2"/>
        <v>1307651547540</v>
      </c>
      <c r="K57" s="16">
        <f t="shared" si="2"/>
        <v>0.24802558851471479</v>
      </c>
      <c r="L57" s="16">
        <f t="shared" si="2"/>
        <v>7.3544610875049737E-2</v>
      </c>
      <c r="M57" s="15">
        <f t="shared" si="2"/>
        <v>9272108.9699999988</v>
      </c>
    </row>
    <row r="58" spans="1:13" s="27" customFormat="1" x14ac:dyDescent="0.3">
      <c r="A58" s="27" t="s">
        <v>28</v>
      </c>
      <c r="C58" s="28">
        <f>C49+C50</f>
        <v>0.15829264888085892</v>
      </c>
      <c r="G58" s="29">
        <f>(G5*B5+G6*B6)/(B5+B6)*$K$12+(G16*B16+G17*B17)/(B16+B17)*$K$23+(G27*B27+G28*B28)/(B27+B28)*$K$34+(G38*B38+G39*B39)/(B38+B39)*$K$45</f>
        <v>-24.366398360290056</v>
      </c>
      <c r="H58" s="30">
        <f>H49+H50</f>
        <v>-143640811.33714801</v>
      </c>
      <c r="I58" s="28">
        <f>I49+I50</f>
        <v>0.20867099042011725</v>
      </c>
      <c r="J58" s="30">
        <f>J49+J50</f>
        <v>877377547690</v>
      </c>
      <c r="K58" s="28">
        <f>J58/SUM($J$57:$J$62)</f>
        <v>0.16641442670624984</v>
      </c>
      <c r="L58" s="28">
        <f>(L5*B5+L6*B6)/(B5+B6)*$K$12+(L16*B16+L17*B17)/(B16+B17)*$K$23+(L27*B27+L28*B28)/(B27+B28)*$K$34+(L38*B38+L39*B39)/(B38+B39)*$K$45</f>
        <v>7.682085087671571E-2</v>
      </c>
      <c r="M58" s="30">
        <f>M49+M50</f>
        <v>6368184.3300000001</v>
      </c>
    </row>
    <row r="59" spans="1:13" s="2" customFormat="1" x14ac:dyDescent="0.3">
      <c r="A59" s="2" t="s">
        <v>16</v>
      </c>
      <c r="C59" s="25">
        <f>C51</f>
        <v>0.12738904713526822</v>
      </c>
      <c r="D59" s="25"/>
      <c r="E59" s="25"/>
      <c r="F59" s="25"/>
      <c r="G59" s="11">
        <f t="shared" ref="G59:M59" si="3">G51</f>
        <v>-44.871612825172797</v>
      </c>
      <c r="H59" s="24">
        <f t="shared" si="3"/>
        <v>-183350243.98216102</v>
      </c>
      <c r="I59" s="25">
        <f t="shared" si="3"/>
        <v>0.26635798454051907</v>
      </c>
      <c r="J59" s="24">
        <f t="shared" si="3"/>
        <v>686735239020</v>
      </c>
      <c r="K59" s="25">
        <f t="shared" si="3"/>
        <v>0.1302548160724894</v>
      </c>
      <c r="L59" s="25">
        <f t="shared" si="3"/>
        <v>3.9386490186564684E-2</v>
      </c>
      <c r="M59" s="24">
        <f t="shared" si="3"/>
        <v>4840603.5600000005</v>
      </c>
    </row>
    <row r="60" spans="1:13" s="3" customFormat="1" x14ac:dyDescent="0.3">
      <c r="A60" s="3" t="s">
        <v>17</v>
      </c>
      <c r="C60" s="16">
        <f>C52</f>
        <v>0.23540615619487837</v>
      </c>
      <c r="D60" s="16"/>
      <c r="E60" s="16"/>
      <c r="F60" s="16"/>
      <c r="G60" s="12">
        <f t="shared" ref="G60:M60" si="4">G52</f>
        <v>-16.327194329375104</v>
      </c>
      <c r="H60" s="15">
        <f t="shared" si="4"/>
        <v>-119806064.758387</v>
      </c>
      <c r="I60" s="16">
        <f t="shared" si="4"/>
        <v>0.17404559302293413</v>
      </c>
      <c r="J60" s="15">
        <f t="shared" si="4"/>
        <v>1246062044680</v>
      </c>
      <c r="K60" s="16">
        <f t="shared" si="4"/>
        <v>0.23634375116139422</v>
      </c>
      <c r="L60" s="16">
        <f t="shared" si="4"/>
        <v>7.6660834295876557E-2</v>
      </c>
      <c r="M60" s="15">
        <f t="shared" si="4"/>
        <v>8290140.5800000001</v>
      </c>
    </row>
    <row r="61" spans="1:13" s="27" customFormat="1" x14ac:dyDescent="0.3">
      <c r="A61" s="27" t="s">
        <v>28</v>
      </c>
      <c r="C61" s="28">
        <f>C53+C54</f>
        <v>0.15526486353817229</v>
      </c>
      <c r="G61" s="29">
        <f>(G9*B9+G10*B10)/(B9+B10)*$K$12+(G20*B20+G21*B21)/(B20+B21)*$K$23+(G31*B31+G32*B32)/(B31+B32)*$K$34+(G42*B42+G43*B43)/(B42+B43)*$K$45</f>
        <v>-11.837585594039576</v>
      </c>
      <c r="H61" s="30">
        <f>H53+H54</f>
        <v>-56776972.08594887</v>
      </c>
      <c r="I61" s="28">
        <f>I53+I54</f>
        <v>8.2481482024087407E-2</v>
      </c>
      <c r="J61" s="30">
        <f>J53+J54</f>
        <v>851279860700</v>
      </c>
      <c r="K61" s="28">
        <f>J61/SUM($J$57:$J$62)</f>
        <v>0.16146441216549193</v>
      </c>
      <c r="L61" s="28">
        <f>(L9*B9+L10*B10)/(B9+B10)*$K$12+(L20*B20+L21*B21)/(B20+B21)*$K$23+(L31*B31+L32*B32)/(B31+B32)*$K$34+(L42*B42+L43*B43)/(B42+B43)*$K$45</f>
        <v>0.25241603948811059</v>
      </c>
      <c r="M61" s="30">
        <f>M53+M54</f>
        <v>5977113.2400000002</v>
      </c>
    </row>
    <row r="62" spans="1:13" s="2" customFormat="1" x14ac:dyDescent="0.3">
      <c r="A62" s="2" t="s">
        <v>20</v>
      </c>
      <c r="C62" s="25">
        <f>C55</f>
        <v>5.9067078221198645E-2</v>
      </c>
      <c r="D62" s="25"/>
      <c r="E62" s="25"/>
      <c r="F62" s="25"/>
      <c r="G62" s="11">
        <f t="shared" ref="G62:M62" si="5">G55</f>
        <v>-22.227320063728541</v>
      </c>
      <c r="H62" s="24">
        <f t="shared" si="5"/>
        <v>-40235042.840790004</v>
      </c>
      <c r="I62" s="25">
        <f t="shared" si="5"/>
        <v>5.8450562629286516E-2</v>
      </c>
      <c r="J62" s="24">
        <f t="shared" si="5"/>
        <v>303138270990</v>
      </c>
      <c r="K62" s="25">
        <f t="shared" si="5"/>
        <v>5.74970053796598E-2</v>
      </c>
      <c r="L62" s="25">
        <f t="shared" si="5"/>
        <v>8.9303528926801046E-2</v>
      </c>
      <c r="M62" s="24">
        <f t="shared" si="5"/>
        <v>2001100.4300000002</v>
      </c>
    </row>
    <row r="64" spans="1:13" x14ac:dyDescent="0.3">
      <c r="A64" s="42" t="s">
        <v>59</v>
      </c>
      <c r="B64" s="42">
        <f>C57*G57+C58*G58+C59*G59+C60*G60+C61*G61+C62*G62</f>
        <v>-21.408299256450352</v>
      </c>
    </row>
  </sheetData>
  <pageMargins left="0.75" right="0.75" top="1" bottom="1" header="0.5" footer="0.5"/>
  <pageSetup orientation="portrait" r:id="rId1"/>
  <ignoredErrors>
    <ignoredError sqref="H48:H55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9DB2-988C-4E7A-A77B-9E3DE98F9A38}">
  <dimension ref="A1:M64"/>
  <sheetViews>
    <sheetView topLeftCell="A16" zoomScale="70" zoomScaleNormal="70" workbookViewId="0">
      <selection activeCell="A65" sqref="A65"/>
    </sheetView>
  </sheetViews>
  <sheetFormatPr defaultRowHeight="14.4" x14ac:dyDescent="0.3"/>
  <cols>
    <col min="1" max="1" width="45.21875" customWidth="1"/>
    <col min="2" max="2" width="20.109375" bestFit="1" customWidth="1"/>
    <col min="3" max="3" width="25.21875" bestFit="1" customWidth="1"/>
    <col min="4" max="4" width="22.88671875" bestFit="1" customWidth="1"/>
    <col min="5" max="5" width="32.109375" bestFit="1" customWidth="1"/>
    <col min="6" max="6" width="35.21875" bestFit="1" customWidth="1"/>
    <col min="7" max="7" width="12.6640625" bestFit="1" customWidth="1"/>
    <col min="8" max="8" width="16.77734375" bestFit="1" customWidth="1"/>
    <col min="9" max="9" width="15.21875" bestFit="1" customWidth="1"/>
    <col min="10" max="10" width="20.21875" bestFit="1" customWidth="1"/>
    <col min="11" max="11" width="24.88671875" bestFit="1" customWidth="1"/>
    <col min="12" max="12" width="30.109375" bestFit="1" customWidth="1"/>
    <col min="13" max="13" width="25.44140625" bestFit="1" customWidth="1"/>
  </cols>
  <sheetData>
    <row r="1" spans="1:12" x14ac:dyDescent="0.3">
      <c r="A1" s="1" t="s">
        <v>0</v>
      </c>
      <c r="D1" s="8"/>
    </row>
    <row r="2" spans="1:12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s="6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t="s">
        <v>12</v>
      </c>
    </row>
    <row r="4" spans="1:12" s="3" customFormat="1" x14ac:dyDescent="0.3">
      <c r="A4" s="3" t="s">
        <v>13</v>
      </c>
      <c r="B4" s="3">
        <v>224</v>
      </c>
      <c r="C4" s="3">
        <v>26.508875739644971</v>
      </c>
      <c r="D4" s="3">
        <v>9.2972972972948131</v>
      </c>
      <c r="E4" s="3">
        <v>9.0553622781095893</v>
      </c>
      <c r="F4" s="3">
        <v>7.1122130811722082</v>
      </c>
      <c r="G4" s="3">
        <v>-8.533735184840701</v>
      </c>
      <c r="H4" s="3">
        <v>-30020683.640000001</v>
      </c>
      <c r="I4" s="3">
        <v>26.874212426986869</v>
      </c>
      <c r="J4" s="3">
        <v>3517883.2</v>
      </c>
      <c r="K4" s="3">
        <v>27.562070969106049</v>
      </c>
      <c r="L4" s="3">
        <v>0.1171819816692222</v>
      </c>
    </row>
    <row r="5" spans="1:12" s="4" customFormat="1" x14ac:dyDescent="0.3">
      <c r="A5" s="4" t="s">
        <v>14</v>
      </c>
      <c r="B5" s="4">
        <v>74</v>
      </c>
      <c r="C5" s="4">
        <v>8.7573964497041423</v>
      </c>
      <c r="D5" s="4">
        <v>9.1666666666662344</v>
      </c>
      <c r="E5" s="4">
        <v>9.1565424560731721</v>
      </c>
      <c r="F5" s="4">
        <v>6.38452903952758</v>
      </c>
      <c r="G5" s="4">
        <v>-4.2098438846365509</v>
      </c>
      <c r="H5" s="4">
        <v>-4446241.6900000004</v>
      </c>
      <c r="I5" s="4">
        <v>3.9802306007307542</v>
      </c>
      <c r="J5" s="4">
        <v>1056153.58</v>
      </c>
      <c r="K5" s="4">
        <v>8.2748000065026091</v>
      </c>
      <c r="L5" s="4">
        <v>0.23753849962213819</v>
      </c>
    </row>
    <row r="6" spans="1:12" s="5" customFormat="1" x14ac:dyDescent="0.3">
      <c r="A6" s="5" t="s">
        <v>15</v>
      </c>
      <c r="B6" s="5">
        <v>66</v>
      </c>
      <c r="C6" s="5">
        <v>7.8106508875739644</v>
      </c>
      <c r="D6" s="5">
        <v>9.2380952380949601</v>
      </c>
      <c r="E6" s="5">
        <v>8.7433720790181813</v>
      </c>
      <c r="F6" s="5">
        <v>8.0205229091407908</v>
      </c>
      <c r="G6" s="5">
        <v>-22.223077716737141</v>
      </c>
      <c r="H6" s="5">
        <v>-25609912.539999999</v>
      </c>
      <c r="I6" s="5">
        <v>22.925734739747408</v>
      </c>
      <c r="J6" s="5">
        <v>1152401.7</v>
      </c>
      <c r="K6" s="5">
        <v>9.0288891456994502</v>
      </c>
      <c r="L6" s="5">
        <v>4.4998267690296453E-2</v>
      </c>
    </row>
    <row r="7" spans="1:12" s="2" customFormat="1" x14ac:dyDescent="0.3">
      <c r="A7" s="2" t="s">
        <v>16</v>
      </c>
      <c r="B7" s="2">
        <v>112</v>
      </c>
      <c r="C7" s="2">
        <v>13.254437869822491</v>
      </c>
      <c r="D7" s="2">
        <v>8.6363636363647043</v>
      </c>
      <c r="E7" s="2">
        <v>9.0913142227794115</v>
      </c>
      <c r="F7" s="2">
        <v>7.1647349375685723</v>
      </c>
      <c r="G7" s="2">
        <v>-10.28353765229363</v>
      </c>
      <c r="H7" s="2">
        <v>-17185545.48</v>
      </c>
      <c r="I7" s="2">
        <v>15.38432653438281</v>
      </c>
      <c r="J7" s="2">
        <v>1671170.57</v>
      </c>
      <c r="K7" s="2">
        <v>13.093363034856131</v>
      </c>
      <c r="L7" s="2">
        <v>9.724280046535945E-2</v>
      </c>
    </row>
    <row r="8" spans="1:12" s="3" customFormat="1" x14ac:dyDescent="0.3">
      <c r="A8" s="3" t="s">
        <v>17</v>
      </c>
      <c r="B8" s="3">
        <v>165</v>
      </c>
      <c r="C8" s="3">
        <v>19.526627218934909</v>
      </c>
      <c r="D8" s="3">
        <v>10.91304347825959</v>
      </c>
      <c r="E8" s="3">
        <v>9.2383669503307075</v>
      </c>
      <c r="F8" s="3">
        <v>7.6957696221051357</v>
      </c>
      <c r="G8" s="3">
        <v>-8.0520723524514324</v>
      </c>
      <c r="H8" s="3">
        <v>-19718996.170000002</v>
      </c>
      <c r="I8" s="3">
        <v>17.652245973953459</v>
      </c>
      <c r="J8" s="3">
        <v>2448934.2999999998</v>
      </c>
      <c r="K8" s="3">
        <v>19.187021608698672</v>
      </c>
      <c r="L8" s="3">
        <v>0.12419163120107241</v>
      </c>
    </row>
    <row r="9" spans="1:12" s="4" customFormat="1" x14ac:dyDescent="0.3">
      <c r="A9" s="4" t="s">
        <v>18</v>
      </c>
      <c r="B9" s="4">
        <v>89</v>
      </c>
      <c r="C9" s="4">
        <v>10.532544378698219</v>
      </c>
      <c r="D9" s="4">
        <v>12.137931034478679</v>
      </c>
      <c r="E9" s="4">
        <v>10.399576969839289</v>
      </c>
      <c r="F9" s="4">
        <v>6.8853182201596201</v>
      </c>
      <c r="G9" s="4">
        <v>-0.87827489517314727</v>
      </c>
      <c r="H9" s="4">
        <v>-1055136.58</v>
      </c>
      <c r="I9" s="4">
        <v>0.9445475969315541</v>
      </c>
      <c r="J9" s="4">
        <v>1201373.95</v>
      </c>
      <c r="K9" s="4">
        <v>9.4125791528084992</v>
      </c>
      <c r="L9" s="4">
        <v>1.1385956782959801</v>
      </c>
    </row>
    <row r="10" spans="1:12" s="5" customFormat="1" x14ac:dyDescent="0.3">
      <c r="A10" s="5" t="s">
        <v>19</v>
      </c>
      <c r="B10" s="5">
        <v>66</v>
      </c>
      <c r="C10" s="5">
        <v>7.8106508875739644</v>
      </c>
      <c r="D10" s="5">
        <v>8.4166666666677372</v>
      </c>
      <c r="E10" s="5">
        <v>8.4003451289137931</v>
      </c>
      <c r="F10" s="5">
        <v>7.7330897266512686</v>
      </c>
      <c r="G10" s="5">
        <v>-10.75658779768577</v>
      </c>
      <c r="H10" s="5">
        <v>-10675122.779999999</v>
      </c>
      <c r="I10" s="5">
        <v>9.5562619663876056</v>
      </c>
      <c r="J10" s="5">
        <v>992426.5</v>
      </c>
      <c r="K10" s="5">
        <v>7.7755081876002929</v>
      </c>
      <c r="L10" s="5">
        <v>9.2966284365302645E-2</v>
      </c>
    </row>
    <row r="11" spans="1:12" s="2" customFormat="1" x14ac:dyDescent="0.3">
      <c r="A11" s="2" t="s">
        <v>20</v>
      </c>
      <c r="B11" s="2">
        <v>49</v>
      </c>
      <c r="C11" s="2">
        <v>5.7988165680473376</v>
      </c>
      <c r="D11" s="2">
        <v>8.7500000000018101</v>
      </c>
      <c r="E11" s="2">
        <v>8.2478746848048772</v>
      </c>
      <c r="F11" s="2">
        <v>7.5121074216963031</v>
      </c>
      <c r="G11" s="2">
        <v>-4.1436830257316064</v>
      </c>
      <c r="H11" s="2">
        <v>-2996504.09</v>
      </c>
      <c r="I11" s="2">
        <v>2.6824401608795272</v>
      </c>
      <c r="J11" s="2">
        <v>723149.93</v>
      </c>
      <c r="K11" s="2">
        <v>5.6657678947283037</v>
      </c>
      <c r="L11" s="2">
        <v>0.2413312007193022</v>
      </c>
    </row>
    <row r="12" spans="1:12" x14ac:dyDescent="0.3">
      <c r="A12" s="1" t="s">
        <v>21</v>
      </c>
      <c r="D12" s="8"/>
      <c r="J12" s="7"/>
      <c r="K12" s="10">
        <f>SUM(J4:J11)/SUM(J4:J11,J15:J22,J26:J33,J37:J44)</f>
        <v>0.3473130293674711</v>
      </c>
    </row>
    <row r="13" spans="1:12" x14ac:dyDescent="0.3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 x14ac:dyDescent="0.3">
      <c r="A14" t="s">
        <v>12</v>
      </c>
    </row>
    <row r="15" spans="1:12" s="3" customFormat="1" x14ac:dyDescent="0.3">
      <c r="A15" s="3" t="s">
        <v>13</v>
      </c>
      <c r="B15" s="3">
        <v>191</v>
      </c>
      <c r="C15" s="3">
        <v>22.603550295857989</v>
      </c>
      <c r="D15" s="3">
        <v>9.7692307692300222</v>
      </c>
      <c r="E15" s="3">
        <v>13.495234959467741</v>
      </c>
      <c r="F15" s="3">
        <v>10.38123290727183</v>
      </c>
      <c r="G15" s="3">
        <v>-8.6655340676581076</v>
      </c>
      <c r="H15" s="3">
        <v>-15255234.943330999</v>
      </c>
      <c r="I15" s="3">
        <v>15.90560396047926</v>
      </c>
      <c r="J15" s="3">
        <v>1760449.48</v>
      </c>
      <c r="K15" s="3">
        <v>22.515531542335211</v>
      </c>
      <c r="L15" s="3">
        <v>0.1153996963363452</v>
      </c>
    </row>
    <row r="16" spans="1:12" s="4" customFormat="1" x14ac:dyDescent="0.3">
      <c r="A16" s="4" t="s">
        <v>14</v>
      </c>
      <c r="B16" s="4">
        <v>121</v>
      </c>
      <c r="C16" s="4">
        <v>14.319526627218931</v>
      </c>
      <c r="D16" s="4">
        <v>11.063829787231869</v>
      </c>
      <c r="E16" s="4">
        <v>12.694256882929411</v>
      </c>
      <c r="F16" s="4">
        <v>9.7541868630920909</v>
      </c>
      <c r="G16" s="4">
        <v>-16.719695358509771</v>
      </c>
      <c r="H16" s="4">
        <v>-23068285.907109</v>
      </c>
      <c r="I16" s="4">
        <v>24.05174492877816</v>
      </c>
      <c r="J16" s="4">
        <v>1379707.31</v>
      </c>
      <c r="K16" s="4">
        <v>17.645972696413569</v>
      </c>
      <c r="L16" s="4">
        <v>5.9809702184019348E-2</v>
      </c>
    </row>
    <row r="17" spans="1:12" s="5" customFormat="1" x14ac:dyDescent="0.3">
      <c r="A17" s="5" t="s">
        <v>15</v>
      </c>
      <c r="B17" s="5">
        <v>49</v>
      </c>
      <c r="C17" s="5">
        <v>5.7988165680473376</v>
      </c>
      <c r="D17" s="5">
        <v>10.62499999999959</v>
      </c>
      <c r="E17" s="5">
        <v>14.576219647037041</v>
      </c>
      <c r="F17" s="5">
        <v>10.34564329506007</v>
      </c>
      <c r="G17" s="5">
        <v>-55.284197299399999</v>
      </c>
      <c r="H17" s="5">
        <v>-22696347.270039</v>
      </c>
      <c r="I17" s="5">
        <v>23.663949612559701</v>
      </c>
      <c r="J17" s="5">
        <v>410539.51</v>
      </c>
      <c r="K17" s="5">
        <v>5.2506563759954323</v>
      </c>
      <c r="L17" s="5">
        <v>1.8088351623961319E-2</v>
      </c>
    </row>
    <row r="18" spans="1:12" s="2" customFormat="1" x14ac:dyDescent="0.3">
      <c r="A18" s="2" t="s">
        <v>16</v>
      </c>
      <c r="B18" s="2">
        <v>98</v>
      </c>
      <c r="C18" s="2">
        <v>11.59763313609468</v>
      </c>
      <c r="D18" s="2">
        <v>12.043478260868939</v>
      </c>
      <c r="E18" s="2">
        <v>12.950409732539679</v>
      </c>
      <c r="F18" s="2">
        <v>11.15399338985277</v>
      </c>
      <c r="G18" s="2">
        <v>-49.062215899826583</v>
      </c>
      <c r="H18" s="2">
        <v>-44402545.682161003</v>
      </c>
      <c r="I18" s="2">
        <v>46.295537832164698</v>
      </c>
      <c r="J18" s="2">
        <v>905025.28</v>
      </c>
      <c r="K18" s="2">
        <v>11.57495598138423</v>
      </c>
      <c r="L18" s="2">
        <v>2.0382283630273921E-2</v>
      </c>
    </row>
    <row r="19" spans="1:12" s="3" customFormat="1" x14ac:dyDescent="0.3">
      <c r="A19" s="3" t="s">
        <v>17</v>
      </c>
      <c r="B19" s="3">
        <v>203</v>
      </c>
      <c r="C19" s="3">
        <v>24.023668639053259</v>
      </c>
      <c r="D19" s="3">
        <v>12.222222222223881</v>
      </c>
      <c r="E19" s="3">
        <v>12.701667001860759</v>
      </c>
      <c r="F19" s="3">
        <v>11.07955341298381</v>
      </c>
      <c r="G19" s="3">
        <v>7.5491445877961603</v>
      </c>
      <c r="H19" s="3">
        <v>13482213.521613</v>
      </c>
      <c r="I19" s="3">
        <v>-14.0569941781946</v>
      </c>
      <c r="J19" s="3">
        <v>1785925.99</v>
      </c>
      <c r="K19" s="3">
        <v>22.841367171820941</v>
      </c>
      <c r="L19" s="3">
        <v>0.13246533939972291</v>
      </c>
    </row>
    <row r="20" spans="1:12" s="4" customFormat="1" x14ac:dyDescent="0.3">
      <c r="A20" s="4" t="s">
        <v>18</v>
      </c>
      <c r="B20" s="4">
        <v>127</v>
      </c>
      <c r="C20" s="4">
        <v>15.029585798816569</v>
      </c>
      <c r="D20" s="4">
        <v>14.269230769228979</v>
      </c>
      <c r="E20" s="4">
        <v>13.0508891398866</v>
      </c>
      <c r="F20" s="4">
        <v>11.8728387854699</v>
      </c>
      <c r="G20" s="4">
        <v>4.1018848029942001</v>
      </c>
      <c r="H20" s="4">
        <v>4659903.1606511297</v>
      </c>
      <c r="I20" s="4">
        <v>-4.8585665473414554</v>
      </c>
      <c r="J20" s="4">
        <v>1136039.5</v>
      </c>
      <c r="K20" s="4">
        <v>14.52954684935845</v>
      </c>
      <c r="L20" s="4">
        <v>0.24379036663097969</v>
      </c>
    </row>
    <row r="21" spans="1:12" s="5" customFormat="1" x14ac:dyDescent="0.3">
      <c r="A21" s="5" t="s">
        <v>19</v>
      </c>
      <c r="B21" s="5">
        <v>28</v>
      </c>
      <c r="C21" s="5">
        <v>3.3136094674556209</v>
      </c>
      <c r="D21" s="5">
        <v>10.499999999999449</v>
      </c>
      <c r="E21" s="5">
        <v>12.895262183529409</v>
      </c>
      <c r="F21" s="5">
        <v>9.4857072619231992</v>
      </c>
      <c r="G21" s="5">
        <v>-15.87366828332091</v>
      </c>
      <c r="H21" s="5">
        <v>-3319782.3166</v>
      </c>
      <c r="I21" s="5">
        <v>3.461312982657502</v>
      </c>
      <c r="J21" s="5">
        <v>209137.69</v>
      </c>
      <c r="K21" s="5">
        <v>2.6747977203447628</v>
      </c>
      <c r="L21" s="5">
        <v>6.299741068992476E-2</v>
      </c>
    </row>
    <row r="22" spans="1:12" s="2" customFormat="1" x14ac:dyDescent="0.3">
      <c r="A22" s="2" t="s">
        <v>20</v>
      </c>
      <c r="B22" s="2">
        <v>28</v>
      </c>
      <c r="C22" s="2">
        <v>3.3136094674556209</v>
      </c>
      <c r="D22" s="2">
        <v>9.9999999999988969</v>
      </c>
      <c r="E22" s="2">
        <v>13.567292644285709</v>
      </c>
      <c r="F22" s="2">
        <v>11.02245330366665</v>
      </c>
      <c r="G22" s="2">
        <v>-22.892408766260761</v>
      </c>
      <c r="H22" s="2">
        <v>-5310990.5307900002</v>
      </c>
      <c r="I22" s="2">
        <v>5.5374114088967383</v>
      </c>
      <c r="J22" s="2">
        <v>231997.89</v>
      </c>
      <c r="K22" s="2">
        <v>2.9671716623474</v>
      </c>
      <c r="L22" s="2">
        <v>4.3682602831809372E-2</v>
      </c>
    </row>
    <row r="23" spans="1:12" x14ac:dyDescent="0.3">
      <c r="A23" s="1" t="s">
        <v>22</v>
      </c>
      <c r="D23" s="8"/>
      <c r="J23" s="7"/>
      <c r="K23" s="10">
        <f>SUM(J15:J22)/SUM(J4:J11,J15:J22,J26:J33,J37:J44)</f>
        <v>0.21276141455498629</v>
      </c>
    </row>
    <row r="24" spans="1:12" x14ac:dyDescent="0.3"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</row>
    <row r="25" spans="1:12" x14ac:dyDescent="0.3">
      <c r="A25" t="s">
        <v>12</v>
      </c>
    </row>
    <row r="26" spans="1:12" s="3" customFormat="1" x14ac:dyDescent="0.3">
      <c r="A26" s="3" t="s">
        <v>13</v>
      </c>
      <c r="B26" s="3">
        <v>222</v>
      </c>
      <c r="C26" s="3">
        <v>26.27218934911242</v>
      </c>
      <c r="D26" s="3">
        <v>13.7962962962958</v>
      </c>
      <c r="E26" s="3">
        <v>10.34570982073333</v>
      </c>
      <c r="F26" s="3">
        <v>8.8971049930822819</v>
      </c>
      <c r="G26" s="3">
        <v>-15.866058068630741</v>
      </c>
      <c r="H26" s="3">
        <v>-12363920.699999999</v>
      </c>
      <c r="I26" s="3">
        <v>27.52533393641421</v>
      </c>
      <c r="J26" s="3">
        <v>779268.59</v>
      </c>
      <c r="K26" s="3">
        <v>29.899060723415161</v>
      </c>
      <c r="L26" s="3">
        <v>6.3027627635948852E-2</v>
      </c>
    </row>
    <row r="27" spans="1:12" s="4" customFormat="1" x14ac:dyDescent="0.3">
      <c r="A27" s="4" t="s">
        <v>14</v>
      </c>
      <c r="B27" s="4">
        <v>101</v>
      </c>
      <c r="C27" s="4">
        <v>11.952662721893491</v>
      </c>
      <c r="D27" s="4">
        <v>11.68965517241074</v>
      </c>
      <c r="E27" s="4">
        <v>10.310660210721521</v>
      </c>
      <c r="F27" s="4">
        <v>9.8371959491495851</v>
      </c>
      <c r="G27" s="4">
        <v>-4.4835643274103241</v>
      </c>
      <c r="H27" s="4">
        <v>-1495155</v>
      </c>
      <c r="I27" s="4">
        <v>3.3286076205341071</v>
      </c>
      <c r="J27" s="4">
        <v>333474.64</v>
      </c>
      <c r="K27" s="4">
        <v>12.79479070377905</v>
      </c>
      <c r="L27" s="4">
        <v>0.22303683564580259</v>
      </c>
    </row>
    <row r="28" spans="1:12" s="5" customFormat="1" x14ac:dyDescent="0.3">
      <c r="A28" s="5" t="s">
        <v>15</v>
      </c>
      <c r="B28" s="5">
        <v>47</v>
      </c>
      <c r="C28" s="5">
        <v>5.5621301775147929</v>
      </c>
      <c r="D28" s="5">
        <v>10.99999999999565</v>
      </c>
      <c r="E28" s="5">
        <v>12.966471707735289</v>
      </c>
      <c r="F28" s="5">
        <v>9.2115597486878009</v>
      </c>
      <c r="G28" s="5">
        <v>-26.22818557563027</v>
      </c>
      <c r="H28" s="5">
        <v>-4263578.3099999996</v>
      </c>
      <c r="I28" s="5">
        <v>9.4918448277335301</v>
      </c>
      <c r="J28" s="5">
        <v>162557.12</v>
      </c>
      <c r="K28" s="5">
        <v>6.2370089905760029</v>
      </c>
      <c r="L28" s="5">
        <v>3.8126922547366091E-2</v>
      </c>
    </row>
    <row r="29" spans="1:12" s="2" customFormat="1" x14ac:dyDescent="0.3">
      <c r="A29" s="2" t="s">
        <v>16</v>
      </c>
      <c r="B29" s="2">
        <v>137</v>
      </c>
      <c r="C29" s="2">
        <v>16.213017751479288</v>
      </c>
      <c r="D29" s="2">
        <v>14.0800000000001</v>
      </c>
      <c r="E29" s="2">
        <v>10.09096487458333</v>
      </c>
      <c r="F29" s="2">
        <v>8.9263049998377806</v>
      </c>
      <c r="G29" s="2">
        <v>-21.889299116672881</v>
      </c>
      <c r="H29" s="2">
        <v>-11544373.67</v>
      </c>
      <c r="I29" s="2">
        <v>25.700807054957711</v>
      </c>
      <c r="J29" s="2">
        <v>527398.05000000005</v>
      </c>
      <c r="K29" s="2">
        <v>20.235264868510541</v>
      </c>
      <c r="L29" s="2">
        <v>4.5684422999104121E-2</v>
      </c>
    </row>
    <row r="30" spans="1:12" s="3" customFormat="1" x14ac:dyDescent="0.3">
      <c r="A30" s="3" t="s">
        <v>17</v>
      </c>
      <c r="B30" s="3">
        <v>167</v>
      </c>
      <c r="C30" s="3">
        <v>19.76331360946746</v>
      </c>
      <c r="D30" s="3">
        <v>12.27272727272382</v>
      </c>
      <c r="E30" s="3">
        <v>10.3400216369697</v>
      </c>
      <c r="F30" s="3">
        <v>9.0116561371033352</v>
      </c>
      <c r="G30" s="3">
        <v>-20.27928733512519</v>
      </c>
      <c r="H30" s="3">
        <v>-7731629.5800000001</v>
      </c>
      <c r="I30" s="3">
        <v>17.212637578802809</v>
      </c>
      <c r="J30" s="3">
        <v>381257.46</v>
      </c>
      <c r="K30" s="3">
        <v>14.62812705924029</v>
      </c>
      <c r="L30" s="3">
        <v>4.9311397559219337E-2</v>
      </c>
    </row>
    <row r="31" spans="1:12" s="4" customFormat="1" x14ac:dyDescent="0.3">
      <c r="A31" s="4" t="s">
        <v>18</v>
      </c>
      <c r="B31" s="4">
        <v>97</v>
      </c>
      <c r="C31" s="4">
        <v>11.4792899408284</v>
      </c>
      <c r="D31" s="4">
        <v>15.36842105263012</v>
      </c>
      <c r="E31" s="4">
        <v>10.88627881675362</v>
      </c>
      <c r="F31" s="4">
        <v>9.9869488397985471</v>
      </c>
      <c r="G31" s="4">
        <v>-6.7776398119473598</v>
      </c>
      <c r="H31" s="4">
        <v>-1639426.96</v>
      </c>
      <c r="I31" s="4">
        <v>3.649794885724265</v>
      </c>
      <c r="J31" s="4">
        <v>241887.59</v>
      </c>
      <c r="K31" s="4">
        <v>9.2807689600969923</v>
      </c>
      <c r="L31" s="4">
        <v>0.14754398695505169</v>
      </c>
    </row>
    <row r="32" spans="1:12" s="5" customFormat="1" x14ac:dyDescent="0.3">
      <c r="A32" s="5" t="s">
        <v>19</v>
      </c>
      <c r="B32" s="5">
        <v>27</v>
      </c>
      <c r="C32" s="5">
        <v>3.195266272189349</v>
      </c>
      <c r="E32" s="5">
        <v>9.7460343400555551</v>
      </c>
      <c r="F32" s="5">
        <v>8.2067270370114684</v>
      </c>
      <c r="G32" s="5">
        <v>-32.140662569674951</v>
      </c>
      <c r="H32" s="5">
        <v>-2636528.12</v>
      </c>
      <c r="I32" s="5">
        <v>5.8696038818613872</v>
      </c>
      <c r="J32" s="5">
        <v>82030.92</v>
      </c>
      <c r="K32" s="5">
        <v>3.1473711243482958</v>
      </c>
      <c r="L32" s="5">
        <v>3.1113235386239689E-2</v>
      </c>
    </row>
    <row r="33" spans="1:13" s="2" customFormat="1" x14ac:dyDescent="0.3">
      <c r="A33" s="2" t="s">
        <v>20</v>
      </c>
      <c r="B33" s="2">
        <v>47</v>
      </c>
      <c r="C33" s="2">
        <v>5.5621301775147929</v>
      </c>
      <c r="D33" s="2">
        <v>16.750000000001751</v>
      </c>
      <c r="E33" s="2">
        <v>9.9811130559687502</v>
      </c>
      <c r="F33" s="2">
        <v>9.1912156820474742</v>
      </c>
      <c r="G33" s="2">
        <v>-32.945549715779393</v>
      </c>
      <c r="H33" s="2">
        <v>-3243719</v>
      </c>
      <c r="I33" s="2">
        <v>7.2213702139719764</v>
      </c>
      <c r="J33" s="2">
        <v>98456.97</v>
      </c>
      <c r="K33" s="2">
        <v>3.7776075700336711</v>
      </c>
      <c r="L33" s="2">
        <v>3.0353113201235991E-2</v>
      </c>
    </row>
    <row r="34" spans="1:13" x14ac:dyDescent="0.3">
      <c r="A34" s="1" t="s">
        <v>23</v>
      </c>
      <c r="D34" s="8"/>
      <c r="J34" s="7"/>
      <c r="K34" s="10">
        <f>SUM(J26:J33)/SUM(J4:J11,J15:J22,J26:J33,J37:J44)</f>
        <v>7.0922025926421675E-2</v>
      </c>
    </row>
    <row r="35" spans="1:13" x14ac:dyDescent="0.3"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</row>
    <row r="36" spans="1:13" x14ac:dyDescent="0.3">
      <c r="A36" t="s">
        <v>12</v>
      </c>
    </row>
    <row r="37" spans="1:13" s="3" customFormat="1" x14ac:dyDescent="0.3">
      <c r="A37" s="3" t="s">
        <v>13</v>
      </c>
      <c r="B37" s="3">
        <v>233</v>
      </c>
      <c r="C37" s="3">
        <v>27.837514934289121</v>
      </c>
      <c r="D37" s="3">
        <v>21.16666666667015</v>
      </c>
      <c r="E37" s="3">
        <v>26.82667748783582</v>
      </c>
      <c r="F37" s="3">
        <v>24.128330777051548</v>
      </c>
      <c r="G37" s="3">
        <v>-27.037190646642401</v>
      </c>
      <c r="H37" s="3">
        <v>-86911257.519999996</v>
      </c>
      <c r="I37" s="3">
        <v>19.941884625732669</v>
      </c>
      <c r="J37" s="3">
        <v>3214507.7</v>
      </c>
      <c r="K37" s="3">
        <v>23.704754187932931</v>
      </c>
      <c r="L37" s="3">
        <v>3.6986091235192163E-2</v>
      </c>
    </row>
    <row r="38" spans="1:13" s="4" customFormat="1" x14ac:dyDescent="0.3">
      <c r="A38" s="4" t="s">
        <v>14</v>
      </c>
      <c r="B38" s="4">
        <v>59</v>
      </c>
      <c r="C38" s="4">
        <v>7.0489844683393077</v>
      </c>
      <c r="D38" s="4">
        <v>21.500000000003169</v>
      </c>
      <c r="E38" s="4">
        <v>26.041435631818182</v>
      </c>
      <c r="F38" s="4">
        <v>23.386557063699211</v>
      </c>
      <c r="G38" s="4">
        <v>-16.060080274907339</v>
      </c>
      <c r="H38" s="4">
        <v>-12651056.5</v>
      </c>
      <c r="I38" s="4">
        <v>2.9027989735227271</v>
      </c>
      <c r="J38" s="4">
        <v>787733.08</v>
      </c>
      <c r="K38" s="4">
        <v>5.8089825160796176</v>
      </c>
      <c r="L38" s="4">
        <v>6.2266189389004779E-2</v>
      </c>
    </row>
    <row r="39" spans="1:13" s="5" customFormat="1" x14ac:dyDescent="0.3">
      <c r="A39" s="5" t="s">
        <v>15</v>
      </c>
      <c r="B39" s="5">
        <v>56</v>
      </c>
      <c r="C39" s="5">
        <v>6.6905615292712062</v>
      </c>
      <c r="D39" s="5">
        <v>21.692307692310699</v>
      </c>
      <c r="E39" s="5">
        <v>29.00782284604167</v>
      </c>
      <c r="F39" s="5">
        <v>27.451334560673761</v>
      </c>
      <c r="G39" s="5">
        <v>-45.513488062308951</v>
      </c>
      <c r="H39" s="5">
        <v>-49410234.119999997</v>
      </c>
      <c r="I39" s="5">
        <v>11.337233130296561</v>
      </c>
      <c r="J39" s="5">
        <v>1085617.3899999999</v>
      </c>
      <c r="K39" s="5">
        <v>8.0056717151728432</v>
      </c>
      <c r="L39" s="5">
        <v>2.1971508723545391E-2</v>
      </c>
    </row>
    <row r="40" spans="1:13" s="2" customFormat="1" x14ac:dyDescent="0.3">
      <c r="A40" s="2" t="s">
        <v>16</v>
      </c>
      <c r="B40" s="2">
        <v>105</v>
      </c>
      <c r="C40" s="2">
        <v>12.54480286738351</v>
      </c>
      <c r="D40" s="2">
        <v>19.33333333333848</v>
      </c>
      <c r="E40" s="2">
        <v>30.644812887600001</v>
      </c>
      <c r="F40" s="2">
        <v>29.123432690546529</v>
      </c>
      <c r="G40" s="2">
        <v>-63.452599998781821</v>
      </c>
      <c r="H40" s="2">
        <v>-110217779.15000001</v>
      </c>
      <c r="I40" s="2">
        <v>25.28959191515543</v>
      </c>
      <c r="J40" s="2">
        <v>1737009.66</v>
      </c>
      <c r="K40" s="2">
        <v>12.80923576955966</v>
      </c>
      <c r="L40" s="2">
        <v>1.575979550119614E-2</v>
      </c>
    </row>
    <row r="41" spans="1:13" s="3" customFormat="1" x14ac:dyDescent="0.3">
      <c r="A41" s="3" t="s">
        <v>17</v>
      </c>
      <c r="B41" s="3">
        <v>216</v>
      </c>
      <c r="C41" s="3">
        <v>25.806451612903221</v>
      </c>
      <c r="D41" s="3">
        <v>20.85714285714662</v>
      </c>
      <c r="E41" s="3">
        <v>27.876636521799998</v>
      </c>
      <c r="F41" s="3">
        <v>25.44870525644453</v>
      </c>
      <c r="G41" s="3">
        <v>-28.807020921533031</v>
      </c>
      <c r="H41" s="3">
        <v>-105837652.53</v>
      </c>
      <c r="I41" s="3">
        <v>24.284566994395998</v>
      </c>
      <c r="J41" s="3">
        <v>3674022.83</v>
      </c>
      <c r="K41" s="3">
        <v>27.093358048575741</v>
      </c>
      <c r="L41" s="3">
        <v>3.4713759632552188E-2</v>
      </c>
    </row>
    <row r="42" spans="1:13" s="4" customFormat="1" x14ac:dyDescent="0.3">
      <c r="A42" s="4" t="s">
        <v>18</v>
      </c>
      <c r="B42" s="4">
        <v>47</v>
      </c>
      <c r="C42" s="4">
        <v>5.6152927120669061</v>
      </c>
      <c r="D42" s="4">
        <v>22.000000000002721</v>
      </c>
      <c r="E42" s="4">
        <v>27.10441818918919</v>
      </c>
      <c r="F42" s="4">
        <v>25.65633327316327</v>
      </c>
      <c r="G42" s="4">
        <v>-15.67137126678792</v>
      </c>
      <c r="H42" s="4">
        <v>-13209962.539999999</v>
      </c>
      <c r="I42" s="4">
        <v>3.031040585534154</v>
      </c>
      <c r="J42" s="4">
        <v>842935.97</v>
      </c>
      <c r="K42" s="4">
        <v>6.2160653604957314</v>
      </c>
      <c r="L42" s="4">
        <v>6.3810625310069952E-2</v>
      </c>
    </row>
    <row r="43" spans="1:13" s="5" customFormat="1" x14ac:dyDescent="0.3">
      <c r="A43" s="5" t="s">
        <v>19</v>
      </c>
      <c r="B43" s="5">
        <v>63</v>
      </c>
      <c r="C43" s="5">
        <v>7.5268817204301079</v>
      </c>
      <c r="D43" s="5">
        <v>23.285714285715841</v>
      </c>
      <c r="E43" s="5">
        <v>30.26708460773585</v>
      </c>
      <c r="F43" s="5">
        <v>28.46653807777188</v>
      </c>
      <c r="G43" s="5">
        <v>-22.733693984222779</v>
      </c>
      <c r="H43" s="5">
        <v>-28900915.949999999</v>
      </c>
      <c r="I43" s="5">
        <v>6.631347283408827</v>
      </c>
      <c r="J43" s="5">
        <v>1271281.1200000001</v>
      </c>
      <c r="K43" s="5">
        <v>9.3748123401166747</v>
      </c>
      <c r="L43" s="5">
        <v>4.3987571957905383E-2</v>
      </c>
    </row>
    <row r="44" spans="1:13" s="2" customFormat="1" x14ac:dyDescent="0.3">
      <c r="A44" s="2" t="s">
        <v>20</v>
      </c>
      <c r="B44" s="2">
        <v>58</v>
      </c>
      <c r="C44" s="2">
        <v>6.9295101553166063</v>
      </c>
      <c r="D44" s="2">
        <v>22.785714285716288</v>
      </c>
      <c r="E44" s="2">
        <v>30.468528178979589</v>
      </c>
      <c r="F44" s="2">
        <v>29.029596604061179</v>
      </c>
      <c r="G44" s="2">
        <v>-30.273309985890801</v>
      </c>
      <c r="H44" s="2">
        <v>-28683829.219999999</v>
      </c>
      <c r="I44" s="2">
        <v>6.5815364919536314</v>
      </c>
      <c r="J44" s="2">
        <v>947495.64</v>
      </c>
      <c r="K44" s="2">
        <v>6.9871200620667953</v>
      </c>
      <c r="L44" s="2">
        <v>3.3032397199581433E-2</v>
      </c>
    </row>
    <row r="45" spans="1:13" x14ac:dyDescent="0.3">
      <c r="J45" s="7"/>
      <c r="K45" s="10">
        <f>SUM(J37:J44)/SUM(J4:J11,J15:J22,J26:J33,J37:J44)</f>
        <v>0.36900353015112097</v>
      </c>
    </row>
    <row r="47" spans="1:13" x14ac:dyDescent="0.3">
      <c r="A47" s="6" t="s">
        <v>27</v>
      </c>
      <c r="C47" t="s">
        <v>2</v>
      </c>
      <c r="G47" t="s">
        <v>6</v>
      </c>
      <c r="H47" t="s">
        <v>7</v>
      </c>
      <c r="I47" t="s">
        <v>8</v>
      </c>
      <c r="J47" t="s">
        <v>29</v>
      </c>
      <c r="K47" t="s">
        <v>30</v>
      </c>
      <c r="L47" t="s">
        <v>11</v>
      </c>
      <c r="M47" t="s">
        <v>31</v>
      </c>
    </row>
    <row r="48" spans="1:13" s="3" customFormat="1" x14ac:dyDescent="0.3">
      <c r="A48" s="3" t="s">
        <v>13</v>
      </c>
      <c r="C48" s="16">
        <f>(C4*$K$12+C15*$K$23+C26*$K$34+C37*$K$45)/100</f>
        <v>0.26151459448722325</v>
      </c>
      <c r="G48" s="12">
        <f>G15*$K$23+G26*$K$34+G37*$K$45+G4*$K$12</f>
        <v>-15.909640480649621</v>
      </c>
      <c r="H48" s="15">
        <f>H4+H15+H26+H37</f>
        <v>-144551096.80333102</v>
      </c>
      <c r="I48" s="16">
        <f>H48/SUM($H$48:$H$55)</f>
        <v>0.20999338736305576</v>
      </c>
      <c r="J48" s="17">
        <f>J4*$D$1+J15*$D$12+J26*$D$23+J37*$D$34</f>
        <v>0</v>
      </c>
      <c r="K48" s="16" t="e">
        <f>J48/SUM($J$48:$J$55)</f>
        <v>#DIV/0!</v>
      </c>
      <c r="L48" s="16">
        <f>L4*$K$12+L15*$K$23+L26*$K$34+L37*$K$45</f>
        <v>8.3369476946112658E-2</v>
      </c>
      <c r="M48" s="17">
        <f>J4+J15+J26+J37</f>
        <v>9272108.9699999988</v>
      </c>
    </row>
    <row r="49" spans="1:13" s="4" customFormat="1" x14ac:dyDescent="0.3">
      <c r="A49" s="4" t="s">
        <v>14</v>
      </c>
      <c r="C49" s="19">
        <f>(C5*$K$12+C16*$K$23+C27*$K$34+C38*$K$45)/100</f>
        <v>9.5370078395331057E-2</v>
      </c>
      <c r="G49" s="13">
        <f>G16*$K$23+G27*$K$34+G38*$K$45+G5*$K$12</f>
        <v>-11.263649449564788</v>
      </c>
      <c r="H49" s="18">
        <f>H5+H16+H27+H38</f>
        <v>-41660739.097109005</v>
      </c>
      <c r="I49" s="19">
        <f t="shared" ref="I49:I55" si="0">H49/SUM($H$48:$H$55)</f>
        <v>6.0521711121660708E-2</v>
      </c>
      <c r="J49" s="20">
        <f>J5*$D$1+J16*$D$12+J27*$D$23+J38*$D$34</f>
        <v>0</v>
      </c>
      <c r="K49" s="19" t="e">
        <f t="shared" ref="K49:K55" si="1">J49/SUM($J$48:$J$55)</f>
        <v>#DIV/0!</v>
      </c>
      <c r="L49" s="19">
        <f>L5*$K$12+L16*$K$23+L27*$K$34+L38*$K$45</f>
        <v>0.13402008066977281</v>
      </c>
      <c r="M49" s="20">
        <f>J5+J16+J27+J38</f>
        <v>3557068.6100000003</v>
      </c>
    </row>
    <row r="50" spans="1:13" s="5" customFormat="1" x14ac:dyDescent="0.3">
      <c r="A50" s="5" t="s">
        <v>15</v>
      </c>
      <c r="C50" s="22">
        <f>(C6*$K$12+C17*$K$23+C28*$K$34+C39*$K$45)/100</f>
        <v>6.8098236005078777E-2</v>
      </c>
      <c r="G50" s="14">
        <f>G17*$K$23+G28*$K$34+G39*$K$45+G6*$K$12</f>
        <v>-38.135502285506774</v>
      </c>
      <c r="H50" s="21">
        <f>H6+H17+H28+H39</f>
        <v>-101980072.24003899</v>
      </c>
      <c r="I50" s="22">
        <f t="shared" si="0"/>
        <v>0.14814927929845653</v>
      </c>
      <c r="J50" s="23">
        <f>J6*$D$1+J17*$D$12+J28*$D$23+J39*$D$34</f>
        <v>0</v>
      </c>
      <c r="K50" s="22" t="e">
        <f t="shared" si="1"/>
        <v>#DIV/0!</v>
      </c>
      <c r="L50" s="22">
        <f>L6*$K$12+L17*$K$23+L28*$K$34+L39*$K$45</f>
        <v>3.0288590817420621E-2</v>
      </c>
      <c r="M50" s="23">
        <f>J6+J17+J28+J39</f>
        <v>2811115.7199999997</v>
      </c>
    </row>
    <row r="51" spans="1:13" s="2" customFormat="1" x14ac:dyDescent="0.3">
      <c r="A51" s="2" t="s">
        <v>16</v>
      </c>
      <c r="C51" s="25">
        <f>(C7*$K$12+C18*$K$23+C29*$K$34+C40*$K$45)/100</f>
        <v>0.12849904409086632</v>
      </c>
      <c r="G51" s="11">
        <f>G18*$K$23+G29*$K$34+G40*$K$45+G7*$K$12</f>
        <v>-38.976819906963179</v>
      </c>
      <c r="H51" s="24">
        <f>H7+H18+H29+H40</f>
        <v>-183350243.98216102</v>
      </c>
      <c r="I51" s="25">
        <f t="shared" si="0"/>
        <v>0.26635798454051907</v>
      </c>
      <c r="J51" s="26">
        <f>J7*$D$1+J18*$D$12+J29*$D$23+J40*$D$34</f>
        <v>0</v>
      </c>
      <c r="K51" s="25" t="e">
        <f t="shared" si="1"/>
        <v>#DIV/0!</v>
      </c>
      <c r="L51" s="25">
        <f>L7*$K$12+L18*$K$23+L29*$K$34+L40*$K$45</f>
        <v>4.7165707117615752E-2</v>
      </c>
      <c r="M51" s="26">
        <f>J7+J18+J29+J40</f>
        <v>4840603.5600000005</v>
      </c>
    </row>
    <row r="52" spans="1:13" s="3" customFormat="1" x14ac:dyDescent="0.3">
      <c r="A52" s="3" t="s">
        <v>17</v>
      </c>
      <c r="C52" s="16">
        <f>(C8*$K$12+C19*$K$23+C30*$K$34+C41*$K$45)/100</f>
        <v>0.22817487761220867</v>
      </c>
      <c r="G52" s="12">
        <f>G19*$K$23+G30*$K$34+G41*$K$45+G8*$K$12</f>
        <v>-13.258563515570327</v>
      </c>
      <c r="H52" s="15">
        <f>H8+H19+H30+H41</f>
        <v>-119806064.758387</v>
      </c>
      <c r="I52" s="16">
        <f t="shared" si="0"/>
        <v>0.17404559302293413</v>
      </c>
      <c r="J52" s="17">
        <f>J8*$D$1+J19*$D$12+J30*$D$23+J41*$D$34</f>
        <v>0</v>
      </c>
      <c r="K52" s="16" t="e">
        <f t="shared" si="1"/>
        <v>#DIV/0!</v>
      </c>
      <c r="L52" s="16">
        <f>L8*$K$12+L19*$K$23+L30*$K$34+L41*$K$45</f>
        <v>8.7623648710115881E-2</v>
      </c>
      <c r="M52" s="17">
        <f>J8+J19+J30+J41</f>
        <v>8290140.5800000001</v>
      </c>
    </row>
    <row r="53" spans="1:13" s="4" customFormat="1" x14ac:dyDescent="0.3">
      <c r="A53" s="4" t="s">
        <v>18</v>
      </c>
      <c r="C53" s="19">
        <f>(C9*$K$12+C20*$K$23+C31*$K$34+C42*$K$45)/100</f>
        <v>9.7420031622296469E-2</v>
      </c>
      <c r="G53" s="13">
        <f>G20*$K$23+G31*$K$34+G42*$K$45+G9*$K$12</f>
        <v>-5.6957887676498027</v>
      </c>
      <c r="H53" s="18">
        <f>H9+H20+H31+H42</f>
        <v>-11244622.919348869</v>
      </c>
      <c r="I53" s="19">
        <f t="shared" si="0"/>
        <v>1.6335375577723795E-2</v>
      </c>
      <c r="J53" s="20">
        <f>J9*$D$1+J20*$D$12+J31*$D$23+J42*$D$34</f>
        <v>0</v>
      </c>
      <c r="K53" s="19" t="e">
        <f t="shared" si="1"/>
        <v>#DIV/0!</v>
      </c>
      <c r="L53" s="19">
        <f>L9*$K$12+L20*$K$23+L31*$K$34+L42*$K$45</f>
        <v>0.48132876198165342</v>
      </c>
      <c r="M53" s="20">
        <f>J9+J20+J31+J42</f>
        <v>3422237.01</v>
      </c>
    </row>
    <row r="54" spans="1:13" s="5" customFormat="1" x14ac:dyDescent="0.3">
      <c r="A54" s="5" t="s">
        <v>19</v>
      </c>
      <c r="C54" s="22">
        <f>(C10*$K$12+C21*$K$23+C32*$K$34+C43*$K$45)/100</f>
        <v>6.4218097419403791E-2</v>
      </c>
      <c r="G54" s="14">
        <f>G21*$K$23+G32*$K$34+G43*$K$45+G10*$K$12</f>
        <v>-17.781501449419761</v>
      </c>
      <c r="H54" s="21">
        <f>H10+H21+H32+H43</f>
        <v>-45532349.166600004</v>
      </c>
      <c r="I54" s="22">
        <f t="shared" si="0"/>
        <v>6.6146106446363609E-2</v>
      </c>
      <c r="J54" s="23">
        <f>J10*$D$1+J21*$D$12+J32*$D$23+J43*$D$34</f>
        <v>0</v>
      </c>
      <c r="K54" s="22" t="e">
        <f t="shared" si="1"/>
        <v>#DIV/0!</v>
      </c>
      <c r="L54" s="22">
        <f>L10*$K$12+L21*$K$23+L32*$K$34+L43*$K$45</f>
        <v>6.4130003085602127E-2</v>
      </c>
      <c r="M54" s="23">
        <f>J10+J21+J32+J43</f>
        <v>2554876.23</v>
      </c>
    </row>
    <row r="55" spans="1:13" s="2" customFormat="1" x14ac:dyDescent="0.3">
      <c r="A55" s="2" t="s">
        <v>20</v>
      </c>
      <c r="C55" s="25">
        <f>(C11*$K$12+C22*$K$23+C33*$K$34+C44*$K$45)/100</f>
        <v>5.6705040367591622E-2</v>
      </c>
      <c r="G55" s="11">
        <f>G22*$K$23+G33*$K$34+G44*$K$45+G11*$K$12</f>
        <v>-19.817299761341626</v>
      </c>
      <c r="H55" s="24">
        <f>H11+H22+H33+H44</f>
        <v>-40235042.840790004</v>
      </c>
      <c r="I55" s="25">
        <f t="shared" si="0"/>
        <v>5.8450562629286516E-2</v>
      </c>
      <c r="J55" s="26">
        <f>J11*$D$1+J22*$D$12+J33*$D$23+J44*$D$34</f>
        <v>0</v>
      </c>
      <c r="K55" s="25" t="e">
        <f t="shared" si="1"/>
        <v>#DIV/0!</v>
      </c>
      <c r="L55" s="25">
        <f>L11*$K$12+L22*$K$23+L33*$K$34+L44*$K$45</f>
        <v>0.10745321823005469</v>
      </c>
      <c r="M55" s="26">
        <f>J11+J22+J33+J44</f>
        <v>2001100.4300000002</v>
      </c>
    </row>
    <row r="57" spans="1:13" s="3" customFormat="1" x14ac:dyDescent="0.3">
      <c r="A57" s="3" t="s">
        <v>13</v>
      </c>
      <c r="C57" s="16">
        <f>C48</f>
        <v>0.26151459448722325</v>
      </c>
      <c r="D57" s="16"/>
      <c r="E57" s="16"/>
      <c r="F57" s="16"/>
      <c r="G57" s="12">
        <f t="shared" ref="G57:M57" si="2">G48</f>
        <v>-15.909640480649621</v>
      </c>
      <c r="H57" s="15">
        <f t="shared" si="2"/>
        <v>-144551096.80333102</v>
      </c>
      <c r="I57" s="16">
        <f t="shared" si="2"/>
        <v>0.20999338736305576</v>
      </c>
      <c r="J57" s="15">
        <f t="shared" si="2"/>
        <v>0</v>
      </c>
      <c r="K57" s="16" t="e">
        <f t="shared" si="2"/>
        <v>#DIV/0!</v>
      </c>
      <c r="L57" s="16">
        <f t="shared" si="2"/>
        <v>8.3369476946112658E-2</v>
      </c>
      <c r="M57" s="15">
        <f t="shared" si="2"/>
        <v>9272108.9699999988</v>
      </c>
    </row>
    <row r="58" spans="1:13" s="27" customFormat="1" x14ac:dyDescent="0.3">
      <c r="A58" s="27" t="s">
        <v>28</v>
      </c>
      <c r="C58" s="28">
        <f>C49+C50</f>
        <v>0.16346831440040982</v>
      </c>
      <c r="G58" s="29">
        <f>(G5*B5+G6*B6)/(B5+B6)*$K$12+(G16*B16+G17*B17)/(B16+B17)*$K$23+(G27*B27+G28*B28)/(B27+B28)*$K$34+(G38*B38+G39*B39)/(B38+B39)*$K$45</f>
        <v>-22.360184774607738</v>
      </c>
      <c r="H58" s="30">
        <f>H49+H50</f>
        <v>-143640811.33714801</v>
      </c>
      <c r="I58" s="28">
        <f>I49+I50</f>
        <v>0.20867099042011725</v>
      </c>
      <c r="J58" s="30">
        <f>J49+J50</f>
        <v>0</v>
      </c>
      <c r="K58" s="28" t="e">
        <f>J58/SUM($J$57:$J$62)</f>
        <v>#DIV/0!</v>
      </c>
      <c r="L58" s="28">
        <f>(L5*B5+L6*B6)/(B5+B6)*$K$12+(L16*B16+L17*B17)/(B16+B17)*$K$23+(L27*B27+L28*B28)/(B27+B28)*$K$34+(L38*B38+L39*B39)/(B38+B39)*$K$45</f>
        <v>8.8531121730257553E-2</v>
      </c>
      <c r="M58" s="30">
        <f>M49+M50</f>
        <v>6368184.3300000001</v>
      </c>
    </row>
    <row r="59" spans="1:13" s="2" customFormat="1" x14ac:dyDescent="0.3">
      <c r="A59" s="2" t="s">
        <v>16</v>
      </c>
      <c r="C59" s="25">
        <f>C51</f>
        <v>0.12849904409086632</v>
      </c>
      <c r="D59" s="25"/>
      <c r="E59" s="25"/>
      <c r="F59" s="25"/>
      <c r="G59" s="11">
        <f t="shared" ref="G59:M60" si="3">G51</f>
        <v>-38.976819906963179</v>
      </c>
      <c r="H59" s="24">
        <f t="shared" si="3"/>
        <v>-183350243.98216102</v>
      </c>
      <c r="I59" s="25">
        <f t="shared" si="3"/>
        <v>0.26635798454051907</v>
      </c>
      <c r="J59" s="24">
        <f t="shared" si="3"/>
        <v>0</v>
      </c>
      <c r="K59" s="25" t="e">
        <f t="shared" si="3"/>
        <v>#DIV/0!</v>
      </c>
      <c r="L59" s="25">
        <f t="shared" si="3"/>
        <v>4.7165707117615752E-2</v>
      </c>
      <c r="M59" s="24">
        <f t="shared" si="3"/>
        <v>4840603.5600000005</v>
      </c>
    </row>
    <row r="60" spans="1:13" s="3" customFormat="1" x14ac:dyDescent="0.3">
      <c r="A60" s="3" t="s">
        <v>17</v>
      </c>
      <c r="C60" s="16">
        <f>C52</f>
        <v>0.22817487761220867</v>
      </c>
      <c r="D60" s="16"/>
      <c r="E60" s="16"/>
      <c r="F60" s="16"/>
      <c r="G60" s="12">
        <f t="shared" si="3"/>
        <v>-13.258563515570327</v>
      </c>
      <c r="H60" s="15">
        <f t="shared" si="3"/>
        <v>-119806064.758387</v>
      </c>
      <c r="I60" s="16">
        <f t="shared" si="3"/>
        <v>0.17404559302293413</v>
      </c>
      <c r="J60" s="15">
        <f t="shared" si="3"/>
        <v>0</v>
      </c>
      <c r="K60" s="16" t="e">
        <f t="shared" si="3"/>
        <v>#DIV/0!</v>
      </c>
      <c r="L60" s="16">
        <f t="shared" si="3"/>
        <v>8.7623648710115881E-2</v>
      </c>
      <c r="M60" s="15">
        <f t="shared" si="3"/>
        <v>8290140.5800000001</v>
      </c>
    </row>
    <row r="61" spans="1:13" s="27" customFormat="1" x14ac:dyDescent="0.3">
      <c r="A61" s="27" t="s">
        <v>28</v>
      </c>
      <c r="C61" s="28">
        <f>C53+C54</f>
        <v>0.16163812904170027</v>
      </c>
      <c r="G61" s="29">
        <f>(G9*B9+G10*B10)/(B9+B10)*$K$12+(G20*B20+G21*B21)/(B20+B21)*$K$23+(G31*B31+G32*B32)/(B31+B32)*$K$34+(G42*B42+G43*B43)/(B42+B43)*$K$45</f>
        <v>-9.808634189050812</v>
      </c>
      <c r="H61" s="30">
        <f>H53+H54</f>
        <v>-56776972.08594887</v>
      </c>
      <c r="I61" s="28">
        <f>I53+I54</f>
        <v>8.2481482024087407E-2</v>
      </c>
      <c r="J61" s="30">
        <f>J53+J54</f>
        <v>0</v>
      </c>
      <c r="K61" s="28" t="e">
        <f>J61/SUM($J$57:$J$62)</f>
        <v>#DIV/0!</v>
      </c>
      <c r="L61" s="28">
        <f>(L9*B9+L10*B10)/(B9+B10)*$K$12+(L20*B20+L21*B21)/(B20+B21)*$K$23+(L31*B31+L32*B32)/(B31+B32)*$K$34+(L42*B42+L43*B43)/(B42+B43)*$K$45</f>
        <v>0.31375655617396947</v>
      </c>
      <c r="M61" s="30">
        <f>M53+M54</f>
        <v>5977113.2400000002</v>
      </c>
    </row>
    <row r="62" spans="1:13" s="2" customFormat="1" x14ac:dyDescent="0.3">
      <c r="A62" s="2" t="s">
        <v>20</v>
      </c>
      <c r="C62" s="25">
        <f>C55</f>
        <v>5.6705040367591622E-2</v>
      </c>
      <c r="D62" s="25"/>
      <c r="E62" s="25"/>
      <c r="F62" s="25"/>
      <c r="G62" s="11">
        <f t="shared" ref="G62:M62" si="4">G55</f>
        <v>-19.817299761341626</v>
      </c>
      <c r="H62" s="24">
        <f t="shared" si="4"/>
        <v>-40235042.840790004</v>
      </c>
      <c r="I62" s="25">
        <f t="shared" si="4"/>
        <v>5.8450562629286516E-2</v>
      </c>
      <c r="J62" s="24">
        <f t="shared" si="4"/>
        <v>0</v>
      </c>
      <c r="K62" s="25" t="e">
        <f t="shared" si="4"/>
        <v>#DIV/0!</v>
      </c>
      <c r="L62" s="25">
        <f t="shared" si="4"/>
        <v>0.10745321823005469</v>
      </c>
      <c r="M62" s="24">
        <f t="shared" si="4"/>
        <v>2001100.4300000002</v>
      </c>
    </row>
    <row r="64" spans="1:13" x14ac:dyDescent="0.3">
      <c r="A64" s="42" t="s">
        <v>59</v>
      </c>
      <c r="B64" s="42">
        <f>C57*G57+C58*G58+C59*G59+C60*G60+C61*G61+C62*G62</f>
        <v>-18.558730162463171</v>
      </c>
    </row>
  </sheetData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657A-3ED8-40E2-A89C-FEFE5CF0A137}">
  <dimension ref="A1:R37"/>
  <sheetViews>
    <sheetView workbookViewId="0">
      <selection activeCell="P3" sqref="P3"/>
    </sheetView>
  </sheetViews>
  <sheetFormatPr defaultRowHeight="14.4" x14ac:dyDescent="0.3"/>
  <cols>
    <col min="1" max="1" width="12.5546875" bestFit="1" customWidth="1"/>
    <col min="2" max="2" width="14" bestFit="1" customWidth="1"/>
    <col min="6" max="6" width="10.21875" bestFit="1" customWidth="1"/>
    <col min="8" max="8" width="14.5546875" bestFit="1" customWidth="1"/>
    <col min="9" max="9" width="26.5546875" bestFit="1" customWidth="1"/>
    <col min="11" max="11" width="12.5546875" bestFit="1" customWidth="1"/>
    <col min="12" max="12" width="14.6640625" bestFit="1" customWidth="1"/>
    <col min="15" max="15" width="10.21875" bestFit="1" customWidth="1"/>
    <col min="17" max="17" width="14.5546875" bestFit="1" customWidth="1"/>
    <col min="18" max="18" width="26.5546875" bestFit="1" customWidth="1"/>
  </cols>
  <sheetData>
    <row r="1" spans="1:18" x14ac:dyDescent="0.3">
      <c r="A1" s="63" t="s">
        <v>82</v>
      </c>
      <c r="B1" t="s">
        <v>84</v>
      </c>
      <c r="E1" t="s">
        <v>83</v>
      </c>
      <c r="K1" s="63" t="s">
        <v>82</v>
      </c>
      <c r="L1" t="s">
        <v>81</v>
      </c>
      <c r="N1" t="s">
        <v>80</v>
      </c>
    </row>
    <row r="2" spans="1:18" x14ac:dyDescent="0.3">
      <c r="A2" s="62">
        <v>1</v>
      </c>
      <c r="B2">
        <v>24</v>
      </c>
      <c r="E2" t="s">
        <v>79</v>
      </c>
      <c r="F2" t="s">
        <v>78</v>
      </c>
      <c r="G2" t="s">
        <v>77</v>
      </c>
      <c r="H2" t="s">
        <v>76</v>
      </c>
      <c r="I2" t="s">
        <v>75</v>
      </c>
      <c r="K2" s="62">
        <v>1</v>
      </c>
      <c r="L2">
        <v>144</v>
      </c>
      <c r="N2" t="s">
        <v>79</v>
      </c>
      <c r="O2" t="s">
        <v>78</v>
      </c>
      <c r="P2" t="s">
        <v>77</v>
      </c>
      <c r="Q2" t="s">
        <v>76</v>
      </c>
      <c r="R2" t="s">
        <v>75</v>
      </c>
    </row>
    <row r="3" spans="1:18" x14ac:dyDescent="0.3">
      <c r="A3" s="62">
        <v>2</v>
      </c>
      <c r="B3">
        <v>20</v>
      </c>
      <c r="E3">
        <v>1</v>
      </c>
      <c r="F3">
        <v>24</v>
      </c>
      <c r="G3" s="9">
        <f>F3/SUM($F$3:$F$31)</f>
        <v>8.0808080808080815E-2</v>
      </c>
      <c r="H3" s="61">
        <f>1/E3</f>
        <v>1</v>
      </c>
      <c r="I3" s="9">
        <f>G3*H3</f>
        <v>8.0808080808080815E-2</v>
      </c>
      <c r="K3" s="62">
        <v>2</v>
      </c>
      <c r="L3">
        <v>72</v>
      </c>
      <c r="N3" s="62">
        <v>1</v>
      </c>
      <c r="O3">
        <v>144</v>
      </c>
      <c r="P3" s="64">
        <f>O3/SUM($O$3:$O$37)</f>
        <v>0.29937629937629939</v>
      </c>
      <c r="Q3" s="61">
        <f>1/N3</f>
        <v>1</v>
      </c>
      <c r="R3" s="9">
        <f>P3*Q3</f>
        <v>0.29937629937629939</v>
      </c>
    </row>
    <row r="4" spans="1:18" x14ac:dyDescent="0.3">
      <c r="A4" s="62">
        <v>3</v>
      </c>
      <c r="B4">
        <v>19</v>
      </c>
      <c r="E4">
        <v>2</v>
      </c>
      <c r="F4">
        <v>20</v>
      </c>
      <c r="G4" s="9">
        <f>F4/SUM($F$3:$F$31)</f>
        <v>6.7340067340067339E-2</v>
      </c>
      <c r="H4" s="61">
        <f>1/E4</f>
        <v>0.5</v>
      </c>
      <c r="I4" s="9">
        <f>G4*H4+I3</f>
        <v>0.11447811447811448</v>
      </c>
      <c r="K4" s="62">
        <v>3</v>
      </c>
      <c r="L4">
        <v>45</v>
      </c>
      <c r="N4" s="62">
        <v>2</v>
      </c>
      <c r="O4">
        <v>72</v>
      </c>
      <c r="P4" s="64">
        <f>O4/SUM($O$3:$O$37)</f>
        <v>0.1496881496881497</v>
      </c>
      <c r="Q4" s="61">
        <f>1/N4</f>
        <v>0.5</v>
      </c>
      <c r="R4" s="9">
        <f>P4*Q4+R3</f>
        <v>0.37422037422037424</v>
      </c>
    </row>
    <row r="5" spans="1:18" x14ac:dyDescent="0.3">
      <c r="A5" s="62">
        <v>4</v>
      </c>
      <c r="B5">
        <v>19</v>
      </c>
      <c r="E5">
        <v>3</v>
      </c>
      <c r="F5">
        <v>19</v>
      </c>
      <c r="G5" s="9">
        <f>F5/SUM($F$3:$F$31)</f>
        <v>6.3973063973063973E-2</v>
      </c>
      <c r="H5" s="61">
        <f>1/E5</f>
        <v>0.33333333333333331</v>
      </c>
      <c r="I5" s="9">
        <f>G5*H5+I4</f>
        <v>0.13580246913580246</v>
      </c>
      <c r="K5" s="62">
        <v>4</v>
      </c>
      <c r="L5">
        <v>36</v>
      </c>
      <c r="N5" s="62">
        <v>3</v>
      </c>
      <c r="O5">
        <v>45</v>
      </c>
      <c r="P5" s="9">
        <f>O5/SUM($O$3:$O$37)</f>
        <v>9.355509355509356E-2</v>
      </c>
      <c r="Q5" s="61">
        <f>1/N5</f>
        <v>0.33333333333333331</v>
      </c>
      <c r="R5" s="9">
        <f>P5*Q5+R4</f>
        <v>0.40540540540540543</v>
      </c>
    </row>
    <row r="6" spans="1:18" x14ac:dyDescent="0.3">
      <c r="A6" s="62">
        <v>5</v>
      </c>
      <c r="B6">
        <v>19</v>
      </c>
      <c r="E6">
        <v>4</v>
      </c>
      <c r="F6">
        <v>19</v>
      </c>
      <c r="G6" s="9">
        <f>F6/SUM($F$3:$F$31)</f>
        <v>6.3973063973063973E-2</v>
      </c>
      <c r="H6" s="61">
        <f>1/E6</f>
        <v>0.25</v>
      </c>
      <c r="I6" s="9">
        <f>G6*H6+I5</f>
        <v>0.15179573512906847</v>
      </c>
      <c r="K6" s="62">
        <v>5</v>
      </c>
      <c r="L6">
        <v>25</v>
      </c>
      <c r="N6" s="62">
        <v>4</v>
      </c>
      <c r="O6">
        <v>36</v>
      </c>
      <c r="P6" s="9">
        <f>O6/SUM($O$3:$O$37)</f>
        <v>7.4844074844074848E-2</v>
      </c>
      <c r="Q6" s="61">
        <f>1/N6</f>
        <v>0.25</v>
      </c>
      <c r="R6" s="9">
        <f>P6*Q6+R5</f>
        <v>0.42411642411642414</v>
      </c>
    </row>
    <row r="7" spans="1:18" x14ac:dyDescent="0.3">
      <c r="A7" s="62">
        <v>6</v>
      </c>
      <c r="B7">
        <v>19</v>
      </c>
      <c r="E7">
        <v>5</v>
      </c>
      <c r="F7">
        <v>19</v>
      </c>
      <c r="G7" s="9">
        <f>F7/SUM($F$3:$F$31)</f>
        <v>6.3973063973063973E-2</v>
      </c>
      <c r="H7" s="61">
        <f>1/E7</f>
        <v>0.2</v>
      </c>
      <c r="I7" s="9">
        <f>G7*H7+I6</f>
        <v>0.16459034792368127</v>
      </c>
      <c r="K7" s="62">
        <v>6</v>
      </c>
      <c r="L7">
        <v>19</v>
      </c>
      <c r="N7" s="62">
        <v>5</v>
      </c>
      <c r="O7">
        <v>25</v>
      </c>
      <c r="P7" s="9">
        <f>O7/SUM($O$3:$O$37)</f>
        <v>5.1975051975051978E-2</v>
      </c>
      <c r="Q7" s="61">
        <f>1/N7</f>
        <v>0.2</v>
      </c>
      <c r="R7" s="9">
        <f>P7*Q7+R6</f>
        <v>0.43451143451143454</v>
      </c>
    </row>
    <row r="8" spans="1:18" x14ac:dyDescent="0.3">
      <c r="A8" s="62">
        <v>7</v>
      </c>
      <c r="B8">
        <v>18</v>
      </c>
      <c r="E8">
        <v>6</v>
      </c>
      <c r="F8">
        <v>19</v>
      </c>
      <c r="G8" s="9">
        <f>F8/SUM($F$3:$F$31)</f>
        <v>6.3973063973063973E-2</v>
      </c>
      <c r="H8" s="61">
        <f>1/E8</f>
        <v>0.16666666666666666</v>
      </c>
      <c r="I8" s="9">
        <f>G8*H8+I7</f>
        <v>0.17525252525252527</v>
      </c>
      <c r="K8" s="62">
        <v>7</v>
      </c>
      <c r="L8">
        <v>16</v>
      </c>
      <c r="N8" s="62">
        <v>6</v>
      </c>
      <c r="O8">
        <v>19</v>
      </c>
      <c r="P8" s="9">
        <f>O8/SUM($O$3:$O$37)</f>
        <v>3.9501039501039503E-2</v>
      </c>
      <c r="Q8" s="61">
        <f>1/N8</f>
        <v>0.16666666666666666</v>
      </c>
      <c r="R8" s="9">
        <f>P8*Q8+R7</f>
        <v>0.44109494109494113</v>
      </c>
    </row>
    <row r="9" spans="1:18" x14ac:dyDescent="0.3">
      <c r="A9" s="62">
        <v>8</v>
      </c>
      <c r="B9">
        <v>17</v>
      </c>
      <c r="E9">
        <v>7</v>
      </c>
      <c r="F9">
        <v>18</v>
      </c>
      <c r="G9" s="9">
        <f>F9/SUM($F$3:$F$31)</f>
        <v>6.0606060606060608E-2</v>
      </c>
      <c r="H9" s="61">
        <f>1/E9</f>
        <v>0.14285714285714285</v>
      </c>
      <c r="I9" s="9">
        <f>G9*H9+I8</f>
        <v>0.18391053391053394</v>
      </c>
      <c r="K9" s="62">
        <v>8</v>
      </c>
      <c r="L9">
        <v>13</v>
      </c>
      <c r="N9" s="62">
        <v>7</v>
      </c>
      <c r="O9">
        <v>16</v>
      </c>
      <c r="P9" s="9">
        <f>O9/SUM($O$3:$O$37)</f>
        <v>3.3264033264033266E-2</v>
      </c>
      <c r="Q9" s="61">
        <f>1/N9</f>
        <v>0.14285714285714285</v>
      </c>
      <c r="R9" s="9">
        <f>P9*Q9+R8</f>
        <v>0.4458469458469459</v>
      </c>
    </row>
    <row r="10" spans="1:18" x14ac:dyDescent="0.3">
      <c r="A10" s="62">
        <v>9</v>
      </c>
      <c r="B10">
        <v>16</v>
      </c>
      <c r="E10">
        <v>8</v>
      </c>
      <c r="F10">
        <v>17</v>
      </c>
      <c r="G10" s="9">
        <f>F10/SUM($F$3:$F$31)</f>
        <v>5.7239057239057242E-2</v>
      </c>
      <c r="H10" s="61">
        <f>1/E10</f>
        <v>0.125</v>
      </c>
      <c r="I10" s="9">
        <f>G10*H10+I9</f>
        <v>0.1910654160654161</v>
      </c>
      <c r="K10" s="62">
        <v>9</v>
      </c>
      <c r="L10">
        <v>13</v>
      </c>
      <c r="N10" s="62">
        <v>8</v>
      </c>
      <c r="O10">
        <v>13</v>
      </c>
      <c r="P10" s="9">
        <f>O10/SUM($O$3:$O$37)</f>
        <v>2.7027027027027029E-2</v>
      </c>
      <c r="Q10" s="61">
        <f>1/N10</f>
        <v>0.125</v>
      </c>
      <c r="R10" s="9">
        <f>P10*Q10+R9</f>
        <v>0.4492253242253243</v>
      </c>
    </row>
    <row r="11" spans="1:18" x14ac:dyDescent="0.3">
      <c r="A11" s="62">
        <v>10</v>
      </c>
      <c r="B11">
        <v>15</v>
      </c>
      <c r="E11">
        <v>9</v>
      </c>
      <c r="F11">
        <v>16</v>
      </c>
      <c r="G11" s="9">
        <f>F11/SUM($F$3:$F$31)</f>
        <v>5.387205387205387E-2</v>
      </c>
      <c r="H11" s="61">
        <f>1/E11</f>
        <v>0.1111111111111111</v>
      </c>
      <c r="I11" s="9">
        <f>G11*H11+I10</f>
        <v>0.19705119982897765</v>
      </c>
      <c r="K11" s="62">
        <v>10</v>
      </c>
      <c r="L11">
        <v>12</v>
      </c>
      <c r="N11" s="62">
        <v>9</v>
      </c>
      <c r="O11">
        <v>13</v>
      </c>
      <c r="P11" s="9">
        <f>O11/SUM($O$3:$O$37)</f>
        <v>2.7027027027027029E-2</v>
      </c>
      <c r="Q11" s="61">
        <f>1/N11</f>
        <v>0.1111111111111111</v>
      </c>
      <c r="R11" s="9">
        <f>P11*Q11+R10</f>
        <v>0.45222832722832729</v>
      </c>
    </row>
    <row r="12" spans="1:18" x14ac:dyDescent="0.3">
      <c r="A12" s="62">
        <v>11</v>
      </c>
      <c r="B12">
        <v>13</v>
      </c>
      <c r="E12">
        <v>10</v>
      </c>
      <c r="F12">
        <v>15</v>
      </c>
      <c r="G12" s="9">
        <f>F12/SUM($F$3:$F$31)</f>
        <v>5.0505050505050504E-2</v>
      </c>
      <c r="H12" s="61">
        <f>1/E12</f>
        <v>0.1</v>
      </c>
      <c r="I12" s="9">
        <f>G12*H12+I11</f>
        <v>0.2021017048794827</v>
      </c>
      <c r="K12" s="62">
        <v>11</v>
      </c>
      <c r="L12">
        <v>8</v>
      </c>
      <c r="N12" s="62">
        <v>10</v>
      </c>
      <c r="O12">
        <v>12</v>
      </c>
      <c r="P12" s="9">
        <f>O12/SUM($O$3:$O$37)</f>
        <v>2.4948024948024949E-2</v>
      </c>
      <c r="Q12" s="61">
        <f>1/N12</f>
        <v>0.1</v>
      </c>
      <c r="R12" s="9">
        <f>P12*Q12+R11</f>
        <v>0.45472312972312978</v>
      </c>
    </row>
    <row r="13" spans="1:18" x14ac:dyDescent="0.3">
      <c r="A13" s="62">
        <v>12</v>
      </c>
      <c r="B13">
        <v>10</v>
      </c>
      <c r="E13">
        <v>11</v>
      </c>
      <c r="F13">
        <v>13</v>
      </c>
      <c r="G13" s="9">
        <f>F13/SUM($F$3:$F$31)</f>
        <v>4.3771043771043773E-2</v>
      </c>
      <c r="H13" s="61">
        <f>1/E13</f>
        <v>9.0909090909090912E-2</v>
      </c>
      <c r="I13" s="9">
        <f>G13*H13+I12</f>
        <v>0.20608089067685031</v>
      </c>
      <c r="K13" s="62">
        <v>12</v>
      </c>
      <c r="L13">
        <v>8</v>
      </c>
      <c r="N13" s="62">
        <v>11</v>
      </c>
      <c r="O13">
        <v>8</v>
      </c>
      <c r="P13" s="9">
        <f>O13/SUM($O$3:$O$37)</f>
        <v>1.6632016632016633E-2</v>
      </c>
      <c r="Q13" s="61">
        <f>1/N13</f>
        <v>9.0909090909090912E-2</v>
      </c>
      <c r="R13" s="9">
        <f>P13*Q13+R12</f>
        <v>0.45623513123513132</v>
      </c>
    </row>
    <row r="14" spans="1:18" x14ac:dyDescent="0.3">
      <c r="A14" s="62">
        <v>13</v>
      </c>
      <c r="B14">
        <v>9</v>
      </c>
      <c r="E14">
        <v>12</v>
      </c>
      <c r="F14">
        <v>10</v>
      </c>
      <c r="G14" s="9">
        <f>F14/SUM($F$3:$F$31)</f>
        <v>3.3670033670033669E-2</v>
      </c>
      <c r="H14" s="61">
        <f>1/E14</f>
        <v>8.3333333333333329E-2</v>
      </c>
      <c r="I14" s="9">
        <f>G14*H14+I13</f>
        <v>0.20888672681601977</v>
      </c>
      <c r="K14" s="62">
        <v>13</v>
      </c>
      <c r="L14">
        <v>8</v>
      </c>
      <c r="N14" s="62">
        <v>12</v>
      </c>
      <c r="O14">
        <v>8</v>
      </c>
      <c r="P14" s="9">
        <f>O14/SUM($O$3:$O$37)</f>
        <v>1.6632016632016633E-2</v>
      </c>
      <c r="Q14" s="61">
        <f>1/N14</f>
        <v>8.3333333333333329E-2</v>
      </c>
      <c r="R14" s="9">
        <f>P14*Q14+R13</f>
        <v>0.45762113262113269</v>
      </c>
    </row>
    <row r="15" spans="1:18" x14ac:dyDescent="0.3">
      <c r="A15" s="62">
        <v>14</v>
      </c>
      <c r="B15">
        <v>9</v>
      </c>
      <c r="E15">
        <v>13</v>
      </c>
      <c r="F15">
        <v>9</v>
      </c>
      <c r="G15" s="9">
        <f>F15/SUM($F$3:$F$31)</f>
        <v>3.0303030303030304E-2</v>
      </c>
      <c r="H15" s="61">
        <f>1/E15</f>
        <v>7.6923076923076927E-2</v>
      </c>
      <c r="I15" s="9">
        <f>G15*H15+I14</f>
        <v>0.21121772914702211</v>
      </c>
      <c r="K15" s="62">
        <v>14</v>
      </c>
      <c r="L15">
        <v>7</v>
      </c>
      <c r="N15" s="62">
        <v>13</v>
      </c>
      <c r="O15">
        <v>8</v>
      </c>
      <c r="P15" s="9">
        <f>O15/SUM($O$3:$O$37)</f>
        <v>1.6632016632016633E-2</v>
      </c>
      <c r="Q15" s="61">
        <f>1/N15</f>
        <v>7.6923076923076927E-2</v>
      </c>
      <c r="R15" s="9">
        <f>P15*Q15+R14</f>
        <v>0.45890051851590319</v>
      </c>
    </row>
    <row r="16" spans="1:18" x14ac:dyDescent="0.3">
      <c r="A16" s="62">
        <v>15</v>
      </c>
      <c r="B16">
        <v>9</v>
      </c>
      <c r="E16">
        <v>14</v>
      </c>
      <c r="F16">
        <v>9</v>
      </c>
      <c r="G16" s="9">
        <f>F16/SUM($F$3:$F$31)</f>
        <v>3.0303030303030304E-2</v>
      </c>
      <c r="H16" s="61">
        <f>1/E16</f>
        <v>7.1428571428571425E-2</v>
      </c>
      <c r="I16" s="9">
        <f>G16*H16+I15</f>
        <v>0.21338223131152428</v>
      </c>
      <c r="K16" s="62">
        <v>15</v>
      </c>
      <c r="L16">
        <v>6</v>
      </c>
      <c r="N16" s="62">
        <v>14</v>
      </c>
      <c r="O16">
        <v>7</v>
      </c>
      <c r="P16" s="9">
        <f>O16/SUM($O$3:$O$37)</f>
        <v>1.4553014553014554E-2</v>
      </c>
      <c r="Q16" s="61">
        <f>1/N16</f>
        <v>7.1428571428571425E-2</v>
      </c>
      <c r="R16" s="9">
        <f>P16*Q16+R15</f>
        <v>0.4599400195554042</v>
      </c>
    </row>
    <row r="17" spans="1:18" x14ac:dyDescent="0.3">
      <c r="A17" s="62">
        <v>16</v>
      </c>
      <c r="B17">
        <v>7</v>
      </c>
      <c r="E17">
        <v>15</v>
      </c>
      <c r="F17">
        <v>9</v>
      </c>
      <c r="G17" s="9">
        <f>F17/SUM($F$3:$F$31)</f>
        <v>3.0303030303030304E-2</v>
      </c>
      <c r="H17" s="61">
        <f>1/E17</f>
        <v>6.6666666666666666E-2</v>
      </c>
      <c r="I17" s="9">
        <f>G17*H17+I16</f>
        <v>0.21540243333172632</v>
      </c>
      <c r="K17" s="62">
        <v>16</v>
      </c>
      <c r="L17">
        <v>6</v>
      </c>
      <c r="N17" s="62">
        <v>15</v>
      </c>
      <c r="O17">
        <v>6</v>
      </c>
      <c r="P17" s="9">
        <f>O17/SUM($O$3:$O$37)</f>
        <v>1.2474012474012475E-2</v>
      </c>
      <c r="Q17" s="61">
        <f>1/N17</f>
        <v>6.6666666666666666E-2</v>
      </c>
      <c r="R17" s="9">
        <f>P17*Q17+R16</f>
        <v>0.46077162038700503</v>
      </c>
    </row>
    <row r="18" spans="1:18" x14ac:dyDescent="0.3">
      <c r="A18" s="62">
        <v>17</v>
      </c>
      <c r="B18">
        <v>7</v>
      </c>
      <c r="E18">
        <v>16</v>
      </c>
      <c r="F18">
        <v>7</v>
      </c>
      <c r="G18" s="9">
        <f>F18/SUM($F$3:$F$31)</f>
        <v>2.3569023569023569E-2</v>
      </c>
      <c r="H18" s="61">
        <f>1/E18</f>
        <v>6.25E-2</v>
      </c>
      <c r="I18" s="9">
        <f>G18*H18+I17</f>
        <v>0.21687549730479028</v>
      </c>
      <c r="K18" s="62">
        <v>17</v>
      </c>
      <c r="L18">
        <v>6</v>
      </c>
      <c r="N18" s="62">
        <v>16</v>
      </c>
      <c r="O18">
        <v>6</v>
      </c>
      <c r="P18" s="9">
        <f>O18/SUM($O$3:$O$37)</f>
        <v>1.2474012474012475E-2</v>
      </c>
      <c r="Q18" s="61">
        <f>1/N18</f>
        <v>6.25E-2</v>
      </c>
      <c r="R18" s="9">
        <f>P18*Q18+R17</f>
        <v>0.46155124616663079</v>
      </c>
    </row>
    <row r="19" spans="1:18" x14ac:dyDescent="0.3">
      <c r="A19" s="62">
        <v>18</v>
      </c>
      <c r="B19">
        <v>7</v>
      </c>
      <c r="E19">
        <v>17</v>
      </c>
      <c r="F19">
        <v>7</v>
      </c>
      <c r="G19" s="9">
        <f>F19/SUM($F$3:$F$31)</f>
        <v>2.3569023569023569E-2</v>
      </c>
      <c r="H19" s="61">
        <f>1/E19</f>
        <v>5.8823529411764705E-2</v>
      </c>
      <c r="I19" s="9">
        <f>G19*H19+I18</f>
        <v>0.21826191045590931</v>
      </c>
      <c r="K19" s="62">
        <v>18</v>
      </c>
      <c r="L19">
        <v>4</v>
      </c>
      <c r="N19" s="62">
        <v>17</v>
      </c>
      <c r="O19">
        <v>6</v>
      </c>
      <c r="P19" s="9">
        <f>O19/SUM($O$3:$O$37)</f>
        <v>1.2474012474012475E-2</v>
      </c>
      <c r="Q19" s="61">
        <f>1/N19</f>
        <v>5.8823529411764705E-2</v>
      </c>
      <c r="R19" s="9">
        <f>P19*Q19+R18</f>
        <v>0.46228501160627861</v>
      </c>
    </row>
    <row r="20" spans="1:18" x14ac:dyDescent="0.3">
      <c r="A20" s="62">
        <v>19</v>
      </c>
      <c r="B20">
        <v>6</v>
      </c>
      <c r="E20">
        <v>18</v>
      </c>
      <c r="F20">
        <v>7</v>
      </c>
      <c r="G20" s="9">
        <f>F20/SUM($F$3:$F$31)</f>
        <v>2.3569023569023569E-2</v>
      </c>
      <c r="H20" s="61">
        <f>1/E20</f>
        <v>5.5555555555555552E-2</v>
      </c>
      <c r="I20" s="9">
        <f>G20*H20+I19</f>
        <v>0.21957130065418839</v>
      </c>
      <c r="K20" s="62">
        <v>19</v>
      </c>
      <c r="L20">
        <v>3</v>
      </c>
      <c r="N20" s="62">
        <v>18</v>
      </c>
      <c r="O20">
        <v>4</v>
      </c>
      <c r="P20" s="9">
        <f>O20/SUM($O$3:$O$37)</f>
        <v>8.3160083160083165E-3</v>
      </c>
      <c r="Q20" s="61">
        <f>1/N20</f>
        <v>5.5555555555555552E-2</v>
      </c>
      <c r="R20" s="9">
        <f>P20*Q20+R19</f>
        <v>0.46274701206827906</v>
      </c>
    </row>
    <row r="21" spans="1:18" x14ac:dyDescent="0.3">
      <c r="A21" s="62">
        <v>20</v>
      </c>
      <c r="B21">
        <v>6</v>
      </c>
      <c r="E21">
        <v>19</v>
      </c>
      <c r="F21">
        <v>6</v>
      </c>
      <c r="G21" s="9">
        <f>F21/SUM($F$3:$F$31)</f>
        <v>2.0202020202020204E-2</v>
      </c>
      <c r="H21" s="61">
        <f>1/E21</f>
        <v>5.2631578947368418E-2</v>
      </c>
      <c r="I21" s="9">
        <f>G21*H21+I20</f>
        <v>0.22063456487534736</v>
      </c>
      <c r="K21" s="62">
        <v>20</v>
      </c>
      <c r="L21">
        <v>3</v>
      </c>
      <c r="N21" s="62">
        <v>19</v>
      </c>
      <c r="O21">
        <v>3</v>
      </c>
      <c r="P21" s="9">
        <f>O21/SUM($O$3:$O$37)</f>
        <v>6.2370062370062374E-3</v>
      </c>
      <c r="Q21" s="61">
        <f>1/N21</f>
        <v>5.2631578947368418E-2</v>
      </c>
      <c r="R21" s="9">
        <f>P21*Q21+R20</f>
        <v>0.46307527555443728</v>
      </c>
    </row>
    <row r="22" spans="1:18" x14ac:dyDescent="0.3">
      <c r="A22" s="62">
        <v>21</v>
      </c>
      <c r="B22">
        <v>6</v>
      </c>
      <c r="E22">
        <v>20</v>
      </c>
      <c r="F22">
        <v>6</v>
      </c>
      <c r="G22" s="9">
        <f>F22/SUM($F$3:$F$31)</f>
        <v>2.0202020202020204E-2</v>
      </c>
      <c r="H22" s="61">
        <f>1/E22</f>
        <v>0.05</v>
      </c>
      <c r="I22" s="9">
        <f>G22*H22+I21</f>
        <v>0.22164466588544837</v>
      </c>
      <c r="K22" s="62">
        <v>21</v>
      </c>
      <c r="L22">
        <v>3</v>
      </c>
      <c r="N22" s="62">
        <v>20</v>
      </c>
      <c r="O22">
        <v>3</v>
      </c>
      <c r="P22" s="9">
        <f>O22/SUM($O$3:$O$37)</f>
        <v>6.2370062370062374E-3</v>
      </c>
      <c r="Q22" s="61">
        <f>1/N22</f>
        <v>0.05</v>
      </c>
      <c r="R22" s="9">
        <f>P22*Q22+R21</f>
        <v>0.46338712586628761</v>
      </c>
    </row>
    <row r="23" spans="1:18" x14ac:dyDescent="0.3">
      <c r="A23" s="62">
        <v>22</v>
      </c>
      <c r="B23">
        <v>6</v>
      </c>
      <c r="E23">
        <v>21</v>
      </c>
      <c r="F23">
        <v>6</v>
      </c>
      <c r="G23" s="9">
        <f>F23/SUM($F$3:$F$31)</f>
        <v>2.0202020202020204E-2</v>
      </c>
      <c r="H23" s="61">
        <f>1/E23</f>
        <v>4.7619047619047616E-2</v>
      </c>
      <c r="I23" s="9">
        <f>G23*H23+I22</f>
        <v>0.22260666684744934</v>
      </c>
      <c r="K23" s="62">
        <v>22</v>
      </c>
      <c r="L23">
        <v>3</v>
      </c>
      <c r="N23" s="62">
        <v>21</v>
      </c>
      <c r="O23">
        <v>3</v>
      </c>
      <c r="P23" s="9">
        <f>O23/SUM($O$3:$O$37)</f>
        <v>6.2370062370062374E-3</v>
      </c>
      <c r="Q23" s="61">
        <f>1/N23</f>
        <v>4.7619047619047616E-2</v>
      </c>
      <c r="R23" s="9">
        <f>P23*Q23+R22</f>
        <v>0.46368412616328791</v>
      </c>
    </row>
    <row r="24" spans="1:18" x14ac:dyDescent="0.3">
      <c r="A24" s="62">
        <v>23</v>
      </c>
      <c r="B24">
        <v>3</v>
      </c>
      <c r="E24">
        <v>22</v>
      </c>
      <c r="F24">
        <v>6</v>
      </c>
      <c r="G24" s="9">
        <f>F24/SUM($F$3:$F$31)</f>
        <v>2.0202020202020204E-2</v>
      </c>
      <c r="H24" s="61">
        <f>1/E24</f>
        <v>4.5454545454545456E-2</v>
      </c>
      <c r="I24" s="9">
        <f>G24*H24+I23</f>
        <v>0.22352494049299571</v>
      </c>
      <c r="K24" s="62">
        <v>23</v>
      </c>
      <c r="L24">
        <v>3</v>
      </c>
      <c r="N24" s="62">
        <v>22</v>
      </c>
      <c r="O24">
        <v>3</v>
      </c>
      <c r="P24" s="9">
        <f>O24/SUM($O$3:$O$37)</f>
        <v>6.2370062370062374E-3</v>
      </c>
      <c r="Q24" s="61">
        <f>1/N24</f>
        <v>4.5454545454545456E-2</v>
      </c>
      <c r="R24" s="9">
        <f>P24*Q24+R23</f>
        <v>0.46396762644678818</v>
      </c>
    </row>
    <row r="25" spans="1:18" x14ac:dyDescent="0.3">
      <c r="A25" s="62">
        <v>24</v>
      </c>
      <c r="B25">
        <v>3</v>
      </c>
      <c r="E25">
        <v>23</v>
      </c>
      <c r="F25">
        <v>3</v>
      </c>
      <c r="G25" s="9">
        <f>F25/SUM($F$3:$F$31)</f>
        <v>1.0101010101010102E-2</v>
      </c>
      <c r="H25" s="61">
        <f>1/E25</f>
        <v>4.3478260869565216E-2</v>
      </c>
      <c r="I25" s="9">
        <f>G25*H25+I24</f>
        <v>0.22396411484521353</v>
      </c>
      <c r="K25" s="62">
        <v>24</v>
      </c>
      <c r="L25">
        <v>3</v>
      </c>
      <c r="N25" s="62">
        <v>23</v>
      </c>
      <c r="O25">
        <v>3</v>
      </c>
      <c r="P25" s="9">
        <f>O25/SUM($O$3:$O$37)</f>
        <v>6.2370062370062374E-3</v>
      </c>
      <c r="Q25" s="61">
        <f>1/N25</f>
        <v>4.3478260869565216E-2</v>
      </c>
      <c r="R25" s="9">
        <f>P25*Q25+R24</f>
        <v>0.46423880063100587</v>
      </c>
    </row>
    <row r="26" spans="1:18" x14ac:dyDescent="0.3">
      <c r="A26" s="62">
        <v>25</v>
      </c>
      <c r="B26">
        <v>2</v>
      </c>
      <c r="E26">
        <v>24</v>
      </c>
      <c r="F26">
        <v>3</v>
      </c>
      <c r="G26" s="9">
        <f>F26/SUM($F$3:$F$31)</f>
        <v>1.0101010101010102E-2</v>
      </c>
      <c r="H26" s="61">
        <f>1/E26</f>
        <v>4.1666666666666664E-2</v>
      </c>
      <c r="I26" s="9">
        <f>G26*H26+I25</f>
        <v>0.22438499026608896</v>
      </c>
      <c r="K26" s="62">
        <v>25</v>
      </c>
      <c r="L26">
        <v>2</v>
      </c>
      <c r="N26" s="62">
        <v>24</v>
      </c>
      <c r="O26">
        <v>3</v>
      </c>
      <c r="P26" s="9">
        <f>O26/SUM($O$3:$O$37)</f>
        <v>6.2370062370062374E-3</v>
      </c>
      <c r="Q26" s="61">
        <f>1/N26</f>
        <v>4.1666666666666664E-2</v>
      </c>
      <c r="R26" s="9">
        <f>P26*Q26+R25</f>
        <v>0.46449867589088112</v>
      </c>
    </row>
    <row r="27" spans="1:18" x14ac:dyDescent="0.3">
      <c r="A27" s="62">
        <v>26</v>
      </c>
      <c r="B27">
        <v>2</v>
      </c>
      <c r="E27">
        <v>25</v>
      </c>
      <c r="F27">
        <v>2</v>
      </c>
      <c r="G27" s="9">
        <f>F27/SUM($F$3:$F$31)</f>
        <v>6.7340067340067337E-3</v>
      </c>
      <c r="H27" s="61">
        <f>1/E27</f>
        <v>0.04</v>
      </c>
      <c r="I27" s="9">
        <f>G27*H27+I26</f>
        <v>0.22465435053544924</v>
      </c>
      <c r="K27" s="62">
        <v>26</v>
      </c>
      <c r="L27">
        <v>2</v>
      </c>
      <c r="N27" s="62">
        <v>25</v>
      </c>
      <c r="O27">
        <v>2</v>
      </c>
      <c r="P27" s="9">
        <f>O27/SUM($O$3:$O$37)</f>
        <v>4.1580041580041582E-3</v>
      </c>
      <c r="Q27" s="61">
        <f>1/N27</f>
        <v>0.04</v>
      </c>
      <c r="R27" s="9">
        <f>P27*Q27+R26</f>
        <v>0.4646649960572013</v>
      </c>
    </row>
    <row r="28" spans="1:18" x14ac:dyDescent="0.3">
      <c r="A28" s="62">
        <v>27</v>
      </c>
      <c r="B28">
        <v>2</v>
      </c>
      <c r="E28">
        <v>26</v>
      </c>
      <c r="F28">
        <v>2</v>
      </c>
      <c r="G28" s="9">
        <f>F28/SUM($F$3:$F$31)</f>
        <v>6.7340067340067337E-3</v>
      </c>
      <c r="H28" s="61">
        <f>1/E28</f>
        <v>3.8461538461538464E-2</v>
      </c>
      <c r="I28" s="9">
        <f>G28*H28+I27</f>
        <v>0.22491335079444949</v>
      </c>
      <c r="K28" s="62">
        <v>27</v>
      </c>
      <c r="L28">
        <v>2</v>
      </c>
      <c r="N28" s="62">
        <v>26</v>
      </c>
      <c r="O28">
        <v>2</v>
      </c>
      <c r="P28" s="9">
        <f>O28/SUM($O$3:$O$37)</f>
        <v>4.1580041580041582E-3</v>
      </c>
      <c r="Q28" s="61">
        <f>1/N28</f>
        <v>3.8461538461538464E-2</v>
      </c>
      <c r="R28" s="9">
        <f>P28*Q28+R27</f>
        <v>0.46482491929404762</v>
      </c>
    </row>
    <row r="29" spans="1:18" x14ac:dyDescent="0.3">
      <c r="A29" s="62">
        <v>28</v>
      </c>
      <c r="B29">
        <v>2</v>
      </c>
      <c r="E29">
        <v>27</v>
      </c>
      <c r="F29">
        <v>2</v>
      </c>
      <c r="G29" s="9">
        <f>F29/SUM($F$3:$F$31)</f>
        <v>6.7340067340067337E-3</v>
      </c>
      <c r="H29" s="61">
        <f>1/E29</f>
        <v>3.7037037037037035E-2</v>
      </c>
      <c r="I29" s="9">
        <f>G29*H29+I28</f>
        <v>0.22516275845126454</v>
      </c>
      <c r="K29" s="62">
        <v>28</v>
      </c>
      <c r="L29">
        <v>2</v>
      </c>
      <c r="N29" s="62">
        <v>27</v>
      </c>
      <c r="O29">
        <v>2</v>
      </c>
      <c r="P29" s="9">
        <f>O29/SUM($O$3:$O$37)</f>
        <v>4.1580041580041582E-3</v>
      </c>
      <c r="Q29" s="61">
        <f>1/N29</f>
        <v>3.7037037037037035E-2</v>
      </c>
      <c r="R29" s="9">
        <f>P29*Q29+R28</f>
        <v>0.46497891944804776</v>
      </c>
    </row>
    <row r="30" spans="1:18" x14ac:dyDescent="0.3">
      <c r="A30" s="62">
        <v>29</v>
      </c>
      <c r="B30">
        <v>2</v>
      </c>
      <c r="E30">
        <v>28</v>
      </c>
      <c r="F30">
        <v>2</v>
      </c>
      <c r="G30" s="9">
        <f>F30/SUM($F$3:$F$31)</f>
        <v>6.7340067340067337E-3</v>
      </c>
      <c r="H30" s="61">
        <f>1/E30</f>
        <v>3.5714285714285712E-2</v>
      </c>
      <c r="I30" s="9">
        <f>G30*H30+I29</f>
        <v>0.22540325869176478</v>
      </c>
      <c r="K30" s="62">
        <v>29</v>
      </c>
      <c r="L30">
        <v>1</v>
      </c>
      <c r="N30" s="62">
        <v>28</v>
      </c>
      <c r="O30">
        <v>2</v>
      </c>
      <c r="P30" s="9">
        <f>O30/SUM($O$3:$O$37)</f>
        <v>4.1580041580041582E-3</v>
      </c>
      <c r="Q30" s="61">
        <f>1/N30</f>
        <v>3.5714285714285712E-2</v>
      </c>
      <c r="R30" s="9">
        <f>P30*Q30+R29</f>
        <v>0.46512741959654791</v>
      </c>
    </row>
    <row r="31" spans="1:18" x14ac:dyDescent="0.3">
      <c r="A31" s="62" t="s">
        <v>74</v>
      </c>
      <c r="B31">
        <v>297</v>
      </c>
      <c r="E31">
        <v>29</v>
      </c>
      <c r="F31">
        <v>2</v>
      </c>
      <c r="G31" s="9">
        <f>F31/SUM($F$3:$F$31)</f>
        <v>6.7340067340067337E-3</v>
      </c>
      <c r="H31" s="61">
        <f>1/E31</f>
        <v>3.4482758620689655E-2</v>
      </c>
      <c r="I31" s="9">
        <f>G31*H31+I30</f>
        <v>0.22563546582052363</v>
      </c>
      <c r="K31" s="62">
        <v>30</v>
      </c>
      <c r="L31">
        <v>1</v>
      </c>
      <c r="N31" s="62">
        <v>29</v>
      </c>
      <c r="O31">
        <v>1</v>
      </c>
      <c r="P31" s="9">
        <f>O31/SUM($O$3:$O$37)</f>
        <v>2.0790020790020791E-3</v>
      </c>
      <c r="Q31" s="61">
        <f>1/N31</f>
        <v>3.4482758620689655E-2</v>
      </c>
      <c r="R31" s="9">
        <f>P31*Q31+R30</f>
        <v>0.46519910932341008</v>
      </c>
    </row>
    <row r="32" spans="1:18" x14ac:dyDescent="0.3">
      <c r="K32" s="62">
        <v>31</v>
      </c>
      <c r="L32">
        <v>1</v>
      </c>
      <c r="N32" s="62">
        <v>30</v>
      </c>
      <c r="O32">
        <v>1</v>
      </c>
      <c r="P32" s="9">
        <f>O32/SUM($O$3:$O$37)</f>
        <v>2.0790020790020791E-3</v>
      </c>
      <c r="Q32" s="61">
        <f>1/N32</f>
        <v>3.3333333333333333E-2</v>
      </c>
      <c r="R32" s="9">
        <f>P32*Q32+R31</f>
        <v>0.46526840939271014</v>
      </c>
    </row>
    <row r="33" spans="11:18" x14ac:dyDescent="0.3">
      <c r="K33" s="62">
        <v>32</v>
      </c>
      <c r="L33">
        <v>1</v>
      </c>
      <c r="N33" s="62">
        <v>31</v>
      </c>
      <c r="O33">
        <v>1</v>
      </c>
      <c r="P33" s="9">
        <f>O33/SUM($O$3:$O$37)</f>
        <v>2.0790020790020791E-3</v>
      </c>
      <c r="Q33" s="61">
        <f>1/N33</f>
        <v>3.2258064516129031E-2</v>
      </c>
      <c r="R33" s="9">
        <f>P33*Q33+R32</f>
        <v>0.46533547397590375</v>
      </c>
    </row>
    <row r="34" spans="11:18" x14ac:dyDescent="0.3">
      <c r="K34" s="62">
        <v>33</v>
      </c>
      <c r="L34">
        <v>1</v>
      </c>
      <c r="N34" s="62">
        <v>32</v>
      </c>
      <c r="O34">
        <v>1</v>
      </c>
      <c r="P34" s="9">
        <f>O34/SUM($O$3:$O$37)</f>
        <v>2.0790020790020791E-3</v>
      </c>
      <c r="Q34" s="61">
        <f>1/N34</f>
        <v>3.125E-2</v>
      </c>
      <c r="R34" s="9">
        <f>P34*Q34+R33</f>
        <v>0.46540044279087256</v>
      </c>
    </row>
    <row r="35" spans="11:18" x14ac:dyDescent="0.3">
      <c r="K35" s="62">
        <v>34</v>
      </c>
      <c r="L35">
        <v>1</v>
      </c>
      <c r="N35" s="62">
        <v>33</v>
      </c>
      <c r="O35">
        <v>1</v>
      </c>
      <c r="P35" s="9">
        <f>O35/SUM($O$3:$O$37)</f>
        <v>2.0790020790020791E-3</v>
      </c>
      <c r="Q35" s="61">
        <f>1/N35</f>
        <v>3.0303030303030304E-2</v>
      </c>
      <c r="R35" s="9">
        <f>P35*Q35+R34</f>
        <v>0.46546344285387264</v>
      </c>
    </row>
    <row r="36" spans="11:18" x14ac:dyDescent="0.3">
      <c r="K36" s="62">
        <v>35</v>
      </c>
      <c r="L36">
        <v>1</v>
      </c>
      <c r="N36" s="62">
        <v>34</v>
      </c>
      <c r="O36">
        <v>1</v>
      </c>
      <c r="P36" s="9">
        <f>O36/SUM($O$3:$O$37)</f>
        <v>2.0790020790020791E-3</v>
      </c>
      <c r="Q36" s="61">
        <f>1/N36</f>
        <v>2.9411764705882353E-2</v>
      </c>
      <c r="R36" s="9">
        <f>P36*Q36+R35</f>
        <v>0.46552458997384327</v>
      </c>
    </row>
    <row r="37" spans="11:18" x14ac:dyDescent="0.3">
      <c r="K37" s="62" t="s">
        <v>74</v>
      </c>
      <c r="L37">
        <v>481</v>
      </c>
      <c r="N37" s="62">
        <v>35</v>
      </c>
      <c r="O37">
        <v>1</v>
      </c>
      <c r="P37" s="9">
        <f>O37/SUM($O$3:$O$37)</f>
        <v>2.0790020790020791E-3</v>
      </c>
      <c r="Q37" s="61">
        <f>1/N37</f>
        <v>2.8571428571428571E-2</v>
      </c>
      <c r="R37" s="9">
        <f>P37*Q37+R36</f>
        <v>0.46558399003324336</v>
      </c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2020-2022</vt:lpstr>
      <vt:lpstr>1Q23</vt:lpstr>
      <vt:lpstr>03.2023</vt:lpstr>
      <vt:lpstr>2Q-4Q forecast weight NV</vt:lpstr>
      <vt:lpstr>2Q-4Q forecast weight V</vt:lpstr>
      <vt:lpstr>2020-2023 weight NV</vt:lpstr>
      <vt:lpstr>2020-2023 weight V</vt:lpstr>
      <vt:lpstr>errors_EURUSD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2023-04-01T19:04:59Z</dcterms:created>
  <dcterms:modified xsi:type="dcterms:W3CDTF">2023-04-02T20:14:57Z</dcterms:modified>
</cp:coreProperties>
</file>