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8_{BDBCB28D-C680-4F04-9E6D-D3DFB1A843BB}" xr6:coauthVersionLast="47" xr6:coauthVersionMax="47" xr10:uidLastSave="{00000000-0000-0000-0000-000000000000}"/>
  <bookViews>
    <workbookView xWindow="-30336" yWindow="384" windowWidth="23412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" l="1"/>
  <c r="M69" i="1"/>
  <c r="M68" i="1"/>
  <c r="M64" i="1"/>
  <c r="M61" i="1"/>
  <c r="L64" i="1"/>
  <c r="L61" i="1"/>
  <c r="L51" i="1"/>
  <c r="K64" i="1"/>
  <c r="K61" i="1"/>
  <c r="J64" i="1"/>
  <c r="J61" i="1"/>
  <c r="I64" i="1"/>
  <c r="I61" i="1"/>
  <c r="H61" i="1"/>
  <c r="H64" i="1"/>
  <c r="C64" i="1"/>
  <c r="C61" i="1"/>
  <c r="C57" i="1"/>
  <c r="C56" i="1"/>
  <c r="G65" i="1"/>
  <c r="H65" i="1"/>
  <c r="I65" i="1"/>
  <c r="J65" i="1"/>
  <c r="K65" i="1"/>
  <c r="L65" i="1"/>
  <c r="M65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0" i="1"/>
  <c r="H60" i="1"/>
  <c r="I60" i="1"/>
  <c r="J60" i="1"/>
  <c r="K60" i="1"/>
  <c r="L60" i="1"/>
  <c r="M60" i="1"/>
  <c r="G61" i="1"/>
  <c r="C65" i="1"/>
  <c r="C63" i="1"/>
  <c r="C62" i="1"/>
  <c r="C60" i="1"/>
  <c r="C52" i="1"/>
  <c r="C53" i="1"/>
  <c r="C54" i="1"/>
  <c r="C55" i="1"/>
  <c r="C58" i="1"/>
  <c r="C51" i="1"/>
  <c r="M51" i="1"/>
  <c r="M52" i="1"/>
  <c r="M53" i="1"/>
  <c r="M54" i="1"/>
  <c r="M55" i="1"/>
  <c r="M56" i="1"/>
  <c r="M57" i="1"/>
  <c r="M58" i="1"/>
  <c r="L52" i="1"/>
  <c r="L53" i="1"/>
  <c r="L54" i="1"/>
  <c r="L55" i="1"/>
  <c r="L56" i="1"/>
  <c r="L57" i="1"/>
  <c r="L58" i="1"/>
  <c r="K52" i="1"/>
  <c r="K53" i="1"/>
  <c r="K54" i="1"/>
  <c r="K55" i="1"/>
  <c r="K56" i="1"/>
  <c r="K57" i="1"/>
  <c r="K58" i="1"/>
  <c r="K51" i="1"/>
  <c r="J52" i="1"/>
  <c r="J53" i="1"/>
  <c r="J54" i="1"/>
  <c r="J55" i="1"/>
  <c r="J56" i="1"/>
  <c r="J57" i="1"/>
  <c r="J58" i="1"/>
  <c r="J51" i="1"/>
  <c r="J48" i="1"/>
  <c r="I52" i="1"/>
  <c r="I53" i="1"/>
  <c r="I54" i="1"/>
  <c r="I55" i="1"/>
  <c r="I56" i="1"/>
  <c r="I57" i="1"/>
  <c r="I58" i="1"/>
  <c r="I51" i="1"/>
  <c r="H52" i="1"/>
  <c r="H53" i="1"/>
  <c r="H54" i="1"/>
  <c r="H55" i="1"/>
  <c r="H56" i="1"/>
  <c r="H57" i="1"/>
  <c r="H58" i="1"/>
  <c r="H51" i="1"/>
  <c r="D37" i="1"/>
  <c r="K48" i="1" s="1"/>
  <c r="D25" i="1"/>
  <c r="J36" i="1" s="1"/>
  <c r="K36" i="1" s="1"/>
  <c r="D13" i="1"/>
  <c r="J24" i="1" s="1"/>
  <c r="K12" i="1" s="1"/>
  <c r="D1" i="1"/>
  <c r="J12" i="1" s="1"/>
  <c r="K24" i="1" l="1"/>
  <c r="G51" i="1" l="1"/>
  <c r="G64" i="1"/>
  <c r="G54" i="1"/>
  <c r="G55" i="1"/>
  <c r="G56" i="1"/>
  <c r="G57" i="1"/>
  <c r="G58" i="1"/>
  <c r="G52" i="1"/>
  <c r="G53" i="1"/>
</calcChain>
</file>

<file path=xl/sharedStrings.xml><?xml version="1.0" encoding="utf-8"?>
<sst xmlns="http://schemas.openxmlformats.org/spreadsheetml/2006/main" count="120" uniqueCount="35">
  <si>
    <t>EURUSD</t>
  </si>
  <si>
    <t>count_of_occurrences</t>
  </si>
  <si>
    <t>percentage_of_occurrences</t>
  </si>
  <si>
    <t>typical_spread_in_points</t>
  </si>
  <si>
    <t>weighted_avg_execution_spread_$</t>
  </si>
  <si>
    <t>volume_weighted_avg_spread_in_USD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</si>
  <si>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</si>
  <si>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</si>
  <si>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</si>
  <si>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</si>
  <si>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</si>
  <si>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</si>
  <si>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Volatility_Trend_actionable</t>
  </si>
  <si>
    <t>High Volatility + No Trend</t>
  </si>
  <si>
    <t>High Volatility + Possible Trend False</t>
  </si>
  <si>
    <t>High Volatility + Possible Trend that got confirmed</t>
  </si>
  <si>
    <t>High Volatility + Trend confirmed</t>
  </si>
  <si>
    <t>Low Volatility + No Trend</t>
  </si>
  <si>
    <t>Low Volatility + Possible Trend False</t>
  </si>
  <si>
    <t>Low Volatility + Possible Trend that got confirmed</t>
  </si>
  <si>
    <t>Low Volatility + Trend confirmed</t>
  </si>
  <si>
    <t>GBPUSD</t>
  </si>
  <si>
    <t>USDJPY</t>
  </si>
  <si>
    <t>XAUUSD</t>
  </si>
  <si>
    <t>notional</t>
  </si>
  <si>
    <t>1 lot notional</t>
  </si>
  <si>
    <t>notional volume</t>
  </si>
  <si>
    <t>TOP4 weighted by notional volume</t>
  </si>
  <si>
    <t>High Volatility + Possible Trend</t>
  </si>
  <si>
    <t>total notional volume</t>
  </si>
  <si>
    <t>pct_total_notional_volume</t>
  </si>
  <si>
    <t>nominal impact on total PnL</t>
  </si>
  <si>
    <t>No Trend</t>
  </si>
  <si>
    <t>Possible Trend</t>
  </si>
  <si>
    <t>Trend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</si>
</sst>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3" fontId="2" fillId="0" borderId="0" xfId="0" applyNumberFormat="1" applyFont="1"/>
    <xf numFmtId="164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3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3" fontId="0" fillId="4" borderId="0" xfId="0" applyNumberFormat="1" applyFill="1"/>
    <xf numFmtId="10" fontId="0" fillId="4" borderId="0" xfId="0" applyNumberFormat="1" applyFill="1"/>
    <xf numFmtId="164" fontId="0" fillId="4" borderId="0" xfId="0" applyNumberFormat="1" applyFill="1"/>
    <xf numFmtId="3" fontId="0" fillId="5" borderId="0" xfId="0" applyNumberFormat="1" applyFill="1"/>
    <xf numFmtId="10" fontId="0" fillId="5" borderId="0" xfId="0" applyNumberFormat="1" applyFill="1"/>
    <xf numFmtId="164" fontId="0" fillId="5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0" fontId="0" fillId="6" borderId="0" xfId="0" applyFill="1"/>
    <xf numFmtId="10" fontId="0" fillId="6" borderId="0" xfId="0" applyNumberFormat="1" applyFill="1"/>
    <xf numFmtId="2" fontId="0" fillId="6" borderId="0" xfId="0" applyNumberFormat="1" applyFill="1"/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A28" zoomScale="80" zoomScaleNormal="80" workbookViewId="0">
      <selection activeCell="B68" sqref="B68"/>
    </sheetView>
  </sheetViews>
  <sheetFormatPr defaultRowHeight="14.4" x14ac:dyDescent="0.3"/>
  <cols>
    <col min="1" max="1" width="45.21875" customWidth="1"/>
    <col min="2" max="2" width="20.109375" bestFit="1" customWidth="1"/>
    <col min="3" max="3" width="25.21875" bestFit="1" customWidth="1"/>
    <col min="4" max="4" width="22.88671875" bestFit="1" customWidth="1"/>
    <col min="5" max="5" width="32.109375" bestFit="1" customWidth="1"/>
    <col min="6" max="6" width="35.21875" bestFit="1" customWidth="1"/>
    <col min="7" max="7" width="12.6640625" bestFit="1" customWidth="1"/>
    <col min="8" max="8" width="16.77734375" bestFit="1" customWidth="1"/>
    <col min="9" max="9" width="15.21875" bestFit="1" customWidth="1"/>
    <col min="10" max="10" width="20.21875" bestFit="1" customWidth="1"/>
    <col min="11" max="11" width="24.88671875" bestFit="1" customWidth="1"/>
    <col min="12" max="12" width="30.109375" bestFit="1" customWidth="1"/>
    <col min="13" max="13" width="25.44140625" bestFit="1" customWidth="1"/>
  </cols>
  <sheetData>
    <row r="1" spans="1:12" x14ac:dyDescent="0.3">
      <c r="A1" s="1" t="s">
        <v>0</v>
      </c>
      <c r="B1">
        <v>1.08</v>
      </c>
      <c r="C1" t="s">
        <v>25</v>
      </c>
      <c r="D1" s="8">
        <f>100000*B1</f>
        <v>108000</v>
      </c>
    </row>
    <row r="2" spans="1:12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s="6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">
      <c r="A3" t="s">
        <v>12</v>
      </c>
    </row>
    <row r="4" spans="1:12" s="3" customFormat="1" x14ac:dyDescent="0.3">
      <c r="A4" s="3" t="s">
        <v>13</v>
      </c>
      <c r="B4" s="3">
        <v>224</v>
      </c>
      <c r="C4" s="3">
        <v>26.508875739644971</v>
      </c>
      <c r="D4" s="3">
        <v>9.2972972972948131</v>
      </c>
      <c r="E4" s="3">
        <v>9.0553622781095893</v>
      </c>
      <c r="F4" s="3">
        <v>7.1122130811722082</v>
      </c>
      <c r="G4" s="3">
        <v>-8.533735184840701</v>
      </c>
      <c r="H4" s="3">
        <v>-30020683.640000001</v>
      </c>
      <c r="I4" s="3">
        <v>26.874212426986869</v>
      </c>
      <c r="J4" s="3">
        <v>3517883.2</v>
      </c>
      <c r="K4" s="3">
        <v>27.562070969106049</v>
      </c>
      <c r="L4" s="3">
        <v>0.1171819816692222</v>
      </c>
    </row>
    <row r="5" spans="1:12" s="4" customFormat="1" x14ac:dyDescent="0.3">
      <c r="A5" s="4" t="s">
        <v>14</v>
      </c>
      <c r="B5" s="4">
        <v>74</v>
      </c>
      <c r="C5" s="4">
        <v>8.7573964497041423</v>
      </c>
      <c r="D5" s="4">
        <v>9.1666666666662344</v>
      </c>
      <c r="E5" s="4">
        <v>9.1565424560731721</v>
      </c>
      <c r="F5" s="4">
        <v>6.38452903952758</v>
      </c>
      <c r="G5" s="4">
        <v>-4.2098438846365509</v>
      </c>
      <c r="H5" s="4">
        <v>-4446241.6900000004</v>
      </c>
      <c r="I5" s="4">
        <v>3.9802306007307542</v>
      </c>
      <c r="J5" s="4">
        <v>1056153.58</v>
      </c>
      <c r="K5" s="4">
        <v>8.2748000065026091</v>
      </c>
      <c r="L5" s="4">
        <v>0.23753849962213819</v>
      </c>
    </row>
    <row r="6" spans="1:12" s="5" customFormat="1" x14ac:dyDescent="0.3">
      <c r="A6" s="5" t="s">
        <v>15</v>
      </c>
      <c r="B6" s="5">
        <v>66</v>
      </c>
      <c r="C6" s="5">
        <v>7.8106508875739644</v>
      </c>
      <c r="D6" s="5">
        <v>9.2380952380949601</v>
      </c>
      <c r="E6" s="5">
        <v>8.7433720790181813</v>
      </c>
      <c r="F6" s="5">
        <v>8.0205229091407908</v>
      </c>
      <c r="G6" s="5">
        <v>-22.223077716737141</v>
      </c>
      <c r="H6" s="5">
        <v>-25609912.539999999</v>
      </c>
      <c r="I6" s="5">
        <v>22.925734739747408</v>
      </c>
      <c r="J6" s="5">
        <v>1152401.7</v>
      </c>
      <c r="K6" s="5">
        <v>9.0288891456994502</v>
      </c>
      <c r="L6" s="5">
        <v>4.4998267690296453E-2</v>
      </c>
    </row>
    <row r="7" spans="1:12" s="2" customFormat="1" x14ac:dyDescent="0.3">
      <c r="A7" s="2" t="s">
        <v>16</v>
      </c>
      <c r="B7" s="2">
        <v>112</v>
      </c>
      <c r="C7" s="2">
        <v>13.254437869822491</v>
      </c>
      <c r="D7" s="2">
        <v>8.6363636363647043</v>
      </c>
      <c r="E7" s="2">
        <v>9.0913142227794115</v>
      </c>
      <c r="F7" s="2">
        <v>7.1647349375685723</v>
      </c>
      <c r="G7" s="2">
        <v>-10.28353765229363</v>
      </c>
      <c r="H7" s="2">
        <v>-17185545.48</v>
      </c>
      <c r="I7" s="2">
        <v>15.38432653438281</v>
      </c>
      <c r="J7" s="2">
        <v>1671170.57</v>
      </c>
      <c r="K7" s="2">
        <v>13.093363034856131</v>
      </c>
      <c r="L7" s="2">
        <v>9.724280046535945E-2</v>
      </c>
    </row>
    <row r="8" spans="1:12" s="3" customFormat="1" x14ac:dyDescent="0.3">
      <c r="A8" s="3" t="s">
        <v>17</v>
      </c>
      <c r="B8" s="3">
        <v>165</v>
      </c>
      <c r="C8" s="3">
        <v>19.526627218934909</v>
      </c>
      <c r="D8" s="3">
        <v>10.91304347825959</v>
      </c>
      <c r="E8" s="3">
        <v>9.2383669503307075</v>
      </c>
      <c r="F8" s="3">
        <v>7.6957696221051357</v>
      </c>
      <c r="G8" s="3">
        <v>-8.0520723524514324</v>
      </c>
      <c r="H8" s="3">
        <v>-19718996.170000002</v>
      </c>
      <c r="I8" s="3">
        <v>17.652245973953459</v>
      </c>
      <c r="J8" s="3">
        <v>2448934.2999999998</v>
      </c>
      <c r="K8" s="3">
        <v>19.187021608698672</v>
      </c>
      <c r="L8" s="3">
        <v>0.12419163120107241</v>
      </c>
    </row>
    <row r="9" spans="1:12" s="4" customFormat="1" x14ac:dyDescent="0.3">
      <c r="A9" s="4" t="s">
        <v>18</v>
      </c>
      <c r="B9" s="4">
        <v>89</v>
      </c>
      <c r="C9" s="4">
        <v>10.532544378698219</v>
      </c>
      <c r="D9" s="4">
        <v>12.137931034478679</v>
      </c>
      <c r="E9" s="4">
        <v>10.399576969839289</v>
      </c>
      <c r="F9" s="4">
        <v>6.8853182201596201</v>
      </c>
      <c r="G9" s="4">
        <v>-0.87827489517314727</v>
      </c>
      <c r="H9" s="4">
        <v>-1055136.58</v>
      </c>
      <c r="I9" s="4">
        <v>0.9445475969315541</v>
      </c>
      <c r="J9" s="4">
        <v>1201373.95</v>
      </c>
      <c r="K9" s="4">
        <v>9.4125791528084992</v>
      </c>
      <c r="L9" s="4">
        <v>1.1385956782959801</v>
      </c>
    </row>
    <row r="10" spans="1:12" s="5" customFormat="1" x14ac:dyDescent="0.3">
      <c r="A10" s="5" t="s">
        <v>19</v>
      </c>
      <c r="B10" s="5">
        <v>66</v>
      </c>
      <c r="C10" s="5">
        <v>7.8106508875739644</v>
      </c>
      <c r="D10" s="5">
        <v>8.4166666666677372</v>
      </c>
      <c r="E10" s="5">
        <v>8.4003451289137931</v>
      </c>
      <c r="F10" s="5">
        <v>7.7330897266512686</v>
      </c>
      <c r="G10" s="5">
        <v>-10.75658779768577</v>
      </c>
      <c r="H10" s="5">
        <v>-10675122.779999999</v>
      </c>
      <c r="I10" s="5">
        <v>9.5562619663876056</v>
      </c>
      <c r="J10" s="5">
        <v>992426.5</v>
      </c>
      <c r="K10" s="5">
        <v>7.7755081876002929</v>
      </c>
      <c r="L10" s="5">
        <v>9.2966284365302645E-2</v>
      </c>
    </row>
    <row r="11" spans="1:12" s="2" customFormat="1" x14ac:dyDescent="0.3">
      <c r="A11" s="2" t="s">
        <v>20</v>
      </c>
      <c r="B11" s="2">
        <v>49</v>
      </c>
      <c r="C11" s="2">
        <v>5.7988165680473376</v>
      </c>
      <c r="D11" s="2">
        <v>8.7500000000018101</v>
      </c>
      <c r="E11" s="2">
        <v>8.2478746848048772</v>
      </c>
      <c r="F11" s="2">
        <v>7.5121074216963031</v>
      </c>
      <c r="G11" s="2">
        <v>-4.1436830257316064</v>
      </c>
      <c r="H11" s="2">
        <v>-2996504.09</v>
      </c>
      <c r="I11" s="2">
        <v>2.6824401608795272</v>
      </c>
      <c r="J11" s="2">
        <v>723149.93</v>
      </c>
      <c r="K11" s="2">
        <v>5.6657678947283037</v>
      </c>
      <c r="L11" s="2">
        <v>0.2413312007193022</v>
      </c>
    </row>
    <row r="12" spans="1:12" x14ac:dyDescent="0.3">
      <c r="I12" t="s">
        <v>26</v>
      </c>
      <c r="J12" s="7">
        <f>SUM(J4:J11)*D1</f>
        <v>1378457322840</v>
      </c>
      <c r="K12" s="10">
        <f>J12/SUM($J$12,$J$24,$J$36,$J$48)</f>
        <v>0.26145549965737414</v>
      </c>
    </row>
    <row r="13" spans="1:12" x14ac:dyDescent="0.3">
      <c r="A13" s="1" t="s">
        <v>21</v>
      </c>
      <c r="B13">
        <v>1.23</v>
      </c>
      <c r="C13" t="s">
        <v>24</v>
      </c>
      <c r="D13" s="8">
        <f>100000*B13</f>
        <v>123000</v>
      </c>
      <c r="J13" s="7"/>
    </row>
    <row r="14" spans="1:12" x14ac:dyDescent="0.3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</row>
    <row r="15" spans="1:12" x14ac:dyDescent="0.3">
      <c r="A15" t="s">
        <v>12</v>
      </c>
    </row>
    <row r="16" spans="1:12" s="3" customFormat="1" x14ac:dyDescent="0.3">
      <c r="A16" s="3" t="s">
        <v>13</v>
      </c>
      <c r="B16" s="3">
        <v>191</v>
      </c>
      <c r="C16" s="3">
        <v>22.603550295857989</v>
      </c>
      <c r="D16" s="3">
        <v>9.7692307692300222</v>
      </c>
      <c r="E16" s="3">
        <v>13.495234959467741</v>
      </c>
      <c r="F16" s="3">
        <v>10.38123290727183</v>
      </c>
      <c r="G16" s="3">
        <v>-8.6655340676581076</v>
      </c>
      <c r="H16" s="3">
        <v>-15255234.943330999</v>
      </c>
      <c r="I16" s="3">
        <v>15.90560396047926</v>
      </c>
      <c r="J16" s="3">
        <v>1760449.48</v>
      </c>
      <c r="K16" s="3">
        <v>22.515531542335211</v>
      </c>
      <c r="L16" s="3">
        <v>0.1153996963363452</v>
      </c>
    </row>
    <row r="17" spans="1:12" s="4" customFormat="1" x14ac:dyDescent="0.3">
      <c r="A17" s="4" t="s">
        <v>14</v>
      </c>
      <c r="B17" s="4">
        <v>121</v>
      </c>
      <c r="C17" s="4">
        <v>14.319526627218931</v>
      </c>
      <c r="D17" s="4">
        <v>11.063829787231869</v>
      </c>
      <c r="E17" s="4">
        <v>12.694256882929411</v>
      </c>
      <c r="F17" s="4">
        <v>9.7541868630920909</v>
      </c>
      <c r="G17" s="4">
        <v>-16.719695358509771</v>
      </c>
      <c r="H17" s="4">
        <v>-23068285.907109</v>
      </c>
      <c r="I17" s="4">
        <v>24.05174492877816</v>
      </c>
      <c r="J17" s="4">
        <v>1379707.31</v>
      </c>
      <c r="K17" s="4">
        <v>17.645972696413569</v>
      </c>
      <c r="L17" s="4">
        <v>5.9809702184019348E-2</v>
      </c>
    </row>
    <row r="18" spans="1:12" s="5" customFormat="1" x14ac:dyDescent="0.3">
      <c r="A18" s="5" t="s">
        <v>15</v>
      </c>
      <c r="B18" s="5">
        <v>49</v>
      </c>
      <c r="C18" s="5">
        <v>5.7988165680473376</v>
      </c>
      <c r="D18" s="5">
        <v>10.62499999999959</v>
      </c>
      <c r="E18" s="5">
        <v>14.576219647037041</v>
      </c>
      <c r="F18" s="5">
        <v>10.34564329506007</v>
      </c>
      <c r="G18" s="5">
        <v>-55.284197299399999</v>
      </c>
      <c r="H18" s="5">
        <v>-22696347.270039</v>
      </c>
      <c r="I18" s="5">
        <v>23.663949612559701</v>
      </c>
      <c r="J18" s="5">
        <v>410539.51</v>
      </c>
      <c r="K18" s="5">
        <v>5.2506563759954323</v>
      </c>
      <c r="L18" s="5">
        <v>1.8088351623961319E-2</v>
      </c>
    </row>
    <row r="19" spans="1:12" s="2" customFormat="1" x14ac:dyDescent="0.3">
      <c r="A19" s="2" t="s">
        <v>16</v>
      </c>
      <c r="B19" s="2">
        <v>98</v>
      </c>
      <c r="C19" s="2">
        <v>11.59763313609468</v>
      </c>
      <c r="D19" s="2">
        <v>12.043478260868939</v>
      </c>
      <c r="E19" s="2">
        <v>12.950409732539679</v>
      </c>
      <c r="F19" s="2">
        <v>11.15399338985277</v>
      </c>
      <c r="G19" s="2">
        <v>-49.062215899826583</v>
      </c>
      <c r="H19" s="2">
        <v>-44402545.682161003</v>
      </c>
      <c r="I19" s="2">
        <v>46.295537832164698</v>
      </c>
      <c r="J19" s="2">
        <v>905025.28</v>
      </c>
      <c r="K19" s="2">
        <v>11.57495598138423</v>
      </c>
      <c r="L19" s="2">
        <v>2.0382283630273921E-2</v>
      </c>
    </row>
    <row r="20" spans="1:12" s="3" customFormat="1" x14ac:dyDescent="0.3">
      <c r="A20" s="3" t="s">
        <v>17</v>
      </c>
      <c r="B20" s="3">
        <v>203</v>
      </c>
      <c r="C20" s="3">
        <v>24.023668639053259</v>
      </c>
      <c r="D20" s="3">
        <v>12.222222222223881</v>
      </c>
      <c r="E20" s="3">
        <v>12.701667001860759</v>
      </c>
      <c r="F20" s="3">
        <v>11.07955341298381</v>
      </c>
      <c r="G20" s="3">
        <v>7.5491445877961603</v>
      </c>
      <c r="H20" s="3">
        <v>13482213.521613</v>
      </c>
      <c r="I20" s="3">
        <v>-14.0569941781946</v>
      </c>
      <c r="J20" s="3">
        <v>1785925.99</v>
      </c>
      <c r="K20" s="3">
        <v>22.841367171820941</v>
      </c>
      <c r="L20" s="3">
        <v>0.13246533939972291</v>
      </c>
    </row>
    <row r="21" spans="1:12" s="4" customFormat="1" x14ac:dyDescent="0.3">
      <c r="A21" s="4" t="s">
        <v>18</v>
      </c>
      <c r="B21" s="4">
        <v>127</v>
      </c>
      <c r="C21" s="4">
        <v>15.029585798816569</v>
      </c>
      <c r="D21" s="4">
        <v>14.269230769228979</v>
      </c>
      <c r="E21" s="4">
        <v>13.0508891398866</v>
      </c>
      <c r="F21" s="4">
        <v>11.8728387854699</v>
      </c>
      <c r="G21" s="4">
        <v>4.1018848029942001</v>
      </c>
      <c r="H21" s="4">
        <v>4659903.1606511297</v>
      </c>
      <c r="I21" s="4">
        <v>-4.8585665473414554</v>
      </c>
      <c r="J21" s="4">
        <v>1136039.5</v>
      </c>
      <c r="K21" s="4">
        <v>14.52954684935845</v>
      </c>
      <c r="L21" s="4">
        <v>0.24379036663097969</v>
      </c>
    </row>
    <row r="22" spans="1:12" s="5" customFormat="1" x14ac:dyDescent="0.3">
      <c r="A22" s="5" t="s">
        <v>19</v>
      </c>
      <c r="B22" s="5">
        <v>28</v>
      </c>
      <c r="C22" s="5">
        <v>3.3136094674556209</v>
      </c>
      <c r="D22" s="5">
        <v>10.499999999999449</v>
      </c>
      <c r="E22" s="5">
        <v>12.895262183529409</v>
      </c>
      <c r="F22" s="5">
        <v>9.4857072619231992</v>
      </c>
      <c r="G22" s="5">
        <v>-15.87366828332091</v>
      </c>
      <c r="H22" s="5">
        <v>-3319782.3166</v>
      </c>
      <c r="I22" s="5">
        <v>3.461312982657502</v>
      </c>
      <c r="J22" s="5">
        <v>209137.69</v>
      </c>
      <c r="K22" s="5">
        <v>2.6747977203447628</v>
      </c>
      <c r="L22" s="5">
        <v>6.299741068992476E-2</v>
      </c>
    </row>
    <row r="23" spans="1:12" s="2" customFormat="1" x14ac:dyDescent="0.3">
      <c r="A23" s="2" t="s">
        <v>20</v>
      </c>
      <c r="B23" s="2">
        <v>28</v>
      </c>
      <c r="C23" s="2">
        <v>3.3136094674556209</v>
      </c>
      <c r="D23" s="2">
        <v>9.9999999999988969</v>
      </c>
      <c r="E23" s="2">
        <v>13.567292644285709</v>
      </c>
      <c r="F23" s="2">
        <v>11.02245330366665</v>
      </c>
      <c r="G23" s="2">
        <v>-22.892408766260761</v>
      </c>
      <c r="H23" s="2">
        <v>-5310990.5307900002</v>
      </c>
      <c r="I23" s="2">
        <v>5.5374114088967383</v>
      </c>
      <c r="J23" s="2">
        <v>231997.89</v>
      </c>
      <c r="K23" s="2">
        <v>2.9671716623474</v>
      </c>
      <c r="L23" s="2">
        <v>4.3682602831809372E-2</v>
      </c>
    </row>
    <row r="24" spans="1:12" x14ac:dyDescent="0.3">
      <c r="I24" t="s">
        <v>26</v>
      </c>
      <c r="J24" s="7">
        <f>SUM(J16:J23)*D13</f>
        <v>961715185950</v>
      </c>
      <c r="K24" s="10">
        <f>J24/SUM($J$12,$J$24,$J$36,$J$48)</f>
        <v>0.18241096064736673</v>
      </c>
    </row>
    <row r="25" spans="1:12" x14ac:dyDescent="0.3">
      <c r="A25" s="1" t="s">
        <v>22</v>
      </c>
      <c r="B25">
        <v>1</v>
      </c>
      <c r="C25" t="s">
        <v>24</v>
      </c>
      <c r="D25" s="8">
        <f>100000*B25</f>
        <v>100000</v>
      </c>
      <c r="J25" s="7"/>
    </row>
    <row r="26" spans="1:12" x14ac:dyDescent="0.3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</row>
    <row r="27" spans="1:12" x14ac:dyDescent="0.3">
      <c r="A27" t="s">
        <v>12</v>
      </c>
    </row>
    <row r="28" spans="1:12" s="3" customFormat="1" x14ac:dyDescent="0.3">
      <c r="A28" s="3" t="s">
        <v>13</v>
      </c>
      <c r="B28" s="3">
        <v>222</v>
      </c>
      <c r="C28" s="3">
        <v>26.27218934911242</v>
      </c>
      <c r="D28" s="3">
        <v>13.7962962962958</v>
      </c>
      <c r="E28" s="3">
        <v>10.34570982073333</v>
      </c>
      <c r="F28" s="3">
        <v>8.8971049930822819</v>
      </c>
      <c r="G28" s="3">
        <v>-15.866058068630741</v>
      </c>
      <c r="H28" s="3">
        <v>-12363920.699999999</v>
      </c>
      <c r="I28" s="3">
        <v>27.52533393641421</v>
      </c>
      <c r="J28" s="3">
        <v>779268.59</v>
      </c>
      <c r="K28" s="3">
        <v>29.899060723415161</v>
      </c>
      <c r="L28" s="3">
        <v>6.3027627635948852E-2</v>
      </c>
    </row>
    <row r="29" spans="1:12" s="4" customFormat="1" x14ac:dyDescent="0.3">
      <c r="A29" s="4" t="s">
        <v>14</v>
      </c>
      <c r="B29" s="4">
        <v>101</v>
      </c>
      <c r="C29" s="4">
        <v>11.952662721893491</v>
      </c>
      <c r="D29" s="4">
        <v>11.68965517241074</v>
      </c>
      <c r="E29" s="4">
        <v>10.310660210721521</v>
      </c>
      <c r="F29" s="4">
        <v>9.8371959491495851</v>
      </c>
      <c r="G29" s="4">
        <v>-4.4835643274103241</v>
      </c>
      <c r="H29" s="4">
        <v>-1495155</v>
      </c>
      <c r="I29" s="4">
        <v>3.3286076205341071</v>
      </c>
      <c r="J29" s="4">
        <v>333474.64</v>
      </c>
      <c r="K29" s="4">
        <v>12.79479070377905</v>
      </c>
      <c r="L29" s="4">
        <v>0.22303683564580259</v>
      </c>
    </row>
    <row r="30" spans="1:12" s="5" customFormat="1" x14ac:dyDescent="0.3">
      <c r="A30" s="5" t="s">
        <v>15</v>
      </c>
      <c r="B30" s="5">
        <v>47</v>
      </c>
      <c r="C30" s="5">
        <v>5.5621301775147929</v>
      </c>
      <c r="D30" s="5">
        <v>10.99999999999565</v>
      </c>
      <c r="E30" s="5">
        <v>12.966471707735289</v>
      </c>
      <c r="F30" s="5">
        <v>9.2115597486878009</v>
      </c>
      <c r="G30" s="5">
        <v>-26.22818557563027</v>
      </c>
      <c r="H30" s="5">
        <v>-4263578.3099999996</v>
      </c>
      <c r="I30" s="5">
        <v>9.4918448277335301</v>
      </c>
      <c r="J30" s="5">
        <v>162557.12</v>
      </c>
      <c r="K30" s="5">
        <v>6.2370089905760029</v>
      </c>
      <c r="L30" s="5">
        <v>3.8126922547366091E-2</v>
      </c>
    </row>
    <row r="31" spans="1:12" s="2" customFormat="1" x14ac:dyDescent="0.3">
      <c r="A31" s="2" t="s">
        <v>16</v>
      </c>
      <c r="B31" s="2">
        <v>137</v>
      </c>
      <c r="C31" s="2">
        <v>16.213017751479288</v>
      </c>
      <c r="D31" s="2">
        <v>14.0800000000001</v>
      </c>
      <c r="E31" s="2">
        <v>10.09096487458333</v>
      </c>
      <c r="F31" s="2">
        <v>8.9263049998377806</v>
      </c>
      <c r="G31" s="2">
        <v>-21.889299116672881</v>
      </c>
      <c r="H31" s="2">
        <v>-11544373.67</v>
      </c>
      <c r="I31" s="2">
        <v>25.700807054957711</v>
      </c>
      <c r="J31" s="2">
        <v>527398.05000000005</v>
      </c>
      <c r="K31" s="2">
        <v>20.235264868510541</v>
      </c>
      <c r="L31" s="2">
        <v>4.5684422999104121E-2</v>
      </c>
    </row>
    <row r="32" spans="1:12" s="3" customFormat="1" x14ac:dyDescent="0.3">
      <c r="A32" s="3" t="s">
        <v>17</v>
      </c>
      <c r="B32" s="3">
        <v>167</v>
      </c>
      <c r="C32" s="3">
        <v>19.76331360946746</v>
      </c>
      <c r="D32" s="3">
        <v>12.27272727272382</v>
      </c>
      <c r="E32" s="3">
        <v>10.3400216369697</v>
      </c>
      <c r="F32" s="3">
        <v>9.0116561371033352</v>
      </c>
      <c r="G32" s="3">
        <v>-20.27928733512519</v>
      </c>
      <c r="H32" s="3">
        <v>-7731629.5800000001</v>
      </c>
      <c r="I32" s="3">
        <v>17.212637578802809</v>
      </c>
      <c r="J32" s="3">
        <v>381257.46</v>
      </c>
      <c r="K32" s="3">
        <v>14.62812705924029</v>
      </c>
      <c r="L32" s="3">
        <v>4.9311397559219337E-2</v>
      </c>
    </row>
    <row r="33" spans="1:12" s="4" customFormat="1" x14ac:dyDescent="0.3">
      <c r="A33" s="4" t="s">
        <v>18</v>
      </c>
      <c r="B33" s="4">
        <v>97</v>
      </c>
      <c r="C33" s="4">
        <v>11.4792899408284</v>
      </c>
      <c r="D33" s="4">
        <v>15.36842105263012</v>
      </c>
      <c r="E33" s="4">
        <v>10.88627881675362</v>
      </c>
      <c r="F33" s="4">
        <v>9.9869488397985471</v>
      </c>
      <c r="G33" s="4">
        <v>-6.7776398119473598</v>
      </c>
      <c r="H33" s="4">
        <v>-1639426.96</v>
      </c>
      <c r="I33" s="4">
        <v>3.649794885724265</v>
      </c>
      <c r="J33" s="4">
        <v>241887.59</v>
      </c>
      <c r="K33" s="4">
        <v>9.2807689600969923</v>
      </c>
      <c r="L33" s="4">
        <v>0.14754398695505169</v>
      </c>
    </row>
    <row r="34" spans="1:12" s="5" customFormat="1" x14ac:dyDescent="0.3">
      <c r="A34" s="5" t="s">
        <v>19</v>
      </c>
      <c r="B34" s="5">
        <v>27</v>
      </c>
      <c r="C34" s="5">
        <v>3.195266272189349</v>
      </c>
      <c r="E34" s="5">
        <v>9.7460343400555551</v>
      </c>
      <c r="F34" s="5">
        <v>8.2067270370114684</v>
      </c>
      <c r="G34" s="5">
        <v>-32.140662569674951</v>
      </c>
      <c r="H34" s="5">
        <v>-2636528.12</v>
      </c>
      <c r="I34" s="5">
        <v>5.8696038818613872</v>
      </c>
      <c r="J34" s="5">
        <v>82030.92</v>
      </c>
      <c r="K34" s="5">
        <v>3.1473711243482958</v>
      </c>
      <c r="L34" s="5">
        <v>3.1113235386239689E-2</v>
      </c>
    </row>
    <row r="35" spans="1:12" s="2" customFormat="1" x14ac:dyDescent="0.3">
      <c r="A35" s="2" t="s">
        <v>20</v>
      </c>
      <c r="B35" s="2">
        <v>47</v>
      </c>
      <c r="C35" s="2">
        <v>5.5621301775147929</v>
      </c>
      <c r="D35" s="2">
        <v>16.750000000001751</v>
      </c>
      <c r="E35" s="2">
        <v>9.9811130559687502</v>
      </c>
      <c r="F35" s="2">
        <v>9.1912156820474742</v>
      </c>
      <c r="G35" s="2">
        <v>-32.945549715779393</v>
      </c>
      <c r="H35" s="2">
        <v>-3243719</v>
      </c>
      <c r="I35" s="2">
        <v>7.2213702139719764</v>
      </c>
      <c r="J35" s="2">
        <v>98456.97</v>
      </c>
      <c r="K35" s="2">
        <v>3.7776075700336711</v>
      </c>
      <c r="L35" s="2">
        <v>3.0353113201235991E-2</v>
      </c>
    </row>
    <row r="36" spans="1:12" x14ac:dyDescent="0.3">
      <c r="I36" t="s">
        <v>26</v>
      </c>
      <c r="J36" s="7">
        <f>SUM(J28:J35)*D25</f>
        <v>260633134000.00003</v>
      </c>
      <c r="K36" s="10">
        <f>J36/SUM($J$12,$J$24,$J$36,$J$48)</f>
        <v>4.9434948146847305E-2</v>
      </c>
    </row>
    <row r="37" spans="1:12" x14ac:dyDescent="0.3">
      <c r="A37" s="1" t="s">
        <v>23</v>
      </c>
      <c r="B37">
        <v>1970</v>
      </c>
      <c r="C37" t="s">
        <v>24</v>
      </c>
      <c r="D37" s="8">
        <f>100*B37</f>
        <v>197000</v>
      </c>
      <c r="J37" s="7"/>
    </row>
    <row r="38" spans="1:12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</row>
    <row r="39" spans="1:12" x14ac:dyDescent="0.3">
      <c r="A39" t="s">
        <v>12</v>
      </c>
    </row>
    <row r="40" spans="1:12" s="3" customFormat="1" x14ac:dyDescent="0.3">
      <c r="A40" s="3" t="s">
        <v>13</v>
      </c>
      <c r="B40" s="3">
        <v>233</v>
      </c>
      <c r="C40" s="3">
        <v>27.837514934289121</v>
      </c>
      <c r="D40" s="3">
        <v>21.16666666667015</v>
      </c>
      <c r="E40" s="3">
        <v>26.82667748783582</v>
      </c>
      <c r="F40" s="3">
        <v>24.128330777051548</v>
      </c>
      <c r="G40" s="3">
        <v>-27.037190646642401</v>
      </c>
      <c r="H40" s="3">
        <v>-86911257.519999996</v>
      </c>
      <c r="I40" s="3">
        <v>19.941884625732669</v>
      </c>
      <c r="J40" s="3">
        <v>3214507.7</v>
      </c>
      <c r="K40" s="3">
        <v>23.704754187932931</v>
      </c>
      <c r="L40" s="3">
        <v>3.6986091235192163E-2</v>
      </c>
    </row>
    <row r="41" spans="1:12" s="4" customFormat="1" x14ac:dyDescent="0.3">
      <c r="A41" s="4" t="s">
        <v>14</v>
      </c>
      <c r="B41" s="4">
        <v>59</v>
      </c>
      <c r="C41" s="4">
        <v>7.0489844683393077</v>
      </c>
      <c r="D41" s="4">
        <v>21.500000000003169</v>
      </c>
      <c r="E41" s="4">
        <v>26.041435631818182</v>
      </c>
      <c r="F41" s="4">
        <v>23.386557063699211</v>
      </c>
      <c r="G41" s="4">
        <v>-16.060080274907339</v>
      </c>
      <c r="H41" s="4">
        <v>-12651056.5</v>
      </c>
      <c r="I41" s="4">
        <v>2.9027989735227271</v>
      </c>
      <c r="J41" s="4">
        <v>787733.08</v>
      </c>
      <c r="K41" s="4">
        <v>5.8089825160796176</v>
      </c>
      <c r="L41" s="4">
        <v>6.2266189389004779E-2</v>
      </c>
    </row>
    <row r="42" spans="1:12" s="5" customFormat="1" x14ac:dyDescent="0.3">
      <c r="A42" s="5" t="s">
        <v>15</v>
      </c>
      <c r="B42" s="5">
        <v>56</v>
      </c>
      <c r="C42" s="5">
        <v>6.6905615292712062</v>
      </c>
      <c r="D42" s="5">
        <v>21.692307692310699</v>
      </c>
      <c r="E42" s="5">
        <v>29.00782284604167</v>
      </c>
      <c r="F42" s="5">
        <v>27.451334560673761</v>
      </c>
      <c r="G42" s="5">
        <v>-45.513488062308951</v>
      </c>
      <c r="H42" s="5">
        <v>-49410234.119999997</v>
      </c>
      <c r="I42" s="5">
        <v>11.337233130296561</v>
      </c>
      <c r="J42" s="5">
        <v>1085617.3899999999</v>
      </c>
      <c r="K42" s="5">
        <v>8.0056717151728432</v>
      </c>
      <c r="L42" s="5">
        <v>2.1971508723545391E-2</v>
      </c>
    </row>
    <row r="43" spans="1:12" s="2" customFormat="1" x14ac:dyDescent="0.3">
      <c r="A43" s="2" t="s">
        <v>16</v>
      </c>
      <c r="B43" s="2">
        <v>105</v>
      </c>
      <c r="C43" s="2">
        <v>12.54480286738351</v>
      </c>
      <c r="D43" s="2">
        <v>19.33333333333848</v>
      </c>
      <c r="E43" s="2">
        <v>30.644812887600001</v>
      </c>
      <c r="F43" s="2">
        <v>29.123432690546529</v>
      </c>
      <c r="G43" s="2">
        <v>-63.452599998781821</v>
      </c>
      <c r="H43" s="2">
        <v>-110217779.15000001</v>
      </c>
      <c r="I43" s="2">
        <v>25.28959191515543</v>
      </c>
      <c r="J43" s="2">
        <v>1737009.66</v>
      </c>
      <c r="K43" s="2">
        <v>12.80923576955966</v>
      </c>
      <c r="L43" s="2">
        <v>1.575979550119614E-2</v>
      </c>
    </row>
    <row r="44" spans="1:12" s="3" customFormat="1" x14ac:dyDescent="0.3">
      <c r="A44" s="3" t="s">
        <v>17</v>
      </c>
      <c r="B44" s="3">
        <v>216</v>
      </c>
      <c r="C44" s="3">
        <v>25.806451612903221</v>
      </c>
      <c r="D44" s="3">
        <v>20.85714285714662</v>
      </c>
      <c r="E44" s="3">
        <v>27.876636521799998</v>
      </c>
      <c r="F44" s="3">
        <v>25.44870525644453</v>
      </c>
      <c r="G44" s="3">
        <v>-28.807020921533031</v>
      </c>
      <c r="H44" s="3">
        <v>-105837652.53</v>
      </c>
      <c r="I44" s="3">
        <v>24.284566994395998</v>
      </c>
      <c r="J44" s="3">
        <v>3674022.83</v>
      </c>
      <c r="K44" s="3">
        <v>27.093358048575741</v>
      </c>
      <c r="L44" s="3">
        <v>3.4713759632552188E-2</v>
      </c>
    </row>
    <row r="45" spans="1:12" s="4" customFormat="1" x14ac:dyDescent="0.3">
      <c r="A45" s="4" t="s">
        <v>18</v>
      </c>
      <c r="B45" s="4">
        <v>47</v>
      </c>
      <c r="C45" s="4">
        <v>5.6152927120669061</v>
      </c>
      <c r="D45" s="4">
        <v>22.000000000002721</v>
      </c>
      <c r="E45" s="4">
        <v>27.10441818918919</v>
      </c>
      <c r="F45" s="4">
        <v>25.65633327316327</v>
      </c>
      <c r="G45" s="4">
        <v>-15.67137126678792</v>
      </c>
      <c r="H45" s="4">
        <v>-13209962.539999999</v>
      </c>
      <c r="I45" s="4">
        <v>3.031040585534154</v>
      </c>
      <c r="J45" s="4">
        <v>842935.97</v>
      </c>
      <c r="K45" s="4">
        <v>6.2160653604957314</v>
      </c>
      <c r="L45" s="4">
        <v>6.3810625310069952E-2</v>
      </c>
    </row>
    <row r="46" spans="1:12" s="5" customFormat="1" x14ac:dyDescent="0.3">
      <c r="A46" s="5" t="s">
        <v>19</v>
      </c>
      <c r="B46" s="5">
        <v>63</v>
      </c>
      <c r="C46" s="5">
        <v>7.5268817204301079</v>
      </c>
      <c r="D46" s="5">
        <v>23.285714285715841</v>
      </c>
      <c r="E46" s="5">
        <v>30.26708460773585</v>
      </c>
      <c r="F46" s="5">
        <v>28.46653807777188</v>
      </c>
      <c r="G46" s="5">
        <v>-22.733693984222779</v>
      </c>
      <c r="H46" s="5">
        <v>-28900915.949999999</v>
      </c>
      <c r="I46" s="5">
        <v>6.631347283408827</v>
      </c>
      <c r="J46" s="5">
        <v>1271281.1200000001</v>
      </c>
      <c r="K46" s="5">
        <v>9.3748123401166747</v>
      </c>
      <c r="L46" s="5">
        <v>4.3987571957905383E-2</v>
      </c>
    </row>
    <row r="47" spans="1:12" s="2" customFormat="1" x14ac:dyDescent="0.3">
      <c r="A47" s="2" t="s">
        <v>20</v>
      </c>
      <c r="B47" s="2">
        <v>58</v>
      </c>
      <c r="C47" s="2">
        <v>6.9295101553166063</v>
      </c>
      <c r="D47" s="2">
        <v>22.785714285716288</v>
      </c>
      <c r="E47" s="2">
        <v>30.468528178979589</v>
      </c>
      <c r="F47" s="2">
        <v>29.029596604061179</v>
      </c>
      <c r="G47" s="2">
        <v>-30.273309985890801</v>
      </c>
      <c r="H47" s="2">
        <v>-28683829.219999999</v>
      </c>
      <c r="I47" s="2">
        <v>6.5815364919536314</v>
      </c>
      <c r="J47" s="2">
        <v>947495.64</v>
      </c>
      <c r="K47" s="2">
        <v>6.9871200620667953</v>
      </c>
      <c r="L47" s="2">
        <v>3.3032397199581433E-2</v>
      </c>
    </row>
    <row r="48" spans="1:12" x14ac:dyDescent="0.3">
      <c r="I48" t="s">
        <v>26</v>
      </c>
      <c r="J48" s="7">
        <f>SUM(J40:J47)*D37</f>
        <v>2671438867830</v>
      </c>
      <c r="K48" s="10">
        <f>J48/SUM($J$12,$J$24,$J$36,$J$48)</f>
        <v>0.5066985915484119</v>
      </c>
    </row>
    <row r="50" spans="1:13" x14ac:dyDescent="0.3">
      <c r="A50" t="s">
        <v>27</v>
      </c>
      <c r="C50" t="s">
        <v>2</v>
      </c>
      <c r="G50" t="s">
        <v>6</v>
      </c>
      <c r="H50" t="s">
        <v>7</v>
      </c>
      <c r="I50" t="s">
        <v>8</v>
      </c>
      <c r="J50" t="s">
        <v>29</v>
      </c>
      <c r="K50" t="s">
        <v>30</v>
      </c>
      <c r="L50" t="s">
        <v>11</v>
      </c>
      <c r="M50" t="s">
        <v>31</v>
      </c>
    </row>
    <row r="51" spans="1:13" s="3" customFormat="1" x14ac:dyDescent="0.3">
      <c r="A51" s="3" t="s">
        <v>13</v>
      </c>
      <c r="C51" s="16">
        <f>(C4*$K$12+C16*$K$24+C28*$K$36+C40*$K$48)/100</f>
        <v>0.26458020602962351</v>
      </c>
      <c r="G51" s="12">
        <f>G16*$K$24+G28*$K$36+G40*$K$48+G4*$K$12</f>
        <v>-18.295924568497469</v>
      </c>
      <c r="H51" s="15">
        <f>H4+H16+H28+H40</f>
        <v>-144551096.80333102</v>
      </c>
      <c r="I51" s="16">
        <f>H51/SUM($H$51:$H$58)</f>
        <v>0.20999338736305576</v>
      </c>
      <c r="J51" s="17">
        <f>J4*$D$1+J16*$D$13+J28*$D$25+J40*$D$37</f>
        <v>1307651547540</v>
      </c>
      <c r="K51" s="16">
        <f>J51/SUM($J$51:$J$58)</f>
        <v>0.24802558851471479</v>
      </c>
      <c r="L51" s="16">
        <f>L4*$K$12+L16*$K$24+L28*$K$36+L40*$K$48</f>
        <v>7.3544610875049737E-2</v>
      </c>
      <c r="M51" s="17">
        <f>J4+J16+J28+J40</f>
        <v>9272108.9699999988</v>
      </c>
    </row>
    <row r="52" spans="1:13" s="4" customFormat="1" x14ac:dyDescent="0.3">
      <c r="A52" s="4" t="s">
        <v>14</v>
      </c>
      <c r="C52" s="19">
        <f t="shared" ref="C52:C58" si="0">(C5*$K$12+C17*$K$24+C29*$K$36+C41*$K$48)/100</f>
        <v>9.064297836369381E-2</v>
      </c>
      <c r="G52" s="13">
        <f t="shared" ref="G52:G58" si="1">G17*$K$24+G29*$K$36+G41*$K$48+G5*$K$12</f>
        <v>-12.509807353902842</v>
      </c>
      <c r="H52" s="18">
        <f t="shared" ref="H52:H58" si="2">H5+H17+H29+H41</f>
        <v>-41660739.097109005</v>
      </c>
      <c r="I52" s="19">
        <f t="shared" ref="I52:I58" si="3">H52/SUM($H$51:$H$58)</f>
        <v>6.0521711121660708E-2</v>
      </c>
      <c r="J52" s="20">
        <f t="shared" ref="J52:J58" si="4">J5*$D$1+J17*$D$13+J29*$D$25+J41*$D$37</f>
        <v>472299466530</v>
      </c>
      <c r="K52" s="19">
        <f t="shared" ref="K52:K58" si="5">J52/SUM($J$51:$J$58)</f>
        <v>8.9582238755929591E-2</v>
      </c>
      <c r="L52" s="19">
        <f t="shared" ref="L52:L58" si="6">L5*$K$12+L17*$K$24+L29*$K$36+L41*$K$48</f>
        <v>0.11559169720747153</v>
      </c>
      <c r="M52" s="20">
        <f t="shared" ref="M52:M58" si="7">J5+J17+J29+J41</f>
        <v>3557068.6100000003</v>
      </c>
    </row>
    <row r="53" spans="1:13" s="5" customFormat="1" x14ac:dyDescent="0.3">
      <c r="A53" s="5" t="s">
        <v>15</v>
      </c>
      <c r="C53" s="22">
        <f t="shared" si="0"/>
        <v>6.7649670517165125E-2</v>
      </c>
      <c r="G53" s="14">
        <f t="shared" si="1"/>
        <v>-40.252998717900851</v>
      </c>
      <c r="H53" s="21">
        <f t="shared" si="2"/>
        <v>-101980072.24003899</v>
      </c>
      <c r="I53" s="22">
        <f t="shared" si="3"/>
        <v>0.14814927929845653</v>
      </c>
      <c r="J53" s="23">
        <f t="shared" si="4"/>
        <v>405078081160</v>
      </c>
      <c r="K53" s="22">
        <f t="shared" si="5"/>
        <v>7.6832187950320235E-2</v>
      </c>
      <c r="L53" s="22">
        <f t="shared" si="6"/>
        <v>2.8082293122478875E-2</v>
      </c>
      <c r="M53" s="23">
        <f t="shared" si="7"/>
        <v>2811115.7199999997</v>
      </c>
    </row>
    <row r="54" spans="1:13" s="2" customFormat="1" x14ac:dyDescent="0.3">
      <c r="A54" s="2" t="s">
        <v>16</v>
      </c>
      <c r="C54" s="25">
        <f t="shared" si="0"/>
        <v>0.12738904713526822</v>
      </c>
      <c r="G54" s="11">
        <f t="shared" si="1"/>
        <v>-44.871612825172797</v>
      </c>
      <c r="H54" s="24">
        <f t="shared" si="2"/>
        <v>-183350243.98216102</v>
      </c>
      <c r="I54" s="25">
        <f t="shared" si="3"/>
        <v>0.26635798454051907</v>
      </c>
      <c r="J54" s="26">
        <f t="shared" si="4"/>
        <v>686735239020</v>
      </c>
      <c r="K54" s="25">
        <f t="shared" si="5"/>
        <v>0.1302548160724894</v>
      </c>
      <c r="L54" s="25">
        <f t="shared" si="6"/>
        <v>3.9386490186564684E-2</v>
      </c>
      <c r="M54" s="26">
        <f t="shared" si="7"/>
        <v>4840603.5600000005</v>
      </c>
    </row>
    <row r="55" spans="1:13" s="3" customFormat="1" x14ac:dyDescent="0.3">
      <c r="A55" s="3" t="s">
        <v>17</v>
      </c>
      <c r="C55" s="16">
        <f t="shared" si="0"/>
        <v>0.23540615619487837</v>
      </c>
      <c r="G55" s="12">
        <f t="shared" si="1"/>
        <v>-16.327194329375104</v>
      </c>
      <c r="H55" s="15">
        <f t="shared" si="2"/>
        <v>-119806064.758387</v>
      </c>
      <c r="I55" s="16">
        <f t="shared" si="3"/>
        <v>0.17404559302293413</v>
      </c>
      <c r="J55" s="17">
        <f t="shared" si="4"/>
        <v>1246062044680</v>
      </c>
      <c r="K55" s="16">
        <f t="shared" si="5"/>
        <v>0.23634375116139422</v>
      </c>
      <c r="L55" s="16">
        <f t="shared" si="6"/>
        <v>7.6660834295876557E-2</v>
      </c>
      <c r="M55" s="17">
        <f t="shared" si="7"/>
        <v>8290140.5800000001</v>
      </c>
    </row>
    <row r="56" spans="1:13" s="4" customFormat="1" x14ac:dyDescent="0.3">
      <c r="A56" s="4" t="s">
        <v>18</v>
      </c>
      <c r="C56" s="19">
        <f>(C9*$K$12+C21*$K$24+C33*$K$36+C45*$K$48)/100</f>
        <v>8.9080918482140031E-2</v>
      </c>
      <c r="G56" s="13">
        <f t="shared" si="1"/>
        <v>-7.7571150753503328</v>
      </c>
      <c r="H56" s="18">
        <f t="shared" si="2"/>
        <v>-11244622.919348869</v>
      </c>
      <c r="I56" s="19">
        <f t="shared" si="3"/>
        <v>1.6335375577723795E-2</v>
      </c>
      <c r="J56" s="20">
        <f t="shared" si="4"/>
        <v>459728390190</v>
      </c>
      <c r="K56" s="19">
        <f t="shared" si="5"/>
        <v>8.7197850794658485E-2</v>
      </c>
      <c r="L56" s="19">
        <f t="shared" si="6"/>
        <v>0.381788720265271</v>
      </c>
      <c r="M56" s="20">
        <f t="shared" si="7"/>
        <v>3422237.01</v>
      </c>
    </row>
    <row r="57" spans="1:13" s="5" customFormat="1" x14ac:dyDescent="0.3">
      <c r="A57" s="5" t="s">
        <v>19</v>
      </c>
      <c r="C57" s="22">
        <f>(C10*$K$12+C22*$K$24+C34*$K$36+C46*$K$48)/100</f>
        <v>6.6183945056032256E-2</v>
      </c>
      <c r="G57" s="14">
        <f t="shared" si="1"/>
        <v>-18.815902827846031</v>
      </c>
      <c r="H57" s="21">
        <f t="shared" si="2"/>
        <v>-45532349.166600004</v>
      </c>
      <c r="I57" s="22">
        <f t="shared" si="3"/>
        <v>6.6146106446363609E-2</v>
      </c>
      <c r="J57" s="23">
        <f t="shared" si="4"/>
        <v>391551470510</v>
      </c>
      <c r="K57" s="22">
        <f t="shared" si="5"/>
        <v>7.4266561370833456E-2</v>
      </c>
      <c r="L57" s="22">
        <f t="shared" si="6"/>
        <v>5.9624486466970078E-2</v>
      </c>
      <c r="M57" s="23">
        <f t="shared" si="7"/>
        <v>2554876.23</v>
      </c>
    </row>
    <row r="58" spans="1:13" s="2" customFormat="1" x14ac:dyDescent="0.3">
      <c r="A58" s="2" t="s">
        <v>20</v>
      </c>
      <c r="C58" s="25">
        <f t="shared" si="0"/>
        <v>5.9067078221198645E-2</v>
      </c>
      <c r="G58" s="11">
        <f t="shared" si="1"/>
        <v>-22.227320063728541</v>
      </c>
      <c r="H58" s="24">
        <f t="shared" si="2"/>
        <v>-40235042.840790004</v>
      </c>
      <c r="I58" s="25">
        <f t="shared" si="3"/>
        <v>5.8450562629286516E-2</v>
      </c>
      <c r="J58" s="26">
        <f t="shared" si="4"/>
        <v>303138270990</v>
      </c>
      <c r="K58" s="25">
        <f t="shared" si="5"/>
        <v>5.74970053796598E-2</v>
      </c>
      <c r="L58" s="25">
        <f t="shared" si="6"/>
        <v>8.9303528926801046E-2</v>
      </c>
      <c r="M58" s="26">
        <f t="shared" si="7"/>
        <v>2001100.4300000002</v>
      </c>
    </row>
    <row r="60" spans="1:13" s="3" customFormat="1" x14ac:dyDescent="0.3">
      <c r="A60" s="3" t="s">
        <v>13</v>
      </c>
      <c r="C60" s="16">
        <f>C51</f>
        <v>0.26458020602962351</v>
      </c>
      <c r="D60" s="16"/>
      <c r="E60" s="16"/>
      <c r="F60" s="16"/>
      <c r="G60" s="12">
        <f t="shared" ref="G60:M60" si="8">G51</f>
        <v>-18.295924568497469</v>
      </c>
      <c r="H60" s="15">
        <f t="shared" si="8"/>
        <v>-144551096.80333102</v>
      </c>
      <c r="I60" s="16">
        <f t="shared" si="8"/>
        <v>0.20999338736305576</v>
      </c>
      <c r="J60" s="15">
        <f t="shared" si="8"/>
        <v>1307651547540</v>
      </c>
      <c r="K60" s="16">
        <f t="shared" si="8"/>
        <v>0.24802558851471479</v>
      </c>
      <c r="L60" s="16">
        <f t="shared" si="8"/>
        <v>7.3544610875049737E-2</v>
      </c>
      <c r="M60" s="15">
        <f t="shared" si="8"/>
        <v>9272108.9699999988</v>
      </c>
    </row>
    <row r="61" spans="1:13" s="27" customFormat="1" x14ac:dyDescent="0.3">
      <c r="A61" s="27" t="s">
        <v>28</v>
      </c>
      <c r="C61" s="28">
        <f>C52+C53</f>
        <v>0.15829264888085892</v>
      </c>
      <c r="G61" s="29">
        <f>(G5*B5+G6*B6)/(B5+B6)*$K$12+(G17*B17+G18*B18)/(B17+B18)*$K$24+(G29*B29+G30*B30)/(B29+B30)*$K$36+(G41*B41+G42*B42)/(B41+B42)*$K$48</f>
        <v>-24.366398360290056</v>
      </c>
      <c r="H61" s="30">
        <f>H52+H53</f>
        <v>-143640811.33714801</v>
      </c>
      <c r="I61" s="28">
        <f>I52+I53</f>
        <v>0.20867099042011725</v>
      </c>
      <c r="J61" s="30">
        <f>J52+J53</f>
        <v>877377547690</v>
      </c>
      <c r="K61" s="28">
        <f>J61/SUM($J$60:$J$65)</f>
        <v>0.16641442670624984</v>
      </c>
      <c r="L61" s="28">
        <f>(L5*B5+L6*B6)/(B5+B6)*$K$12+(L17*B17+L18*B18)/(B17+B18)*$K$24+(L29*B29+L30*B30)/(B29+B30)*$K$36+(L41*B41+L42*B42)/(B41+B42)*$K$48</f>
        <v>7.682085087671571E-2</v>
      </c>
      <c r="M61" s="30">
        <f>M52+M53</f>
        <v>6368184.3300000001</v>
      </c>
    </row>
    <row r="62" spans="1:13" s="2" customFormat="1" x14ac:dyDescent="0.3">
      <c r="A62" s="2" t="s">
        <v>16</v>
      </c>
      <c r="C62" s="25">
        <f>C54</f>
        <v>0.12738904713526822</v>
      </c>
      <c r="D62" s="25"/>
      <c r="E62" s="25"/>
      <c r="F62" s="25"/>
      <c r="G62" s="11">
        <f t="shared" ref="G62:M62" si="9">G54</f>
        <v>-44.871612825172797</v>
      </c>
      <c r="H62" s="24">
        <f t="shared" si="9"/>
        <v>-183350243.98216102</v>
      </c>
      <c r="I62" s="25">
        <f t="shared" si="9"/>
        <v>0.26635798454051907</v>
      </c>
      <c r="J62" s="24">
        <f t="shared" si="9"/>
        <v>686735239020</v>
      </c>
      <c r="K62" s="25">
        <f t="shared" si="9"/>
        <v>0.1302548160724894</v>
      </c>
      <c r="L62" s="25">
        <f t="shared" si="9"/>
        <v>3.9386490186564684E-2</v>
      </c>
      <c r="M62" s="24">
        <f t="shared" si="9"/>
        <v>4840603.5600000005</v>
      </c>
    </row>
    <row r="63" spans="1:13" s="3" customFormat="1" x14ac:dyDescent="0.3">
      <c r="A63" s="3" t="s">
        <v>17</v>
      </c>
      <c r="C63" s="16">
        <f>C55</f>
        <v>0.23540615619487837</v>
      </c>
      <c r="D63" s="16"/>
      <c r="E63" s="16"/>
      <c r="F63" s="16"/>
      <c r="G63" s="12">
        <f t="shared" ref="G63:M63" si="10">G55</f>
        <v>-16.327194329375104</v>
      </c>
      <c r="H63" s="15">
        <f t="shared" si="10"/>
        <v>-119806064.758387</v>
      </c>
      <c r="I63" s="16">
        <f t="shared" si="10"/>
        <v>0.17404559302293413</v>
      </c>
      <c r="J63" s="15">
        <f t="shared" si="10"/>
        <v>1246062044680</v>
      </c>
      <c r="K63" s="16">
        <f t="shared" si="10"/>
        <v>0.23634375116139422</v>
      </c>
      <c r="L63" s="16">
        <f t="shared" si="10"/>
        <v>7.6660834295876557E-2</v>
      </c>
      <c r="M63" s="15">
        <f t="shared" si="10"/>
        <v>8290140.5800000001</v>
      </c>
    </row>
    <row r="64" spans="1:13" s="27" customFormat="1" x14ac:dyDescent="0.3">
      <c r="A64" s="27" t="s">
        <v>28</v>
      </c>
      <c r="C64" s="28">
        <f>C56+C57</f>
        <v>0.15526486353817229</v>
      </c>
      <c r="G64" s="29">
        <f>(G9*B9+G10*B10)/(B9+B10)*$K$12+(G21*B21+G22*B22)/(B21+B22)*$K$24+(G33*B33+G34*B34)/(B33+B34)*$K$36+(G45*B45+G46*B46)/(B45+B46)*$K$48</f>
        <v>-11.837585594039576</v>
      </c>
      <c r="H64" s="30">
        <f>H56+H57</f>
        <v>-56776972.08594887</v>
      </c>
      <c r="I64" s="28">
        <f>I56+I57</f>
        <v>8.2481482024087407E-2</v>
      </c>
      <c r="J64" s="30">
        <f>J56+J57</f>
        <v>851279860700</v>
      </c>
      <c r="K64" s="28">
        <f>J64/SUM($J$60:$J$65)</f>
        <v>0.16146441216549193</v>
      </c>
      <c r="L64" s="28">
        <f>(L9*B9+L10*B10)/(B9+B10)*$K$12+(L21*B21+L22*B22)/(B21+B22)*$K$24+(L33*B33+L34*B34)/(B33+B34)*$K$36+(L45*B45+L46*B46)/(B45+B46)*$K$48</f>
        <v>0.25241603948811059</v>
      </c>
      <c r="M64" s="30">
        <f>M56+M57</f>
        <v>5977113.2400000002</v>
      </c>
    </row>
    <row r="65" spans="1:13" s="2" customFormat="1" x14ac:dyDescent="0.3">
      <c r="A65" s="2" t="s">
        <v>20</v>
      </c>
      <c r="C65" s="25">
        <f>C58</f>
        <v>5.9067078221198645E-2</v>
      </c>
      <c r="D65" s="25"/>
      <c r="E65" s="25"/>
      <c r="F65" s="25"/>
      <c r="G65" s="11">
        <f t="shared" ref="G65:M65" si="11">G58</f>
        <v>-22.227320063728541</v>
      </c>
      <c r="H65" s="24">
        <f t="shared" si="11"/>
        <v>-40235042.840790004</v>
      </c>
      <c r="I65" s="25">
        <f t="shared" si="11"/>
        <v>5.8450562629286516E-2</v>
      </c>
      <c r="J65" s="24">
        <f t="shared" si="11"/>
        <v>303138270990</v>
      </c>
      <c r="K65" s="25">
        <f t="shared" si="11"/>
        <v>5.74970053796598E-2</v>
      </c>
      <c r="L65" s="25">
        <f t="shared" si="11"/>
        <v>8.9303528926801046E-2</v>
      </c>
      <c r="M65" s="24">
        <f t="shared" si="11"/>
        <v>2001100.4300000002</v>
      </c>
    </row>
    <row r="67" spans="1:13" x14ac:dyDescent="0.3">
      <c r="A67" t="s">
        <v>23</v>
      </c>
      <c r="K67" s="3" t="s">
        <v>32</v>
      </c>
      <c r="L67">
        <v>1</v>
      </c>
      <c r="M67" s="9">
        <f>L60*C60+L63*C63*L67</f>
        <v>3.7504880629973952E-2</v>
      </c>
    </row>
    <row r="68" spans="1:13" x14ac:dyDescent="0.3">
      <c r="A68" s="3" t="s">
        <v>32</v>
      </c>
      <c r="B68">
        <v>2</v>
      </c>
      <c r="K68" s="27" t="s">
        <v>33</v>
      </c>
      <c r="L68">
        <v>1</v>
      </c>
      <c r="M68" s="9">
        <f>L61*C61+L64*C64*L68</f>
        <v>5.1351517900524182E-2</v>
      </c>
    </row>
    <row r="69" spans="1:13" x14ac:dyDescent="0.3">
      <c r="K69" s="2" t="s">
        <v>34</v>
      </c>
      <c r="L69">
        <v>1</v>
      </c>
      <c r="M69" s="9">
        <f>L62*C62+L65*C65*L69</f>
        <v>1.0292305983417502E-2</v>
      </c>
    </row>
  </sheetData>
  <pageMargins left="0.75" right="0.75" top="1" bottom="1" header="0.5" footer="0.5"/>
  <pageSetup orientation="portrait" r:id="rId1"/>
  <ignoredErrors>
    <ignoredError sqref="H51:H5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2023-04-01T19:04:59Z</dcterms:created>
  <dcterms:modified xsi:type="dcterms:W3CDTF">2023-04-02T13:31:35Z</dcterms:modified>
</cp:coreProperties>
</file>