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Model Boats\IOM\Articles\Hulls\"/>
    </mc:Choice>
  </mc:AlternateContent>
  <bookViews>
    <workbookView xWindow="0" yWindow="0" windowWidth="20490" windowHeight="7755" activeTab="5"/>
  </bookViews>
  <sheets>
    <sheet name="Sheet1" sheetId="12" r:id="rId1"/>
    <sheet name="Calculations" sheetId="7" r:id="rId2"/>
    <sheet name="Plots" sheetId="11" r:id="rId3"/>
    <sheet name="Drag Plots" sheetId="5" r:id="rId4"/>
    <sheet name="Numerical Output" sheetId="10" r:id="rId5"/>
    <sheet name="Input Data" sheetId="1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7" l="1"/>
  <c r="F42" i="7"/>
  <c r="G42" i="7"/>
  <c r="H42" i="7"/>
  <c r="I42" i="7"/>
  <c r="J42" i="7"/>
  <c r="K42" i="7"/>
  <c r="L42" i="7"/>
  <c r="M42" i="7"/>
  <c r="N42" i="7"/>
  <c r="O42" i="7"/>
  <c r="P42" i="7"/>
  <c r="D42" i="7"/>
  <c r="AL52" i="7" l="1"/>
  <c r="AL56" i="7"/>
  <c r="AL57" i="7"/>
  <c r="AL58" i="7"/>
  <c r="AL59" i="7"/>
  <c r="AL60" i="7"/>
  <c r="AL61" i="7"/>
  <c r="AL55" i="7"/>
  <c r="AL54" i="7"/>
  <c r="AH52" i="7"/>
  <c r="AH56" i="7"/>
  <c r="AH57" i="7"/>
  <c r="AH58" i="7"/>
  <c r="AH59" i="7"/>
  <c r="AH60" i="7"/>
  <c r="AH61" i="7"/>
  <c r="AH55" i="7"/>
  <c r="AH54" i="7"/>
  <c r="AE52" i="7"/>
  <c r="AE54" i="7"/>
  <c r="AE56" i="7"/>
  <c r="AE57" i="7"/>
  <c r="AE58" i="7"/>
  <c r="AE59" i="7"/>
  <c r="AE60" i="7"/>
  <c r="AE61" i="7"/>
  <c r="AE55" i="7"/>
  <c r="B56" i="10" l="1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B57" i="10"/>
  <c r="B58" i="10"/>
  <c r="B59" i="10"/>
  <c r="B60" i="10"/>
  <c r="B61" i="10"/>
  <c r="B62" i="10"/>
  <c r="B63" i="10"/>
  <c r="B64" i="10"/>
  <c r="B65" i="10"/>
  <c r="B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B43" i="10"/>
  <c r="B44" i="10"/>
  <c r="B45" i="10"/>
  <c r="B46" i="10"/>
  <c r="B47" i="10"/>
  <c r="B48" i="10"/>
  <c r="B49" i="10"/>
  <c r="B50" i="10"/>
  <c r="B51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B9" i="10"/>
  <c r="C9" i="10"/>
  <c r="D9" i="10"/>
  <c r="B10" i="10"/>
  <c r="C10" i="10"/>
  <c r="D10" i="10"/>
  <c r="B12" i="10"/>
  <c r="C12" i="10"/>
  <c r="D12" i="10"/>
  <c r="B13" i="10"/>
  <c r="C13" i="10"/>
  <c r="D13" i="10"/>
  <c r="B15" i="10"/>
  <c r="C15" i="10"/>
  <c r="D15" i="10"/>
  <c r="B16" i="10"/>
  <c r="C16" i="10"/>
  <c r="D16" i="10"/>
  <c r="B17" i="10"/>
  <c r="B18" i="10"/>
  <c r="D18" i="10"/>
  <c r="B19" i="10"/>
  <c r="D19" i="10"/>
  <c r="A6" i="10"/>
  <c r="AD26" i="7" l="1"/>
  <c r="D45" i="10" s="1"/>
  <c r="Z35" i="7"/>
  <c r="Z36" i="7"/>
  <c r="Z37" i="7"/>
  <c r="Z39" i="7"/>
  <c r="Z40" i="7"/>
  <c r="Z47" i="7"/>
  <c r="AD25" i="7"/>
  <c r="D44" i="10" s="1"/>
  <c r="AD32" i="7" l="1"/>
  <c r="D51" i="10" s="1"/>
  <c r="AD31" i="7"/>
  <c r="D50" i="10" s="1"/>
  <c r="AD30" i="7"/>
  <c r="D49" i="10" s="1"/>
  <c r="AD29" i="7"/>
  <c r="D48" i="10" s="1"/>
  <c r="AD28" i="7"/>
  <c r="AD27" i="7"/>
  <c r="D46" i="10" s="1"/>
  <c r="AD24" i="7"/>
  <c r="D43" i="10" s="1"/>
  <c r="AB21" i="7"/>
  <c r="B40" i="10" l="1"/>
  <c r="AM52" i="7"/>
  <c r="AI52" i="7"/>
  <c r="AF52" i="7"/>
  <c r="AD33" i="7"/>
  <c r="D47" i="10"/>
  <c r="N14" i="1" l="1"/>
  <c r="L14" i="1"/>
  <c r="J14" i="1"/>
  <c r="N13" i="1"/>
  <c r="O13" i="1" s="1"/>
  <c r="M13" i="1"/>
  <c r="L13" i="1"/>
  <c r="J13" i="1"/>
  <c r="K13" i="1" s="1"/>
  <c r="O12" i="1"/>
  <c r="N12" i="1"/>
  <c r="L12" i="1"/>
  <c r="M12" i="1" s="1"/>
  <c r="J12" i="1"/>
  <c r="K12" i="1" s="1"/>
  <c r="N11" i="1"/>
  <c r="O11" i="1" s="1"/>
  <c r="L11" i="1"/>
  <c r="M11" i="1" s="1"/>
  <c r="J11" i="1"/>
  <c r="K11" i="1" s="1"/>
  <c r="N10" i="1"/>
  <c r="O10" i="1" s="1"/>
  <c r="L10" i="1"/>
  <c r="M10" i="1" s="1"/>
  <c r="J10" i="1"/>
  <c r="K10" i="1" s="1"/>
  <c r="N9" i="1"/>
  <c r="O9" i="1" s="1"/>
  <c r="L9" i="1"/>
  <c r="M9" i="1" s="1"/>
  <c r="J9" i="1"/>
  <c r="K9" i="1" s="1"/>
  <c r="N8" i="1"/>
  <c r="O8" i="1" s="1"/>
  <c r="L8" i="1"/>
  <c r="M8" i="1" s="1"/>
  <c r="J8" i="1"/>
  <c r="K8" i="1" s="1"/>
  <c r="N7" i="1"/>
  <c r="O7" i="1" s="1"/>
  <c r="L7" i="1"/>
  <c r="M7" i="1" s="1"/>
  <c r="J7" i="1"/>
  <c r="K7" i="1" s="1"/>
  <c r="N6" i="1"/>
  <c r="O6" i="1" s="1"/>
  <c r="L6" i="1"/>
  <c r="M6" i="1" s="1"/>
  <c r="J6" i="1"/>
  <c r="K6" i="1" s="1"/>
  <c r="N4" i="1"/>
  <c r="L4" i="1"/>
  <c r="J4" i="1"/>
  <c r="E2" i="5"/>
  <c r="B61" i="7"/>
  <c r="A15" i="10" s="1"/>
  <c r="E59" i="7"/>
  <c r="B58" i="7"/>
  <c r="A12" i="10" s="1"/>
  <c r="E56" i="7"/>
  <c r="E55" i="7"/>
  <c r="B55" i="7"/>
  <c r="A9" i="10" s="1"/>
  <c r="BP37" i="7"/>
  <c r="BO37" i="7"/>
  <c r="BN37" i="7"/>
  <c r="BM37" i="7"/>
  <c r="BL37" i="7"/>
  <c r="BK37" i="7"/>
  <c r="AP37" i="7"/>
  <c r="AO37" i="7"/>
  <c r="AN37" i="7"/>
  <c r="AM37" i="7"/>
  <c r="AL37" i="7"/>
  <c r="AK37" i="7"/>
  <c r="P37" i="7"/>
  <c r="O37" i="7"/>
  <c r="N37" i="7"/>
  <c r="M37" i="7"/>
  <c r="L37" i="7"/>
  <c r="K37" i="7"/>
  <c r="BP36" i="7"/>
  <c r="BM36" i="7"/>
  <c r="BK36" i="7"/>
  <c r="AP36" i="7"/>
  <c r="AM36" i="7"/>
  <c r="AK36" i="7"/>
  <c r="P36" i="7"/>
  <c r="M36" i="7"/>
  <c r="K36" i="7"/>
  <c r="BP35" i="7"/>
  <c r="BM35" i="7"/>
  <c r="BK35" i="7"/>
  <c r="AP35" i="7"/>
  <c r="AM35" i="7"/>
  <c r="AK35" i="7"/>
  <c r="P35" i="7"/>
  <c r="M35" i="7"/>
  <c r="K35" i="7"/>
  <c r="BP32" i="7"/>
  <c r="P65" i="10" s="1"/>
  <c r="BO32" i="7"/>
  <c r="O65" i="10" s="1"/>
  <c r="BN32" i="7"/>
  <c r="N65" i="10" s="1"/>
  <c r="BM32" i="7"/>
  <c r="BL32" i="7"/>
  <c r="L65" i="10" s="1"/>
  <c r="BK32" i="7"/>
  <c r="K65" i="10" s="1"/>
  <c r="BJ32" i="7"/>
  <c r="J65" i="10" s="1"/>
  <c r="BI32" i="7"/>
  <c r="BH32" i="7"/>
  <c r="H65" i="10" s="1"/>
  <c r="BG32" i="7"/>
  <c r="G65" i="10" s="1"/>
  <c r="BF32" i="7"/>
  <c r="BE32" i="7"/>
  <c r="E65" i="10" s="1"/>
  <c r="BD32" i="7"/>
  <c r="AP32" i="7"/>
  <c r="P51" i="10" s="1"/>
  <c r="AO32" i="7"/>
  <c r="O51" i="10" s="1"/>
  <c r="AN32" i="7"/>
  <c r="N51" i="10" s="1"/>
  <c r="AM32" i="7"/>
  <c r="AL32" i="7"/>
  <c r="L51" i="10" s="1"/>
  <c r="AK32" i="7"/>
  <c r="K51" i="10" s="1"/>
  <c r="AJ32" i="7"/>
  <c r="J51" i="10" s="1"/>
  <c r="AI32" i="7"/>
  <c r="AH32" i="7"/>
  <c r="H51" i="10" s="1"/>
  <c r="AG32" i="7"/>
  <c r="G51" i="10" s="1"/>
  <c r="AF32" i="7"/>
  <c r="AE32" i="7"/>
  <c r="E51" i="10" s="1"/>
  <c r="P32" i="7"/>
  <c r="P36" i="10" s="1"/>
  <c r="O32" i="7"/>
  <c r="O36" i="10" s="1"/>
  <c r="N32" i="7"/>
  <c r="N36" i="10" s="1"/>
  <c r="M32" i="7"/>
  <c r="M36" i="10" s="1"/>
  <c r="L32" i="7"/>
  <c r="L36" i="10" s="1"/>
  <c r="K32" i="7"/>
  <c r="K36" i="10" s="1"/>
  <c r="J32" i="7"/>
  <c r="J36" i="10" s="1"/>
  <c r="I32" i="7"/>
  <c r="I36" i="10" s="1"/>
  <c r="H32" i="7"/>
  <c r="H36" i="10" s="1"/>
  <c r="G32" i="7"/>
  <c r="G36" i="10" s="1"/>
  <c r="F32" i="7"/>
  <c r="F36" i="10" s="1"/>
  <c r="E32" i="7"/>
  <c r="E36" i="10" s="1"/>
  <c r="D32" i="7"/>
  <c r="D36" i="10" s="1"/>
  <c r="BP31" i="7"/>
  <c r="P64" i="10" s="1"/>
  <c r="BO31" i="7"/>
  <c r="O64" i="10" s="1"/>
  <c r="BN31" i="7"/>
  <c r="N64" i="10" s="1"/>
  <c r="BM31" i="7"/>
  <c r="BL31" i="7"/>
  <c r="L64" i="10" s="1"/>
  <c r="BK31" i="7"/>
  <c r="K64" i="10" s="1"/>
  <c r="BJ31" i="7"/>
  <c r="J64" i="10" s="1"/>
  <c r="BI31" i="7"/>
  <c r="BH31" i="7"/>
  <c r="H64" i="10" s="1"/>
  <c r="BG31" i="7"/>
  <c r="G64" i="10" s="1"/>
  <c r="BF31" i="7"/>
  <c r="BE31" i="7"/>
  <c r="E64" i="10" s="1"/>
  <c r="BD31" i="7"/>
  <c r="AP31" i="7"/>
  <c r="P50" i="10" s="1"/>
  <c r="AO31" i="7"/>
  <c r="O50" i="10" s="1"/>
  <c r="AN31" i="7"/>
  <c r="N50" i="10" s="1"/>
  <c r="AM31" i="7"/>
  <c r="AL31" i="7"/>
  <c r="L50" i="10" s="1"/>
  <c r="AK31" i="7"/>
  <c r="K50" i="10" s="1"/>
  <c r="AJ31" i="7"/>
  <c r="J50" i="10" s="1"/>
  <c r="AI31" i="7"/>
  <c r="AH31" i="7"/>
  <c r="H50" i="10" s="1"/>
  <c r="AG31" i="7"/>
  <c r="G50" i="10" s="1"/>
  <c r="AF31" i="7"/>
  <c r="AE31" i="7"/>
  <c r="E50" i="10" s="1"/>
  <c r="P31" i="7"/>
  <c r="P35" i="10" s="1"/>
  <c r="O31" i="7"/>
  <c r="O35" i="10" s="1"/>
  <c r="N31" i="7"/>
  <c r="N35" i="10" s="1"/>
  <c r="M31" i="7"/>
  <c r="M35" i="10" s="1"/>
  <c r="L31" i="7"/>
  <c r="L35" i="10" s="1"/>
  <c r="K31" i="7"/>
  <c r="K35" i="10" s="1"/>
  <c r="J31" i="7"/>
  <c r="J35" i="10" s="1"/>
  <c r="I31" i="7"/>
  <c r="I35" i="10" s="1"/>
  <c r="H31" i="7"/>
  <c r="H35" i="10" s="1"/>
  <c r="G31" i="7"/>
  <c r="G35" i="10" s="1"/>
  <c r="F31" i="7"/>
  <c r="F35" i="10" s="1"/>
  <c r="E31" i="7"/>
  <c r="E35" i="10" s="1"/>
  <c r="D31" i="7"/>
  <c r="D35" i="10" s="1"/>
  <c r="BP30" i="7"/>
  <c r="P63" i="10" s="1"/>
  <c r="BO30" i="7"/>
  <c r="O63" i="10" s="1"/>
  <c r="BN30" i="7"/>
  <c r="N63" i="10" s="1"/>
  <c r="BM30" i="7"/>
  <c r="BL30" i="7"/>
  <c r="L63" i="10" s="1"/>
  <c r="BK30" i="7"/>
  <c r="K63" i="10" s="1"/>
  <c r="BJ30" i="7"/>
  <c r="J63" i="10" s="1"/>
  <c r="BI30" i="7"/>
  <c r="BH30" i="7"/>
  <c r="H63" i="10" s="1"/>
  <c r="BG30" i="7"/>
  <c r="G63" i="10" s="1"/>
  <c r="BF30" i="7"/>
  <c r="BE30" i="7"/>
  <c r="E63" i="10" s="1"/>
  <c r="BD30" i="7"/>
  <c r="AP30" i="7"/>
  <c r="P49" i="10" s="1"/>
  <c r="AO30" i="7"/>
  <c r="O49" i="10" s="1"/>
  <c r="AN30" i="7"/>
  <c r="N49" i="10" s="1"/>
  <c r="AM30" i="7"/>
  <c r="AL30" i="7"/>
  <c r="L49" i="10" s="1"/>
  <c r="AK30" i="7"/>
  <c r="K49" i="10" s="1"/>
  <c r="AJ30" i="7"/>
  <c r="J49" i="10" s="1"/>
  <c r="AI30" i="7"/>
  <c r="AH30" i="7"/>
  <c r="H49" i="10" s="1"/>
  <c r="AG30" i="7"/>
  <c r="G49" i="10" s="1"/>
  <c r="AF30" i="7"/>
  <c r="AE30" i="7"/>
  <c r="E49" i="10" s="1"/>
  <c r="P30" i="7"/>
  <c r="P34" i="10" s="1"/>
  <c r="O30" i="7"/>
  <c r="O34" i="10" s="1"/>
  <c r="N30" i="7"/>
  <c r="N34" i="10" s="1"/>
  <c r="M30" i="7"/>
  <c r="M34" i="10" s="1"/>
  <c r="L30" i="7"/>
  <c r="L34" i="10" s="1"/>
  <c r="K30" i="7"/>
  <c r="K34" i="10" s="1"/>
  <c r="J30" i="7"/>
  <c r="J34" i="10" s="1"/>
  <c r="I30" i="7"/>
  <c r="I34" i="10" s="1"/>
  <c r="H30" i="7"/>
  <c r="H34" i="10" s="1"/>
  <c r="G30" i="7"/>
  <c r="G34" i="10" s="1"/>
  <c r="F30" i="7"/>
  <c r="F34" i="10" s="1"/>
  <c r="E30" i="7"/>
  <c r="E34" i="10" s="1"/>
  <c r="D30" i="7"/>
  <c r="D34" i="10" s="1"/>
  <c r="BP29" i="7"/>
  <c r="P62" i="10" s="1"/>
  <c r="BO29" i="7"/>
  <c r="O62" i="10" s="1"/>
  <c r="BN29" i="7"/>
  <c r="N62" i="10" s="1"/>
  <c r="BM29" i="7"/>
  <c r="BL29" i="7"/>
  <c r="L62" i="10" s="1"/>
  <c r="BK29" i="7"/>
  <c r="K62" i="10" s="1"/>
  <c r="BJ29" i="7"/>
  <c r="J62" i="10" s="1"/>
  <c r="BI29" i="7"/>
  <c r="BH29" i="7"/>
  <c r="H62" i="10" s="1"/>
  <c r="BG29" i="7"/>
  <c r="G62" i="10" s="1"/>
  <c r="BF29" i="7"/>
  <c r="BE29" i="7"/>
  <c r="E62" i="10" s="1"/>
  <c r="BD29" i="7"/>
  <c r="AP29" i="7"/>
  <c r="P48" i="10" s="1"/>
  <c r="AO29" i="7"/>
  <c r="O48" i="10" s="1"/>
  <c r="AN29" i="7"/>
  <c r="N48" i="10" s="1"/>
  <c r="AM29" i="7"/>
  <c r="AL29" i="7"/>
  <c r="L48" i="10" s="1"/>
  <c r="AK29" i="7"/>
  <c r="K48" i="10" s="1"/>
  <c r="AJ29" i="7"/>
  <c r="J48" i="10" s="1"/>
  <c r="AI29" i="7"/>
  <c r="AH29" i="7"/>
  <c r="H48" i="10" s="1"/>
  <c r="AG29" i="7"/>
  <c r="G48" i="10" s="1"/>
  <c r="AF29" i="7"/>
  <c r="AE29" i="7"/>
  <c r="E48" i="10" s="1"/>
  <c r="P29" i="7"/>
  <c r="P33" i="10" s="1"/>
  <c r="O29" i="7"/>
  <c r="O33" i="10" s="1"/>
  <c r="N29" i="7"/>
  <c r="N33" i="10" s="1"/>
  <c r="M29" i="7"/>
  <c r="M33" i="10" s="1"/>
  <c r="L29" i="7"/>
  <c r="L33" i="10" s="1"/>
  <c r="K29" i="7"/>
  <c r="K33" i="10" s="1"/>
  <c r="J29" i="7"/>
  <c r="J33" i="10" s="1"/>
  <c r="I29" i="7"/>
  <c r="I33" i="10" s="1"/>
  <c r="H29" i="7"/>
  <c r="H33" i="10" s="1"/>
  <c r="G29" i="7"/>
  <c r="G33" i="10" s="1"/>
  <c r="F29" i="7"/>
  <c r="F33" i="10" s="1"/>
  <c r="E29" i="7"/>
  <c r="E33" i="10" s="1"/>
  <c r="D29" i="7"/>
  <c r="D33" i="10" s="1"/>
  <c r="BP28" i="7"/>
  <c r="P61" i="10" s="1"/>
  <c r="BO28" i="7"/>
  <c r="O61" i="10" s="1"/>
  <c r="BN28" i="7"/>
  <c r="N61" i="10" s="1"/>
  <c r="BM28" i="7"/>
  <c r="BL28" i="7"/>
  <c r="L61" i="10" s="1"/>
  <c r="BK28" i="7"/>
  <c r="K61" i="10" s="1"/>
  <c r="BJ28" i="7"/>
  <c r="J61" i="10" s="1"/>
  <c r="BI28" i="7"/>
  <c r="BH28" i="7"/>
  <c r="H61" i="10" s="1"/>
  <c r="BG28" i="7"/>
  <c r="G61" i="10" s="1"/>
  <c r="BF28" i="7"/>
  <c r="BE28" i="7"/>
  <c r="E61" i="10" s="1"/>
  <c r="BD28" i="7"/>
  <c r="AP28" i="7"/>
  <c r="P47" i="10" s="1"/>
  <c r="AO28" i="7"/>
  <c r="O47" i="10" s="1"/>
  <c r="AN28" i="7"/>
  <c r="N47" i="10" s="1"/>
  <c r="AM28" i="7"/>
  <c r="AL28" i="7"/>
  <c r="L47" i="10" s="1"/>
  <c r="AK28" i="7"/>
  <c r="K47" i="10" s="1"/>
  <c r="AJ28" i="7"/>
  <c r="J47" i="10" s="1"/>
  <c r="AI28" i="7"/>
  <c r="AH28" i="7"/>
  <c r="H47" i="10" s="1"/>
  <c r="AG28" i="7"/>
  <c r="G47" i="10" s="1"/>
  <c r="AF28" i="7"/>
  <c r="AE28" i="7"/>
  <c r="E47" i="10" s="1"/>
  <c r="P28" i="7"/>
  <c r="P32" i="10" s="1"/>
  <c r="O28" i="7"/>
  <c r="O32" i="10" s="1"/>
  <c r="N28" i="7"/>
  <c r="N32" i="10" s="1"/>
  <c r="M28" i="7"/>
  <c r="M32" i="10" s="1"/>
  <c r="L28" i="7"/>
  <c r="L32" i="10" s="1"/>
  <c r="K28" i="7"/>
  <c r="K32" i="10" s="1"/>
  <c r="J28" i="7"/>
  <c r="J32" i="10" s="1"/>
  <c r="I28" i="7"/>
  <c r="I32" i="10" s="1"/>
  <c r="H28" i="7"/>
  <c r="H32" i="10" s="1"/>
  <c r="G28" i="7"/>
  <c r="G32" i="10" s="1"/>
  <c r="F28" i="7"/>
  <c r="F32" i="10" s="1"/>
  <c r="E28" i="7"/>
  <c r="E32" i="10" s="1"/>
  <c r="D28" i="7"/>
  <c r="D32" i="10" s="1"/>
  <c r="BP27" i="7"/>
  <c r="P60" i="10" s="1"/>
  <c r="BO27" i="7"/>
  <c r="O60" i="10" s="1"/>
  <c r="BN27" i="7"/>
  <c r="N60" i="10" s="1"/>
  <c r="BM27" i="7"/>
  <c r="BL27" i="7"/>
  <c r="L60" i="10" s="1"/>
  <c r="BK27" i="7"/>
  <c r="K60" i="10" s="1"/>
  <c r="BJ27" i="7"/>
  <c r="J60" i="10" s="1"/>
  <c r="BI27" i="7"/>
  <c r="BH27" i="7"/>
  <c r="H60" i="10" s="1"/>
  <c r="BG27" i="7"/>
  <c r="G60" i="10" s="1"/>
  <c r="BF27" i="7"/>
  <c r="BE27" i="7"/>
  <c r="E60" i="10" s="1"/>
  <c r="BD27" i="7"/>
  <c r="AP27" i="7"/>
  <c r="P46" i="10" s="1"/>
  <c r="AO27" i="7"/>
  <c r="O46" i="10" s="1"/>
  <c r="AN27" i="7"/>
  <c r="N46" i="10" s="1"/>
  <c r="AM27" i="7"/>
  <c r="AL27" i="7"/>
  <c r="L46" i="10" s="1"/>
  <c r="AK27" i="7"/>
  <c r="K46" i="10" s="1"/>
  <c r="AJ27" i="7"/>
  <c r="J46" i="10" s="1"/>
  <c r="AI27" i="7"/>
  <c r="AH27" i="7"/>
  <c r="H46" i="10" s="1"/>
  <c r="AG27" i="7"/>
  <c r="G46" i="10" s="1"/>
  <c r="AF27" i="7"/>
  <c r="AE27" i="7"/>
  <c r="E46" i="10" s="1"/>
  <c r="P27" i="7"/>
  <c r="P31" i="10" s="1"/>
  <c r="O27" i="7"/>
  <c r="O31" i="10" s="1"/>
  <c r="N27" i="7"/>
  <c r="N31" i="10" s="1"/>
  <c r="M27" i="7"/>
  <c r="M31" i="10" s="1"/>
  <c r="L27" i="7"/>
  <c r="L31" i="10" s="1"/>
  <c r="K27" i="7"/>
  <c r="K31" i="10" s="1"/>
  <c r="J27" i="7"/>
  <c r="J31" i="10" s="1"/>
  <c r="I27" i="7"/>
  <c r="I31" i="10" s="1"/>
  <c r="H27" i="7"/>
  <c r="H31" i="10" s="1"/>
  <c r="G27" i="7"/>
  <c r="G31" i="10" s="1"/>
  <c r="F27" i="7"/>
  <c r="F31" i="10" s="1"/>
  <c r="E27" i="7"/>
  <c r="E31" i="10" s="1"/>
  <c r="D27" i="7"/>
  <c r="D31" i="10" s="1"/>
  <c r="BP26" i="7"/>
  <c r="P59" i="10" s="1"/>
  <c r="BO26" i="7"/>
  <c r="O59" i="10" s="1"/>
  <c r="BN26" i="7"/>
  <c r="N59" i="10" s="1"/>
  <c r="BM26" i="7"/>
  <c r="BL26" i="7"/>
  <c r="L59" i="10" s="1"/>
  <c r="BK26" i="7"/>
  <c r="K59" i="10" s="1"/>
  <c r="BJ26" i="7"/>
  <c r="J59" i="10" s="1"/>
  <c r="BI26" i="7"/>
  <c r="BH26" i="7"/>
  <c r="H59" i="10" s="1"/>
  <c r="BG26" i="7"/>
  <c r="G59" i="10" s="1"/>
  <c r="BF26" i="7"/>
  <c r="BE26" i="7"/>
  <c r="E59" i="10" s="1"/>
  <c r="BD26" i="7"/>
  <c r="AP26" i="7"/>
  <c r="P45" i="10" s="1"/>
  <c r="AO26" i="7"/>
  <c r="O45" i="10" s="1"/>
  <c r="AN26" i="7"/>
  <c r="N45" i="10" s="1"/>
  <c r="AM26" i="7"/>
  <c r="AL26" i="7"/>
  <c r="L45" i="10" s="1"/>
  <c r="AK26" i="7"/>
  <c r="K45" i="10" s="1"/>
  <c r="AJ26" i="7"/>
  <c r="J45" i="10" s="1"/>
  <c r="AI26" i="7"/>
  <c r="AH26" i="7"/>
  <c r="H45" i="10" s="1"/>
  <c r="AG26" i="7"/>
  <c r="G45" i="10" s="1"/>
  <c r="AF26" i="7"/>
  <c r="AE26" i="7"/>
  <c r="E45" i="10" s="1"/>
  <c r="P26" i="7"/>
  <c r="P30" i="10" s="1"/>
  <c r="O26" i="7"/>
  <c r="O30" i="10" s="1"/>
  <c r="N26" i="7"/>
  <c r="N30" i="10" s="1"/>
  <c r="M26" i="7"/>
  <c r="M30" i="10" s="1"/>
  <c r="L26" i="7"/>
  <c r="L30" i="10" s="1"/>
  <c r="K26" i="7"/>
  <c r="K30" i="10" s="1"/>
  <c r="J26" i="7"/>
  <c r="J30" i="10" s="1"/>
  <c r="I26" i="7"/>
  <c r="I30" i="10" s="1"/>
  <c r="H26" i="7"/>
  <c r="H30" i="10" s="1"/>
  <c r="G26" i="7"/>
  <c r="G30" i="10" s="1"/>
  <c r="F26" i="7"/>
  <c r="F30" i="10" s="1"/>
  <c r="E26" i="7"/>
  <c r="E30" i="10" s="1"/>
  <c r="D26" i="7"/>
  <c r="D30" i="10" s="1"/>
  <c r="BP25" i="7"/>
  <c r="BO25" i="7"/>
  <c r="BN25" i="7"/>
  <c r="N58" i="10" s="1"/>
  <c r="BM25" i="7"/>
  <c r="M58" i="10" s="1"/>
  <c r="BL25" i="7"/>
  <c r="BK25" i="7"/>
  <c r="BJ25" i="7"/>
  <c r="J58" i="10" s="1"/>
  <c r="BI25" i="7"/>
  <c r="I58" i="10" s="1"/>
  <c r="BH25" i="7"/>
  <c r="BG25" i="7"/>
  <c r="BF25" i="7"/>
  <c r="F58" i="10" s="1"/>
  <c r="BE25" i="7"/>
  <c r="E58" i="10" s="1"/>
  <c r="BD25" i="7"/>
  <c r="D58" i="10" s="1"/>
  <c r="AP25" i="7"/>
  <c r="P44" i="10" s="1"/>
  <c r="AO25" i="7"/>
  <c r="O44" i="10" s="1"/>
  <c r="AN25" i="7"/>
  <c r="AM25" i="7"/>
  <c r="M44" i="10" s="1"/>
  <c r="AL25" i="7"/>
  <c r="L44" i="10" s="1"/>
  <c r="AK25" i="7"/>
  <c r="K44" i="10" s="1"/>
  <c r="AJ25" i="7"/>
  <c r="AI25" i="7"/>
  <c r="I44" i="10" s="1"/>
  <c r="AH25" i="7"/>
  <c r="H44" i="10" s="1"/>
  <c r="AG25" i="7"/>
  <c r="G44" i="10" s="1"/>
  <c r="AF25" i="7"/>
  <c r="AE25" i="7"/>
  <c r="E44" i="10" s="1"/>
  <c r="AD34" i="7"/>
  <c r="P25" i="7"/>
  <c r="P29" i="10" s="1"/>
  <c r="O25" i="7"/>
  <c r="O29" i="10" s="1"/>
  <c r="N25" i="7"/>
  <c r="N29" i="10" s="1"/>
  <c r="M25" i="7"/>
  <c r="M29" i="10" s="1"/>
  <c r="L25" i="7"/>
  <c r="L29" i="10" s="1"/>
  <c r="K25" i="7"/>
  <c r="K29" i="10" s="1"/>
  <c r="J25" i="7"/>
  <c r="J29" i="10" s="1"/>
  <c r="I25" i="7"/>
  <c r="I29" i="10" s="1"/>
  <c r="H25" i="7"/>
  <c r="H29" i="10" s="1"/>
  <c r="G25" i="7"/>
  <c r="G29" i="10" s="1"/>
  <c r="F25" i="7"/>
  <c r="F29" i="10" s="1"/>
  <c r="E25" i="7"/>
  <c r="E29" i="10" s="1"/>
  <c r="D25" i="7"/>
  <c r="D29" i="10" s="1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41" i="7"/>
  <c r="AD42" i="7" s="1"/>
  <c r="P24" i="7"/>
  <c r="P28" i="10" s="1"/>
  <c r="O24" i="7"/>
  <c r="O28" i="10" s="1"/>
  <c r="N24" i="7"/>
  <c r="N28" i="10" s="1"/>
  <c r="M24" i="7"/>
  <c r="M28" i="10" s="1"/>
  <c r="L24" i="7"/>
  <c r="L28" i="10" s="1"/>
  <c r="K24" i="7"/>
  <c r="K28" i="10" s="1"/>
  <c r="J24" i="7"/>
  <c r="J28" i="10" s="1"/>
  <c r="I24" i="7"/>
  <c r="I28" i="10" s="1"/>
  <c r="H24" i="7"/>
  <c r="H28" i="10" s="1"/>
  <c r="G24" i="7"/>
  <c r="G28" i="10" s="1"/>
  <c r="F24" i="7"/>
  <c r="F28" i="10" s="1"/>
  <c r="E24" i="7"/>
  <c r="E28" i="10" s="1"/>
  <c r="D24" i="7"/>
  <c r="D28" i="10" s="1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BB21" i="7"/>
  <c r="B20" i="7"/>
  <c r="B24" i="10" s="1"/>
  <c r="Y5" i="7"/>
  <c r="X5" i="7"/>
  <c r="W5" i="7"/>
  <c r="V5" i="7"/>
  <c r="U5" i="7"/>
  <c r="T5" i="7"/>
  <c r="S5" i="7"/>
  <c r="R5" i="7"/>
  <c r="Q5" i="7"/>
  <c r="P5" i="7"/>
  <c r="O5" i="7"/>
  <c r="BF48" i="7" l="1"/>
  <c r="H61" i="7" s="1"/>
  <c r="G15" i="10" s="1"/>
  <c r="F57" i="10"/>
  <c r="BO33" i="7"/>
  <c r="BO34" i="7" s="1"/>
  <c r="BO38" i="7" s="1"/>
  <c r="O58" i="10"/>
  <c r="BM55" i="7"/>
  <c r="M59" i="10"/>
  <c r="BM59" i="7"/>
  <c r="M63" i="10"/>
  <c r="BG41" i="7"/>
  <c r="BG42" i="7" s="1"/>
  <c r="G57" i="10"/>
  <c r="BK41" i="7"/>
  <c r="BK42" i="7" s="1"/>
  <c r="K57" i="10"/>
  <c r="BO41" i="7"/>
  <c r="BO42" i="7" s="1"/>
  <c r="O57" i="10"/>
  <c r="BH33" i="7"/>
  <c r="BH34" i="7" s="1"/>
  <c r="BH38" i="7" s="1"/>
  <c r="H58" i="10"/>
  <c r="BL33" i="7"/>
  <c r="BL34" i="7" s="1"/>
  <c r="BL38" i="7" s="1"/>
  <c r="L58" i="10"/>
  <c r="BP33" i="7"/>
  <c r="BP34" i="7" s="1"/>
  <c r="BP38" i="7" s="1"/>
  <c r="P58" i="10"/>
  <c r="BF55" i="7"/>
  <c r="F59" i="10"/>
  <c r="Z27" i="7"/>
  <c r="D60" i="10"/>
  <c r="BF57" i="7"/>
  <c r="F61" i="10"/>
  <c r="Z29" i="7"/>
  <c r="D62" i="10"/>
  <c r="BF59" i="7"/>
  <c r="F63" i="10"/>
  <c r="Z31" i="7"/>
  <c r="D64" i="10"/>
  <c r="BF61" i="7"/>
  <c r="F65" i="10"/>
  <c r="BN48" i="7"/>
  <c r="P61" i="7" s="1"/>
  <c r="O15" i="10" s="1"/>
  <c r="N57" i="10"/>
  <c r="BK33" i="7"/>
  <c r="BK34" i="7" s="1"/>
  <c r="BK38" i="7" s="1"/>
  <c r="K58" i="10"/>
  <c r="BM57" i="7"/>
  <c r="M61" i="10"/>
  <c r="BF52" i="7"/>
  <c r="BM52" i="7"/>
  <c r="BI52" i="7"/>
  <c r="B54" i="10"/>
  <c r="BD48" i="7"/>
  <c r="D57" i="10"/>
  <c r="BH48" i="7"/>
  <c r="J61" i="7" s="1"/>
  <c r="I15" i="10" s="1"/>
  <c r="H57" i="10"/>
  <c r="BL48" i="7"/>
  <c r="N61" i="7" s="1"/>
  <c r="M15" i="10" s="1"/>
  <c r="L57" i="10"/>
  <c r="BP48" i="7"/>
  <c r="R61" i="7" s="1"/>
  <c r="Q15" i="10" s="1"/>
  <c r="P57" i="10"/>
  <c r="BI56" i="7"/>
  <c r="I60" i="10"/>
  <c r="BM56" i="7"/>
  <c r="M60" i="10"/>
  <c r="BI58" i="7"/>
  <c r="I62" i="10"/>
  <c r="BM58" i="7"/>
  <c r="M62" i="10"/>
  <c r="BI60" i="7"/>
  <c r="I64" i="10"/>
  <c r="BM60" i="7"/>
  <c r="M64" i="10"/>
  <c r="BJ48" i="7"/>
  <c r="L61" i="7" s="1"/>
  <c r="K15" i="10" s="1"/>
  <c r="J57" i="10"/>
  <c r="BG33" i="7"/>
  <c r="BG34" i="7" s="1"/>
  <c r="BG38" i="7" s="1"/>
  <c r="G58" i="10"/>
  <c r="BI55" i="7"/>
  <c r="I59" i="10"/>
  <c r="BI57" i="7"/>
  <c r="I61" i="10"/>
  <c r="BI59" i="7"/>
  <c r="I63" i="10"/>
  <c r="BI61" i="7"/>
  <c r="I65" i="10"/>
  <c r="BM61" i="7"/>
  <c r="M65" i="10"/>
  <c r="BE41" i="7"/>
  <c r="BE42" i="7" s="1"/>
  <c r="E57" i="10"/>
  <c r="BI41" i="7"/>
  <c r="BI42" i="7" s="1"/>
  <c r="I57" i="10"/>
  <c r="BM41" i="7"/>
  <c r="BM42" i="7" s="1"/>
  <c r="M57" i="10"/>
  <c r="Z26" i="7"/>
  <c r="D59" i="10"/>
  <c r="BF56" i="7"/>
  <c r="F60" i="10"/>
  <c r="Z28" i="7"/>
  <c r="D61" i="10"/>
  <c r="BF58" i="7"/>
  <c r="F62" i="10"/>
  <c r="Z30" i="7"/>
  <c r="D63" i="10"/>
  <c r="BF60" i="7"/>
  <c r="F64" i="10"/>
  <c r="Z32" i="7"/>
  <c r="D65" i="10"/>
  <c r="M46" i="10"/>
  <c r="AM56" i="7"/>
  <c r="M50" i="10"/>
  <c r="AM60" i="7"/>
  <c r="F45" i="10"/>
  <c r="AF55" i="7"/>
  <c r="F47" i="10"/>
  <c r="AF57" i="7"/>
  <c r="F49" i="10"/>
  <c r="AF59" i="7"/>
  <c r="F51" i="10"/>
  <c r="AF61" i="7"/>
  <c r="I46" i="10"/>
  <c r="AI56" i="7"/>
  <c r="M48" i="10"/>
  <c r="AM58" i="7"/>
  <c r="I50" i="10"/>
  <c r="AI60" i="7"/>
  <c r="F46" i="10"/>
  <c r="AF56" i="7"/>
  <c r="F48" i="10"/>
  <c r="AF58" i="7"/>
  <c r="F50" i="10"/>
  <c r="AF60" i="7"/>
  <c r="I48" i="10"/>
  <c r="AI58" i="7"/>
  <c r="I45" i="10"/>
  <c r="AI55" i="7"/>
  <c r="M45" i="10"/>
  <c r="AM55" i="7"/>
  <c r="I47" i="10"/>
  <c r="AI57" i="7"/>
  <c r="M47" i="10"/>
  <c r="AM57" i="7"/>
  <c r="I49" i="10"/>
  <c r="AI59" i="7"/>
  <c r="M49" i="10"/>
  <c r="AM59" i="7"/>
  <c r="I51" i="10"/>
  <c r="AI61" i="7"/>
  <c r="M51" i="10"/>
  <c r="AM61" i="7"/>
  <c r="P48" i="7"/>
  <c r="R55" i="7" s="1"/>
  <c r="Q9" i="10" s="1"/>
  <c r="J41" i="7"/>
  <c r="J44" i="7" s="1"/>
  <c r="L48" i="7"/>
  <c r="N55" i="7" s="1"/>
  <c r="M9" i="10" s="1"/>
  <c r="N41" i="7"/>
  <c r="N44" i="7" s="1"/>
  <c r="D48" i="7"/>
  <c r="F55" i="7" s="1"/>
  <c r="E9" i="10" s="1"/>
  <c r="F41" i="7"/>
  <c r="F44" i="7" s="1"/>
  <c r="H48" i="7"/>
  <c r="J55" i="7" s="1"/>
  <c r="I9" i="10" s="1"/>
  <c r="E33" i="7"/>
  <c r="F33" i="7"/>
  <c r="J33" i="7"/>
  <c r="N33" i="7"/>
  <c r="G41" i="7"/>
  <c r="K41" i="7"/>
  <c r="O41" i="7"/>
  <c r="E48" i="7"/>
  <c r="G55" i="7" s="1"/>
  <c r="F9" i="10" s="1"/>
  <c r="I48" i="7"/>
  <c r="K55" i="7" s="1"/>
  <c r="J9" i="10" s="1"/>
  <c r="M48" i="7"/>
  <c r="O55" i="7" s="1"/>
  <c r="N9" i="10" s="1"/>
  <c r="I33" i="7"/>
  <c r="G33" i="7"/>
  <c r="K33" i="7"/>
  <c r="O33" i="7"/>
  <c r="D41" i="7"/>
  <c r="H41" i="7"/>
  <c r="L41" i="7"/>
  <c r="P41" i="7"/>
  <c r="F43" i="7"/>
  <c r="J43" i="7"/>
  <c r="F48" i="7"/>
  <c r="H55" i="7" s="1"/>
  <c r="G9" i="10" s="1"/>
  <c r="J48" i="7"/>
  <c r="L55" i="7" s="1"/>
  <c r="K9" i="10" s="1"/>
  <c r="N48" i="7"/>
  <c r="P55" i="7" s="1"/>
  <c r="O9" i="10" s="1"/>
  <c r="M33" i="7"/>
  <c r="D33" i="7"/>
  <c r="H33" i="7"/>
  <c r="L33" i="7"/>
  <c r="P33" i="7"/>
  <c r="E41" i="7"/>
  <c r="I41" i="7"/>
  <c r="M41" i="7"/>
  <c r="G48" i="7"/>
  <c r="I55" i="7" s="1"/>
  <c r="H9" i="10" s="1"/>
  <c r="K48" i="7"/>
  <c r="M55" i="7" s="1"/>
  <c r="L9" i="10" s="1"/>
  <c r="O48" i="7"/>
  <c r="Q55" i="7" s="1"/>
  <c r="P9" i="10" s="1"/>
  <c r="AL41" i="7"/>
  <c r="L43" i="10"/>
  <c r="AE48" i="7"/>
  <c r="G58" i="7" s="1"/>
  <c r="F12" i="10" s="1"/>
  <c r="E43" i="10"/>
  <c r="AI48" i="7"/>
  <c r="K58" i="7" s="1"/>
  <c r="J12" i="10" s="1"/>
  <c r="I43" i="10"/>
  <c r="AM41" i="7"/>
  <c r="AM44" i="7" s="1"/>
  <c r="M43" i="10"/>
  <c r="AF33" i="7"/>
  <c r="AF34" i="7" s="1"/>
  <c r="AF38" i="7" s="1"/>
  <c r="AF54" i="7" s="1"/>
  <c r="F44" i="10"/>
  <c r="AJ33" i="7"/>
  <c r="AJ34" i="7" s="1"/>
  <c r="AJ38" i="7" s="1"/>
  <c r="J44" i="10"/>
  <c r="AN33" i="7"/>
  <c r="AN34" i="7" s="1"/>
  <c r="AN38" i="7" s="1"/>
  <c r="N44" i="10"/>
  <c r="AF48" i="7"/>
  <c r="H58" i="7" s="1"/>
  <c r="G12" i="10" s="1"/>
  <c r="F43" i="10"/>
  <c r="AJ48" i="7"/>
  <c r="L58" i="7" s="1"/>
  <c r="K12" i="10" s="1"/>
  <c r="J43" i="10"/>
  <c r="AN48" i="7"/>
  <c r="P58" i="7" s="1"/>
  <c r="O12" i="10" s="1"/>
  <c r="N43" i="10"/>
  <c r="AH41" i="7"/>
  <c r="AH42" i="7" s="1"/>
  <c r="H43" i="10"/>
  <c r="AP41" i="7"/>
  <c r="P43" i="10"/>
  <c r="AG41" i="7"/>
  <c r="G43" i="10"/>
  <c r="AK41" i="7"/>
  <c r="K43" i="10"/>
  <c r="AO41" i="7"/>
  <c r="O43" i="10"/>
  <c r="BJ41" i="7"/>
  <c r="BJ44" i="7" s="1"/>
  <c r="BE33" i="7"/>
  <c r="BE34" i="7" s="1"/>
  <c r="BE38" i="7" s="1"/>
  <c r="BI33" i="7"/>
  <c r="BI34" i="7" s="1"/>
  <c r="BI38" i="7" s="1"/>
  <c r="BI54" i="7" s="1"/>
  <c r="BM33" i="7"/>
  <c r="BM34" i="7" s="1"/>
  <c r="BM38" i="7" s="1"/>
  <c r="BM54" i="7" s="1"/>
  <c r="BE48" i="7"/>
  <c r="G61" i="7" s="1"/>
  <c r="F15" i="10" s="1"/>
  <c r="BN41" i="7"/>
  <c r="BI48" i="7"/>
  <c r="K61" i="7" s="1"/>
  <c r="J15" i="10" s="1"/>
  <c r="BD33" i="7"/>
  <c r="Z25" i="7"/>
  <c r="F61" i="7"/>
  <c r="E15" i="10" s="1"/>
  <c r="BF33" i="7"/>
  <c r="BF34" i="7" s="1"/>
  <c r="BF38" i="7" s="1"/>
  <c r="BF54" i="7" s="1"/>
  <c r="BJ33" i="7"/>
  <c r="BJ34" i="7" s="1"/>
  <c r="BJ38" i="7" s="1"/>
  <c r="BN33" i="7"/>
  <c r="BN34" i="7" s="1"/>
  <c r="BN38" i="7" s="1"/>
  <c r="BM48" i="7"/>
  <c r="O61" i="7" s="1"/>
  <c r="N15" i="10" s="1"/>
  <c r="BF41" i="7"/>
  <c r="AD38" i="7"/>
  <c r="AO48" i="7"/>
  <c r="Q58" i="7" s="1"/>
  <c r="P12" i="10" s="1"/>
  <c r="BG43" i="7"/>
  <c r="BG44" i="7"/>
  <c r="BO43" i="7"/>
  <c r="BO44" i="7"/>
  <c r="BK43" i="7"/>
  <c r="BK44" i="7"/>
  <c r="BE44" i="7"/>
  <c r="BE43" i="7"/>
  <c r="BI44" i="7"/>
  <c r="BI43" i="7"/>
  <c r="BM44" i="7"/>
  <c r="BM43" i="7"/>
  <c r="BN43" i="7"/>
  <c r="BD41" i="7"/>
  <c r="BH41" i="7"/>
  <c r="BH42" i="7" s="1"/>
  <c r="BL41" i="7"/>
  <c r="BL42" i="7" s="1"/>
  <c r="BP41" i="7"/>
  <c r="BP42" i="7" s="1"/>
  <c r="BG48" i="7"/>
  <c r="I61" i="7" s="1"/>
  <c r="H15" i="10" s="1"/>
  <c r="BK48" i="7"/>
  <c r="M61" i="7" s="1"/>
  <c r="L15" i="10" s="1"/>
  <c r="BO48" i="7"/>
  <c r="Q61" i="7" s="1"/>
  <c r="P15" i="10" s="1"/>
  <c r="AH33" i="7"/>
  <c r="AH34" i="7" s="1"/>
  <c r="AH38" i="7" s="1"/>
  <c r="AL33" i="7"/>
  <c r="AL34" i="7" s="1"/>
  <c r="AL38" i="7" s="1"/>
  <c r="AP33" i="7"/>
  <c r="AP34" i="7" s="1"/>
  <c r="AP38" i="7" s="1"/>
  <c r="AE33" i="7"/>
  <c r="AE34" i="7" s="1"/>
  <c r="AE38" i="7" s="1"/>
  <c r="AI33" i="7"/>
  <c r="AI34" i="7" s="1"/>
  <c r="AI38" i="7" s="1"/>
  <c r="AI54" i="7" s="1"/>
  <c r="AM33" i="7"/>
  <c r="AM34" i="7" s="1"/>
  <c r="AM38" i="7" s="1"/>
  <c r="AM54" i="7" s="1"/>
  <c r="AG33" i="7"/>
  <c r="AG34" i="7" s="1"/>
  <c r="AG38" i="7" s="1"/>
  <c r="AK33" i="7"/>
  <c r="AK34" i="7" s="1"/>
  <c r="AK38" i="7" s="1"/>
  <c r="AO33" i="7"/>
  <c r="AO34" i="7" s="1"/>
  <c r="AO38" i="7" s="1"/>
  <c r="AG48" i="7"/>
  <c r="I58" i="7" s="1"/>
  <c r="H12" i="10" s="1"/>
  <c r="AK48" i="7"/>
  <c r="M58" i="7" s="1"/>
  <c r="L12" i="10" s="1"/>
  <c r="AD44" i="7"/>
  <c r="AD43" i="7"/>
  <c r="AE41" i="7"/>
  <c r="AE42" i="7" s="1"/>
  <c r="AF41" i="7"/>
  <c r="AJ41" i="7"/>
  <c r="AJ42" i="7" s="1"/>
  <c r="AN41" i="7"/>
  <c r="AN42" i="7" s="1"/>
  <c r="AD48" i="7"/>
  <c r="F58" i="7" s="1"/>
  <c r="E12" i="10" s="1"/>
  <c r="AH48" i="7"/>
  <c r="J58" i="7" s="1"/>
  <c r="I12" i="10" s="1"/>
  <c r="AL48" i="7"/>
  <c r="N58" i="7" s="1"/>
  <c r="M12" i="10" s="1"/>
  <c r="AP48" i="7"/>
  <c r="R58" i="7" s="1"/>
  <c r="Q12" i="10" s="1"/>
  <c r="AI41" i="7"/>
  <c r="AI42" i="7" s="1"/>
  <c r="AM48" i="7"/>
  <c r="O58" i="7" s="1"/>
  <c r="N12" i="10" s="1"/>
  <c r="Z41" i="7" l="1"/>
  <c r="BD42" i="7"/>
  <c r="BG45" i="7"/>
  <c r="BG46" i="7" s="1"/>
  <c r="BG49" i="7" s="1"/>
  <c r="I62" i="7" s="1"/>
  <c r="H16" i="10" s="1"/>
  <c r="BF43" i="7"/>
  <c r="BF42" i="7"/>
  <c r="BJ43" i="7"/>
  <c r="BJ42" i="7"/>
  <c r="BN44" i="7"/>
  <c r="BN45" i="7" s="1"/>
  <c r="BN46" i="7" s="1"/>
  <c r="BN49" i="7" s="1"/>
  <c r="P62" i="7" s="1"/>
  <c r="O16" i="10" s="1"/>
  <c r="BN42" i="7"/>
  <c r="AO43" i="7"/>
  <c r="AO42" i="7"/>
  <c r="AL43" i="7"/>
  <c r="AL42" i="7"/>
  <c r="AG43" i="7"/>
  <c r="AG42" i="7"/>
  <c r="AK43" i="7"/>
  <c r="AK42" i="7"/>
  <c r="AP43" i="7"/>
  <c r="AP42" i="7"/>
  <c r="AM43" i="7"/>
  <c r="AM42" i="7"/>
  <c r="AO44" i="7"/>
  <c r="AO45" i="7" s="1"/>
  <c r="AO46" i="7" s="1"/>
  <c r="AO49" i="7" s="1"/>
  <c r="Q59" i="7" s="1"/>
  <c r="P13" i="10" s="1"/>
  <c r="AF44" i="7"/>
  <c r="AF42" i="7"/>
  <c r="AL44" i="7"/>
  <c r="AH43" i="7"/>
  <c r="AG44" i="7"/>
  <c r="AG45" i="7" s="1"/>
  <c r="AG46" i="7" s="1"/>
  <c r="AG49" i="7" s="1"/>
  <c r="I59" i="7" s="1"/>
  <c r="H13" i="10" s="1"/>
  <c r="AP44" i="7"/>
  <c r="AH44" i="7"/>
  <c r="AK44" i="7"/>
  <c r="N43" i="7"/>
  <c r="J45" i="7"/>
  <c r="J46" i="7" s="1"/>
  <c r="F45" i="7"/>
  <c r="F46" i="7" s="1"/>
  <c r="AE53" i="7" s="1"/>
  <c r="N45" i="7"/>
  <c r="N46" i="7" s="1"/>
  <c r="E44" i="7"/>
  <c r="E43" i="7"/>
  <c r="P43" i="7"/>
  <c r="P44" i="7"/>
  <c r="O37" i="10"/>
  <c r="O34" i="7"/>
  <c r="O38" i="7" s="1"/>
  <c r="G43" i="7"/>
  <c r="G44" i="7"/>
  <c r="E37" i="10"/>
  <c r="E34" i="7"/>
  <c r="E38" i="7" s="1"/>
  <c r="P37" i="10"/>
  <c r="P34" i="7"/>
  <c r="P38" i="7" s="1"/>
  <c r="M37" i="10"/>
  <c r="M34" i="7"/>
  <c r="M38" i="7" s="1"/>
  <c r="L43" i="7"/>
  <c r="L44" i="7"/>
  <c r="K37" i="10"/>
  <c r="K34" i="7"/>
  <c r="K38" i="7" s="1"/>
  <c r="N37" i="10"/>
  <c r="N34" i="7"/>
  <c r="N38" i="7" s="1"/>
  <c r="M44" i="7"/>
  <c r="M43" i="7"/>
  <c r="L37" i="10"/>
  <c r="L34" i="7"/>
  <c r="L38" i="7" s="1"/>
  <c r="H44" i="7"/>
  <c r="H43" i="7"/>
  <c r="G37" i="10"/>
  <c r="G34" i="7"/>
  <c r="G38" i="7" s="1"/>
  <c r="O43" i="7"/>
  <c r="O44" i="7"/>
  <c r="J37" i="10"/>
  <c r="J34" i="7"/>
  <c r="J38" i="7" s="1"/>
  <c r="J49" i="7" s="1"/>
  <c r="L56" i="7" s="1"/>
  <c r="K10" i="10" s="1"/>
  <c r="D37" i="10"/>
  <c r="D34" i="7"/>
  <c r="D38" i="7" s="1"/>
  <c r="I44" i="7"/>
  <c r="I43" i="7"/>
  <c r="H37" i="10"/>
  <c r="H34" i="7"/>
  <c r="H38" i="7" s="1"/>
  <c r="D44" i="7"/>
  <c r="D43" i="7"/>
  <c r="I37" i="10"/>
  <c r="I34" i="7"/>
  <c r="I38" i="7" s="1"/>
  <c r="K43" i="7"/>
  <c r="K44" i="7"/>
  <c r="F37" i="10"/>
  <c r="F34" i="7"/>
  <c r="F38" i="7" s="1"/>
  <c r="Z48" i="7"/>
  <c r="BK45" i="7"/>
  <c r="BK46" i="7" s="1"/>
  <c r="BK49" i="7" s="1"/>
  <c r="M62" i="7" s="1"/>
  <c r="L16" i="10" s="1"/>
  <c r="BF44" i="7"/>
  <c r="BF45" i="7" s="1"/>
  <c r="BF46" i="7" s="1"/>
  <c r="BD34" i="7"/>
  <c r="Z33" i="7"/>
  <c r="BJ45" i="7"/>
  <c r="BJ46" i="7" s="1"/>
  <c r="BJ49" i="7" s="1"/>
  <c r="L62" i="7" s="1"/>
  <c r="K16" i="10" s="1"/>
  <c r="Z42" i="7"/>
  <c r="BD44" i="7"/>
  <c r="Z44" i="7" s="1"/>
  <c r="BD43" i="7"/>
  <c r="Z43" i="7" s="1"/>
  <c r="BE45" i="7"/>
  <c r="BE46" i="7" s="1"/>
  <c r="BE49" i="7" s="1"/>
  <c r="G62" i="7" s="1"/>
  <c r="F16" i="10" s="1"/>
  <c r="BP43" i="7"/>
  <c r="BP44" i="7"/>
  <c r="BI45" i="7"/>
  <c r="BI46" i="7" s="1"/>
  <c r="BH44" i="7"/>
  <c r="BH43" i="7"/>
  <c r="BL44" i="7"/>
  <c r="BL43" i="7"/>
  <c r="BM45" i="7"/>
  <c r="BM46" i="7" s="1"/>
  <c r="BO45" i="7"/>
  <c r="BO46" i="7" s="1"/>
  <c r="BO49" i="7" s="1"/>
  <c r="Q62" i="7" s="1"/>
  <c r="P16" i="10" s="1"/>
  <c r="AD45" i="7"/>
  <c r="AD46" i="7" s="1"/>
  <c r="AD49" i="7" s="1"/>
  <c r="AF43" i="7"/>
  <c r="AJ43" i="7"/>
  <c r="AJ44" i="7"/>
  <c r="AI43" i="7"/>
  <c r="AI44" i="7"/>
  <c r="AE43" i="7"/>
  <c r="AE44" i="7"/>
  <c r="AP45" i="7"/>
  <c r="AP46" i="7" s="1"/>
  <c r="AP49" i="7" s="1"/>
  <c r="R59" i="7" s="1"/>
  <c r="Q13" i="10" s="1"/>
  <c r="AN43" i="7"/>
  <c r="AN44" i="7"/>
  <c r="AH45" i="7" l="1"/>
  <c r="AH46" i="7" s="1"/>
  <c r="AH49" i="7" s="1"/>
  <c r="J59" i="7" s="1"/>
  <c r="I13" i="10" s="1"/>
  <c r="AL45" i="7"/>
  <c r="AL46" i="7" s="1"/>
  <c r="AL49" i="7" s="1"/>
  <c r="N59" i="7" s="1"/>
  <c r="M13" i="10" s="1"/>
  <c r="AM45" i="7"/>
  <c r="AM46" i="7" s="1"/>
  <c r="AM53" i="7" s="1"/>
  <c r="BM49" i="7"/>
  <c r="O62" i="7" s="1"/>
  <c r="N16" i="10" s="1"/>
  <c r="BM53" i="7"/>
  <c r="BI49" i="7"/>
  <c r="K62" i="7" s="1"/>
  <c r="J16" i="10" s="1"/>
  <c r="BI53" i="7"/>
  <c r="BF49" i="7"/>
  <c r="H62" i="7" s="1"/>
  <c r="G16" i="10" s="1"/>
  <c r="BF53" i="7"/>
  <c r="N49" i="7"/>
  <c r="P56" i="7" s="1"/>
  <c r="O10" i="10" s="1"/>
  <c r="AM49" i="7"/>
  <c r="O59" i="7" s="1"/>
  <c r="N13" i="10" s="1"/>
  <c r="AK45" i="7"/>
  <c r="AK46" i="7" s="1"/>
  <c r="AK49" i="7" s="1"/>
  <c r="M59" i="7" s="1"/>
  <c r="L13" i="10" s="1"/>
  <c r="F49" i="7"/>
  <c r="H56" i="7" s="1"/>
  <c r="G10" i="10" s="1"/>
  <c r="L78" i="7"/>
  <c r="L79" i="7" s="1"/>
  <c r="M45" i="7"/>
  <c r="M46" i="7" s="1"/>
  <c r="E45" i="7"/>
  <c r="E46" i="7" s="1"/>
  <c r="D45" i="7"/>
  <c r="D46" i="7" s="1"/>
  <c r="D49" i="7" s="1"/>
  <c r="F56" i="7" s="1"/>
  <c r="E10" i="10" s="1"/>
  <c r="L45" i="7"/>
  <c r="L46" i="7" s="1"/>
  <c r="H78" i="7"/>
  <c r="H79" i="7" s="1"/>
  <c r="H45" i="7"/>
  <c r="H46" i="7" s="1"/>
  <c r="H49" i="7" s="1"/>
  <c r="J56" i="7" s="1"/>
  <c r="I10" i="10" s="1"/>
  <c r="G45" i="7"/>
  <c r="G46" i="7" s="1"/>
  <c r="G49" i="7" s="1"/>
  <c r="I56" i="7" s="1"/>
  <c r="I45" i="7"/>
  <c r="I46" i="7" s="1"/>
  <c r="P45" i="7"/>
  <c r="P46" i="7" s="1"/>
  <c r="P49" i="7" s="1"/>
  <c r="R56" i="7" s="1"/>
  <c r="Q10" i="10" s="1"/>
  <c r="K45" i="7"/>
  <c r="K46" i="7" s="1"/>
  <c r="K49" i="7" s="1"/>
  <c r="M56" i="7" s="1"/>
  <c r="O45" i="7"/>
  <c r="O46" i="7" s="1"/>
  <c r="O49" i="7" s="1"/>
  <c r="Q56" i="7" s="1"/>
  <c r="L49" i="7"/>
  <c r="N56" i="7" s="1"/>
  <c r="M10" i="10" s="1"/>
  <c r="E49" i="7"/>
  <c r="G56" i="7" s="1"/>
  <c r="F10" i="10" s="1"/>
  <c r="P76" i="7"/>
  <c r="P77" i="7" s="1"/>
  <c r="BD38" i="7"/>
  <c r="Z38" i="7" s="1"/>
  <c r="Z34" i="7"/>
  <c r="L76" i="7"/>
  <c r="L77" i="7" s="1"/>
  <c r="L65" i="7" s="1"/>
  <c r="K19" i="10" s="1"/>
  <c r="H76" i="7"/>
  <c r="H77" i="7" s="1"/>
  <c r="H65" i="7" s="1"/>
  <c r="G19" i="10" s="1"/>
  <c r="P78" i="7"/>
  <c r="P79" i="7" s="1"/>
  <c r="P65" i="7" s="1"/>
  <c r="O19" i="10" s="1"/>
  <c r="BL45" i="7"/>
  <c r="BL46" i="7" s="1"/>
  <c r="BL49" i="7" s="1"/>
  <c r="N62" i="7" s="1"/>
  <c r="M16" i="10" s="1"/>
  <c r="F59" i="7"/>
  <c r="BH45" i="7"/>
  <c r="BH46" i="7" s="1"/>
  <c r="BH49" i="7" s="1"/>
  <c r="J62" i="7" s="1"/>
  <c r="I16" i="10" s="1"/>
  <c r="BD45" i="7"/>
  <c r="BP45" i="7"/>
  <c r="BP46" i="7" s="1"/>
  <c r="BP49" i="7" s="1"/>
  <c r="R62" i="7" s="1"/>
  <c r="Q16" i="10" s="1"/>
  <c r="AI45" i="7"/>
  <c r="AI46" i="7" s="1"/>
  <c r="AF45" i="7"/>
  <c r="AF46" i="7" s="1"/>
  <c r="AN45" i="7"/>
  <c r="AN46" i="7" s="1"/>
  <c r="AN49" i="7" s="1"/>
  <c r="P59" i="7" s="1"/>
  <c r="O13" i="10" s="1"/>
  <c r="AE45" i="7"/>
  <c r="AE46" i="7" s="1"/>
  <c r="AE49" i="7" s="1"/>
  <c r="G59" i="7" s="1"/>
  <c r="F13" i="10" s="1"/>
  <c r="AJ45" i="7"/>
  <c r="AJ46" i="7" s="1"/>
  <c r="AJ49" i="7" s="1"/>
  <c r="L59" i="7" s="1"/>
  <c r="K13" i="10" s="1"/>
  <c r="M49" i="7" l="1"/>
  <c r="O56" i="7" s="1"/>
  <c r="N10" i="10" s="1"/>
  <c r="AL53" i="7"/>
  <c r="I49" i="7"/>
  <c r="K56" i="7" s="1"/>
  <c r="J10" i="10" s="1"/>
  <c r="AH53" i="7"/>
  <c r="AI49" i="7"/>
  <c r="K59" i="7" s="1"/>
  <c r="J13" i="10" s="1"/>
  <c r="AI53" i="7"/>
  <c r="AF49" i="7"/>
  <c r="H59" i="7" s="1"/>
  <c r="H73" i="7" s="1"/>
  <c r="H74" i="7" s="1"/>
  <c r="AF53" i="7"/>
  <c r="N71" i="7"/>
  <c r="N72" i="7" s="1"/>
  <c r="N73" i="7"/>
  <c r="N74" i="7" s="1"/>
  <c r="N64" i="7" s="1"/>
  <c r="M18" i="10" s="1"/>
  <c r="O78" i="7"/>
  <c r="O79" i="7" s="1"/>
  <c r="O71" i="7"/>
  <c r="O72" i="7" s="1"/>
  <c r="L10" i="10"/>
  <c r="M73" i="7"/>
  <c r="M74" i="7" s="1"/>
  <c r="M76" i="7"/>
  <c r="M77" i="7" s="1"/>
  <c r="H10" i="10"/>
  <c r="I76" i="7"/>
  <c r="I77" i="7" s="1"/>
  <c r="I73" i="7"/>
  <c r="I74" i="7" s="1"/>
  <c r="P10" i="10"/>
  <c r="Q76" i="7"/>
  <c r="Q77" i="7" s="1"/>
  <c r="Q73" i="7"/>
  <c r="Q74" i="7" s="1"/>
  <c r="Q78" i="7"/>
  <c r="Q79" i="7" s="1"/>
  <c r="Q65" i="7" s="1"/>
  <c r="P19" i="10" s="1"/>
  <c r="J71" i="7"/>
  <c r="J72" i="7" s="1"/>
  <c r="J73" i="7"/>
  <c r="J74" i="7" s="1"/>
  <c r="G78" i="7"/>
  <c r="G79" i="7" s="1"/>
  <c r="K71" i="7"/>
  <c r="K72" i="7" s="1"/>
  <c r="F71" i="7"/>
  <c r="F72" i="7" s="1"/>
  <c r="E13" i="10"/>
  <c r="O76" i="7"/>
  <c r="O77" i="7" s="1"/>
  <c r="O65" i="7" s="1"/>
  <c r="N19" i="10" s="1"/>
  <c r="N78" i="7"/>
  <c r="N79" i="7" s="1"/>
  <c r="N76" i="7"/>
  <c r="N77" i="7" s="1"/>
  <c r="M78" i="7"/>
  <c r="M79" i="7" s="1"/>
  <c r="J78" i="7"/>
  <c r="J79" i="7" s="1"/>
  <c r="K76" i="7"/>
  <c r="K77" i="7" s="1"/>
  <c r="K65" i="7" s="1"/>
  <c r="J19" i="10" s="1"/>
  <c r="I78" i="7"/>
  <c r="I79" i="7" s="1"/>
  <c r="I65" i="7" s="1"/>
  <c r="H19" i="10" s="1"/>
  <c r="J76" i="7"/>
  <c r="J77" i="7" s="1"/>
  <c r="BD46" i="7"/>
  <c r="Z45" i="7"/>
  <c r="I71" i="7"/>
  <c r="I72" i="7" s="1"/>
  <c r="L73" i="7"/>
  <c r="L74" i="7" s="1"/>
  <c r="M71" i="7"/>
  <c r="M72" i="7" s="1"/>
  <c r="P73" i="7"/>
  <c r="P74" i="7" s="1"/>
  <c r="Q71" i="7"/>
  <c r="Q72" i="7" s="1"/>
  <c r="Q64" i="7" s="1"/>
  <c r="P18" i="10" s="1"/>
  <c r="O73" i="7"/>
  <c r="O74" i="7" s="1"/>
  <c r="K73" i="7"/>
  <c r="K74" i="7" s="1"/>
  <c r="P71" i="7"/>
  <c r="P72" i="7" s="1"/>
  <c r="P64" i="7" s="1"/>
  <c r="O18" i="10" s="1"/>
  <c r="L71" i="7"/>
  <c r="L72" i="7" s="1"/>
  <c r="H71" i="7"/>
  <c r="H72" i="7" s="1"/>
  <c r="G71" i="7"/>
  <c r="G72" i="7" s="1"/>
  <c r="F73" i="7"/>
  <c r="F74" i="7" s="1"/>
  <c r="O64" i="7" l="1"/>
  <c r="N18" i="10" s="1"/>
  <c r="J65" i="7"/>
  <c r="I19" i="10" s="1"/>
  <c r="K78" i="7"/>
  <c r="K79" i="7" s="1"/>
  <c r="G13" i="10"/>
  <c r="G73" i="7"/>
  <c r="G74" i="7" s="1"/>
  <c r="H64" i="7"/>
  <c r="G18" i="10" s="1"/>
  <c r="M65" i="7"/>
  <c r="L19" i="10" s="1"/>
  <c r="K64" i="7"/>
  <c r="J18" i="10" s="1"/>
  <c r="I64" i="7"/>
  <c r="H18" i="10" s="1"/>
  <c r="M64" i="7"/>
  <c r="L18" i="10" s="1"/>
  <c r="J64" i="7"/>
  <c r="I18" i="10" s="1"/>
  <c r="F64" i="7"/>
  <c r="E18" i="10" s="1"/>
  <c r="L64" i="7"/>
  <c r="K18" i="10" s="1"/>
  <c r="N65" i="7"/>
  <c r="M19" i="10" s="1"/>
  <c r="BD49" i="7"/>
  <c r="Z46" i="7"/>
  <c r="G64" i="7"/>
  <c r="F18" i="10" s="1"/>
  <c r="F62" i="7" l="1"/>
  <c r="E16" i="10" s="1"/>
  <c r="Z49" i="7"/>
  <c r="F78" i="7" l="1"/>
  <c r="F79" i="7" s="1"/>
  <c r="G76" i="7"/>
  <c r="G77" i="7" s="1"/>
  <c r="G65" i="7" s="1"/>
  <c r="F19" i="10" s="1"/>
  <c r="F76" i="7"/>
  <c r="F77" i="7" s="1"/>
  <c r="F65" i="7" s="1"/>
  <c r="E19" i="10" s="1"/>
</calcChain>
</file>

<file path=xl/comments1.xml><?xml version="1.0" encoding="utf-8"?>
<comments xmlns="http://schemas.openxmlformats.org/spreadsheetml/2006/main">
  <authors>
    <author>Colin Thorne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Colin Thorne:</t>
        </r>
        <r>
          <rPr>
            <sz val="9"/>
            <color indexed="81"/>
            <rFont val="Tahoma"/>
            <family val="2"/>
          </rPr>
          <t xml:space="preserve">
This is from IOM resistance cals sheet resistance trials fro a wetted surface of .148M^2.  See AZ48 of resistance trials sheet
</t>
        </r>
      </text>
    </comment>
    <comment ref="AB39" authorId="0" shapeId="0">
      <text>
        <r>
          <rPr>
            <b/>
            <sz val="9"/>
            <color indexed="81"/>
            <rFont val="Tahoma"/>
            <family val="2"/>
          </rPr>
          <t>Colin Thorne:</t>
        </r>
        <r>
          <rPr>
            <sz val="9"/>
            <color indexed="81"/>
            <rFont val="Tahoma"/>
            <family val="2"/>
          </rPr>
          <t xml:space="preserve">
This is from IOM resistance cals sheet resistance trials fro a wetted surface of .148M^2.  See AZ48 of resistance trials sheet
</t>
        </r>
      </text>
    </comment>
    <comment ref="BB39" authorId="0" shapeId="0">
      <text>
        <r>
          <rPr>
            <b/>
            <sz val="9"/>
            <color indexed="81"/>
            <rFont val="Tahoma"/>
            <family val="2"/>
          </rPr>
          <t>Colin Thorne:</t>
        </r>
        <r>
          <rPr>
            <sz val="9"/>
            <color indexed="81"/>
            <rFont val="Tahoma"/>
            <family val="2"/>
          </rPr>
          <t xml:space="preserve">
This is from IOM resistance cals sheet resistance trials fro a wetted surface of .148M^2.  See AZ48 of resistance trials sheet
</t>
        </r>
      </text>
    </comment>
  </commentList>
</comments>
</file>

<file path=xl/comments2.xml><?xml version="1.0" encoding="utf-8"?>
<comments xmlns="http://schemas.openxmlformats.org/spreadsheetml/2006/main">
  <authors>
    <author>Colin Thorne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Colin Thorne:</t>
        </r>
        <r>
          <rPr>
            <sz val="9"/>
            <color indexed="81"/>
            <rFont val="Tahoma"/>
            <family val="2"/>
          </rPr>
          <t xml:space="preserve">
This is from IOM resistance cals sheet resistance trials fro a wetted surface of .148M^2.  See AZ48 of resistance trials sheet
</t>
        </r>
      </text>
    </comment>
  </commentList>
</comments>
</file>

<file path=xl/sharedStrings.xml><?xml version="1.0" encoding="utf-8"?>
<sst xmlns="http://schemas.openxmlformats.org/spreadsheetml/2006/main" count="265" uniqueCount="135">
  <si>
    <t>Max</t>
  </si>
  <si>
    <t>Fn</t>
  </si>
  <si>
    <t>a0</t>
  </si>
  <si>
    <t>a1</t>
  </si>
  <si>
    <t>a2</t>
  </si>
  <si>
    <t>a3</t>
  </si>
  <si>
    <t>a4</t>
  </si>
  <si>
    <t>a5</t>
  </si>
  <si>
    <t>a6</t>
  </si>
  <si>
    <t>Input data</t>
  </si>
  <si>
    <t>a7</t>
  </si>
  <si>
    <t>LWL</t>
  </si>
  <si>
    <t>BWL</t>
  </si>
  <si>
    <t>Rw/ρΔg=</t>
  </si>
  <si>
    <t>a0 +(a1LCB/LWL +a2Cp + a3 Δ^2/3/AWP + a4BWL/LWL)*Δ^1/3/LWL +</t>
  </si>
  <si>
    <t>Cp</t>
  </si>
  <si>
    <t>(a5LCB/LCF + a6BWL/Tc + A7Cm)*Δ^1/3/LWL</t>
  </si>
  <si>
    <t>LCB (m)</t>
  </si>
  <si>
    <t>Froude No=</t>
  </si>
  <si>
    <t>Vb/sqrt(gLWL)</t>
  </si>
  <si>
    <t>LCF (m)</t>
  </si>
  <si>
    <t>AWPm^2</t>
  </si>
  <si>
    <t>Cm</t>
  </si>
  <si>
    <t>g</t>
  </si>
  <si>
    <t>Density</t>
  </si>
  <si>
    <t>Draft Tc</t>
  </si>
  <si>
    <t>Calculation</t>
  </si>
  <si>
    <t>Fu=Froude Number</t>
  </si>
  <si>
    <t>1st Multiplier</t>
  </si>
  <si>
    <t>Term 1      LCb/LWL</t>
  </si>
  <si>
    <t>Term 2        Cp</t>
  </si>
  <si>
    <t>Term 3   (Del^2/3)/AWP</t>
  </si>
  <si>
    <t>Term 4    BWL/LWL</t>
  </si>
  <si>
    <t>Term 5  LCb/LCF</t>
  </si>
  <si>
    <t>Term 6    BWL/Tc</t>
  </si>
  <si>
    <t>C14/C23</t>
  </si>
  <si>
    <t>Term 7  Cm</t>
  </si>
  <si>
    <t>Total RHS</t>
  </si>
  <si>
    <t>Effect of no overhangs model23</t>
  </si>
  <si>
    <t>Effect of no overhangs model 42</t>
  </si>
  <si>
    <t>Average</t>
  </si>
  <si>
    <t>Ratios used</t>
  </si>
  <si>
    <t>LCB/LWL</t>
  </si>
  <si>
    <t>Del^2/3/AWP</t>
  </si>
  <si>
    <t>bwl/LWL</t>
  </si>
  <si>
    <t>Displ m^3</t>
  </si>
  <si>
    <t>displ^1/3/LWL</t>
  </si>
  <si>
    <t>LCB/LCF</t>
  </si>
  <si>
    <t>BWL/Tc</t>
  </si>
  <si>
    <t xml:space="preserve">Min </t>
  </si>
  <si>
    <t>Coefficients</t>
  </si>
  <si>
    <t>AWS</t>
  </si>
  <si>
    <t>Water temperature</t>
  </si>
  <si>
    <t>Salt 1025 fresh 1000</t>
  </si>
  <si>
    <t>Viscosity</t>
  </si>
  <si>
    <t>NA</t>
  </si>
  <si>
    <t>Residual Resistance</t>
  </si>
  <si>
    <t xml:space="preserve">Rw, N </t>
  </si>
  <si>
    <t>Speed, m/s</t>
  </si>
  <si>
    <t>Rsidual resistance as per Keuning (2008)</t>
  </si>
  <si>
    <t>RW est w ohang</t>
  </si>
  <si>
    <t>Correction for overhang</t>
  </si>
  <si>
    <t>Re</t>
  </si>
  <si>
    <t>Cfl</t>
  </si>
  <si>
    <t>Cft</t>
  </si>
  <si>
    <t>K</t>
  </si>
  <si>
    <t>Cf</t>
  </si>
  <si>
    <r>
      <t>VbL/</t>
    </r>
    <r>
      <rPr>
        <sz val="11"/>
        <color theme="1"/>
        <rFont val="Calibri"/>
        <family val="2"/>
      </rPr>
      <t>ν</t>
    </r>
  </si>
  <si>
    <t>Speed, Knots</t>
  </si>
  <si>
    <t>Skin Drag,N</t>
  </si>
  <si>
    <t>Skin Drag Calculation</t>
  </si>
  <si>
    <t>Total Drag, N</t>
  </si>
  <si>
    <t>C8/C4</t>
  </si>
  <si>
    <t>C6</t>
  </si>
  <si>
    <t>(C7^2/3)/C10</t>
  </si>
  <si>
    <t>C5/C4</t>
  </si>
  <si>
    <t>C8/C9</t>
  </si>
  <si>
    <t>C11</t>
  </si>
  <si>
    <t>m^2</t>
  </si>
  <si>
    <t>m</t>
  </si>
  <si>
    <t>m^3</t>
  </si>
  <si>
    <t>m)</t>
  </si>
  <si>
    <t>m/s/s</t>
  </si>
  <si>
    <t>kg/m^3</t>
  </si>
  <si>
    <t>Degrees C</t>
  </si>
  <si>
    <t>Warnings</t>
  </si>
  <si>
    <t xml:space="preserve">Range in tests </t>
  </si>
  <si>
    <t>Value from entered data</t>
  </si>
  <si>
    <t>Input data definitions</t>
  </si>
  <si>
    <t>Wetted Surface</t>
  </si>
  <si>
    <t>Waterline Length</t>
  </si>
  <si>
    <t>Waterline Beam</t>
  </si>
  <si>
    <t>Prismatic Coefficient.</t>
  </si>
  <si>
    <t>Volume Displaced</t>
  </si>
  <si>
    <t>C of B from forward perpendicular</t>
  </si>
  <si>
    <t>C of Area of Water-plane from forward perpendicular</t>
  </si>
  <si>
    <t>Water plane area</t>
  </si>
  <si>
    <t>Mid-ship section coefficient.</t>
  </si>
  <si>
    <t>Acceleration due to gravity</t>
  </si>
  <si>
    <t>Density of water</t>
  </si>
  <si>
    <t>Hull draft</t>
  </si>
  <si>
    <t>Froude Number</t>
  </si>
  <si>
    <t>Boat Speed, Knots</t>
  </si>
  <si>
    <t>Resistance, N</t>
  </si>
  <si>
    <t>%boat 1 is faster than boat 2</t>
  </si>
  <si>
    <t xml:space="preserve">Diff speed boat 1 to Boat 2 (2 drag &gt;1drag) </t>
  </si>
  <si>
    <t>Diff speed boat 1 to Boat 2 (2 drag &gt;1drag) %</t>
  </si>
  <si>
    <t>Diff speed ioat 1 to Boat 2 (2drag  &lt;1Drag)</t>
  </si>
  <si>
    <t>Diff speed ioat 1 to Boat 2 (2drag  &lt;1Drag)%</t>
  </si>
  <si>
    <t xml:space="preserve">Diff speed boat 1 to Boat 3 (3 drag &gt;1drag) </t>
  </si>
  <si>
    <t>Diff speed boat 1 to Boat 2 (2drag  &lt;1Drag)</t>
  </si>
  <si>
    <t>Diff speed boat 1 to Boat 2 (2drag  &lt;1Drag)%</t>
  </si>
  <si>
    <t>%boat 1 is faster than Boat 3</t>
  </si>
  <si>
    <t>Calculation, do not alter!</t>
  </si>
  <si>
    <t>Comparision</t>
  </si>
  <si>
    <t>Plotted Results</t>
  </si>
  <si>
    <t>Result Summary</t>
  </si>
  <si>
    <t>Input Data</t>
  </si>
  <si>
    <t>Name</t>
  </si>
  <si>
    <t>Target 0.57</t>
  </si>
  <si>
    <t>Target 0.52</t>
  </si>
  <si>
    <t>Sky</t>
  </si>
  <si>
    <t>Calculations:do NOT alter this page</t>
  </si>
  <si>
    <t>Boat 1 is</t>
  </si>
  <si>
    <t>Residual Drag Components</t>
  </si>
  <si>
    <t>Data Archive Storage</t>
  </si>
  <si>
    <t>Numerical Data</t>
  </si>
  <si>
    <t>These are the same data that appears on the graphical output</t>
  </si>
  <si>
    <t>Drag Data</t>
  </si>
  <si>
    <t>Components of Residual Drag</t>
  </si>
  <si>
    <t>#target!</t>
  </si>
  <si>
    <t>Contributions to drag</t>
  </si>
  <si>
    <t>Residual Drag</t>
  </si>
  <si>
    <t>Skin drag</t>
  </si>
  <si>
    <t>Dissection of drag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</si>
</sst>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"/>
    <numFmt numFmtId="166" formatCode="0.000000"/>
  </numFmts>
  <fonts count="2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sz val="18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595959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2"/>
      <color theme="1"/>
      <name val="Arial Black"/>
      <family val="2"/>
    </font>
    <font>
      <sz val="10"/>
      <color theme="1"/>
      <name val="Arial"/>
      <family val="2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6" fillId="0" borderId="0" xfId="0" applyFont="1"/>
    <xf numFmtId="0" fontId="6" fillId="0" borderId="0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9" fillId="0" borderId="0" xfId="0" applyFont="1"/>
    <xf numFmtId="0" fontId="10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4" fillId="0" borderId="0" xfId="0" applyFont="1"/>
    <xf numFmtId="0" fontId="0" fillId="0" borderId="0" xfId="0" applyFill="1" applyBorder="1"/>
    <xf numFmtId="0" fontId="0" fillId="5" borderId="0" xfId="0" applyFill="1" applyBorder="1"/>
    <xf numFmtId="0" fontId="5" fillId="2" borderId="1" xfId="0" applyFont="1" applyFill="1" applyBorder="1"/>
    <xf numFmtId="0" fontId="9" fillId="0" borderId="0" xfId="0" applyFont="1" applyBorder="1"/>
    <xf numFmtId="0" fontId="0" fillId="0" borderId="5" xfId="0" applyBorder="1"/>
    <xf numFmtId="0" fontId="0" fillId="0" borderId="6" xfId="0" applyBorder="1"/>
    <xf numFmtId="0" fontId="7" fillId="0" borderId="0" xfId="0" applyFont="1" applyBorder="1"/>
    <xf numFmtId="0" fontId="0" fillId="5" borderId="0" xfId="0" applyFill="1"/>
    <xf numFmtId="0" fontId="0" fillId="2" borderId="2" xfId="0" applyFill="1" applyBorder="1"/>
    <xf numFmtId="0" fontId="13" fillId="2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0" borderId="8" xfId="0" applyBorder="1"/>
    <xf numFmtId="0" fontId="0" fillId="8" borderId="1" xfId="0" applyFill="1" applyBorder="1"/>
    <xf numFmtId="0" fontId="0" fillId="0" borderId="1" xfId="0" applyBorder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0" fillId="6" borderId="1" xfId="0" applyFont="1" applyFill="1" applyBorder="1"/>
    <xf numFmtId="165" fontId="0" fillId="8" borderId="1" xfId="0" applyNumberFormat="1" applyFill="1" applyBorder="1"/>
    <xf numFmtId="0" fontId="0" fillId="8" borderId="1" xfId="0" applyNumberFormat="1" applyFill="1" applyBorder="1"/>
    <xf numFmtId="0" fontId="0" fillId="0" borderId="0" xfId="0" applyProtection="1">
      <protection locked="0"/>
    </xf>
    <xf numFmtId="0" fontId="0" fillId="5" borderId="1" xfId="0" applyFill="1" applyBorder="1"/>
    <xf numFmtId="0" fontId="5" fillId="5" borderId="1" xfId="0" applyFont="1" applyFill="1" applyBorder="1"/>
    <xf numFmtId="166" fontId="0" fillId="6" borderId="1" xfId="0" applyNumberFormat="1" applyFill="1" applyBorder="1"/>
    <xf numFmtId="0" fontId="18" fillId="5" borderId="1" xfId="0" applyFont="1" applyFill="1" applyBorder="1"/>
    <xf numFmtId="0" fontId="16" fillId="5" borderId="0" xfId="0" applyFont="1" applyFill="1"/>
    <xf numFmtId="0" fontId="4" fillId="5" borderId="0" xfId="0" applyFont="1" applyFill="1"/>
    <xf numFmtId="0" fontId="0" fillId="5" borderId="4" xfId="0" applyFill="1" applyBorder="1" applyAlignment="1"/>
    <xf numFmtId="0" fontId="0" fillId="5" borderId="3" xfId="0" applyFill="1" applyBorder="1" applyAlignment="1"/>
    <xf numFmtId="0" fontId="0" fillId="5" borderId="1" xfId="0" applyFill="1" applyBorder="1" applyAlignment="1">
      <alignment wrapText="1"/>
    </xf>
    <xf numFmtId="0" fontId="0" fillId="5" borderId="5" xfId="0" applyFill="1" applyBorder="1"/>
    <xf numFmtId="0" fontId="19" fillId="5" borderId="1" xfId="0" applyFont="1" applyFill="1" applyBorder="1" applyAlignment="1">
      <alignment vertical="center" wrapText="1"/>
    </xf>
    <xf numFmtId="0" fontId="4" fillId="5" borderId="3" xfId="0" applyFont="1" applyFill="1" applyBorder="1"/>
    <xf numFmtId="0" fontId="4" fillId="5" borderId="4" xfId="0" applyFont="1" applyFill="1" applyBorder="1"/>
    <xf numFmtId="0" fontId="0" fillId="5" borderId="10" xfId="0" applyFill="1" applyBorder="1"/>
    <xf numFmtId="0" fontId="0" fillId="5" borderId="3" xfId="0" applyFill="1" applyBorder="1"/>
    <xf numFmtId="0" fontId="19" fillId="5" borderId="1" xfId="0" applyFont="1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5" xfId="0" applyFill="1" applyBorder="1" applyAlignment="1">
      <alignment wrapText="1"/>
    </xf>
    <xf numFmtId="0" fontId="0" fillId="5" borderId="12" xfId="0" applyFill="1" applyBorder="1"/>
    <xf numFmtId="0" fontId="5" fillId="5" borderId="0" xfId="0" applyFont="1" applyFill="1"/>
    <xf numFmtId="0" fontId="15" fillId="5" borderId="0" xfId="0" applyFont="1" applyFill="1" applyAlignment="1">
      <alignment horizontal="center" vertical="center" readingOrder="1"/>
    </xf>
    <xf numFmtId="0" fontId="22" fillId="0" borderId="0" xfId="0" applyFont="1"/>
    <xf numFmtId="0" fontId="16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6" fillId="5" borderId="1" xfId="0" applyFont="1" applyFill="1" applyBorder="1"/>
    <xf numFmtId="0" fontId="4" fillId="5" borderId="1" xfId="0" applyFont="1" applyFill="1" applyBorder="1"/>
    <xf numFmtId="0" fontId="0" fillId="5" borderId="1" xfId="0" applyFill="1" applyBorder="1" applyAlignment="1"/>
    <xf numFmtId="0" fontId="15" fillId="5" borderId="1" xfId="0" applyFont="1" applyFill="1" applyBorder="1" applyAlignment="1">
      <alignment horizontal="center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1" xfId="0" applyFill="1" applyBorder="1" applyProtection="1">
      <protection locked="0"/>
    </xf>
    <xf numFmtId="166" fontId="0" fillId="6" borderId="1" xfId="0" applyNumberFormat="1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7" borderId="1" xfId="0" applyFill="1" applyBorder="1" applyProtection="1">
      <protection locked="0"/>
    </xf>
    <xf numFmtId="0" fontId="0" fillId="0" borderId="0" xfId="0"/>
    <xf numFmtId="0" fontId="0" fillId="3" borderId="1" xfId="0" applyFill="1" applyBorder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8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8" borderId="15" xfId="0" applyFill="1" applyBorder="1" applyProtection="1">
      <protection locked="0"/>
    </xf>
    <xf numFmtId="0" fontId="0" fillId="9" borderId="16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5" borderId="0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9" borderId="2" xfId="0" applyFill="1" applyBorder="1" applyProtection="1">
      <protection locked="0"/>
    </xf>
    <xf numFmtId="0" fontId="5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 readingOrder="1"/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13" fillId="5" borderId="1" xfId="0" applyFont="1" applyFill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0" fillId="3" borderId="16" xfId="0" applyFill="1" applyBorder="1" applyProtection="1">
      <protection locked="0"/>
    </xf>
    <xf numFmtId="164" fontId="0" fillId="5" borderId="1" xfId="0" applyNumberFormat="1" applyFill="1" applyBorder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0" fillId="3" borderId="2" xfId="0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8" fillId="3" borderId="1" xfId="0" applyFont="1" applyFill="1" applyBorder="1" applyProtection="1"/>
    <xf numFmtId="0" fontId="16" fillId="3" borderId="0" xfId="0" applyFont="1" applyFill="1" applyProtection="1"/>
    <xf numFmtId="0" fontId="4" fillId="3" borderId="0" xfId="0" applyFont="1" applyFill="1" applyProtection="1"/>
    <xf numFmtId="0" fontId="16" fillId="3" borderId="1" xfId="0" applyFont="1" applyFill="1" applyBorder="1" applyProtection="1"/>
    <xf numFmtId="0" fontId="4" fillId="3" borderId="1" xfId="0" applyFont="1" applyFill="1" applyBorder="1" applyProtection="1"/>
    <xf numFmtId="0" fontId="19" fillId="3" borderId="1" xfId="0" applyFont="1" applyFill="1" applyBorder="1" applyAlignment="1" applyProtection="1">
      <alignment vertical="center" wrapText="1"/>
    </xf>
    <xf numFmtId="0" fontId="4" fillId="3" borderId="9" xfId="0" applyFont="1" applyFill="1" applyBorder="1" applyProtection="1"/>
    <xf numFmtId="0" fontId="4" fillId="3" borderId="14" xfId="0" applyFont="1" applyFill="1" applyBorder="1" applyProtection="1"/>
    <xf numFmtId="0" fontId="19" fillId="3" borderId="1" xfId="0" applyFont="1" applyFill="1" applyBorder="1" applyProtection="1"/>
    <xf numFmtId="0" fontId="0" fillId="3" borderId="3" xfId="0" applyFill="1" applyBorder="1" applyProtection="1"/>
    <xf numFmtId="0" fontId="0" fillId="3" borderId="4" xfId="0" applyFill="1" applyBorder="1" applyProtection="1"/>
    <xf numFmtId="0" fontId="0" fillId="3" borderId="1" xfId="0" applyFill="1" applyBorder="1" applyProtection="1"/>
    <xf numFmtId="0" fontId="0" fillId="3" borderId="5" xfId="0" applyFill="1" applyBorder="1" applyAlignment="1" applyProtection="1">
      <alignment wrapText="1"/>
    </xf>
    <xf numFmtId="0" fontId="0" fillId="3" borderId="17" xfId="0" applyFill="1" applyBorder="1" applyProtection="1"/>
    <xf numFmtId="0" fontId="0" fillId="2" borderId="1" xfId="0" applyFill="1" applyBorder="1" applyProtection="1"/>
    <xf numFmtId="0" fontId="0" fillId="2" borderId="4" xfId="0" applyFill="1" applyBorder="1" applyAlignment="1" applyProtection="1"/>
    <xf numFmtId="0" fontId="0" fillId="2" borderId="3" xfId="0" applyFill="1" applyBorder="1" applyAlignment="1" applyProtection="1"/>
    <xf numFmtId="0" fontId="0" fillId="8" borderId="1" xfId="0" applyFill="1" applyBorder="1" applyAlignment="1" applyProtection="1">
      <alignment wrapText="1"/>
    </xf>
    <xf numFmtId="0" fontId="0" fillId="8" borderId="1" xfId="0" applyFill="1" applyBorder="1" applyProtection="1"/>
    <xf numFmtId="0" fontId="0" fillId="3" borderId="1" xfId="0" applyFill="1" applyBorder="1" applyAlignment="1" applyProtection="1">
      <alignment wrapText="1"/>
    </xf>
    <xf numFmtId="0" fontId="0" fillId="9" borderId="1" xfId="0" applyFill="1" applyBorder="1" applyAlignment="1" applyProtection="1">
      <alignment wrapText="1"/>
    </xf>
    <xf numFmtId="0" fontId="0" fillId="9" borderId="1" xfId="0" applyFill="1" applyBorder="1" applyProtection="1"/>
    <xf numFmtId="0" fontId="0" fillId="2" borderId="3" xfId="0" applyFill="1" applyBorder="1" applyProtection="1"/>
    <xf numFmtId="0" fontId="0" fillId="8" borderId="0" xfId="0" applyFill="1" applyProtection="1"/>
    <xf numFmtId="0" fontId="0" fillId="3" borderId="0" xfId="0" applyFill="1" applyProtection="1"/>
    <xf numFmtId="0" fontId="0" fillId="9" borderId="0" xfId="0" applyFill="1" applyProtection="1"/>
    <xf numFmtId="0" fontId="0" fillId="3" borderId="9" xfId="0" applyFill="1" applyBorder="1" applyProtection="1"/>
    <xf numFmtId="0" fontId="0" fillId="0" borderId="0" xfId="0" applyProtection="1"/>
    <xf numFmtId="0" fontId="14" fillId="0" borderId="0" xfId="0" applyFont="1" applyProtection="1"/>
    <xf numFmtId="0" fontId="14" fillId="5" borderId="1" xfId="0" applyFont="1" applyFill="1" applyBorder="1" applyProtection="1"/>
    <xf numFmtId="0" fontId="26" fillId="0" borderId="0" xfId="0" applyFont="1"/>
    <xf numFmtId="0" fontId="0" fillId="10" borderId="1" xfId="0" applyFill="1" applyBorder="1"/>
    <xf numFmtId="0" fontId="0" fillId="5" borderId="2" xfId="0" applyFill="1" applyBorder="1"/>
    <xf numFmtId="0" fontId="0" fillId="11" borderId="1" xfId="0" applyFill="1" applyBorder="1"/>
    <xf numFmtId="0" fontId="0" fillId="9" borderId="1" xfId="0" applyFill="1" applyBorder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0" fillId="6" borderId="7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8" borderId="1" xfId="0" quotePrefix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8" borderId="4" xfId="0" applyFill="1" applyBorder="1" applyAlignment="1" applyProtection="1">
      <alignment horizontal="center" wrapText="1"/>
    </xf>
    <xf numFmtId="0" fontId="0" fillId="8" borderId="3" xfId="0" applyFill="1" applyBorder="1" applyAlignment="1" applyProtection="1">
      <alignment horizontal="center" wrapText="1"/>
    </xf>
    <xf numFmtId="0" fontId="0" fillId="3" borderId="4" xfId="0" applyFill="1" applyBorder="1" applyAlignment="1" applyProtection="1">
      <alignment horizontal="center" wrapText="1"/>
    </xf>
    <xf numFmtId="0" fontId="0" fillId="3" borderId="3" xfId="0" applyFill="1" applyBorder="1" applyAlignment="1" applyProtection="1">
      <alignment horizontal="center" wrapText="1"/>
    </xf>
    <xf numFmtId="0" fontId="0" fillId="9" borderId="4" xfId="0" applyFill="1" applyBorder="1" applyAlignment="1" applyProtection="1">
      <alignment horizontal="center" wrapText="1"/>
    </xf>
    <xf numFmtId="0" fontId="0" fillId="9" borderId="3" xfId="0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Contributions at 1.5 knots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2263386039467"/>
          <c:y val="2.5428245849228322E-2"/>
          <c:w val="0.80679396325459329"/>
          <c:h val="0.76789880431612711"/>
        </c:manualLayout>
      </c:layout>
      <c:barChart>
        <c:barDir val="col"/>
        <c:grouping val="clustered"/>
        <c:varyColors val="0"/>
        <c:ser>
          <c:idx val="0"/>
          <c:order val="0"/>
          <c:tx>
            <c:v>Sky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Calculations!$AC$53:$AD$61</c:f>
              <c:strCache>
                <c:ptCount val="9"/>
                <c:pt idx="0">
                  <c:v>Skin drag</c:v>
                </c:pt>
                <c:pt idx="1">
                  <c:v>Residual Drag</c:v>
                </c:pt>
                <c:pt idx="2">
                  <c:v>Term 1      LCb/LWL</c:v>
                </c:pt>
                <c:pt idx="3">
                  <c:v>Term 2        Cp</c:v>
                </c:pt>
                <c:pt idx="4">
                  <c:v>Term 3   (Del^2/3)/AWP</c:v>
                </c:pt>
                <c:pt idx="5">
                  <c:v>Term 4    BWL/LWL</c:v>
                </c:pt>
                <c:pt idx="6">
                  <c:v>Term 5  LCb/LCF</c:v>
                </c:pt>
                <c:pt idx="7">
                  <c:v>Term 6    BWL/Tc</c:v>
                </c:pt>
                <c:pt idx="8">
                  <c:v>Term 7  Cm</c:v>
                </c:pt>
              </c:strCache>
            </c:strRef>
          </c:cat>
          <c:val>
            <c:numRef>
              <c:f>Calculations!$AF$53:$AF$61</c:f>
              <c:numCache>
                <c:formatCode>General</c:formatCode>
                <c:ptCount val="9"/>
                <c:pt idx="0">
                  <c:v>0.24015698092958535</c:v>
                </c:pt>
                <c:pt idx="1">
                  <c:v>2.7912128953742982E-2</c:v>
                </c:pt>
                <c:pt idx="2">
                  <c:v>-4.7053421587562191E-2</c:v>
                </c:pt>
                <c:pt idx="3">
                  <c:v>9.1459837613027343E-3</c:v>
                </c:pt>
                <c:pt idx="4">
                  <c:v>-2.2202709370714516E-3</c:v>
                </c:pt>
                <c:pt idx="5">
                  <c:v>-7.3739252116810528E-3</c:v>
                </c:pt>
                <c:pt idx="6">
                  <c:v>8.0223020989463448E-2</c:v>
                </c:pt>
                <c:pt idx="7">
                  <c:v>1.7456387202479218E-2</c:v>
                </c:pt>
                <c:pt idx="8">
                  <c:v>-1.5025865263187718E-2</c:v>
                </c:pt>
              </c:numCache>
            </c:numRef>
          </c:val>
        </c:ser>
        <c:ser>
          <c:idx val="1"/>
          <c:order val="1"/>
          <c:tx>
            <c:v> Target .52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Calculations!$AC$53:$AD$61</c:f>
              <c:strCache>
                <c:ptCount val="9"/>
                <c:pt idx="0">
                  <c:v>Skin drag</c:v>
                </c:pt>
                <c:pt idx="1">
                  <c:v>Residual Drag</c:v>
                </c:pt>
                <c:pt idx="2">
                  <c:v>Term 1      LCb/LWL</c:v>
                </c:pt>
                <c:pt idx="3">
                  <c:v>Term 2        Cp</c:v>
                </c:pt>
                <c:pt idx="4">
                  <c:v>Term 3   (Del^2/3)/AWP</c:v>
                </c:pt>
                <c:pt idx="5">
                  <c:v>Term 4    BWL/LWL</c:v>
                </c:pt>
                <c:pt idx="6">
                  <c:v>Term 5  LCb/LCF</c:v>
                </c:pt>
                <c:pt idx="7">
                  <c:v>Term 6    BWL/Tc</c:v>
                </c:pt>
                <c:pt idx="8">
                  <c:v>Term 7  Cm</c:v>
                </c:pt>
              </c:strCache>
            </c:strRef>
          </c:cat>
          <c:val>
            <c:numRef>
              <c:f>Calculations!$AG$53:$AG$61</c:f>
              <c:numCache>
                <c:formatCode>General</c:formatCode>
                <c:ptCount val="9"/>
                <c:pt idx="0">
                  <c:v>0.23424798709169395</c:v>
                </c:pt>
                <c:pt idx="1">
                  <c:v>2.4637803765011915E-2</c:v>
                </c:pt>
                <c:pt idx="2">
                  <c:v>-4.5865489566805438E-2</c:v>
                </c:pt>
                <c:pt idx="3">
                  <c:v>8.9388444862068522E-3</c:v>
                </c:pt>
                <c:pt idx="4">
                  <c:v>-2.4246558937396105E-3</c:v>
                </c:pt>
                <c:pt idx="5">
                  <c:v>-6.9515865068292739E-3</c:v>
                </c:pt>
                <c:pt idx="6">
                  <c:v>7.8108074943033484E-2</c:v>
                </c:pt>
                <c:pt idx="7">
                  <c:v>1.7565169477077543E-2</c:v>
                </c:pt>
                <c:pt idx="8">
                  <c:v>-1.7474673723931636E-2</c:v>
                </c:pt>
              </c:numCache>
            </c:numRef>
          </c:val>
        </c:ser>
        <c:ser>
          <c:idx val="2"/>
          <c:order val="2"/>
          <c:tx>
            <c:v>Target .57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Calculations!$AE$53:$AE$61</c:f>
              <c:numCache>
                <c:formatCode>General</c:formatCode>
                <c:ptCount val="9"/>
                <c:pt idx="0">
                  <c:v>0.22544498595593443</c:v>
                </c:pt>
                <c:pt idx="1">
                  <c:v>2.6277037695480478E-2</c:v>
                </c:pt>
                <c:pt idx="2">
                  <c:v>-4.7222593234154002E-2</c:v>
                </c:pt>
                <c:pt idx="3">
                  <c:v>1.0043651850016877E-2</c:v>
                </c:pt>
                <c:pt idx="4">
                  <c:v>-2.5064951887032024E-3</c:v>
                </c:pt>
                <c:pt idx="5">
                  <c:v>-6.7956729056293666E-3</c:v>
                </c:pt>
                <c:pt idx="6">
                  <c:v>8.0118257125893516E-2</c:v>
                </c:pt>
                <c:pt idx="7">
                  <c:v>1.6575060338755342E-2</c:v>
                </c:pt>
                <c:pt idx="8">
                  <c:v>-1.6693379240698684E-2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499968"/>
        <c:axId val="226501144"/>
      </c:barChart>
      <c:catAx>
        <c:axId val="2264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144"/>
        <c:crosses val="autoZero"/>
        <c:auto val="1"/>
        <c:lblAlgn val="ctr"/>
        <c:lblOffset val="100"/>
        <c:noMultiLvlLbl val="0"/>
      </c:catAx>
      <c:valAx>
        <c:axId val="2265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Drag Contribution, N</a:t>
                </a:r>
              </a:p>
              <a:p>
                <a:pPr>
                  <a:defRPr sz="1200" b="1"/>
                </a:pP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13407699037623"/>
          <c:y val="0.12813143497753413"/>
          <c:w val="0.11866392713876729"/>
          <c:h val="0.21193237461816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speed Drag Curves</a:t>
            </a:r>
          </a:p>
        </c:rich>
      </c:tx>
      <c:layout>
        <c:manualLayout>
          <c:xMode val="edge"/>
          <c:yMode val="edge"/>
          <c:x val="0.43562638694481964"/>
          <c:y val="1.75631194773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9466006754928"/>
          <c:y val="0.13927066702869037"/>
          <c:w val="0.79590923702689831"/>
          <c:h val="0.820861252047590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Data'!$D$4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Calculations!$E$55:$L$55</c:f>
              <c:numCache>
                <c:formatCode>General</c:formatCode>
                <c:ptCount val="8"/>
                <c:pt idx="0">
                  <c:v>0</c:v>
                </c:pt>
                <c:pt idx="1">
                  <c:v>0.90249751828174896</c:v>
                </c:pt>
                <c:pt idx="2">
                  <c:v>1.2033300243756655</c:v>
                </c:pt>
                <c:pt idx="3">
                  <c:v>1.5041625304695818</c:v>
                </c:pt>
                <c:pt idx="4">
                  <c:v>1.8049950365634979</c:v>
                </c:pt>
                <c:pt idx="5">
                  <c:v>2.1058275426574142</c:v>
                </c:pt>
                <c:pt idx="6">
                  <c:v>2.4066600487513305</c:v>
                </c:pt>
                <c:pt idx="7">
                  <c:v>2.7074925548452469</c:v>
                </c:pt>
              </c:numCache>
            </c:numRef>
          </c:xVal>
          <c:yVal>
            <c:numRef>
              <c:f>Calculations!$E$56:$R$56</c:f>
              <c:numCache>
                <c:formatCode>General</c:formatCode>
                <c:ptCount val="14"/>
                <c:pt idx="0">
                  <c:v>0</c:v>
                </c:pt>
                <c:pt idx="1">
                  <c:v>8.5303539855836205E-2</c:v>
                </c:pt>
                <c:pt idx="2">
                  <c:v>0.14064325392371635</c:v>
                </c:pt>
                <c:pt idx="3">
                  <c:v>0.25172202365141488</c:v>
                </c:pt>
                <c:pt idx="4">
                  <c:v>0.4443633247115869</c:v>
                </c:pt>
                <c:pt idx="5">
                  <c:v>0.71070500551126359</c:v>
                </c:pt>
                <c:pt idx="6">
                  <c:v>1.2460436270888819</c:v>
                </c:pt>
                <c:pt idx="7">
                  <c:v>2.0681605174052167</c:v>
                </c:pt>
                <c:pt idx="8">
                  <c:v>2.9351617418494129</c:v>
                </c:pt>
                <c:pt idx="9">
                  <c:v>3.6589276238694737</c:v>
                </c:pt>
                <c:pt idx="10">
                  <c:v>4.2584532397763057</c:v>
                </c:pt>
                <c:pt idx="11">
                  <c:v>4.8127969864653277</c:v>
                </c:pt>
                <c:pt idx="12">
                  <c:v>5.2658966371126192</c:v>
                </c:pt>
                <c:pt idx="13">
                  <c:v>5.6841487811430289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'Input Data'!$E$4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Calculations!$E$58:$R$58</c:f>
              <c:numCache>
                <c:formatCode>General</c:formatCode>
                <c:ptCount val="14"/>
                <c:pt idx="0">
                  <c:v>0</c:v>
                </c:pt>
                <c:pt idx="1">
                  <c:v>0.90834673797838972</c:v>
                </c:pt>
                <c:pt idx="2">
                  <c:v>1.2111289839711865</c:v>
                </c:pt>
                <c:pt idx="3">
                  <c:v>1.513911229963983</c:v>
                </c:pt>
                <c:pt idx="4">
                  <c:v>1.8166934759567794</c:v>
                </c:pt>
                <c:pt idx="5">
                  <c:v>2.1194757219495761</c:v>
                </c:pt>
                <c:pt idx="6">
                  <c:v>2.4222579679423726</c:v>
                </c:pt>
                <c:pt idx="7">
                  <c:v>2.725040213935169</c:v>
                </c:pt>
                <c:pt idx="8">
                  <c:v>3.0278224599279655</c:v>
                </c:pt>
                <c:pt idx="9">
                  <c:v>3.330604705920762</c:v>
                </c:pt>
                <c:pt idx="10">
                  <c:v>3.6333869519135589</c:v>
                </c:pt>
                <c:pt idx="11">
                  <c:v>3.9361691979063558</c:v>
                </c:pt>
                <c:pt idx="12">
                  <c:v>4.2389514438991531</c:v>
                </c:pt>
                <c:pt idx="13">
                  <c:v>4.5417336898919496</c:v>
                </c:pt>
              </c:numCache>
            </c:numRef>
          </c:xVal>
          <c:yVal>
            <c:numRef>
              <c:f>Calculations!$E$59:$R$59</c:f>
              <c:numCache>
                <c:formatCode>General</c:formatCode>
                <c:ptCount val="14"/>
                <c:pt idx="0">
                  <c:v>0</c:v>
                </c:pt>
                <c:pt idx="1">
                  <c:v>8.9426758676545898E-2</c:v>
                </c:pt>
                <c:pt idx="2">
                  <c:v>0.14947650906812687</c:v>
                </c:pt>
                <c:pt idx="3">
                  <c:v>0.26806910988332833</c:v>
                </c:pt>
                <c:pt idx="4">
                  <c:v>0.46752674592342569</c:v>
                </c:pt>
                <c:pt idx="5">
                  <c:v>0.74939134849147604</c:v>
                </c:pt>
                <c:pt idx="6">
                  <c:v>1.2877670654348015</c:v>
                </c:pt>
                <c:pt idx="7">
                  <c:v>2.0859771718554603</c:v>
                </c:pt>
                <c:pt idx="8">
                  <c:v>2.9671210223363449</c:v>
                </c:pt>
                <c:pt idx="9">
                  <c:v>3.8289036554900502</c:v>
                </c:pt>
                <c:pt idx="10">
                  <c:v>4.5027370566258904</c:v>
                </c:pt>
                <c:pt idx="11">
                  <c:v>5.1098920981931002</c:v>
                </c:pt>
                <c:pt idx="12">
                  <c:v>5.5760533829259433</c:v>
                </c:pt>
                <c:pt idx="13">
                  <c:v>5.5919105181872517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Calculations!$BC$48:$BJ$48</c:f>
              <c:numCache>
                <c:formatCode>General</c:formatCode>
                <c:ptCount val="8"/>
                <c:pt idx="0">
                  <c:v>0</c:v>
                </c:pt>
                <c:pt idx="1">
                  <c:v>0.90889747372299257</c:v>
                </c:pt>
                <c:pt idx="2">
                  <c:v>1.2118632982973236</c:v>
                </c:pt>
                <c:pt idx="3">
                  <c:v>1.5148291228716544</c:v>
                </c:pt>
                <c:pt idx="4">
                  <c:v>1.8177949474459851</c:v>
                </c:pt>
                <c:pt idx="5">
                  <c:v>2.1207607720203163</c:v>
                </c:pt>
                <c:pt idx="6">
                  <c:v>2.4237265965946468</c:v>
                </c:pt>
                <c:pt idx="7">
                  <c:v>2.7266924211689778</c:v>
                </c:pt>
              </c:numCache>
            </c:numRef>
          </c:xVal>
          <c:yVal>
            <c:numRef>
              <c:f>Calculations!$BC$49:$BJ$49</c:f>
              <c:numCache>
                <c:formatCode>General</c:formatCode>
                <c:ptCount val="8"/>
                <c:pt idx="0">
                  <c:v>0</c:v>
                </c:pt>
                <c:pt idx="1">
                  <c:v>8.6196678562700094E-2</c:v>
                </c:pt>
                <c:pt idx="2">
                  <c:v>0.14356398507404608</c:v>
                </c:pt>
                <c:pt idx="3">
                  <c:v>0.25647061777972963</c:v>
                </c:pt>
                <c:pt idx="4">
                  <c:v>0.43863975623012541</c:v>
                </c:pt>
                <c:pt idx="5">
                  <c:v>0.70733537068014352</c:v>
                </c:pt>
                <c:pt idx="6">
                  <c:v>1.3220860523925533</c:v>
                </c:pt>
                <c:pt idx="7">
                  <c:v>2.1765607208875761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8208"/>
        <c:axId val="263657032"/>
      </c:scatterChart>
      <c:valAx>
        <c:axId val="2636582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7032"/>
        <c:crosses val="autoZero"/>
        <c:crossBetween val="midCat"/>
      </c:valAx>
      <c:valAx>
        <c:axId val="26365703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82902761920629"/>
          <c:y val="0.1372088695809576"/>
          <c:w val="0.14615912468772727"/>
          <c:h val="0.13540295049325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</a:t>
            </a:r>
            <a:r>
              <a:rPr lang="en-AU" baseline="0"/>
              <a:t> Boat 1 is faster than Boat Shown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'Input Data'!$E$4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Calculations!$E$55:$R$55</c:f>
              <c:numCache>
                <c:formatCode>General</c:formatCode>
                <c:ptCount val="14"/>
                <c:pt idx="0">
                  <c:v>0</c:v>
                </c:pt>
                <c:pt idx="1">
                  <c:v>0.90249751828174896</c:v>
                </c:pt>
                <c:pt idx="2">
                  <c:v>1.2033300243756655</c:v>
                </c:pt>
                <c:pt idx="3">
                  <c:v>1.5041625304695818</c:v>
                </c:pt>
                <c:pt idx="4">
                  <c:v>1.8049950365634979</c:v>
                </c:pt>
                <c:pt idx="5">
                  <c:v>2.1058275426574142</c:v>
                </c:pt>
                <c:pt idx="6">
                  <c:v>2.4066600487513305</c:v>
                </c:pt>
                <c:pt idx="7">
                  <c:v>2.7074925548452469</c:v>
                </c:pt>
                <c:pt idx="8">
                  <c:v>3.0083250609391632</c:v>
                </c:pt>
                <c:pt idx="9">
                  <c:v>3.3091575670330791</c:v>
                </c:pt>
                <c:pt idx="10">
                  <c:v>3.6099900731269958</c:v>
                </c:pt>
                <c:pt idx="11">
                  <c:v>3.9108225792209126</c:v>
                </c:pt>
                <c:pt idx="12">
                  <c:v>4.2116550853148293</c:v>
                </c:pt>
                <c:pt idx="13">
                  <c:v>4.5124875914087452</c:v>
                </c:pt>
              </c:numCache>
            </c:numRef>
          </c:xVal>
          <c:yVal>
            <c:numRef>
              <c:f>Calculations!$E$64:$Q$64</c:f>
              <c:numCache>
                <c:formatCode>General</c:formatCode>
                <c:ptCount val="13"/>
                <c:pt idx="0" formatCode="0.0">
                  <c:v>0</c:v>
                </c:pt>
                <c:pt idx="1">
                  <c:v>3.9924895346009701</c:v>
                </c:pt>
                <c:pt idx="2">
                  <c:v>3.0531931964658856</c:v>
                </c:pt>
                <c:pt idx="3">
                  <c:v>2.1266003489525804</c:v>
                </c:pt>
                <c:pt idx="4">
                  <c:v>1.2999636333896099</c:v>
                </c:pt>
                <c:pt idx="5">
                  <c:v>1.3253289415932856</c:v>
                </c:pt>
                <c:pt idx="6">
                  <c:v>0.32689795988675635</c:v>
                </c:pt>
                <c:pt idx="7">
                  <c:v>-0.39849896890621889</c:v>
                </c:pt>
                <c:pt idx="8">
                  <c:v>-0.2830618508437478</c:v>
                </c:pt>
                <c:pt idx="9">
                  <c:v>1.1565764594822237</c:v>
                </c:pt>
                <c:pt idx="10">
                  <c:v>2.3925361299013925</c:v>
                </c:pt>
                <c:pt idx="11">
                  <c:v>3.140305861528061</c:v>
                </c:pt>
                <c:pt idx="12">
                  <c:v>4.1351303648974911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Calculations!$C$48:$O$48</c:f>
              <c:numCache>
                <c:formatCode>General</c:formatCode>
                <c:ptCount val="13"/>
                <c:pt idx="0">
                  <c:v>0</c:v>
                </c:pt>
                <c:pt idx="1">
                  <c:v>0.90249751828174896</c:v>
                </c:pt>
                <c:pt idx="2">
                  <c:v>1.2033300243756655</c:v>
                </c:pt>
                <c:pt idx="3">
                  <c:v>1.5041625304695818</c:v>
                </c:pt>
                <c:pt idx="4">
                  <c:v>1.8049950365634979</c:v>
                </c:pt>
                <c:pt idx="5">
                  <c:v>2.1058275426574142</c:v>
                </c:pt>
                <c:pt idx="6">
                  <c:v>2.4066600487513305</c:v>
                </c:pt>
                <c:pt idx="7">
                  <c:v>2.7074925548452469</c:v>
                </c:pt>
                <c:pt idx="8">
                  <c:v>3.0083250609391632</c:v>
                </c:pt>
                <c:pt idx="9">
                  <c:v>3.3091575670330791</c:v>
                </c:pt>
                <c:pt idx="10">
                  <c:v>3.6099900731269958</c:v>
                </c:pt>
                <c:pt idx="11">
                  <c:v>3.9108225792209126</c:v>
                </c:pt>
                <c:pt idx="12">
                  <c:v>4.2116550853148293</c:v>
                </c:pt>
              </c:numCache>
            </c:numRef>
          </c:xVal>
          <c:yVal>
            <c:numRef>
              <c:f>Calculations!$E$65:$Q$65</c:f>
              <c:numCache>
                <c:formatCode>General</c:formatCode>
                <c:ptCount val="13"/>
                <c:pt idx="0">
                  <c:v>0</c:v>
                </c:pt>
                <c:pt idx="1">
                  <c:v>0.33437326170434867</c:v>
                </c:pt>
                <c:pt idx="2">
                  <c:v>0.57270818274173863</c:v>
                </c:pt>
                <c:pt idx="3">
                  <c:v>0.137980808281427</c:v>
                </c:pt>
                <c:pt idx="4">
                  <c:v>-1.0666777099721418</c:v>
                </c:pt>
                <c:pt idx="5">
                  <c:v>-0.78799790329259667</c:v>
                </c:pt>
                <c:pt idx="6">
                  <c:v>0.84803101623628208</c:v>
                </c:pt>
                <c:pt idx="7">
                  <c:v>0.71043322615100846</c:v>
                </c:pt>
                <c:pt idx="8">
                  <c:v>0.16918910961308803</c:v>
                </c:pt>
                <c:pt idx="9">
                  <c:v>-1.339508442527906</c:v>
                </c:pt>
                <c:pt idx="10">
                  <c:v>-1.5556842185821067</c:v>
                </c:pt>
                <c:pt idx="11">
                  <c:v>-1.2949074024652916</c:v>
                </c:pt>
                <c:pt idx="12">
                  <c:v>-1.6606986449269352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6248"/>
        <c:axId val="263658992"/>
      </c:scatterChart>
      <c:valAx>
        <c:axId val="26365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1 Speed, Knots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8992"/>
        <c:crosses val="autoZero"/>
        <c:crossBetween val="midCat"/>
      </c:valAx>
      <c:valAx>
        <c:axId val="2636589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1 speed-Shown Boat Speed,%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Speed Drag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6.1656514674820535E-2"/>
          <c:w val="0.91464516855901756"/>
          <c:h val="0.904168274740305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'Input Data'!$D$4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Calculations!$K$55:$R$55</c:f>
              <c:numCache>
                <c:formatCode>General</c:formatCode>
                <c:ptCount val="8"/>
                <c:pt idx="0">
                  <c:v>2.4066600487513305</c:v>
                </c:pt>
                <c:pt idx="1">
                  <c:v>2.7074925548452469</c:v>
                </c:pt>
                <c:pt idx="2">
                  <c:v>3.0083250609391632</c:v>
                </c:pt>
                <c:pt idx="3">
                  <c:v>3.3091575670330791</c:v>
                </c:pt>
                <c:pt idx="4">
                  <c:v>3.6099900731269958</c:v>
                </c:pt>
                <c:pt idx="5">
                  <c:v>3.9108225792209126</c:v>
                </c:pt>
                <c:pt idx="6">
                  <c:v>4.2116550853148293</c:v>
                </c:pt>
                <c:pt idx="7">
                  <c:v>4.5124875914087452</c:v>
                </c:pt>
              </c:numCache>
            </c:numRef>
          </c:xVal>
          <c:yVal>
            <c:numRef>
              <c:f>Calculations!$K$56:$R$56</c:f>
              <c:numCache>
                <c:formatCode>General</c:formatCode>
                <c:ptCount val="8"/>
                <c:pt idx="0">
                  <c:v>1.2460436270888819</c:v>
                </c:pt>
                <c:pt idx="1">
                  <c:v>2.0681605174052167</c:v>
                </c:pt>
                <c:pt idx="2">
                  <c:v>2.9351617418494129</c:v>
                </c:pt>
                <c:pt idx="3">
                  <c:v>3.6589276238694737</c:v>
                </c:pt>
                <c:pt idx="4">
                  <c:v>4.2584532397763057</c:v>
                </c:pt>
                <c:pt idx="5">
                  <c:v>4.8127969864653277</c:v>
                </c:pt>
                <c:pt idx="6">
                  <c:v>5.2658966371126192</c:v>
                </c:pt>
                <c:pt idx="7">
                  <c:v>5.6841487811430289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'Input Data'!$E$4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Calculations!$K$58:$R$58</c:f>
              <c:numCache>
                <c:formatCode>General</c:formatCode>
                <c:ptCount val="8"/>
                <c:pt idx="0">
                  <c:v>2.4222579679423726</c:v>
                </c:pt>
                <c:pt idx="1">
                  <c:v>2.725040213935169</c:v>
                </c:pt>
                <c:pt idx="2">
                  <c:v>3.0278224599279655</c:v>
                </c:pt>
                <c:pt idx="3">
                  <c:v>3.330604705920762</c:v>
                </c:pt>
                <c:pt idx="4">
                  <c:v>3.6333869519135589</c:v>
                </c:pt>
                <c:pt idx="5">
                  <c:v>3.9361691979063558</c:v>
                </c:pt>
                <c:pt idx="6">
                  <c:v>4.2389514438991531</c:v>
                </c:pt>
                <c:pt idx="7">
                  <c:v>4.5417336898919496</c:v>
                </c:pt>
              </c:numCache>
            </c:numRef>
          </c:xVal>
          <c:yVal>
            <c:numRef>
              <c:f>Calculations!$K$59:$R$59</c:f>
              <c:numCache>
                <c:formatCode>General</c:formatCode>
                <c:ptCount val="8"/>
                <c:pt idx="0">
                  <c:v>1.2877670654348015</c:v>
                </c:pt>
                <c:pt idx="1">
                  <c:v>2.0859771718554603</c:v>
                </c:pt>
                <c:pt idx="2">
                  <c:v>2.9671210223363449</c:v>
                </c:pt>
                <c:pt idx="3">
                  <c:v>3.8289036554900502</c:v>
                </c:pt>
                <c:pt idx="4">
                  <c:v>4.5027370566258904</c:v>
                </c:pt>
                <c:pt idx="5">
                  <c:v>5.1098920981931002</c:v>
                </c:pt>
                <c:pt idx="6">
                  <c:v>5.5760533829259433</c:v>
                </c:pt>
                <c:pt idx="7">
                  <c:v>5.5919105181872517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'Input Data'!$F$4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Calculations!$K$61:$R$61</c:f>
              <c:numCache>
                <c:formatCode>General</c:formatCode>
                <c:ptCount val="8"/>
                <c:pt idx="0">
                  <c:v>2.4237265965946468</c:v>
                </c:pt>
                <c:pt idx="1">
                  <c:v>2.7266924211689778</c:v>
                </c:pt>
                <c:pt idx="2">
                  <c:v>3.0296582457433083</c:v>
                </c:pt>
                <c:pt idx="3">
                  <c:v>3.3326240703176393</c:v>
                </c:pt>
                <c:pt idx="4">
                  <c:v>3.6355898948919703</c:v>
                </c:pt>
                <c:pt idx="5">
                  <c:v>3.9385557194663012</c:v>
                </c:pt>
                <c:pt idx="6">
                  <c:v>4.2415215440406326</c:v>
                </c:pt>
                <c:pt idx="7">
                  <c:v>4.5444873686149645</c:v>
                </c:pt>
              </c:numCache>
            </c:numRef>
          </c:xVal>
          <c:yVal>
            <c:numRef>
              <c:f>Calculations!$K$62:$R$62</c:f>
              <c:numCache>
                <c:formatCode>General</c:formatCode>
                <c:ptCount val="8"/>
                <c:pt idx="0">
                  <c:v>1.3220860523925533</c:v>
                </c:pt>
                <c:pt idx="1">
                  <c:v>2.1765607208875761</c:v>
                </c:pt>
                <c:pt idx="2">
                  <c:v>3.0076440692902526</c:v>
                </c:pt>
                <c:pt idx="3">
                  <c:v>3.618925531300123</c:v>
                </c:pt>
                <c:pt idx="4">
                  <c:v>4.1999083131733048</c:v>
                </c:pt>
                <c:pt idx="5">
                  <c:v>4.7803069355053642</c:v>
                </c:pt>
                <c:pt idx="6">
                  <c:v>5.2099912006506628</c:v>
                </c:pt>
                <c:pt idx="7">
                  <c:v>5.6326194722545955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8600"/>
        <c:axId val="263659776"/>
      </c:scatterChart>
      <c:valAx>
        <c:axId val="263658600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9776"/>
        <c:crosses val="autoZero"/>
        <c:crossBetween val="midCat"/>
        <c:majorUnit val="0.5"/>
      </c:valAx>
      <c:valAx>
        <c:axId val="263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7128049772792713E-2"/>
          <c:y val="0.11303818712801747"/>
          <c:w val="0.20892455215753039"/>
          <c:h val="0.22277061846142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Contributions at 2.4 knots</a:t>
            </a:r>
          </a:p>
        </c:rich>
      </c:tx>
      <c:layout>
        <c:manualLayout>
          <c:xMode val="edge"/>
          <c:yMode val="edge"/>
          <c:x val="0.33794011703593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Calculations!$AC$53:$AC$61</c:f>
              <c:strCache>
                <c:ptCount val="9"/>
                <c:pt idx="0">
                  <c:v>Skin drag</c:v>
                </c:pt>
                <c:pt idx="1">
                  <c:v>Residual Drag</c:v>
                </c:pt>
                <c:pt idx="2">
                  <c:v>Term 1      LCb/LWL</c:v>
                </c:pt>
                <c:pt idx="3">
                  <c:v>Term 2        Cp</c:v>
                </c:pt>
                <c:pt idx="4">
                  <c:v>Term 3   (Del^2/3)/AWP</c:v>
                </c:pt>
                <c:pt idx="5">
                  <c:v>Term 4    BWL/LWL</c:v>
                </c:pt>
                <c:pt idx="6">
                  <c:v>Term 5  LCb/LCF</c:v>
                </c:pt>
                <c:pt idx="7">
                  <c:v>Term 6    BWL/Tc</c:v>
                </c:pt>
                <c:pt idx="8">
                  <c:v>Term 7  Cm</c:v>
                </c:pt>
              </c:strCache>
            </c:strRef>
          </c:cat>
          <c:val>
            <c:numRef>
              <c:f>Calculations!$AD$53:$AD$61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v>Target .57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Calculations!$AH$53:$AH$61</c:f>
              <c:numCache>
                <c:formatCode>General</c:formatCode>
                <c:ptCount val="9"/>
                <c:pt idx="0">
                  <c:v>0.75713199180686275</c:v>
                </c:pt>
                <c:pt idx="1">
                  <c:v>0.48891163528201925</c:v>
                </c:pt>
                <c:pt idx="2">
                  <c:v>-1.2211278276062638</c:v>
                </c:pt>
                <c:pt idx="3">
                  <c:v>-0.40498596169422896</c:v>
                </c:pt>
                <c:pt idx="4">
                  <c:v>3.2584437453141636E-2</c:v>
                </c:pt>
                <c:pt idx="5">
                  <c:v>-0.13018567666355685</c:v>
                </c:pt>
                <c:pt idx="6">
                  <c:v>1.9369129999759926</c:v>
                </c:pt>
                <c:pt idx="7">
                  <c:v>7.4587771524399049E-2</c:v>
                </c:pt>
                <c:pt idx="8">
                  <c:v>0.43286320589253569</c:v>
                </c:pt>
              </c:numCache>
            </c:numRef>
          </c:val>
        </c:ser>
        <c:ser>
          <c:idx val="2"/>
          <c:order val="2"/>
          <c:tx>
            <c:v>Sky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Calculations!$AI$53:$AI$61</c:f>
              <c:numCache>
                <c:formatCode>General</c:formatCode>
                <c:ptCount val="9"/>
                <c:pt idx="0">
                  <c:v>0.80975907184310525</c:v>
                </c:pt>
                <c:pt idx="1">
                  <c:v>0.47800799359169627</c:v>
                </c:pt>
                <c:pt idx="2">
                  <c:v>-1.2167532223347814</c:v>
                </c:pt>
                <c:pt idx="3">
                  <c:v>-0.36878966779446504</c:v>
                </c:pt>
                <c:pt idx="4">
                  <c:v>2.886352218192887E-2</c:v>
                </c:pt>
                <c:pt idx="5">
                  <c:v>-0.14126333869806129</c:v>
                </c:pt>
                <c:pt idx="6">
                  <c:v>1.9394457371641904</c:v>
                </c:pt>
                <c:pt idx="7">
                  <c:v>7.8553742411156466E-2</c:v>
                </c:pt>
                <c:pt idx="8">
                  <c:v>0.38962418066172805</c:v>
                </c:pt>
              </c:numCache>
            </c:numRef>
          </c:val>
        </c:ser>
        <c:ser>
          <c:idx val="3"/>
          <c:order val="3"/>
          <c:tx>
            <c:v>Target .52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Calculations!$AJ$53:$AJ$61</c:f>
              <c:numCache>
                <c:formatCode>General</c:formatCode>
                <c:ptCount val="9"/>
                <c:pt idx="0">
                  <c:v>0.78239911325593903</c:v>
                </c:pt>
                <c:pt idx="1">
                  <c:v>0.54010515574419504</c:v>
                </c:pt>
                <c:pt idx="2">
                  <c:v>-1.1860345186698278</c:v>
                </c:pt>
                <c:pt idx="3">
                  <c:v>-0.36043727766963113</c:v>
                </c:pt>
                <c:pt idx="4">
                  <c:v>3.1520526618614937E-2</c:v>
                </c:pt>
                <c:pt idx="5">
                  <c:v>-0.13317253579511509</c:v>
                </c:pt>
                <c:pt idx="6">
                  <c:v>1.888315487474147</c:v>
                </c:pt>
                <c:pt idx="7">
                  <c:v>7.9043262646848925E-2</c:v>
                </c:pt>
                <c:pt idx="8">
                  <c:v>0.45312235353915764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01536"/>
        <c:axId val="226503104"/>
      </c:barChart>
      <c:catAx>
        <c:axId val="2265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3104"/>
        <c:crosses val="autoZero"/>
        <c:auto val="1"/>
        <c:lblAlgn val="ctr"/>
        <c:lblOffset val="100"/>
        <c:noMultiLvlLbl val="0"/>
      </c:catAx>
      <c:valAx>
        <c:axId val="226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Drag Contribution,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3193859194566976"/>
          <c:y val="0.15149150162839453"/>
          <c:w val="0.1131657419227091"/>
          <c:h val="0.25104774544742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Term 1</a:t>
            </a:r>
          </a:p>
          <a:p>
            <a:pPr>
              <a:defRPr/>
            </a:pPr>
            <a:r>
              <a:rPr lang="en-AU"/>
              <a:t> LCB/LWL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Calculations!$D$26:$P$26</c:f>
              <c:numCache>
                <c:formatCode>General</c:formatCode>
                <c:ptCount val="13"/>
                <c:pt idx="0">
                  <c:v>1.2248924841286094E-3</c:v>
                </c:pt>
                <c:pt idx="1">
                  <c:v>3.1421155027646936E-3</c:v>
                </c:pt>
                <c:pt idx="2">
                  <c:v>-8.3079664140897E-3</c:v>
                </c:pt>
                <c:pt idx="3">
                  <c:v>8.520991193938153E-4</c:v>
                </c:pt>
                <c:pt idx="4">
                  <c:v>-3.0196262543518326E-2</c:v>
                </c:pt>
                <c:pt idx="5">
                  <c:v>-0.21483549047716566</c:v>
                </c:pt>
                <c:pt idx="6">
                  <c:v>-0.28018084169567886</c:v>
                </c:pt>
                <c:pt idx="7">
                  <c:v>-0.31879158304321115</c:v>
                </c:pt>
                <c:pt idx="8">
                  <c:v>-0.25371251279950846</c:v>
                </c:pt>
                <c:pt idx="9">
                  <c:v>1.970479213598198E-3</c:v>
                </c:pt>
                <c:pt idx="10">
                  <c:v>0.19853909481875895</c:v>
                </c:pt>
                <c:pt idx="11">
                  <c:v>-6.5931169363096453E-2</c:v>
                </c:pt>
                <c:pt idx="12">
                  <c:v>0.41145736227728852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Calculations!$AD$26:$AP$26</c:f>
              <c:numCache>
                <c:formatCode>General</c:formatCode>
                <c:ptCount val="13"/>
                <c:pt idx="0">
                  <c:v>1.2368341251389873E-3</c:v>
                </c:pt>
                <c:pt idx="1">
                  <c:v>3.1727484079652284E-3</c:v>
                </c:pt>
                <c:pt idx="2">
                  <c:v>-8.3889618922470439E-3</c:v>
                </c:pt>
                <c:pt idx="3">
                  <c:v>8.6040634792277379E-4</c:v>
                </c:pt>
                <c:pt idx="4">
                  <c:v>-3.0490649954513293E-2</c:v>
                </c:pt>
                <c:pt idx="5">
                  <c:v>-0.2169299504700293</c:v>
                </c:pt>
                <c:pt idx="6">
                  <c:v>-0.28291236227635702</c:v>
                </c:pt>
                <c:pt idx="7">
                  <c:v>-0.32189952491660778</c:v>
                </c:pt>
                <c:pt idx="8">
                  <c:v>-0.25618599009400589</c:v>
                </c:pt>
                <c:pt idx="9">
                  <c:v>1.9896896795714145E-3</c:v>
                </c:pt>
                <c:pt idx="10">
                  <c:v>0.2004746790660063</c:v>
                </c:pt>
                <c:pt idx="11">
                  <c:v>-6.657394117052462E-2</c:v>
                </c:pt>
                <c:pt idx="12">
                  <c:v>0.41546871525320933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Calculations!$BD$26:$BP$26</c:f>
              <c:numCache>
                <c:formatCode>General</c:formatCode>
                <c:ptCount val="13"/>
                <c:pt idx="0">
                  <c:v>1.2030590610802624E-3</c:v>
                </c:pt>
                <c:pt idx="1">
                  <c:v>3.0861080262493687E-3</c:v>
                </c:pt>
                <c:pt idx="2">
                  <c:v>-8.1598788490661288E-3</c:v>
                </c:pt>
                <c:pt idx="3">
                  <c:v>8.3691065118626957E-4</c:v>
                </c:pt>
                <c:pt idx="4">
                  <c:v>-2.9658021201413427E-2</c:v>
                </c:pt>
                <c:pt idx="5">
                  <c:v>-0.2110060979303382</c:v>
                </c:pt>
                <c:pt idx="6">
                  <c:v>-0.27518668349318526</c:v>
                </c:pt>
                <c:pt idx="7">
                  <c:v>-0.3131091973750631</c:v>
                </c:pt>
                <c:pt idx="8">
                  <c:v>-0.24919014639071174</c:v>
                </c:pt>
                <c:pt idx="9">
                  <c:v>1.9353558808682483E-3</c:v>
                </c:pt>
                <c:pt idx="10">
                  <c:v>0.19500018172640082</c:v>
                </c:pt>
                <c:pt idx="11">
                  <c:v>-6.4755961635537596E-2</c:v>
                </c:pt>
                <c:pt idx="12">
                  <c:v>0.40412323069156991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4432"/>
        <c:axId val="261842472"/>
      </c:scatterChart>
      <c:valAx>
        <c:axId val="2618444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2472"/>
        <c:crosses val="autoZero"/>
        <c:crossBetween val="midCat"/>
      </c:valAx>
      <c:valAx>
        <c:axId val="2618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2</a:t>
            </a:r>
          </a:p>
          <a:p>
            <a:pPr>
              <a:defRPr/>
            </a:pPr>
            <a:r>
              <a:rPr lang="en-US"/>
              <a:t>Prismatic Coefficient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Calculations!$D$27:$P$27</c:f>
              <c:numCache>
                <c:formatCode>General</c:formatCode>
                <c:ptCount val="13"/>
                <c:pt idx="0">
                  <c:v>-4.9019999999999992E-3</c:v>
                </c:pt>
                <c:pt idx="1">
                  <c:v>-3.6479999999999998E-3</c:v>
                </c:pt>
                <c:pt idx="2">
                  <c:v>1.7669999999999997E-3</c:v>
                </c:pt>
                <c:pt idx="3">
                  <c:v>1.9209E-2</c:v>
                </c:pt>
                <c:pt idx="4">
                  <c:v>2.5421999999999997E-2</c:v>
                </c:pt>
                <c:pt idx="5">
                  <c:v>-7.1249999999999994E-2</c:v>
                </c:pt>
                <c:pt idx="6">
                  <c:v>-0.16786499999999999</c:v>
                </c:pt>
                <c:pt idx="7">
                  <c:v>-0.17316599999999999</c:v>
                </c:pt>
                <c:pt idx="8">
                  <c:v>-0.134577</c:v>
                </c:pt>
                <c:pt idx="9">
                  <c:v>-0.16871999999999998</c:v>
                </c:pt>
                <c:pt idx="10">
                  <c:v>-0.20901900000000001</c:v>
                </c:pt>
                <c:pt idx="11">
                  <c:v>-0.11548199999999999</c:v>
                </c:pt>
                <c:pt idx="12">
                  <c:v>0.28727999999999998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Calculations!$AD$27:$AP$27</c:f>
              <c:numCache>
                <c:formatCode>General</c:formatCode>
                <c:ptCount val="13"/>
                <c:pt idx="0">
                  <c:v>-4.5236E-3</c:v>
                </c:pt>
                <c:pt idx="1">
                  <c:v>-3.3664000000000003E-3</c:v>
                </c:pt>
                <c:pt idx="2">
                  <c:v>1.6306000000000001E-3</c:v>
                </c:pt>
                <c:pt idx="3">
                  <c:v>1.7726200000000001E-2</c:v>
                </c:pt>
                <c:pt idx="4">
                  <c:v>2.3459600000000001E-2</c:v>
                </c:pt>
                <c:pt idx="5">
                  <c:v>-6.5750000000000003E-2</c:v>
                </c:pt>
                <c:pt idx="6">
                  <c:v>-0.15490699999999999</c:v>
                </c:pt>
                <c:pt idx="7">
                  <c:v>-0.15979880000000002</c:v>
                </c:pt>
                <c:pt idx="8">
                  <c:v>-0.12418860000000001</c:v>
                </c:pt>
                <c:pt idx="9">
                  <c:v>-0.155696</c:v>
                </c:pt>
                <c:pt idx="10">
                  <c:v>-0.19288420000000003</c:v>
                </c:pt>
                <c:pt idx="11">
                  <c:v>-0.10656760000000001</c:v>
                </c:pt>
                <c:pt idx="12">
                  <c:v>0.26510400000000001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Calculations!$BD$27:$BP$27</c:f>
              <c:numCache>
                <c:formatCode>General</c:formatCode>
                <c:ptCount val="13"/>
                <c:pt idx="0">
                  <c:v>-4.4118000000000004E-3</c:v>
                </c:pt>
                <c:pt idx="1">
                  <c:v>-3.2832000000000004E-3</c:v>
                </c:pt>
                <c:pt idx="2">
                  <c:v>1.5903E-3</c:v>
                </c:pt>
                <c:pt idx="3">
                  <c:v>1.7288100000000001E-2</c:v>
                </c:pt>
                <c:pt idx="4">
                  <c:v>2.2879800000000002E-2</c:v>
                </c:pt>
                <c:pt idx="5">
                  <c:v>-6.4125000000000001E-2</c:v>
                </c:pt>
                <c:pt idx="6">
                  <c:v>-0.1510785</c:v>
                </c:pt>
                <c:pt idx="7">
                  <c:v>-0.1558494</c:v>
                </c:pt>
                <c:pt idx="8">
                  <c:v>-0.1211193</c:v>
                </c:pt>
                <c:pt idx="9">
                  <c:v>-0.15184799999999998</c:v>
                </c:pt>
                <c:pt idx="10">
                  <c:v>-0.18811710000000001</c:v>
                </c:pt>
                <c:pt idx="11">
                  <c:v>-0.10393380000000001</c:v>
                </c:pt>
                <c:pt idx="12">
                  <c:v>0.258552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3256"/>
        <c:axId val="261838552"/>
      </c:scatterChart>
      <c:valAx>
        <c:axId val="2618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8552"/>
        <c:crosses val="autoZero"/>
        <c:crossBetween val="midCat"/>
      </c:valAx>
      <c:valAx>
        <c:axId val="2618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Term3 </a:t>
            </a:r>
          </a:p>
          <a:p>
            <a:pPr>
              <a:defRPr/>
            </a:pPr>
            <a:r>
              <a:rPr lang="en-US"/>
              <a:t>(DisplVol^2/3/AWP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Calculations!$D$28:$P$28</c:f>
              <c:numCache>
                <c:formatCode>0.000000</c:formatCode>
                <c:ptCount val="13"/>
                <c:pt idx="0">
                  <c:v>-3.1498055150919717E-4</c:v>
                </c:pt>
                <c:pt idx="1">
                  <c:v>1.4699092403762536E-3</c:v>
                </c:pt>
                <c:pt idx="2">
                  <c:v>-4.40972772112876E-4</c:v>
                </c:pt>
                <c:pt idx="3">
                  <c:v>-5.984630478674746E-3</c:v>
                </c:pt>
                <c:pt idx="4">
                  <c:v>-2.2909585446435607E-2</c:v>
                </c:pt>
                <c:pt idx="5">
                  <c:v>5.7326460374673887E-3</c:v>
                </c:pt>
                <c:pt idx="6">
                  <c:v>5.2181778033356996E-2</c:v>
                </c:pt>
                <c:pt idx="7">
                  <c:v>0.12668517781699909</c:v>
                </c:pt>
                <c:pt idx="8">
                  <c:v>0.18323468616461697</c:v>
                </c:pt>
                <c:pt idx="9">
                  <c:v>0.20286847387535689</c:v>
                </c:pt>
                <c:pt idx="10">
                  <c:v>0.29307890382759094</c:v>
                </c:pt>
                <c:pt idx="11">
                  <c:v>0.2369073721417842</c:v>
                </c:pt>
                <c:pt idx="12">
                  <c:v>0.37518383425432167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Calculations!$AD$28:$AP$28</c:f>
              <c:numCache>
                <c:formatCode>0.000000</c:formatCode>
                <c:ptCount val="13"/>
                <c:pt idx="0">
                  <c:v>-2.827450109308987E-4</c:v>
                </c:pt>
                <c:pt idx="1">
                  <c:v>1.3194767176775274E-3</c:v>
                </c:pt>
                <c:pt idx="2">
                  <c:v>-3.9584301530325817E-4</c:v>
                </c:pt>
                <c:pt idx="3">
                  <c:v>-5.3721552076870759E-3</c:v>
                </c:pt>
                <c:pt idx="4">
                  <c:v>-2.056498712837403E-2</c:v>
                </c:pt>
                <c:pt idx="5">
                  <c:v>5.1459591989423568E-3</c:v>
                </c:pt>
                <c:pt idx="6">
                  <c:v>4.684142347755222E-2</c:v>
                </c:pt>
                <c:pt idx="7">
                  <c:v>0.11372004339640746</c:v>
                </c:pt>
                <c:pt idx="8">
                  <c:v>0.16448219769220149</c:v>
                </c:pt>
                <c:pt idx="9">
                  <c:v>0.18210663670689414</c:v>
                </c:pt>
                <c:pt idx="10">
                  <c:v>0.26308480783750354</c:v>
                </c:pt>
                <c:pt idx="11">
                  <c:v>0.21266194755482662</c:v>
                </c:pt>
                <c:pt idx="12">
                  <c:v>0.3367870073534911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Calculations!$BD$28:$BP$28</c:f>
              <c:numCache>
                <c:formatCode>0.000000</c:formatCode>
                <c:ptCount val="13"/>
                <c:pt idx="0">
                  <c:v>-3.0811990406941805E-4</c:v>
                </c:pt>
                <c:pt idx="1">
                  <c:v>1.4378928856572841E-3</c:v>
                </c:pt>
                <c:pt idx="2">
                  <c:v>-4.3136786569718521E-4</c:v>
                </c:pt>
                <c:pt idx="3">
                  <c:v>-5.8542781773189426E-3</c:v>
                </c:pt>
                <c:pt idx="4">
                  <c:v>-2.2410587689315673E-2</c:v>
                </c:pt>
                <c:pt idx="5">
                  <c:v>5.6077822540634079E-3</c:v>
                </c:pt>
                <c:pt idx="6">
                  <c:v>5.1045197440833585E-2</c:v>
                </c:pt>
                <c:pt idx="7">
                  <c:v>0.12392582541671993</c:v>
                </c:pt>
                <c:pt idx="8">
                  <c:v>0.17924361886064946</c:v>
                </c:pt>
                <c:pt idx="9">
                  <c:v>0.19844975954764318</c:v>
                </c:pt>
                <c:pt idx="10">
                  <c:v>0.28669530007312449</c:v>
                </c:pt>
                <c:pt idx="11">
                  <c:v>0.23174725051407832</c:v>
                </c:pt>
                <c:pt idx="12">
                  <c:v>0.36701188840055282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3648"/>
        <c:axId val="261846000"/>
      </c:scatterChart>
      <c:valAx>
        <c:axId val="2618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6000"/>
        <c:crosses val="autoZero"/>
        <c:crossBetween val="midCat"/>
      </c:valAx>
      <c:valAx>
        <c:axId val="26184600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6639909594634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4 </a:t>
            </a:r>
          </a:p>
          <a:p>
            <a:pPr>
              <a:defRPr/>
            </a:pPr>
            <a:r>
              <a:rPr lang="en-US"/>
              <a:t>BWL/LWL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Calculations!$D$29:$P$29</c:f>
              <c:numCache>
                <c:formatCode>General</c:formatCode>
                <c:ptCount val="13"/>
                <c:pt idx="0">
                  <c:v>1.0418595125947165E-3</c:v>
                </c:pt>
                <c:pt idx="1">
                  <c:v>2.3911529797255785E-4</c:v>
                </c:pt>
                <c:pt idx="2">
                  <c:v>-1.1955764898627893E-3</c:v>
                </c:pt>
                <c:pt idx="3">
                  <c:v>-6.2682367397091958E-3</c:v>
                </c:pt>
                <c:pt idx="4">
                  <c:v>-1.207532254761417E-2</c:v>
                </c:pt>
                <c:pt idx="5">
                  <c:v>-2.2903829612942864E-2</c:v>
                </c:pt>
                <c:pt idx="6">
                  <c:v>-4.1469424534097889E-2</c:v>
                </c:pt>
                <c:pt idx="7">
                  <c:v>-7.3442555805857054E-3</c:v>
                </c:pt>
                <c:pt idx="8">
                  <c:v>7.2059103010444409E-2</c:v>
                </c:pt>
                <c:pt idx="9">
                  <c:v>0.10457878353471226</c:v>
                </c:pt>
                <c:pt idx="10">
                  <c:v>0.17665496620929755</c:v>
                </c:pt>
                <c:pt idx="11">
                  <c:v>0.20215490477165679</c:v>
                </c:pt>
                <c:pt idx="12">
                  <c:v>0.37462535326643459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Calculations!$AD$29:$AP$29</c:f>
              <c:numCache>
                <c:formatCode>General</c:formatCode>
                <c:ptCount val="13"/>
                <c:pt idx="0">
                  <c:v>1.1456383301324169E-3</c:v>
                </c:pt>
                <c:pt idx="1">
                  <c:v>2.6293338724350552E-4</c:v>
                </c:pt>
                <c:pt idx="2">
                  <c:v>-1.3146669362175277E-3</c:v>
                </c:pt>
                <c:pt idx="3">
                  <c:v>-6.892610937026181E-3</c:v>
                </c:pt>
                <c:pt idx="4">
                  <c:v>-1.3278136055797028E-2</c:v>
                </c:pt>
                <c:pt idx="5">
                  <c:v>-2.5185262306681493E-2</c:v>
                </c:pt>
                <c:pt idx="6">
                  <c:v>-4.5600161730516529E-2</c:v>
                </c:pt>
                <c:pt idx="7">
                  <c:v>-8.0758111796219549E-3</c:v>
                </c:pt>
                <c:pt idx="8">
                  <c:v>7.9236854341453541E-2</c:v>
                </c:pt>
                <c:pt idx="9">
                  <c:v>0.1149957950065703</c:v>
                </c:pt>
                <c:pt idx="10">
                  <c:v>0.19425143030425554</c:v>
                </c:pt>
                <c:pt idx="11">
                  <c:v>0.22229139795815223</c:v>
                </c:pt>
                <c:pt idx="12">
                  <c:v>0.41194149398564645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Calculations!$BD$29:$BP$29</c:f>
              <c:numCache>
                <c:formatCode>General</c:formatCode>
                <c:ptCount val="13"/>
                <c:pt idx="0">
                  <c:v>1.0777385159010601E-3</c:v>
                </c:pt>
                <c:pt idx="1">
                  <c:v>2.4734982332155476E-4</c:v>
                </c:pt>
                <c:pt idx="2">
                  <c:v>-1.2367491166077737E-3</c:v>
                </c:pt>
                <c:pt idx="3">
                  <c:v>-6.4840989399293286E-3</c:v>
                </c:pt>
                <c:pt idx="4">
                  <c:v>-1.2491166077738515E-2</c:v>
                </c:pt>
                <c:pt idx="5">
                  <c:v>-2.3692579505300352E-2</c:v>
                </c:pt>
                <c:pt idx="6">
                  <c:v>-4.2897526501766772E-2</c:v>
                </c:pt>
                <c:pt idx="7">
                  <c:v>-7.5971731448763232E-3</c:v>
                </c:pt>
                <c:pt idx="8">
                  <c:v>7.4540636042402825E-2</c:v>
                </c:pt>
                <c:pt idx="9">
                  <c:v>0.10818021201413426</c:v>
                </c:pt>
                <c:pt idx="10">
                  <c:v>0.18273851590106005</c:v>
                </c:pt>
                <c:pt idx="11">
                  <c:v>0.20911660777385155</c:v>
                </c:pt>
                <c:pt idx="12">
                  <c:v>0.38752650176678444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39728"/>
        <c:axId val="261838944"/>
      </c:scatterChart>
      <c:valAx>
        <c:axId val="2618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8944"/>
        <c:crosses val="autoZero"/>
        <c:crossBetween val="midCat"/>
      </c:valAx>
      <c:valAx>
        <c:axId val="2618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5 </a:t>
            </a:r>
          </a:p>
          <a:p>
            <a:pPr>
              <a:defRPr/>
            </a:pPr>
            <a:r>
              <a:rPr lang="en-US"/>
              <a:t>LCB/LCF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[1]Sheet5!$D$12:$P$12</c:f>
              <c:numCache>
                <c:formatCode>General</c:formatCode>
                <c:ptCount val="13"/>
                <c:pt idx="0">
                  <c:v>9.5238967222120491E-4</c:v>
                </c:pt>
                <c:pt idx="1">
                  <c:v>1.2381065738875663E-3</c:v>
                </c:pt>
                <c:pt idx="2">
                  <c:v>1.4095367148873833E-2</c:v>
                </c:pt>
                <c:pt idx="3">
                  <c:v>2.0762094854422264E-2</c:v>
                </c:pt>
                <c:pt idx="4">
                  <c:v>8.7048416041018123E-2</c:v>
                </c:pt>
                <c:pt idx="5">
                  <c:v>0.3407650247207471</c:v>
                </c:pt>
                <c:pt idx="6">
                  <c:v>0.59933882072880418</c:v>
                </c:pt>
                <c:pt idx="7">
                  <c:v>0.79353107489470798</c:v>
                </c:pt>
                <c:pt idx="8">
                  <c:v>0.85619831532686319</c:v>
                </c:pt>
                <c:pt idx="9">
                  <c:v>0.71753037905145567</c:v>
                </c:pt>
                <c:pt idx="10">
                  <c:v>0.30762186412744918</c:v>
                </c:pt>
                <c:pt idx="11">
                  <c:v>0.47362338399560522</c:v>
                </c:pt>
                <c:pt idx="12">
                  <c:v>-1.4742039736312031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Calculations!$AD$30:$AP$30</c:f>
              <c:numCache>
                <c:formatCode>General</c:formatCode>
                <c:ptCount val="13"/>
                <c:pt idx="0">
                  <c:v>9.4477747502270666E-4</c:v>
                </c:pt>
                <c:pt idx="1">
                  <c:v>1.2563124432334242E-3</c:v>
                </c:pt>
                <c:pt idx="2">
                  <c:v>1.4302633969118985E-2</c:v>
                </c:pt>
                <c:pt idx="3">
                  <c:v>2.1067393278837422E-2</c:v>
                </c:pt>
                <c:pt idx="4">
                  <c:v>8.8328428701180753E-2</c:v>
                </c:pt>
                <c:pt idx="5">
                  <c:v>0.34577584014532248</c:v>
                </c:pt>
                <c:pt idx="6">
                  <c:v>0.60815186194368764</c:v>
                </c:pt>
                <c:pt idx="7">
                  <c:v>0.8051996366939147</c:v>
                </c:pt>
                <c:pt idx="8">
                  <c:v>0.868788374205268</c:v>
                </c:pt>
                <c:pt idx="9">
                  <c:v>0.72808138056312444</c:v>
                </c:pt>
                <c:pt idx="10">
                  <c:v>0.31214532243415083</c:v>
                </c:pt>
                <c:pt idx="11">
                  <c:v>0.48058782924613991</c:v>
                </c:pt>
                <c:pt idx="12">
                  <c:v>-1.4958815622161672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Calculations!$BD$30:$BP$30</c:f>
              <c:numCache>
                <c:formatCode>General</c:formatCode>
                <c:ptCount val="13"/>
                <c:pt idx="0">
                  <c:v>9.3892714751721642E-4</c:v>
                </c:pt>
                <c:pt idx="1">
                  <c:v>1.2206052917723815E-3</c:v>
                </c:pt>
                <c:pt idx="2">
                  <c:v>1.3896121783254804E-2</c:v>
                </c:pt>
                <c:pt idx="3">
                  <c:v>2.046861181587532E-2</c:v>
                </c:pt>
                <c:pt idx="4">
                  <c:v>8.5817941283073573E-2</c:v>
                </c:pt>
                <c:pt idx="5">
                  <c:v>0.33594813338166007</c:v>
                </c:pt>
                <c:pt idx="6">
                  <c:v>0.59086685393258431</c:v>
                </c:pt>
                <c:pt idx="7">
                  <c:v>0.78231409931134477</c:v>
                </c:pt>
                <c:pt idx="8">
                  <c:v>0.84409550561797764</c:v>
                </c:pt>
                <c:pt idx="9">
                  <c:v>0.70738771293947089</c:v>
                </c:pt>
                <c:pt idx="10">
                  <c:v>0.30327346864806093</c:v>
                </c:pt>
                <c:pt idx="11">
                  <c:v>0.46692847046031177</c:v>
                </c:pt>
                <c:pt idx="12">
                  <c:v>-1.4533653316418995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0512"/>
        <c:axId val="261840904"/>
      </c:scatterChart>
      <c:valAx>
        <c:axId val="261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0904"/>
        <c:crosses val="autoZero"/>
        <c:crossBetween val="midCat"/>
      </c:valAx>
      <c:valAx>
        <c:axId val="261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6 </a:t>
            </a:r>
          </a:p>
          <a:p>
            <a:pPr>
              <a:defRPr/>
            </a:pPr>
            <a:r>
              <a:rPr lang="en-US"/>
              <a:t>BWL/Tc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Calculations!$D$31:$P$31</c:f>
              <c:numCache>
                <c:formatCode>General</c:formatCode>
                <c:ptCount val="13"/>
                <c:pt idx="0">
                  <c:v>2.9160839160839161E-4</c:v>
                </c:pt>
                <c:pt idx="1">
                  <c:v>1.4580419580419582E-3</c:v>
                </c:pt>
                <c:pt idx="2">
                  <c:v>2.9160839160839165E-3</c:v>
                </c:pt>
                <c:pt idx="3">
                  <c:v>4.3741258741258745E-3</c:v>
                </c:pt>
                <c:pt idx="4">
                  <c:v>6.1237762237762242E-3</c:v>
                </c:pt>
                <c:pt idx="5">
                  <c:v>1.3122377622377623E-2</c:v>
                </c:pt>
                <c:pt idx="6">
                  <c:v>2.3620279720279722E-2</c:v>
                </c:pt>
                <c:pt idx="7">
                  <c:v>3.0910489510489515E-2</c:v>
                </c:pt>
                <c:pt idx="8">
                  <c:v>2.7994405594405594E-2</c:v>
                </c:pt>
                <c:pt idx="9">
                  <c:v>2.9160839160839162E-2</c:v>
                </c:pt>
                <c:pt idx="10">
                  <c:v>2.0995804195804199E-2</c:v>
                </c:pt>
                <c:pt idx="11">
                  <c:v>1.1081118881118882E-2</c:v>
                </c:pt>
                <c:pt idx="12">
                  <c:v>-3.3534965034965038E-2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Calculations!$AD$31:$AP$31</c:f>
              <c:numCache>
                <c:formatCode>General</c:formatCode>
                <c:ptCount val="13"/>
                <c:pt idx="0">
                  <c:v>3.1122278056951424E-4</c:v>
                </c:pt>
                <c:pt idx="1">
                  <c:v>1.556113902847571E-3</c:v>
                </c:pt>
                <c:pt idx="2">
                  <c:v>3.1122278056951421E-3</c:v>
                </c:pt>
                <c:pt idx="3">
                  <c:v>4.6683417085427135E-3</c:v>
                </c:pt>
                <c:pt idx="4">
                  <c:v>6.5356783919597976E-3</c:v>
                </c:pt>
                <c:pt idx="5">
                  <c:v>1.4005025125628139E-2</c:v>
                </c:pt>
                <c:pt idx="6">
                  <c:v>2.5209045226130652E-2</c:v>
                </c:pt>
                <c:pt idx="7">
                  <c:v>3.298961474036851E-2</c:v>
                </c:pt>
                <c:pt idx="8">
                  <c:v>2.9877386934673362E-2</c:v>
                </c:pt>
                <c:pt idx="9">
                  <c:v>3.1122278056951422E-2</c:v>
                </c:pt>
                <c:pt idx="10">
                  <c:v>2.2408040201005022E-2</c:v>
                </c:pt>
                <c:pt idx="11">
                  <c:v>1.1826465661641541E-2</c:v>
                </c:pt>
                <c:pt idx="12">
                  <c:v>-3.5790619765494136E-2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Calculations!$BD$31:$BP$31</c:f>
              <c:numCache>
                <c:formatCode>General</c:formatCode>
                <c:ptCount val="13"/>
                <c:pt idx="0">
                  <c:v>3.1249999999999995E-4</c:v>
                </c:pt>
                <c:pt idx="1">
                  <c:v>1.5624999999999999E-3</c:v>
                </c:pt>
                <c:pt idx="2">
                  <c:v>3.1249999999999997E-3</c:v>
                </c:pt>
                <c:pt idx="3">
                  <c:v>4.6874999999999998E-3</c:v>
                </c:pt>
                <c:pt idx="4">
                  <c:v>6.5624999999999989E-3</c:v>
                </c:pt>
                <c:pt idx="5">
                  <c:v>1.4062499999999999E-2</c:v>
                </c:pt>
                <c:pt idx="6">
                  <c:v>2.5312499999999998E-2</c:v>
                </c:pt>
                <c:pt idx="7">
                  <c:v>3.3124999999999995E-2</c:v>
                </c:pt>
                <c:pt idx="8">
                  <c:v>2.9999999999999995E-2</c:v>
                </c:pt>
                <c:pt idx="9">
                  <c:v>3.1249999999999997E-2</c:v>
                </c:pt>
                <c:pt idx="10">
                  <c:v>2.2499999999999996E-2</c:v>
                </c:pt>
                <c:pt idx="11">
                  <c:v>1.1875E-2</c:v>
                </c:pt>
                <c:pt idx="12">
                  <c:v>-3.5937499999999997E-2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3504"/>
        <c:axId val="263653896"/>
      </c:scatterChart>
      <c:valAx>
        <c:axId val="2636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3896"/>
        <c:crosses val="autoZero"/>
        <c:crossBetween val="midCat"/>
      </c:valAx>
      <c:valAx>
        <c:axId val="2636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7</a:t>
            </a:r>
          </a:p>
          <a:p>
            <a:pPr>
              <a:defRPr/>
            </a:pPr>
            <a:r>
              <a:rPr lang="en-US"/>
              <a:t>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Calculations!$B$20</c:f>
              <c:strCache>
                <c:ptCount val="1"/>
                <c:pt idx="0">
                  <c:v>Target 0.57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Calculations!$D$48:$P$48</c:f>
              <c:numCache>
                <c:formatCode>General</c:formatCode>
                <c:ptCount val="13"/>
                <c:pt idx="0">
                  <c:v>0.90249751828174896</c:v>
                </c:pt>
                <c:pt idx="1">
                  <c:v>1.2033300243756655</c:v>
                </c:pt>
                <c:pt idx="2">
                  <c:v>1.5041625304695818</c:v>
                </c:pt>
                <c:pt idx="3">
                  <c:v>1.8049950365634979</c:v>
                </c:pt>
                <c:pt idx="4">
                  <c:v>2.1058275426574142</c:v>
                </c:pt>
                <c:pt idx="5">
                  <c:v>2.4066600487513305</c:v>
                </c:pt>
                <c:pt idx="6">
                  <c:v>2.7074925548452469</c:v>
                </c:pt>
                <c:pt idx="7">
                  <c:v>3.0083250609391632</c:v>
                </c:pt>
                <c:pt idx="8">
                  <c:v>3.3091575670330791</c:v>
                </c:pt>
                <c:pt idx="9">
                  <c:v>3.6099900731269958</c:v>
                </c:pt>
                <c:pt idx="10">
                  <c:v>3.9108225792209126</c:v>
                </c:pt>
                <c:pt idx="11">
                  <c:v>4.2116550853148293</c:v>
                </c:pt>
                <c:pt idx="12">
                  <c:v>4.5124875914087452</c:v>
                </c:pt>
              </c:numCache>
            </c:numRef>
          </c:xVal>
          <c:yVal>
            <c:numRef>
              <c:f>Calculations!$D$32:$P$32</c:f>
              <c:numCache>
                <c:formatCode>General</c:formatCode>
                <c:ptCount val="13"/>
                <c:pt idx="0">
                  <c:v>3.5516000000000002E-3</c:v>
                </c:pt>
                <c:pt idx="1">
                  <c:v>-1.366E-3</c:v>
                </c:pt>
                <c:pt idx="2">
                  <c:v>-2.9369000000000001E-3</c:v>
                </c:pt>
                <c:pt idx="3">
                  <c:v>-1.17476E-2</c:v>
                </c:pt>
                <c:pt idx="4">
                  <c:v>-5.3274000000000004E-3</c:v>
                </c:pt>
                <c:pt idx="5">
                  <c:v>7.6154500000000014E-2</c:v>
                </c:pt>
                <c:pt idx="6">
                  <c:v>0.14247380000000001</c:v>
                </c:pt>
                <c:pt idx="7">
                  <c:v>9.1248800000000005E-2</c:v>
                </c:pt>
                <c:pt idx="8">
                  <c:v>-0.15517760000000003</c:v>
                </c:pt>
                <c:pt idx="9">
                  <c:v>-0.22894160000000002</c:v>
                </c:pt>
                <c:pt idx="10">
                  <c:v>-0.31636560000000002</c:v>
                </c:pt>
                <c:pt idx="11">
                  <c:v>-0.30577910000000003</c:v>
                </c:pt>
                <c:pt idx="12">
                  <c:v>-6.67291E-2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Calculations!$AB$21</c:f>
              <c:strCache>
                <c:ptCount val="1"/>
                <c:pt idx="0">
                  <c:v>Sky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Calculations!$AD$48:$AP$48</c:f>
              <c:numCache>
                <c:formatCode>General</c:formatCode>
                <c:ptCount val="13"/>
                <c:pt idx="0">
                  <c:v>0.90834673797838972</c:v>
                </c:pt>
                <c:pt idx="1">
                  <c:v>1.2111289839711865</c:v>
                </c:pt>
                <c:pt idx="2">
                  <c:v>1.513911229963983</c:v>
                </c:pt>
                <c:pt idx="3">
                  <c:v>1.8166934759567794</c:v>
                </c:pt>
                <c:pt idx="4">
                  <c:v>2.1194757219495761</c:v>
                </c:pt>
                <c:pt idx="5">
                  <c:v>2.4222579679423726</c:v>
                </c:pt>
                <c:pt idx="6">
                  <c:v>2.725040213935169</c:v>
                </c:pt>
                <c:pt idx="7">
                  <c:v>3.0278224599279655</c:v>
                </c:pt>
                <c:pt idx="8">
                  <c:v>3.330604705920762</c:v>
                </c:pt>
                <c:pt idx="9">
                  <c:v>3.6333869519135589</c:v>
                </c:pt>
                <c:pt idx="10">
                  <c:v>3.9361691979063558</c:v>
                </c:pt>
                <c:pt idx="11">
                  <c:v>4.2389514438991531</c:v>
                </c:pt>
                <c:pt idx="12">
                  <c:v>4.5417336898919496</c:v>
                </c:pt>
              </c:numCache>
            </c:numRef>
          </c:xVal>
          <c:yVal>
            <c:numRef>
              <c:f>Calculations!$AD$32:$AP$32</c:f>
              <c:numCache>
                <c:formatCode>General</c:formatCode>
                <c:ptCount val="13"/>
                <c:pt idx="0">
                  <c:v>3.2396E-3</c:v>
                </c:pt>
                <c:pt idx="1">
                  <c:v>-1.2459999999999999E-3</c:v>
                </c:pt>
                <c:pt idx="2">
                  <c:v>-2.6789000000000001E-3</c:v>
                </c:pt>
                <c:pt idx="3">
                  <c:v>-1.07156E-2</c:v>
                </c:pt>
                <c:pt idx="4">
                  <c:v>-4.8593999999999998E-3</c:v>
                </c:pt>
                <c:pt idx="5">
                  <c:v>6.9464499999999998E-2</c:v>
                </c:pt>
                <c:pt idx="6">
                  <c:v>0.12995780000000001</c:v>
                </c:pt>
                <c:pt idx="7">
                  <c:v>8.3232799999999996E-2</c:v>
                </c:pt>
                <c:pt idx="8">
                  <c:v>-0.14154560000000002</c:v>
                </c:pt>
                <c:pt idx="9">
                  <c:v>-0.2088296</c:v>
                </c:pt>
                <c:pt idx="10">
                  <c:v>-0.28857359999999999</c:v>
                </c:pt>
                <c:pt idx="11">
                  <c:v>-0.27891709999999997</c:v>
                </c:pt>
                <c:pt idx="12">
                  <c:v>-6.0867099999999993E-2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Calculations!$BB$21</c:f>
              <c:strCache>
                <c:ptCount val="1"/>
                <c:pt idx="0">
                  <c:v>Target 0.52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Calculations!$BD$48:$BP$48</c:f>
              <c:numCache>
                <c:formatCode>General</c:formatCode>
                <c:ptCount val="13"/>
                <c:pt idx="0">
                  <c:v>0.90889747372299257</c:v>
                </c:pt>
                <c:pt idx="1">
                  <c:v>1.2118632982973236</c:v>
                </c:pt>
                <c:pt idx="2">
                  <c:v>1.5148291228716544</c:v>
                </c:pt>
                <c:pt idx="3">
                  <c:v>1.8177949474459851</c:v>
                </c:pt>
                <c:pt idx="4">
                  <c:v>2.1207607720203163</c:v>
                </c:pt>
                <c:pt idx="5">
                  <c:v>2.4237265965946468</c:v>
                </c:pt>
                <c:pt idx="6">
                  <c:v>2.7266924211689778</c:v>
                </c:pt>
                <c:pt idx="7">
                  <c:v>3.0296582457433083</c:v>
                </c:pt>
                <c:pt idx="8">
                  <c:v>3.3326240703176393</c:v>
                </c:pt>
                <c:pt idx="9">
                  <c:v>3.6355898948919703</c:v>
                </c:pt>
                <c:pt idx="10">
                  <c:v>3.9385557194663012</c:v>
                </c:pt>
                <c:pt idx="11">
                  <c:v>4.2415215440406326</c:v>
                </c:pt>
                <c:pt idx="12">
                  <c:v>4.5444873686149645</c:v>
                </c:pt>
              </c:numCache>
            </c:numRef>
          </c:xVal>
          <c:yVal>
            <c:numRef>
              <c:f>Calculations!$BD$32:$BP$32</c:f>
              <c:numCache>
                <c:formatCode>General</c:formatCode>
                <c:ptCount val="13"/>
                <c:pt idx="0">
                  <c:v>3.7595999999999997E-3</c:v>
                </c:pt>
                <c:pt idx="1">
                  <c:v>-1.446E-3</c:v>
                </c:pt>
                <c:pt idx="2">
                  <c:v>-3.1088999999999999E-3</c:v>
                </c:pt>
                <c:pt idx="3">
                  <c:v>-1.24356E-2</c:v>
                </c:pt>
                <c:pt idx="4">
                  <c:v>-5.6393999999999993E-3</c:v>
                </c:pt>
                <c:pt idx="5">
                  <c:v>8.0614500000000006E-2</c:v>
                </c:pt>
                <c:pt idx="6">
                  <c:v>0.1508178</c:v>
                </c:pt>
                <c:pt idx="7">
                  <c:v>9.6592799999999993E-2</c:v>
                </c:pt>
                <c:pt idx="8">
                  <c:v>-0.16426560000000001</c:v>
                </c:pt>
                <c:pt idx="9">
                  <c:v>-0.2423496</c:v>
                </c:pt>
                <c:pt idx="10">
                  <c:v>-0.33489360000000001</c:v>
                </c:pt>
                <c:pt idx="11">
                  <c:v>-0.32368710000000001</c:v>
                </c:pt>
                <c:pt idx="12">
                  <c:v>-7.0637099999999994E-2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5464"/>
        <c:axId val="263660168"/>
      </c:scatterChart>
      <c:valAx>
        <c:axId val="26365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Boat Speed, Knots</a:t>
                </a:r>
              </a:p>
            </c:rich>
          </c:tx>
          <c:layout>
            <c:manualLayout>
              <c:xMode val="edge"/>
              <c:yMode val="edge"/>
              <c:x val="0.387484689413823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0168"/>
        <c:crosses val="autoZero"/>
        <c:crossBetween val="midCat"/>
      </c:valAx>
      <c:valAx>
        <c:axId val="2636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</xdr:row>
      <xdr:rowOff>109536</xdr:rowOff>
    </xdr:from>
    <xdr:to>
      <xdr:col>9</xdr:col>
      <xdr:colOff>542924</xdr:colOff>
      <xdr:row>17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18</xdr:row>
      <xdr:rowOff>80961</xdr:rowOff>
    </xdr:from>
    <xdr:to>
      <xdr:col>9</xdr:col>
      <xdr:colOff>542924</xdr:colOff>
      <xdr:row>36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71437</xdr:rowOff>
    </xdr:from>
    <xdr:to>
      <xdr:col>11</xdr:col>
      <xdr:colOff>295275</xdr:colOff>
      <xdr:row>17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16</xdr:row>
      <xdr:rowOff>185737</xdr:rowOff>
    </xdr:from>
    <xdr:to>
      <xdr:col>11</xdr:col>
      <xdr:colOff>200025</xdr:colOff>
      <xdr:row>31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31</xdr:row>
      <xdr:rowOff>109537</xdr:rowOff>
    </xdr:from>
    <xdr:to>
      <xdr:col>11</xdr:col>
      <xdr:colOff>200025</xdr:colOff>
      <xdr:row>45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523875</xdr:colOff>
      <xdr:row>46</xdr:row>
      <xdr:rowOff>4762</xdr:rowOff>
    </xdr:from>
    <xdr:to>
      <xdr:col>11</xdr:col>
      <xdr:colOff>219075</xdr:colOff>
      <xdr:row>60</xdr:row>
      <xdr:rowOff>80962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3</xdr:row>
      <xdr:rowOff>4762</xdr:rowOff>
    </xdr:from>
    <xdr:to>
      <xdr:col>18</xdr:col>
      <xdr:colOff>552450</xdr:colOff>
      <xdr:row>17</xdr:row>
      <xdr:rowOff>80962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17</xdr:row>
      <xdr:rowOff>61912</xdr:rowOff>
    </xdr:from>
    <xdr:to>
      <xdr:col>18</xdr:col>
      <xdr:colOff>561975</xdr:colOff>
      <xdr:row>31</xdr:row>
      <xdr:rowOff>138112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228600</xdr:colOff>
      <xdr:row>32</xdr:row>
      <xdr:rowOff>14287</xdr:rowOff>
    </xdr:from>
    <xdr:to>
      <xdr:col>18</xdr:col>
      <xdr:colOff>533400</xdr:colOff>
      <xdr:row>46</xdr:row>
      <xdr:rowOff>90487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9525</xdr:rowOff>
    </xdr:from>
    <xdr:to>
      <xdr:col>22</xdr:col>
      <xdr:colOff>228599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552450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9</xdr:col>
      <xdr:colOff>190500</xdr:colOff>
      <xdr:row>58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uning%20Method%20for%20Webs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 calc with actual"/>
      <sheetName val="Sheet2"/>
      <sheetName val="Sheet4"/>
      <sheetName val="Sheet3"/>
      <sheetName val="Sheet1"/>
      <sheetName val="Sheet5"/>
    </sheetNames>
    <sheetDataSet>
      <sheetData sheetId="0" refreshError="1"/>
      <sheetData sheetId="1"/>
      <sheetData sheetId="2"/>
      <sheetData sheetId="3"/>
      <sheetData sheetId="4"/>
      <sheetData sheetId="5">
        <row r="12">
          <cell r="D12">
            <v>9.5238967222120491E-4</v>
          </cell>
          <cell r="E12">
            <v>1.2381065738875663E-3</v>
          </cell>
          <cell r="F12">
            <v>1.4095367148873833E-2</v>
          </cell>
          <cell r="G12">
            <v>2.0762094854422264E-2</v>
          </cell>
          <cell r="H12">
            <v>8.7048416041018123E-2</v>
          </cell>
          <cell r="I12">
            <v>0.3407650247207471</v>
          </cell>
          <cell r="J12">
            <v>0.59933882072880418</v>
          </cell>
          <cell r="K12">
            <v>0.79353107489470798</v>
          </cell>
          <cell r="L12">
            <v>0.85619831532686319</v>
          </cell>
          <cell r="M12">
            <v>0.71753037905145567</v>
          </cell>
          <cell r="N12">
            <v>0.30762186412744918</v>
          </cell>
          <cell r="O12">
            <v>0.47362338399560522</v>
          </cell>
          <cell r="P12">
            <v>-1.4742039736312031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RowHeight="15" x14ac:dyDescent="0.25"/>
  <sheetData>
    <row r="1" spans="1:1" ht="18.75" x14ac:dyDescent="0.3">
      <c r="A1" s="14" t="s">
        <v>134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93"/>
  <sheetViews>
    <sheetView topLeftCell="A13" zoomScale="75" zoomScaleNormal="75" workbookViewId="0">
      <selection activeCell="BP58" sqref="BP58"/>
    </sheetView>
  </sheetViews>
  <sheetFormatPr defaultRowHeight="15" x14ac:dyDescent="0.25"/>
  <cols>
    <col min="1" max="1" width="44.5703125" bestFit="1" customWidth="1"/>
    <col min="2" max="2" width="21.28515625" customWidth="1"/>
    <col min="4" max="4" width="13.140625" bestFit="1" customWidth="1"/>
    <col min="5" max="5" width="12.5703125" customWidth="1"/>
    <col min="7" max="7" width="12.7109375" bestFit="1" customWidth="1"/>
    <col min="30" max="30" width="12" customWidth="1"/>
    <col min="31" max="31" width="13.140625" customWidth="1"/>
    <col min="33" max="33" width="12" customWidth="1"/>
    <col min="34" max="34" width="12.42578125" customWidth="1"/>
  </cols>
  <sheetData>
    <row r="1" spans="1:77" ht="24.75" x14ac:dyDescent="0.5">
      <c r="A1" s="62" t="s">
        <v>122</v>
      </c>
    </row>
    <row r="3" spans="1:77" ht="23.25" x14ac:dyDescent="0.35">
      <c r="A3" s="30"/>
      <c r="B3" s="63"/>
      <c r="C3" s="64"/>
      <c r="D3" s="65"/>
      <c r="E3" s="30"/>
      <c r="F3" s="30"/>
      <c r="G3" s="66"/>
      <c r="H3" s="30"/>
      <c r="I3" s="30"/>
      <c r="AB3" s="31"/>
      <c r="AC3" s="1"/>
      <c r="AD3" s="2"/>
      <c r="AG3" s="3"/>
      <c r="BB3" s="31"/>
      <c r="BC3" s="1"/>
      <c r="BD3" s="2"/>
      <c r="BG3" s="3"/>
    </row>
    <row r="4" spans="1:77" ht="20.25" thickBot="1" x14ac:dyDescent="0.45">
      <c r="A4" s="41"/>
      <c r="B4" s="67"/>
      <c r="C4" s="68"/>
      <c r="D4" s="38"/>
      <c r="E4" s="38"/>
      <c r="F4" s="69"/>
      <c r="G4" s="69"/>
      <c r="H4" s="46"/>
      <c r="I4" s="38"/>
      <c r="J4" s="4"/>
      <c r="K4" s="19"/>
      <c r="L4" s="13" t="s">
        <v>50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AA4" s="41"/>
      <c r="AB4" s="42"/>
      <c r="AC4" s="43"/>
      <c r="AD4" s="22"/>
      <c r="AE4" s="38"/>
      <c r="AF4" s="44"/>
      <c r="AG4" s="45"/>
      <c r="AH4" s="46"/>
      <c r="AI4" s="38"/>
      <c r="AJ4" s="16"/>
      <c r="AK4" s="4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13"/>
      <c r="BA4" s="41"/>
      <c r="BB4" s="42"/>
      <c r="BC4" s="43"/>
      <c r="BD4" s="22"/>
      <c r="BE4" s="38"/>
      <c r="BF4" s="44"/>
      <c r="BG4" s="45"/>
      <c r="BH4" s="46"/>
      <c r="BI4" s="38"/>
      <c r="BJ4" s="16"/>
      <c r="BK4" s="47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</row>
    <row r="5" spans="1:77" x14ac:dyDescent="0.25">
      <c r="A5" s="48"/>
      <c r="B5" s="68"/>
      <c r="C5" s="68"/>
      <c r="D5" s="38"/>
      <c r="E5" s="38"/>
      <c r="F5" s="38"/>
      <c r="G5" s="38"/>
      <c r="H5" s="38"/>
      <c r="I5" s="38"/>
      <c r="J5" s="4"/>
      <c r="K5" s="4"/>
      <c r="L5" s="13" t="s">
        <v>1</v>
      </c>
      <c r="M5" s="13">
        <v>0.15</v>
      </c>
      <c r="N5" s="13">
        <v>0.2</v>
      </c>
      <c r="O5" s="13">
        <f>N5+0.05</f>
        <v>0.25</v>
      </c>
      <c r="P5" s="13">
        <f t="shared" ref="P5:X5" si="0">O5+0.05</f>
        <v>0.3</v>
      </c>
      <c r="Q5" s="13">
        <f t="shared" si="0"/>
        <v>0.35</v>
      </c>
      <c r="R5" s="13">
        <f t="shared" si="0"/>
        <v>0.39999999999999997</v>
      </c>
      <c r="S5" s="13">
        <f t="shared" si="0"/>
        <v>0.44999999999999996</v>
      </c>
      <c r="T5" s="13">
        <f t="shared" si="0"/>
        <v>0.49999999999999994</v>
      </c>
      <c r="U5" s="13">
        <f t="shared" si="0"/>
        <v>0.54999999999999993</v>
      </c>
      <c r="V5" s="13">
        <f t="shared" si="0"/>
        <v>0.6</v>
      </c>
      <c r="W5" s="13">
        <f t="shared" si="0"/>
        <v>0.65</v>
      </c>
      <c r="X5" s="13">
        <f t="shared" si="0"/>
        <v>0.70000000000000007</v>
      </c>
      <c r="Y5" s="13">
        <f>X5+0.05</f>
        <v>0.75000000000000011</v>
      </c>
      <c r="AA5" s="48"/>
      <c r="AB5" s="49"/>
      <c r="AC5" s="50"/>
      <c r="AD5" s="51"/>
      <c r="AE5" s="52"/>
      <c r="AF5" s="38"/>
      <c r="AG5" s="38"/>
      <c r="AH5" s="38"/>
      <c r="AI5" s="38"/>
      <c r="AJ5" s="16"/>
      <c r="AK5" s="16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13"/>
      <c r="BA5" s="48"/>
      <c r="BB5" s="49"/>
      <c r="BC5" s="50"/>
      <c r="BD5" s="51"/>
      <c r="BE5" s="52"/>
      <c r="BF5" s="38"/>
      <c r="BG5" s="38"/>
      <c r="BH5" s="38"/>
      <c r="BI5" s="38"/>
      <c r="BJ5" s="16"/>
      <c r="BK5" s="16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</row>
    <row r="6" spans="1:77" x14ac:dyDescent="0.25">
      <c r="A6" s="53"/>
      <c r="B6" s="38"/>
      <c r="C6" s="38"/>
      <c r="D6" s="38"/>
      <c r="E6" s="38"/>
      <c r="F6" s="38"/>
      <c r="G6" s="38"/>
      <c r="H6" s="38"/>
      <c r="I6" s="38"/>
      <c r="J6" s="4"/>
      <c r="K6" s="4"/>
      <c r="L6" s="13" t="s">
        <v>2</v>
      </c>
      <c r="M6" s="13">
        <v>-5.0000000000000001E-4</v>
      </c>
      <c r="N6" s="13">
        <v>-2.9999999999999997E-4</v>
      </c>
      <c r="O6" s="13">
        <v>-2.0000000000000001E-4</v>
      </c>
      <c r="P6" s="13">
        <v>-8.9999999999999998E-4</v>
      </c>
      <c r="Q6" s="13">
        <v>-2.5999999999999999E-3</v>
      </c>
      <c r="R6" s="13">
        <v>-6.4000000000000003E-3</v>
      </c>
      <c r="S6" s="13">
        <v>-2.18E-2</v>
      </c>
      <c r="T6" s="13">
        <v>-3.8800000000000001E-2</v>
      </c>
      <c r="U6" s="13">
        <v>-3.4700000000000002E-2</v>
      </c>
      <c r="V6" s="13">
        <v>-3.61E-2</v>
      </c>
      <c r="W6" s="13">
        <v>8.0000000000000004E-4</v>
      </c>
      <c r="X6" s="13">
        <v>1.0800000000000001E-2</v>
      </c>
      <c r="Y6" s="13">
        <v>0.1023</v>
      </c>
      <c r="AA6" s="53"/>
      <c r="AB6" s="52"/>
      <c r="AC6" s="54"/>
      <c r="AD6" s="55"/>
      <c r="AE6" s="52"/>
      <c r="AF6" s="38"/>
      <c r="AG6" s="38"/>
      <c r="AH6" s="38"/>
      <c r="AI6" s="38"/>
      <c r="AJ6" s="16"/>
      <c r="AK6" s="16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13"/>
      <c r="BA6" s="53"/>
      <c r="BB6" s="52"/>
      <c r="BC6" s="54"/>
      <c r="BD6" s="55"/>
      <c r="BE6" s="52"/>
      <c r="BF6" s="38"/>
      <c r="BG6" s="38"/>
      <c r="BH6" s="38"/>
      <c r="BI6" s="38"/>
      <c r="BJ6" s="16"/>
      <c r="BK6" s="16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</row>
    <row r="7" spans="1:77" x14ac:dyDescent="0.25">
      <c r="A7" s="53"/>
      <c r="B7" s="38"/>
      <c r="C7" s="38"/>
      <c r="D7" s="38"/>
      <c r="E7" s="38"/>
      <c r="F7" s="38"/>
      <c r="G7" s="38"/>
      <c r="H7" s="38"/>
      <c r="I7" s="38"/>
      <c r="J7" s="4"/>
      <c r="K7" s="4"/>
      <c r="L7" s="13" t="s">
        <v>3</v>
      </c>
      <c r="M7" s="13">
        <v>2.3E-3</v>
      </c>
      <c r="N7" s="13">
        <v>5.8999999999999999E-3</v>
      </c>
      <c r="O7" s="13">
        <v>-1.5599999999999999E-2</v>
      </c>
      <c r="P7" s="13">
        <v>1.6000000000000001E-3</v>
      </c>
      <c r="Q7" s="13">
        <v>-5.67E-2</v>
      </c>
      <c r="R7" s="13">
        <v>-0.40339999999999998</v>
      </c>
      <c r="S7" s="13">
        <v>-0.52610000000000001</v>
      </c>
      <c r="T7" s="13">
        <v>-0.59860000000000002</v>
      </c>
      <c r="U7" s="13">
        <v>-0.47639999999999999</v>
      </c>
      <c r="V7" s="13">
        <v>3.7000000000000002E-3</v>
      </c>
      <c r="W7" s="13">
        <v>0.37280000000000002</v>
      </c>
      <c r="X7" s="13">
        <v>-0.12379999999999999</v>
      </c>
      <c r="Y7" s="13">
        <v>0.77259999999999995</v>
      </c>
      <c r="AA7" s="53"/>
      <c r="AB7" s="52"/>
      <c r="AC7" s="54"/>
      <c r="AD7" s="55"/>
      <c r="AE7" s="52"/>
      <c r="AF7" s="38"/>
      <c r="AG7" s="38"/>
      <c r="AH7" s="38"/>
      <c r="AI7" s="38"/>
      <c r="AJ7" s="16"/>
      <c r="AK7" s="16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13"/>
      <c r="BA7" s="53"/>
      <c r="BB7" s="52"/>
      <c r="BC7" s="54"/>
      <c r="BD7" s="55"/>
      <c r="BE7" s="52"/>
      <c r="BF7" s="38"/>
      <c r="BG7" s="38"/>
      <c r="BH7" s="38"/>
      <c r="BI7" s="38"/>
      <c r="BJ7" s="16"/>
      <c r="BK7" s="16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</row>
    <row r="8" spans="1:77" x14ac:dyDescent="0.25">
      <c r="A8" s="53"/>
      <c r="B8" s="38"/>
      <c r="C8" s="38"/>
      <c r="D8" s="38"/>
      <c r="E8" s="38"/>
      <c r="F8" s="38"/>
      <c r="G8" s="38"/>
      <c r="H8" s="38"/>
      <c r="I8" s="38"/>
      <c r="J8" s="15"/>
      <c r="K8" s="4"/>
      <c r="L8" s="13" t="s">
        <v>4</v>
      </c>
      <c r="M8" s="13">
        <v>-8.6E-3</v>
      </c>
      <c r="N8" s="13">
        <v>-6.4000000000000003E-3</v>
      </c>
      <c r="O8" s="13">
        <v>3.0999999999999999E-3</v>
      </c>
      <c r="P8" s="13">
        <v>3.3700000000000001E-2</v>
      </c>
      <c r="Q8" s="13">
        <v>4.4600000000000001E-2</v>
      </c>
      <c r="R8" s="13">
        <v>-0.125</v>
      </c>
      <c r="S8" s="13">
        <v>-0.29449999999999998</v>
      </c>
      <c r="T8" s="13">
        <v>-0.30380000000000001</v>
      </c>
      <c r="U8" s="13">
        <v>-0.2361</v>
      </c>
      <c r="V8" s="13">
        <v>-0.29599999999999999</v>
      </c>
      <c r="W8" s="13">
        <v>-0.36670000000000003</v>
      </c>
      <c r="X8" s="13">
        <v>-0.2026</v>
      </c>
      <c r="Y8" s="13">
        <v>0.504</v>
      </c>
      <c r="AA8" s="53"/>
      <c r="AB8" s="52"/>
      <c r="AC8" s="54"/>
      <c r="AD8" s="55"/>
      <c r="AE8" s="52"/>
      <c r="AF8" s="38"/>
      <c r="AG8" s="38"/>
      <c r="AH8" s="38"/>
      <c r="AI8" s="38"/>
      <c r="AJ8" s="16"/>
      <c r="AK8" s="16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13"/>
      <c r="BA8" s="53"/>
      <c r="BB8" s="52"/>
      <c r="BC8" s="54"/>
      <c r="BD8" s="55"/>
      <c r="BE8" s="52"/>
      <c r="BF8" s="38"/>
      <c r="BG8" s="38"/>
      <c r="BH8" s="38"/>
      <c r="BI8" s="38"/>
      <c r="BJ8" s="16"/>
      <c r="BK8" s="16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</row>
    <row r="9" spans="1:77" x14ac:dyDescent="0.25">
      <c r="A9" s="53"/>
      <c r="B9" s="38"/>
      <c r="C9" s="38"/>
      <c r="D9" s="38"/>
      <c r="E9" s="38"/>
      <c r="F9" s="38"/>
      <c r="G9" s="38"/>
      <c r="H9" s="38"/>
      <c r="I9" s="38"/>
      <c r="J9" s="15"/>
      <c r="K9" s="4"/>
      <c r="L9" s="13" t="s">
        <v>5</v>
      </c>
      <c r="M9" s="13">
        <v>-1.5E-3</v>
      </c>
      <c r="N9" s="13">
        <v>7.0000000000000001E-3</v>
      </c>
      <c r="O9" s="13">
        <v>-2.0999999999999999E-3</v>
      </c>
      <c r="P9" s="13">
        <v>-2.8500000000000001E-2</v>
      </c>
      <c r="Q9" s="13">
        <v>-0.1091</v>
      </c>
      <c r="R9" s="13">
        <v>2.7300000000000001E-2</v>
      </c>
      <c r="S9" s="13">
        <v>0.2485</v>
      </c>
      <c r="T9" s="13">
        <v>0.60329999999999995</v>
      </c>
      <c r="U9" s="13">
        <v>0.87260000000000004</v>
      </c>
      <c r="V9" s="13">
        <v>0.96609999999999996</v>
      </c>
      <c r="W9" s="13">
        <v>1.3956999999999999</v>
      </c>
      <c r="X9" s="13">
        <v>1.1282000000000001</v>
      </c>
      <c r="Y9" s="13">
        <v>1.7867</v>
      </c>
      <c r="AA9" s="53"/>
      <c r="AB9" s="52"/>
      <c r="AC9" s="54"/>
      <c r="AD9" s="55"/>
      <c r="AE9" s="52"/>
      <c r="AF9" s="38"/>
      <c r="AG9" s="38"/>
      <c r="AH9" s="38"/>
      <c r="AI9" s="38"/>
      <c r="AJ9" s="16"/>
      <c r="AK9" s="16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13"/>
      <c r="BA9" s="53"/>
      <c r="BB9" s="52"/>
      <c r="BC9" s="54"/>
      <c r="BD9" s="55"/>
      <c r="BE9" s="52"/>
      <c r="BF9" s="38"/>
      <c r="BG9" s="38"/>
      <c r="BH9" s="38"/>
      <c r="BI9" s="38"/>
      <c r="BJ9" s="16"/>
      <c r="BK9" s="16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</row>
    <row r="10" spans="1:77" x14ac:dyDescent="0.25">
      <c r="A10" s="53"/>
      <c r="B10" s="38"/>
      <c r="C10" s="38"/>
      <c r="D10" s="38"/>
      <c r="E10" s="38"/>
      <c r="F10" s="38"/>
      <c r="G10" s="38"/>
      <c r="H10" s="38"/>
      <c r="I10" s="38"/>
      <c r="J10" s="15"/>
      <c r="K10" s="4"/>
      <c r="L10" s="13" t="s">
        <v>6</v>
      </c>
      <c r="M10" s="13">
        <v>6.1000000000000004E-3</v>
      </c>
      <c r="N10" s="13">
        <v>1.4E-3</v>
      </c>
      <c r="O10" s="13">
        <v>-7.0000000000000001E-3</v>
      </c>
      <c r="P10" s="13">
        <v>-3.6700000000000003E-2</v>
      </c>
      <c r="Q10" s="13">
        <v>-7.0699999999999999E-2</v>
      </c>
      <c r="R10" s="13">
        <v>-0.1341</v>
      </c>
      <c r="S10" s="13">
        <v>-0.24279999999999999</v>
      </c>
      <c r="T10" s="13">
        <v>-4.2999999999999997E-2</v>
      </c>
      <c r="U10" s="13">
        <v>0.4219</v>
      </c>
      <c r="V10" s="13">
        <v>0.61229999999999996</v>
      </c>
      <c r="W10" s="13">
        <v>1.0343</v>
      </c>
      <c r="X10" s="13">
        <v>1.1836</v>
      </c>
      <c r="Y10" s="13">
        <v>2.1934</v>
      </c>
      <c r="AA10" s="53"/>
      <c r="AB10" s="52"/>
      <c r="AC10" s="54"/>
      <c r="AD10" s="55"/>
      <c r="AE10" s="52"/>
      <c r="AF10" s="38"/>
      <c r="AG10" s="38"/>
      <c r="AH10" s="38"/>
      <c r="AI10" s="38"/>
      <c r="AJ10" s="16"/>
      <c r="AK10" s="16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13"/>
      <c r="BA10" s="53"/>
      <c r="BB10" s="52"/>
      <c r="BC10" s="54"/>
      <c r="BD10" s="55"/>
      <c r="BE10" s="52"/>
      <c r="BF10" s="38"/>
      <c r="BG10" s="38"/>
      <c r="BH10" s="38"/>
      <c r="BI10" s="38"/>
      <c r="BJ10" s="16"/>
      <c r="BK10" s="16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</row>
    <row r="11" spans="1:77" x14ac:dyDescent="0.25">
      <c r="A11" s="53"/>
      <c r="B11" s="38"/>
      <c r="C11" s="38"/>
      <c r="D11" s="38"/>
      <c r="E11" s="38"/>
      <c r="F11" s="38"/>
      <c r="G11" s="38"/>
      <c r="H11" s="38"/>
      <c r="I11" s="38"/>
      <c r="J11" s="15"/>
      <c r="K11" s="4"/>
      <c r="L11" s="13" t="s">
        <v>7</v>
      </c>
      <c r="M11" s="13">
        <v>1E-3</v>
      </c>
      <c r="N11" s="13">
        <v>1.2999999999999999E-3</v>
      </c>
      <c r="O11" s="13">
        <v>1.4800000000000001E-2</v>
      </c>
      <c r="P11" s="13">
        <v>2.18E-2</v>
      </c>
      <c r="Q11" s="13">
        <v>9.1399999999999995E-2</v>
      </c>
      <c r="R11" s="13">
        <v>0.35780000000000001</v>
      </c>
      <c r="S11" s="13">
        <v>0.62929999999999997</v>
      </c>
      <c r="T11" s="13">
        <v>0.83320000000000005</v>
      </c>
      <c r="U11" s="13">
        <v>0.89900000000000002</v>
      </c>
      <c r="V11" s="13">
        <v>0.75339999999999996</v>
      </c>
      <c r="W11" s="13">
        <v>0.32300000000000001</v>
      </c>
      <c r="X11" s="13">
        <v>0.49730000000000002</v>
      </c>
      <c r="Y11" s="13">
        <v>-1.5479000000000001</v>
      </c>
      <c r="AA11" s="53"/>
      <c r="AB11" s="52"/>
      <c r="AC11" s="54"/>
      <c r="AD11" s="55"/>
      <c r="AE11" s="52"/>
      <c r="AF11" s="38"/>
      <c r="AG11" s="38"/>
      <c r="AH11" s="38"/>
      <c r="AI11" s="38"/>
      <c r="AJ11" s="16"/>
      <c r="AK11" s="16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13"/>
      <c r="BA11" s="53"/>
      <c r="BB11" s="52"/>
      <c r="BC11" s="54"/>
      <c r="BD11" s="55"/>
      <c r="BE11" s="52"/>
      <c r="BF11" s="38"/>
      <c r="BG11" s="38"/>
      <c r="BH11" s="38"/>
      <c r="BI11" s="38"/>
      <c r="BJ11" s="16"/>
      <c r="BK11" s="16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</row>
    <row r="12" spans="1:77" x14ac:dyDescent="0.25">
      <c r="A12" s="53"/>
      <c r="B12" s="38"/>
      <c r="C12" s="38"/>
      <c r="D12" s="38"/>
      <c r="E12" s="38"/>
      <c r="F12" s="38"/>
      <c r="G12" s="38"/>
      <c r="H12" s="38"/>
      <c r="I12" s="38"/>
      <c r="J12" s="15"/>
      <c r="K12" s="19"/>
      <c r="L12" s="13" t="s">
        <v>8</v>
      </c>
      <c r="M12" s="13">
        <v>1E-4</v>
      </c>
      <c r="N12" s="13">
        <v>5.0000000000000001E-4</v>
      </c>
      <c r="O12" s="13">
        <v>1E-3</v>
      </c>
      <c r="P12" s="13">
        <v>1.5E-3</v>
      </c>
      <c r="Q12" s="13">
        <v>2.0999999999999999E-3</v>
      </c>
      <c r="R12" s="13">
        <v>4.4999999999999997E-3</v>
      </c>
      <c r="S12" s="13">
        <v>8.0999999999999996E-3</v>
      </c>
      <c r="T12" s="13">
        <v>1.06E-2</v>
      </c>
      <c r="U12" s="13">
        <v>9.5999999999999992E-3</v>
      </c>
      <c r="V12" s="13">
        <v>0.01</v>
      </c>
      <c r="W12" s="13">
        <v>7.1999999999999998E-3</v>
      </c>
      <c r="X12" s="13">
        <v>3.8E-3</v>
      </c>
      <c r="Y12" s="13">
        <v>-1.15E-2</v>
      </c>
      <c r="AA12" s="53"/>
      <c r="AB12" s="52"/>
      <c r="AC12" s="54"/>
      <c r="AD12" s="55"/>
      <c r="AE12" s="52"/>
      <c r="AF12" s="38"/>
      <c r="AG12" s="38"/>
      <c r="AH12" s="38"/>
      <c r="AI12" s="38"/>
      <c r="AJ12" s="16"/>
      <c r="AK12" s="4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13"/>
      <c r="BA12" s="53"/>
      <c r="BB12" s="52"/>
      <c r="BC12" s="54"/>
      <c r="BD12" s="55"/>
      <c r="BE12" s="52"/>
      <c r="BF12" s="38"/>
      <c r="BG12" s="38"/>
      <c r="BH12" s="38"/>
      <c r="BI12" s="38"/>
      <c r="BJ12" s="16"/>
      <c r="BK12" s="47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</row>
    <row r="13" spans="1:77" x14ac:dyDescent="0.25">
      <c r="A13" s="53"/>
      <c r="B13" s="38"/>
      <c r="C13" s="38"/>
      <c r="D13" s="38"/>
      <c r="E13" s="38"/>
      <c r="F13" s="38"/>
      <c r="G13" s="38"/>
      <c r="H13" s="38"/>
      <c r="I13" s="38"/>
      <c r="J13" s="15"/>
      <c r="L13" s="13" t="s">
        <v>10</v>
      </c>
      <c r="M13" s="13">
        <v>5.1999999999999998E-3</v>
      </c>
      <c r="N13" s="13">
        <v>-2E-3</v>
      </c>
      <c r="O13" s="13">
        <v>-4.3E-3</v>
      </c>
      <c r="P13" s="13">
        <v>-1.72E-2</v>
      </c>
      <c r="Q13" s="13">
        <v>-7.7999999999999996E-3</v>
      </c>
      <c r="R13" s="13">
        <v>0.1115</v>
      </c>
      <c r="S13" s="13">
        <v>0.20860000000000001</v>
      </c>
      <c r="T13" s="13">
        <v>0.1336</v>
      </c>
      <c r="U13" s="13">
        <v>-0.22720000000000001</v>
      </c>
      <c r="V13" s="13">
        <v>-0.3352</v>
      </c>
      <c r="W13" s="13">
        <v>-0.4632</v>
      </c>
      <c r="X13" s="13">
        <v>-0.44769999999999999</v>
      </c>
      <c r="Y13" s="13">
        <v>-9.7699999999999995E-2</v>
      </c>
      <c r="AA13" s="53"/>
      <c r="AB13" s="52"/>
      <c r="AC13" s="54"/>
      <c r="AD13" s="55"/>
      <c r="AE13" s="52"/>
      <c r="AF13" s="38"/>
      <c r="AG13" s="38"/>
      <c r="AH13" s="38"/>
      <c r="AI13" s="38"/>
      <c r="AJ13" s="22"/>
      <c r="AK13" s="22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13"/>
      <c r="BA13" s="53"/>
      <c r="BB13" s="52"/>
      <c r="BC13" s="54"/>
      <c r="BD13" s="55"/>
      <c r="BE13" s="52"/>
      <c r="BF13" s="38"/>
      <c r="BG13" s="38"/>
      <c r="BH13" s="38"/>
      <c r="BI13" s="38"/>
      <c r="BJ13" s="22"/>
      <c r="BK13" s="22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</row>
    <row r="14" spans="1:77" x14ac:dyDescent="0.25">
      <c r="A14" s="53"/>
      <c r="B14" s="38"/>
      <c r="C14" s="38"/>
      <c r="D14" s="38"/>
      <c r="E14" s="38"/>
      <c r="F14" s="38"/>
      <c r="G14" s="38"/>
      <c r="H14" s="38"/>
      <c r="I14" s="38"/>
      <c r="J14" s="15"/>
      <c r="T14" s="20"/>
      <c r="U14" s="20"/>
      <c r="V14" s="20"/>
      <c r="W14" s="20"/>
      <c r="X14" s="20"/>
      <c r="AA14" s="53"/>
      <c r="AB14" s="52"/>
      <c r="AC14" s="54"/>
      <c r="AD14" s="55"/>
      <c r="AE14" s="52"/>
      <c r="AF14" s="38"/>
      <c r="AG14" s="38"/>
      <c r="AH14" s="38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56"/>
      <c r="AU14" s="56"/>
      <c r="AV14" s="56"/>
      <c r="AW14" s="56"/>
      <c r="AX14" s="56"/>
      <c r="BA14" s="53"/>
      <c r="BB14" s="52"/>
      <c r="BC14" s="54"/>
      <c r="BD14" s="55"/>
      <c r="BE14" s="52"/>
      <c r="BF14" s="38"/>
      <c r="BG14" s="38"/>
      <c r="BH14" s="38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56"/>
      <c r="BU14" s="56"/>
      <c r="BV14" s="56"/>
      <c r="BW14" s="56"/>
      <c r="BX14" s="56"/>
      <c r="BY14" s="22"/>
    </row>
    <row r="15" spans="1:77" x14ac:dyDescent="0.25">
      <c r="A15" s="53"/>
      <c r="B15" s="38"/>
      <c r="C15" s="38"/>
      <c r="D15" s="38"/>
      <c r="E15" s="38"/>
      <c r="F15" s="38"/>
      <c r="G15" s="38"/>
      <c r="H15" s="38"/>
      <c r="I15" s="38"/>
      <c r="J15" s="15"/>
      <c r="S15" s="4"/>
      <c r="T15" s="4"/>
      <c r="U15" s="4"/>
      <c r="V15" s="4"/>
      <c r="W15" s="4"/>
      <c r="X15" s="4"/>
      <c r="AA15" s="53"/>
      <c r="AB15" s="52"/>
      <c r="AC15" s="54"/>
      <c r="AD15" s="55"/>
      <c r="AE15" s="57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16"/>
      <c r="AT15" s="16"/>
      <c r="AU15" s="16"/>
      <c r="AV15" s="16"/>
      <c r="AW15" s="16"/>
      <c r="AX15" s="16"/>
      <c r="BA15" s="53"/>
      <c r="BB15" s="52"/>
      <c r="BC15" s="54"/>
      <c r="BD15" s="55"/>
      <c r="BE15" s="57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16"/>
      <c r="BT15" s="16"/>
      <c r="BU15" s="16"/>
      <c r="BV15" s="16"/>
      <c r="BW15" s="16"/>
      <c r="BX15" s="16"/>
      <c r="BY15" s="22"/>
    </row>
    <row r="16" spans="1:77" x14ac:dyDescent="0.25">
      <c r="A16" s="53"/>
      <c r="B16" s="38"/>
      <c r="C16" s="38"/>
      <c r="D16" s="38"/>
      <c r="E16" s="38"/>
      <c r="F16" s="38"/>
      <c r="G16" s="38"/>
      <c r="H16" s="38"/>
      <c r="I16" s="38"/>
      <c r="J16" s="15"/>
      <c r="S16" s="16"/>
      <c r="T16" s="4"/>
      <c r="U16" s="16"/>
      <c r="V16" s="16"/>
      <c r="W16" s="4"/>
      <c r="X16" s="4"/>
      <c r="AA16" s="53"/>
      <c r="AB16" s="52"/>
      <c r="AC16" s="54"/>
      <c r="AD16" s="55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16"/>
      <c r="AT16" s="16"/>
      <c r="AU16" s="16"/>
      <c r="AV16" s="16"/>
      <c r="AW16" s="16"/>
      <c r="AX16" s="16"/>
      <c r="BA16" s="53"/>
      <c r="BB16" s="52"/>
      <c r="BC16" s="54"/>
      <c r="BD16" s="55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16"/>
      <c r="BT16" s="16"/>
      <c r="BU16" s="16"/>
      <c r="BV16" s="16"/>
      <c r="BW16" s="16"/>
      <c r="BX16" s="16"/>
      <c r="BY16" s="22"/>
    </row>
    <row r="17" spans="1:77" ht="15.75" thickBot="1" x14ac:dyDescent="0.3">
      <c r="A17" s="38"/>
      <c r="B17" s="46"/>
      <c r="C17" s="38"/>
      <c r="D17" s="38"/>
      <c r="E17" s="38"/>
      <c r="F17" s="38"/>
      <c r="G17" s="39"/>
      <c r="H17" s="38"/>
      <c r="I17" s="70"/>
      <c r="S17" s="16"/>
      <c r="T17" s="4"/>
      <c r="U17" s="16"/>
      <c r="V17" s="16"/>
      <c r="W17" s="4"/>
      <c r="X17" s="4"/>
      <c r="AA17" s="38"/>
      <c r="AB17" s="58"/>
      <c r="AC17" s="54"/>
      <c r="AD17" s="59"/>
      <c r="AE17" s="22"/>
      <c r="AF17" s="22"/>
      <c r="AG17" s="60"/>
      <c r="AH17" s="22"/>
      <c r="AI17" s="61"/>
      <c r="AJ17" s="22"/>
      <c r="AK17" s="22"/>
      <c r="AL17" s="22"/>
      <c r="AM17" s="22"/>
      <c r="AN17" s="22"/>
      <c r="AO17" s="22"/>
      <c r="AP17" s="22"/>
      <c r="AQ17" s="22"/>
      <c r="AR17" s="22"/>
      <c r="AS17" s="16"/>
      <c r="AT17" s="16"/>
      <c r="AU17" s="16"/>
      <c r="AV17" s="16"/>
      <c r="AW17" s="16"/>
      <c r="AX17" s="16"/>
      <c r="BA17" s="38"/>
      <c r="BB17" s="58"/>
      <c r="BC17" s="54"/>
      <c r="BD17" s="59"/>
      <c r="BE17" s="22"/>
      <c r="BF17" s="22"/>
      <c r="BG17" s="60"/>
      <c r="BH17" s="22"/>
      <c r="BI17" s="61"/>
      <c r="BJ17" s="22"/>
      <c r="BK17" s="22"/>
      <c r="BL17" s="22"/>
      <c r="BM17" s="22"/>
      <c r="BN17" s="22"/>
      <c r="BO17" s="22"/>
      <c r="BP17" s="22"/>
      <c r="BQ17" s="22"/>
      <c r="BR17" s="22"/>
      <c r="BS17" s="16"/>
      <c r="BT17" s="16"/>
      <c r="BU17" s="16"/>
      <c r="BV17" s="16"/>
      <c r="BW17" s="16"/>
      <c r="BX17" s="16"/>
      <c r="BY17" s="22"/>
    </row>
    <row r="18" spans="1:77" x14ac:dyDescent="0.25">
      <c r="A18" s="38"/>
      <c r="B18" s="38"/>
      <c r="C18" s="38"/>
      <c r="D18" s="38"/>
      <c r="E18" s="38"/>
      <c r="F18" s="38"/>
      <c r="G18" s="38"/>
      <c r="H18" s="38"/>
      <c r="I18" s="38"/>
      <c r="S18" s="16"/>
      <c r="T18" s="4"/>
      <c r="U18" s="4"/>
      <c r="V18" s="15"/>
      <c r="W18" s="4"/>
      <c r="X18" s="4"/>
      <c r="AA18" s="22"/>
      <c r="AB18" s="22"/>
      <c r="AC18" s="22"/>
      <c r="AD18" s="22"/>
      <c r="AE18" s="22"/>
      <c r="AF18" s="22"/>
      <c r="AG18" s="16"/>
      <c r="AH18" s="16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16"/>
      <c r="AT18" s="16"/>
      <c r="AU18" s="16"/>
      <c r="AV18" s="16"/>
      <c r="AW18" s="16"/>
      <c r="AX18" s="16"/>
      <c r="BG18" s="4"/>
      <c r="BH18" s="4"/>
      <c r="BS18" s="16"/>
      <c r="BT18" s="4"/>
      <c r="BU18" s="4"/>
      <c r="BV18" s="15"/>
      <c r="BW18" s="4"/>
      <c r="BX18" s="4"/>
    </row>
    <row r="19" spans="1:77" ht="23.25" x14ac:dyDescent="0.35">
      <c r="G19" s="28"/>
      <c r="S19" s="5"/>
      <c r="U19" s="21"/>
      <c r="AG19" s="28"/>
      <c r="AS19" s="5"/>
      <c r="AU19" s="21"/>
      <c r="BG19" s="28"/>
      <c r="BS19" s="5"/>
      <c r="BU19" s="21"/>
    </row>
    <row r="20" spans="1:77" x14ac:dyDescent="0.25">
      <c r="B20" t="str">
        <f>'Input Data'!D4</f>
        <v>Target 0.57</v>
      </c>
      <c r="E20" s="11" t="s">
        <v>56</v>
      </c>
      <c r="F20" s="17" t="s">
        <v>13</v>
      </c>
      <c r="G20" s="17" t="s">
        <v>14</v>
      </c>
      <c r="H20" s="17"/>
      <c r="I20" s="17"/>
      <c r="J20" s="17"/>
      <c r="K20" s="17"/>
      <c r="L20" s="17"/>
      <c r="M20" s="17"/>
      <c r="S20" s="6"/>
      <c r="T20" s="6"/>
      <c r="U20" s="6"/>
      <c r="X20" s="15"/>
      <c r="AE20" s="11" t="s">
        <v>56</v>
      </c>
      <c r="AF20" s="17" t="s">
        <v>13</v>
      </c>
      <c r="AG20" s="17" t="s">
        <v>14</v>
      </c>
      <c r="AH20" s="17"/>
      <c r="AI20" s="17"/>
      <c r="AJ20" s="17"/>
      <c r="AK20" s="17"/>
      <c r="AL20" s="17"/>
      <c r="AM20" s="17"/>
      <c r="AS20" s="6"/>
      <c r="AT20" s="6"/>
      <c r="AU20" s="6"/>
      <c r="AX20" s="15"/>
      <c r="BE20" s="11" t="s">
        <v>56</v>
      </c>
      <c r="BF20" s="17" t="s">
        <v>13</v>
      </c>
      <c r="BG20" s="17" t="s">
        <v>14</v>
      </c>
      <c r="BH20" s="17"/>
      <c r="BI20" s="17"/>
      <c r="BJ20" s="17"/>
      <c r="BK20" s="17"/>
      <c r="BL20" s="17"/>
      <c r="BM20" s="17"/>
      <c r="BS20" s="6"/>
      <c r="BT20" s="6"/>
      <c r="BU20" s="6"/>
      <c r="BX20" s="15"/>
    </row>
    <row r="21" spans="1:77" x14ac:dyDescent="0.25">
      <c r="E21" s="11"/>
      <c r="F21" s="11"/>
      <c r="G21" s="17" t="s">
        <v>16</v>
      </c>
      <c r="H21" s="17"/>
      <c r="I21" s="17"/>
      <c r="J21" s="17"/>
      <c r="K21" s="17"/>
      <c r="L21" s="17"/>
      <c r="M21" s="17"/>
      <c r="O21" t="s">
        <v>130</v>
      </c>
      <c r="R21" s="4"/>
      <c r="S21" s="6"/>
      <c r="T21" s="6"/>
      <c r="U21" s="6"/>
      <c r="V21" s="4"/>
      <c r="W21" s="4"/>
      <c r="X21" s="15"/>
      <c r="AB21" t="str">
        <f>'Input Data'!E4</f>
        <v>Sky</v>
      </c>
      <c r="AE21" s="11"/>
      <c r="AF21" s="11"/>
      <c r="AG21" s="17" t="s">
        <v>16</v>
      </c>
      <c r="AH21" s="17"/>
      <c r="AI21" s="17"/>
      <c r="AJ21" s="17"/>
      <c r="AK21" s="17"/>
      <c r="AL21" s="17"/>
      <c r="AM21" s="17"/>
      <c r="AR21" s="4"/>
      <c r="AS21" s="6"/>
      <c r="AT21" s="6"/>
      <c r="AU21" s="6"/>
      <c r="AV21" s="4"/>
      <c r="AW21" s="4"/>
      <c r="AX21" s="15"/>
      <c r="BB21" t="str">
        <f>'Input Data'!F4</f>
        <v>Target 0.52</v>
      </c>
      <c r="BE21" s="11"/>
      <c r="BF21" s="11"/>
      <c r="BG21" s="17" t="s">
        <v>16</v>
      </c>
      <c r="BH21" s="17"/>
      <c r="BI21" s="17"/>
      <c r="BJ21" s="17"/>
      <c r="BK21" s="17"/>
      <c r="BL21" s="17"/>
      <c r="BM21" s="17"/>
      <c r="BR21" s="4"/>
      <c r="BS21" s="6"/>
      <c r="BT21" s="6"/>
      <c r="BU21" s="6"/>
      <c r="BV21" s="4"/>
      <c r="BW21" s="4"/>
      <c r="BX21" s="15"/>
    </row>
    <row r="22" spans="1:77" ht="18.75" x14ac:dyDescent="0.3">
      <c r="B22" s="14" t="s">
        <v>26</v>
      </c>
      <c r="E22" s="23"/>
      <c r="F22" s="24" t="s">
        <v>18</v>
      </c>
      <c r="G22" s="24"/>
      <c r="H22" s="24" t="s">
        <v>19</v>
      </c>
      <c r="I22" s="24"/>
      <c r="J22" s="23"/>
      <c r="K22" s="23"/>
      <c r="L22" s="23"/>
      <c r="M22" s="23"/>
      <c r="Q22" s="4"/>
      <c r="R22" s="7"/>
      <c r="S22" s="7"/>
      <c r="T22" s="7"/>
      <c r="U22" s="7"/>
      <c r="V22" s="7"/>
      <c r="W22" s="7"/>
      <c r="X22" s="15"/>
      <c r="Y22" s="8"/>
      <c r="AB22" s="14"/>
      <c r="AE22" s="23"/>
      <c r="AF22" s="24" t="s">
        <v>18</v>
      </c>
      <c r="AG22" s="24"/>
      <c r="AH22" s="24" t="s">
        <v>19</v>
      </c>
      <c r="AI22" s="24"/>
      <c r="AJ22" s="23"/>
      <c r="AK22" s="23"/>
      <c r="AL22" s="23"/>
      <c r="AM22" s="23"/>
      <c r="AQ22" s="4"/>
      <c r="AR22" s="7"/>
      <c r="AS22" s="7"/>
      <c r="AT22" s="7"/>
      <c r="AU22" s="7"/>
      <c r="AV22" s="7"/>
      <c r="AW22" s="7"/>
      <c r="AX22" s="15"/>
      <c r="AY22" s="8"/>
      <c r="BB22" s="14" t="s">
        <v>26</v>
      </c>
      <c r="BE22" s="23"/>
      <c r="BF22" s="24" t="s">
        <v>18</v>
      </c>
      <c r="BG22" s="24"/>
      <c r="BH22" s="24" t="s">
        <v>19</v>
      </c>
      <c r="BI22" s="24"/>
      <c r="BJ22" s="23"/>
      <c r="BK22" s="23"/>
      <c r="BL22" s="23"/>
      <c r="BM22" s="23"/>
      <c r="BQ22" s="4"/>
      <c r="BR22" s="7"/>
      <c r="BS22" s="7"/>
      <c r="BT22" s="7"/>
      <c r="BU22" s="7"/>
      <c r="BV22" s="7"/>
      <c r="BW22" s="7"/>
      <c r="BX22" s="15"/>
      <c r="BY22" s="8"/>
    </row>
    <row r="23" spans="1:77" x14ac:dyDescent="0.25">
      <c r="B23" s="25" t="s">
        <v>27</v>
      </c>
      <c r="C23" s="25"/>
      <c r="D23" s="25">
        <f t="shared" ref="D23:P23" si="1">M5</f>
        <v>0.15</v>
      </c>
      <c r="E23" s="25">
        <f t="shared" si="1"/>
        <v>0.2</v>
      </c>
      <c r="F23" s="25">
        <f t="shared" si="1"/>
        <v>0.25</v>
      </c>
      <c r="G23" s="25">
        <f t="shared" si="1"/>
        <v>0.3</v>
      </c>
      <c r="H23" s="25">
        <f t="shared" si="1"/>
        <v>0.35</v>
      </c>
      <c r="I23" s="25">
        <f t="shared" si="1"/>
        <v>0.39999999999999997</v>
      </c>
      <c r="J23" s="25">
        <f t="shared" si="1"/>
        <v>0.44999999999999996</v>
      </c>
      <c r="K23" s="25">
        <f t="shared" si="1"/>
        <v>0.49999999999999994</v>
      </c>
      <c r="L23" s="25">
        <f t="shared" si="1"/>
        <v>0.54999999999999993</v>
      </c>
      <c r="M23" s="25">
        <f t="shared" si="1"/>
        <v>0.6</v>
      </c>
      <c r="N23" s="25">
        <f t="shared" si="1"/>
        <v>0.65</v>
      </c>
      <c r="O23" s="25">
        <f t="shared" si="1"/>
        <v>0.70000000000000007</v>
      </c>
      <c r="P23" s="25">
        <f t="shared" si="1"/>
        <v>0.75000000000000011</v>
      </c>
      <c r="Q23" s="153" t="s">
        <v>59</v>
      </c>
      <c r="R23" s="7"/>
      <c r="S23" s="7"/>
      <c r="T23" s="7"/>
      <c r="U23" s="7"/>
      <c r="V23" s="8"/>
      <c r="W23" s="8"/>
      <c r="X23" s="8"/>
      <c r="Y23" s="8"/>
      <c r="AB23" s="25" t="s">
        <v>27</v>
      </c>
      <c r="AC23" s="25"/>
      <c r="AD23" s="74">
        <v>0.15</v>
      </c>
      <c r="AE23" s="74">
        <v>0.2</v>
      </c>
      <c r="AF23" s="74">
        <v>0.25</v>
      </c>
      <c r="AG23" s="74">
        <v>0.3</v>
      </c>
      <c r="AH23" s="74">
        <v>0.35</v>
      </c>
      <c r="AI23" s="74">
        <v>0.39999999999999997</v>
      </c>
      <c r="AJ23" s="74">
        <v>0.44999999999999996</v>
      </c>
      <c r="AK23" s="74">
        <v>0.49999999999999994</v>
      </c>
      <c r="AL23" s="74">
        <v>0.54999999999999993</v>
      </c>
      <c r="AM23" s="74">
        <v>0.6</v>
      </c>
      <c r="AN23" s="74">
        <v>0.65</v>
      </c>
      <c r="AO23" s="74">
        <v>0.70000000000000007</v>
      </c>
      <c r="AP23" s="74">
        <v>0.75000000000000011</v>
      </c>
      <c r="AQ23" s="160" t="s">
        <v>59</v>
      </c>
      <c r="AR23" s="7"/>
      <c r="AS23" s="7"/>
      <c r="AT23" s="7"/>
      <c r="AU23" s="7"/>
      <c r="AV23" s="8"/>
      <c r="AW23" s="8"/>
      <c r="AX23" s="8"/>
      <c r="AY23" s="8"/>
      <c r="BB23" s="25" t="s">
        <v>27</v>
      </c>
      <c r="BC23" s="25"/>
      <c r="BD23" s="25">
        <v>0.15</v>
      </c>
      <c r="BE23" s="25">
        <v>0.2</v>
      </c>
      <c r="BF23" s="25">
        <v>0.25</v>
      </c>
      <c r="BG23" s="25">
        <v>0.3</v>
      </c>
      <c r="BH23" s="25">
        <v>0.35</v>
      </c>
      <c r="BI23" s="25">
        <v>0.39999999999999997</v>
      </c>
      <c r="BJ23" s="25">
        <v>0.44999999999999996</v>
      </c>
      <c r="BK23" s="25">
        <v>0.49999999999999994</v>
      </c>
      <c r="BL23" s="25">
        <v>0.54999999999999993</v>
      </c>
      <c r="BM23" s="25">
        <v>0.6</v>
      </c>
      <c r="BN23" s="25">
        <v>0.65</v>
      </c>
      <c r="BO23" s="25">
        <v>0.70000000000000007</v>
      </c>
      <c r="BP23" s="25">
        <v>0.75000000000000011</v>
      </c>
      <c r="BQ23" s="153" t="s">
        <v>59</v>
      </c>
      <c r="BR23" s="7"/>
      <c r="BS23" s="7"/>
      <c r="BT23" s="7"/>
      <c r="BU23" s="7"/>
      <c r="BV23" s="8"/>
      <c r="BW23" s="8"/>
      <c r="BX23" s="8"/>
      <c r="BY23" s="8"/>
    </row>
    <row r="24" spans="1:77" x14ac:dyDescent="0.25">
      <c r="B24" s="25" t="s">
        <v>58</v>
      </c>
      <c r="C24" s="25"/>
      <c r="D24" s="25">
        <f>D23*SQRT('Input Data'!$D14*'Input Data'!$D6)</f>
        <v>0.46428443329493607</v>
      </c>
      <c r="E24" s="25">
        <f>E23*SQRT('Input Data'!$D14*'Input Data'!$D6)</f>
        <v>0.61904591105991491</v>
      </c>
      <c r="F24" s="25">
        <f>F23*SQRT('Input Data'!$D14*'Input Data'!$D6)</f>
        <v>0.77380738882489353</v>
      </c>
      <c r="G24" s="25">
        <f>G23*SQRT('Input Data'!$D14*'Input Data'!$D6)</f>
        <v>0.92856886658987214</v>
      </c>
      <c r="H24" s="25">
        <f>H23*SQRT('Input Data'!$D14*'Input Data'!$D6)</f>
        <v>1.0833303443548508</v>
      </c>
      <c r="I24" s="25">
        <f>I23*SQRT('Input Data'!$D14*'Input Data'!$D6)</f>
        <v>1.2380918221198296</v>
      </c>
      <c r="J24" s="25">
        <f>J23*SQRT('Input Data'!$D14*'Input Data'!$D6)</f>
        <v>1.3928532998848082</v>
      </c>
      <c r="K24" s="25">
        <f>K23*SQRT('Input Data'!$D14*'Input Data'!$D6)</f>
        <v>1.5476147776497868</v>
      </c>
      <c r="L24" s="25">
        <f>L23*SQRT('Input Data'!$D14*'Input Data'!$D6)</f>
        <v>1.7023762554147654</v>
      </c>
      <c r="M24" s="25">
        <f>M23*SQRT('Input Data'!$D14*'Input Data'!$D6)</f>
        <v>1.8571377331797443</v>
      </c>
      <c r="N24" s="25">
        <f>N23*SQRT('Input Data'!$D14*'Input Data'!$D6)</f>
        <v>2.0118992109447231</v>
      </c>
      <c r="O24" s="25">
        <f>O23*SQRT('Input Data'!$D14*'Input Data'!$D6)</f>
        <v>2.166660688709702</v>
      </c>
      <c r="P24" s="25">
        <f>P23*SQRT('Input Data'!$D14*'Input Data'!$D6)</f>
        <v>2.3214221664746808</v>
      </c>
      <c r="Q24" s="153"/>
      <c r="R24" s="7"/>
      <c r="S24" s="7"/>
      <c r="T24" s="7"/>
      <c r="U24" s="7"/>
      <c r="V24" s="8"/>
      <c r="W24" s="7"/>
      <c r="X24" s="15"/>
      <c r="Y24" s="4"/>
      <c r="AB24" s="25" t="s">
        <v>58</v>
      </c>
      <c r="AC24" s="25"/>
      <c r="AD24" s="74">
        <f>AD23*SQRT('Input Data'!$E14*'Input Data'!$E6)</f>
        <v>0.46729352927255474</v>
      </c>
      <c r="AE24" s="74">
        <f>AE23*SQRT('Input Data'!$E14*'Input Data'!$E6)</f>
        <v>0.62305803903007306</v>
      </c>
      <c r="AF24" s="74">
        <f>AF23*SQRT('Input Data'!$E14*'Input Data'!$E6)</f>
        <v>0.77882254878759127</v>
      </c>
      <c r="AG24" s="74">
        <f>AG23*SQRT('Input Data'!$E14*'Input Data'!$E6)</f>
        <v>0.93458705854510948</v>
      </c>
      <c r="AH24" s="74">
        <f>AH23*SQRT('Input Data'!$E14*'Input Data'!$E6)</f>
        <v>1.0903515683026277</v>
      </c>
      <c r="AI24" s="74">
        <f>AI23*SQRT('Input Data'!$E14*'Input Data'!$E6)</f>
        <v>1.2461160780601459</v>
      </c>
      <c r="AJ24" s="74">
        <f>AJ23*SQRT('Input Data'!$E14*'Input Data'!$E6)</f>
        <v>1.4018805878176641</v>
      </c>
      <c r="AK24" s="74">
        <f>AK23*SQRT('Input Data'!$E14*'Input Data'!$E6)</f>
        <v>1.5576450975751823</v>
      </c>
      <c r="AL24" s="74">
        <f>AL23*SQRT('Input Data'!$E14*'Input Data'!$E6)</f>
        <v>1.7134096073327005</v>
      </c>
      <c r="AM24" s="74">
        <f>AM23*SQRT('Input Data'!$E14*'Input Data'!$E6)</f>
        <v>1.869174117090219</v>
      </c>
      <c r="AN24" s="74">
        <f>AN23*SQRT('Input Data'!$E14*'Input Data'!$E6)</f>
        <v>2.0249386268477374</v>
      </c>
      <c r="AO24" s="74">
        <f>AO23*SQRT('Input Data'!$E14*'Input Data'!$E6)</f>
        <v>2.1807031366052558</v>
      </c>
      <c r="AP24" s="74">
        <f>AP23*SQRT('Input Data'!$E14*'Input Data'!$E6)</f>
        <v>2.3364676463627743</v>
      </c>
      <c r="AQ24" s="160"/>
      <c r="AR24" s="7"/>
      <c r="AS24" s="7"/>
      <c r="AT24" s="7"/>
      <c r="AU24" s="7"/>
      <c r="AV24" s="8"/>
      <c r="AW24" s="7"/>
      <c r="AX24" s="15"/>
      <c r="AY24" s="4"/>
      <c r="BB24" s="25" t="s">
        <v>58</v>
      </c>
      <c r="BC24" s="25"/>
      <c r="BD24" s="25">
        <f>BD23*SQRT('Input Data'!$F14*'Input Data'!$F6)</f>
        <v>0.4675768519719512</v>
      </c>
      <c r="BE24" s="25">
        <f>BE23*SQRT('Input Data'!$F14*'Input Data'!$F6)</f>
        <v>0.62343580262926834</v>
      </c>
      <c r="BF24" s="25">
        <f>BF23*SQRT('Input Data'!$F14*'Input Data'!$F6)</f>
        <v>0.77929475328658537</v>
      </c>
      <c r="BG24" s="25">
        <f>BG23*SQRT('Input Data'!$F14*'Input Data'!$F6)</f>
        <v>0.9351537039439024</v>
      </c>
      <c r="BH24" s="25">
        <f>BH23*SQRT('Input Data'!$F14*'Input Data'!$F6)</f>
        <v>1.0910126546012195</v>
      </c>
      <c r="BI24" s="25">
        <f>BI23*SQRT('Input Data'!$F14*'Input Data'!$F6)</f>
        <v>1.2468716052585365</v>
      </c>
      <c r="BJ24" s="25">
        <f>BJ23*SQRT('Input Data'!$F14*'Input Data'!$F6)</f>
        <v>1.4027305559158536</v>
      </c>
      <c r="BK24" s="25">
        <f>BK23*SQRT('Input Data'!$F14*'Input Data'!$F6)</f>
        <v>1.5585895065731705</v>
      </c>
      <c r="BL24" s="25">
        <f>BL23*SQRT('Input Data'!$F14*'Input Data'!$F6)</f>
        <v>1.7144484572304877</v>
      </c>
      <c r="BM24" s="25">
        <f>BM23*SQRT('Input Data'!$F14*'Input Data'!$F6)</f>
        <v>1.8703074078878048</v>
      </c>
      <c r="BN24" s="25">
        <f>BN23*SQRT('Input Data'!$F14*'Input Data'!$F6)</f>
        <v>2.0261663585451219</v>
      </c>
      <c r="BO24" s="25">
        <f>BO23*SQRT('Input Data'!$F14*'Input Data'!$F6)</f>
        <v>2.1820253092024391</v>
      </c>
      <c r="BP24" s="25">
        <f>BP23*SQRT('Input Data'!$F14*'Input Data'!$F6)</f>
        <v>2.3378842598597567</v>
      </c>
      <c r="BQ24" s="153"/>
      <c r="BR24" s="7"/>
      <c r="BS24" s="7"/>
      <c r="BT24" s="7"/>
      <c r="BU24" s="7"/>
      <c r="BV24" s="8"/>
      <c r="BW24" s="7"/>
      <c r="BX24" s="15"/>
      <c r="BY24" s="4"/>
    </row>
    <row r="25" spans="1:77" x14ac:dyDescent="0.25">
      <c r="B25" s="25" t="s">
        <v>28</v>
      </c>
      <c r="C25" s="25"/>
      <c r="D25" s="25">
        <f>('Input Data'!$D9^0.3333)/'Input Data'!$D6</f>
        <v>0.15697811379031332</v>
      </c>
      <c r="E25" s="25">
        <f>('Input Data'!$D9^0.3333)/'Input Data'!$D6</f>
        <v>0.15697811379031332</v>
      </c>
      <c r="F25" s="25">
        <f>('Input Data'!$D9^0.3333)/'Input Data'!$D6</f>
        <v>0.15697811379031332</v>
      </c>
      <c r="G25" s="25">
        <f>('Input Data'!$D9^0.3333)/'Input Data'!$D6</f>
        <v>0.15697811379031332</v>
      </c>
      <c r="H25" s="25">
        <f>('Input Data'!$D9^0.3333)/'Input Data'!$D6</f>
        <v>0.15697811379031332</v>
      </c>
      <c r="I25" s="25">
        <f>('Input Data'!$D9^0.3333)/'Input Data'!$D6</f>
        <v>0.15697811379031332</v>
      </c>
      <c r="J25" s="25">
        <f>('Input Data'!$D9^0.3333)/'Input Data'!$D6</f>
        <v>0.15697811379031332</v>
      </c>
      <c r="K25" s="25">
        <f>('Input Data'!$D9^0.3333)/'Input Data'!$D6</f>
        <v>0.15697811379031332</v>
      </c>
      <c r="L25" s="25">
        <f>('Input Data'!$D9^0.3333)/'Input Data'!$D6</f>
        <v>0.15697811379031332</v>
      </c>
      <c r="M25" s="25">
        <f>('Input Data'!$D9^0.3333)/'Input Data'!$D6</f>
        <v>0.15697811379031332</v>
      </c>
      <c r="N25" s="25">
        <f>('Input Data'!$D9^0.3333)/'Input Data'!$D6</f>
        <v>0.15697811379031332</v>
      </c>
      <c r="O25" s="25">
        <f>('Input Data'!$D9^0.3333)/'Input Data'!$D6</f>
        <v>0.15697811379031332</v>
      </c>
      <c r="P25" s="25">
        <f>('Input Data'!$D9^0.3333)/'Input Data'!$D6</f>
        <v>0.15697811379031332</v>
      </c>
      <c r="Q25" s="153"/>
      <c r="R25" s="7"/>
      <c r="S25" s="7"/>
      <c r="T25" s="7"/>
      <c r="U25" s="7"/>
      <c r="V25" s="8"/>
      <c r="W25" s="7"/>
      <c r="X25" s="15"/>
      <c r="Y25" s="4"/>
      <c r="Z25">
        <f>AD25-BD25</f>
        <v>5.8874486779381119E-5</v>
      </c>
      <c r="AB25" s="25" t="s">
        <v>28</v>
      </c>
      <c r="AC25" s="25"/>
      <c r="AD25" s="74">
        <f>('Input Data'!$E9^0.3333)/'Input Data'!$E6</f>
        <v>0.15494858494249145</v>
      </c>
      <c r="AE25" s="74">
        <f>('Input Data'!$E9^0.3333)/'Input Data'!$E6</f>
        <v>0.15494858494249145</v>
      </c>
      <c r="AF25" s="74">
        <f>('Input Data'!$E9^0.3333)/'Input Data'!$E6</f>
        <v>0.15494858494249145</v>
      </c>
      <c r="AG25" s="74">
        <f>('Input Data'!$E9^0.3333)/'Input Data'!$E6</f>
        <v>0.15494858494249145</v>
      </c>
      <c r="AH25" s="74">
        <f>('Input Data'!$E9^0.3333)/'Input Data'!$E6</f>
        <v>0.15494858494249145</v>
      </c>
      <c r="AI25" s="74">
        <f>('Input Data'!$E9^0.3333)/'Input Data'!$E6</f>
        <v>0.15494858494249145</v>
      </c>
      <c r="AJ25" s="74">
        <f>('Input Data'!$E9^0.3333)/'Input Data'!$E6</f>
        <v>0.15494858494249145</v>
      </c>
      <c r="AK25" s="74">
        <f>('Input Data'!$E9^0.3333)/'Input Data'!$E6</f>
        <v>0.15494858494249145</v>
      </c>
      <c r="AL25" s="74">
        <f>('Input Data'!$E9^0.3333)/'Input Data'!$E6</f>
        <v>0.15494858494249145</v>
      </c>
      <c r="AM25" s="74">
        <f>('Input Data'!$E9^0.3333)/'Input Data'!$E6</f>
        <v>0.15494858494249145</v>
      </c>
      <c r="AN25" s="74">
        <f>('Input Data'!$E9^0.3333)/'Input Data'!$E6</f>
        <v>0.15494858494249145</v>
      </c>
      <c r="AO25" s="74">
        <f>('Input Data'!$E9^0.3333)/'Input Data'!$E6</f>
        <v>0.15494858494249145</v>
      </c>
      <c r="AP25" s="74">
        <f>('Input Data'!$E9^0.3333)/'Input Data'!$E6</f>
        <v>0.15494858494249145</v>
      </c>
      <c r="AQ25" s="160"/>
      <c r="AR25" s="7"/>
      <c r="AS25" s="7"/>
      <c r="AT25" s="7"/>
      <c r="AU25" s="7"/>
      <c r="AV25" s="8"/>
      <c r="AW25" s="7"/>
      <c r="AX25" s="15"/>
      <c r="AY25" s="4"/>
      <c r="BB25" s="25" t="s">
        <v>28</v>
      </c>
      <c r="BC25" s="25"/>
      <c r="BD25" s="25">
        <f>('Input Data'!$F9^0.3333)/'Input Data'!$F6</f>
        <v>0.15488971045571207</v>
      </c>
      <c r="BE25" s="25">
        <f>('Input Data'!$F9^0.3333)/'Input Data'!$F6</f>
        <v>0.15488971045571207</v>
      </c>
      <c r="BF25" s="25">
        <f>('Input Data'!$F9^0.3333)/'Input Data'!$F6</f>
        <v>0.15488971045571207</v>
      </c>
      <c r="BG25" s="25">
        <f>('Input Data'!$F9^0.3333)/'Input Data'!$F6</f>
        <v>0.15488971045571207</v>
      </c>
      <c r="BH25" s="25">
        <f>('Input Data'!$F9^0.3333)/'Input Data'!$F6</f>
        <v>0.15488971045571207</v>
      </c>
      <c r="BI25" s="25">
        <f>('Input Data'!$F9^0.3333)/'Input Data'!$F6</f>
        <v>0.15488971045571207</v>
      </c>
      <c r="BJ25" s="25">
        <f>('Input Data'!$F9^0.3333)/'Input Data'!$F6</f>
        <v>0.15488971045571207</v>
      </c>
      <c r="BK25" s="25">
        <f>('Input Data'!$F9^0.3333)/'Input Data'!$F6</f>
        <v>0.15488971045571207</v>
      </c>
      <c r="BL25" s="25">
        <f>('Input Data'!$F9^0.3333)/'Input Data'!$F6</f>
        <v>0.15488971045571207</v>
      </c>
      <c r="BM25" s="25">
        <f>('Input Data'!$F9^0.3333)/'Input Data'!$F6</f>
        <v>0.15488971045571207</v>
      </c>
      <c r="BN25" s="25">
        <f>('Input Data'!$F9^0.3333)/'Input Data'!$F6</f>
        <v>0.15488971045571207</v>
      </c>
      <c r="BO25" s="25">
        <f>('Input Data'!$F9^0.3333)/'Input Data'!$F6</f>
        <v>0.15488971045571207</v>
      </c>
      <c r="BP25" s="25">
        <f>('Input Data'!$F9^0.3333)/'Input Data'!$F6</f>
        <v>0.15488971045571207</v>
      </c>
      <c r="BQ25" s="153"/>
      <c r="BR25" s="7"/>
      <c r="BS25" s="7"/>
      <c r="BT25" s="7"/>
      <c r="BU25" s="7"/>
      <c r="BV25" s="8"/>
      <c r="BW25" s="7"/>
      <c r="BX25" s="15"/>
      <c r="BY25" s="4"/>
    </row>
    <row r="26" spans="1:77" x14ac:dyDescent="0.25">
      <c r="B26" s="25" t="s">
        <v>29</v>
      </c>
      <c r="C26" s="25" t="s">
        <v>72</v>
      </c>
      <c r="D26" s="25">
        <f>M7*'Input Data'!$D10/'Input Data'!$D6</f>
        <v>1.2248924841286094E-3</v>
      </c>
      <c r="E26" s="25">
        <f>N7*'Input Data'!$D10/'Input Data'!$D6</f>
        <v>3.1421155027646936E-3</v>
      </c>
      <c r="F26" s="25">
        <f>O7*'Input Data'!$D10/'Input Data'!$D6</f>
        <v>-8.3079664140897E-3</v>
      </c>
      <c r="G26" s="25">
        <f>P7*'Input Data'!$D10/'Input Data'!$D6</f>
        <v>8.520991193938153E-4</v>
      </c>
      <c r="H26" s="25">
        <f>Q7*'Input Data'!$D10/'Input Data'!$D6</f>
        <v>-3.0196262543518326E-2</v>
      </c>
      <c r="I26" s="25">
        <f>R7*'Input Data'!$D10/'Input Data'!$D6</f>
        <v>-0.21483549047716566</v>
      </c>
      <c r="J26" s="25">
        <f>S7*'Input Data'!$D10/'Input Data'!$D6</f>
        <v>-0.28018084169567886</v>
      </c>
      <c r="K26" s="25">
        <f>T7*'Input Data'!$D10/'Input Data'!$D6</f>
        <v>-0.31879158304321115</v>
      </c>
      <c r="L26" s="25">
        <f>U7*'Input Data'!$D10/'Input Data'!$D6</f>
        <v>-0.25371251279950846</v>
      </c>
      <c r="M26" s="25">
        <f>V7*'Input Data'!$D10/'Input Data'!$D6</f>
        <v>1.970479213598198E-3</v>
      </c>
      <c r="N26" s="25">
        <f>W7*'Input Data'!$D10/'Input Data'!$D6</f>
        <v>0.19853909481875895</v>
      </c>
      <c r="O26" s="25">
        <f>X7*'Input Data'!$D10/'Input Data'!$D6</f>
        <v>-6.5931169363096453E-2</v>
      </c>
      <c r="P26" s="25">
        <f>Y7*'Input Data'!$D10/'Input Data'!$D6</f>
        <v>0.41145736227728852</v>
      </c>
      <c r="Q26" s="153"/>
      <c r="R26" s="7"/>
      <c r="S26" s="7"/>
      <c r="T26" s="8"/>
      <c r="U26" s="7"/>
      <c r="V26" s="7"/>
      <c r="W26" s="7"/>
      <c r="X26" s="15"/>
      <c r="Y26" s="4"/>
      <c r="Z26" s="81">
        <f t="shared" ref="Z26:Z49" si="2">AD26-BD26</f>
        <v>3.3775064058724899E-5</v>
      </c>
      <c r="AB26" s="25" t="s">
        <v>29</v>
      </c>
      <c r="AC26" s="25"/>
      <c r="AD26" s="74">
        <f>M$7*'Input Data'!$E10/'Input Data'!$E6</f>
        <v>1.2368341251389873E-3</v>
      </c>
      <c r="AE26" s="74">
        <f>N$7*'Input Data'!$E10/'Input Data'!$E6</f>
        <v>3.1727484079652284E-3</v>
      </c>
      <c r="AF26" s="74">
        <f>O$7*'Input Data'!$E10/'Input Data'!$E6</f>
        <v>-8.3889618922470439E-3</v>
      </c>
      <c r="AG26" s="74">
        <f>P$7*'Input Data'!$E10/'Input Data'!$E6</f>
        <v>8.6040634792277379E-4</v>
      </c>
      <c r="AH26" s="74">
        <f>Q$7*'Input Data'!$E10/'Input Data'!$E6</f>
        <v>-3.0490649954513293E-2</v>
      </c>
      <c r="AI26" s="74">
        <f>R$7*'Input Data'!$E10/'Input Data'!$E6</f>
        <v>-0.2169299504700293</v>
      </c>
      <c r="AJ26" s="74">
        <f>S$7*'Input Data'!$E10/'Input Data'!$E6</f>
        <v>-0.28291236227635702</v>
      </c>
      <c r="AK26" s="74">
        <f>T$7*'Input Data'!$E10/'Input Data'!$E6</f>
        <v>-0.32189952491660778</v>
      </c>
      <c r="AL26" s="74">
        <f>U$7*'Input Data'!$E10/'Input Data'!$E6</f>
        <v>-0.25618599009400589</v>
      </c>
      <c r="AM26" s="74">
        <f>V$7*'Input Data'!$E10/'Input Data'!$E6</f>
        <v>1.9896896795714145E-3</v>
      </c>
      <c r="AN26" s="74">
        <f>W$7*'Input Data'!$E10/'Input Data'!$E6</f>
        <v>0.2004746790660063</v>
      </c>
      <c r="AO26" s="74">
        <f>X$7*'Input Data'!$E10/'Input Data'!$E6</f>
        <v>-6.657394117052462E-2</v>
      </c>
      <c r="AP26" s="74">
        <f>Y$7*'Input Data'!$E10/'Input Data'!$E6</f>
        <v>0.41546871525320933</v>
      </c>
      <c r="AQ26" s="160"/>
      <c r="AR26" s="7"/>
      <c r="AS26" s="7"/>
      <c r="AT26" s="8"/>
      <c r="AU26" s="7"/>
      <c r="AV26" s="7"/>
      <c r="AW26" s="7"/>
      <c r="AX26" s="15"/>
      <c r="AY26" s="4"/>
      <c r="BB26" s="25" t="s">
        <v>29</v>
      </c>
      <c r="BC26" s="25"/>
      <c r="BD26" s="25">
        <f>M$7*'Input Data'!$F10/'Input Data'!$F6</f>
        <v>1.2030590610802624E-3</v>
      </c>
      <c r="BE26" s="25">
        <f>N$7*'Input Data'!$F10/'Input Data'!$F6</f>
        <v>3.0861080262493687E-3</v>
      </c>
      <c r="BF26" s="25">
        <f>O$7*'Input Data'!$F10/'Input Data'!$F6</f>
        <v>-8.1598788490661288E-3</v>
      </c>
      <c r="BG26" s="25">
        <f>P$7*'Input Data'!$F10/'Input Data'!$F6</f>
        <v>8.3691065118626957E-4</v>
      </c>
      <c r="BH26" s="25">
        <f>Q$7*'Input Data'!$F10/'Input Data'!$F6</f>
        <v>-2.9658021201413427E-2</v>
      </c>
      <c r="BI26" s="25">
        <f>R$7*'Input Data'!$F10/'Input Data'!$F6</f>
        <v>-0.2110060979303382</v>
      </c>
      <c r="BJ26" s="25">
        <f>S$7*'Input Data'!$F10/'Input Data'!$F6</f>
        <v>-0.27518668349318526</v>
      </c>
      <c r="BK26" s="25">
        <f>T$7*'Input Data'!$F10/'Input Data'!$F6</f>
        <v>-0.3131091973750631</v>
      </c>
      <c r="BL26" s="25">
        <f>U$7*'Input Data'!$F10/'Input Data'!$F6</f>
        <v>-0.24919014639071174</v>
      </c>
      <c r="BM26" s="25">
        <f>V$7*'Input Data'!$F10/'Input Data'!$F6</f>
        <v>1.9353558808682483E-3</v>
      </c>
      <c r="BN26" s="25">
        <f>W$7*'Input Data'!$F10/'Input Data'!$F6</f>
        <v>0.19500018172640082</v>
      </c>
      <c r="BO26" s="25">
        <f>X$7*'Input Data'!$F10/'Input Data'!$F6</f>
        <v>-6.4755961635537596E-2</v>
      </c>
      <c r="BP26" s="25">
        <f>Y$7*'Input Data'!$F10/'Input Data'!$F6</f>
        <v>0.40412323069156991</v>
      </c>
      <c r="BQ26" s="153"/>
      <c r="BR26" s="7"/>
      <c r="BS26" s="7"/>
      <c r="BT26" s="8"/>
      <c r="BU26" s="7"/>
      <c r="BV26" s="7"/>
      <c r="BW26" s="7"/>
      <c r="BX26" s="15"/>
      <c r="BY26" s="4"/>
    </row>
    <row r="27" spans="1:77" x14ac:dyDescent="0.25">
      <c r="B27" s="25" t="s">
        <v>30</v>
      </c>
      <c r="C27" s="25" t="s">
        <v>73</v>
      </c>
      <c r="D27" s="25">
        <f>M$8*'Input Data'!$D$8</f>
        <v>-4.9019999999999992E-3</v>
      </c>
      <c r="E27" s="25">
        <f>N$8*'Input Data'!$D$8</f>
        <v>-3.6479999999999998E-3</v>
      </c>
      <c r="F27" s="25">
        <f>O$8*'Input Data'!$D$8</f>
        <v>1.7669999999999997E-3</v>
      </c>
      <c r="G27" s="25">
        <f>P$8*'Input Data'!$D$8</f>
        <v>1.9209E-2</v>
      </c>
      <c r="H27" s="25">
        <f>Q$8*'Input Data'!$D$8</f>
        <v>2.5421999999999997E-2</v>
      </c>
      <c r="I27" s="25">
        <f>R$8*'Input Data'!$D$8</f>
        <v>-7.1249999999999994E-2</v>
      </c>
      <c r="J27" s="25">
        <f>S$8*'Input Data'!$D$8</f>
        <v>-0.16786499999999999</v>
      </c>
      <c r="K27" s="25">
        <f>T$8*'Input Data'!$D$8</f>
        <v>-0.17316599999999999</v>
      </c>
      <c r="L27" s="25">
        <f>U$8*'Input Data'!$D$8</f>
        <v>-0.134577</v>
      </c>
      <c r="M27" s="25">
        <f>V$8*'Input Data'!$D$8</f>
        <v>-0.16871999999999998</v>
      </c>
      <c r="N27" s="25">
        <f>W$8*'Input Data'!$D$8</f>
        <v>-0.20901900000000001</v>
      </c>
      <c r="O27" s="25">
        <f>X$8*'Input Data'!$D$8</f>
        <v>-0.11548199999999999</v>
      </c>
      <c r="P27" s="25">
        <f>Y$8*'Input Data'!$D$8</f>
        <v>0.28727999999999998</v>
      </c>
      <c r="Q27" s="153"/>
      <c r="R27" s="8"/>
      <c r="T27" s="8"/>
      <c r="U27" s="7"/>
      <c r="X27" s="4"/>
      <c r="Y27" s="4"/>
      <c r="Z27" s="81">
        <f t="shared" si="2"/>
        <v>-1.1179999999999957E-4</v>
      </c>
      <c r="AB27" s="25" t="s">
        <v>30</v>
      </c>
      <c r="AC27" s="25"/>
      <c r="AD27" s="74">
        <f>M$8*'Input Data'!$E8</f>
        <v>-4.5236E-3</v>
      </c>
      <c r="AE27" s="74">
        <f>N$8*'Input Data'!$E$8</f>
        <v>-3.3664000000000003E-3</v>
      </c>
      <c r="AF27" s="74">
        <f>O$8*'Input Data'!$E$8</f>
        <v>1.6306000000000001E-3</v>
      </c>
      <c r="AG27" s="74">
        <f>P$8*'Input Data'!$E$8</f>
        <v>1.7726200000000001E-2</v>
      </c>
      <c r="AH27" s="74">
        <f>Q$8*'Input Data'!$E$8</f>
        <v>2.3459600000000001E-2</v>
      </c>
      <c r="AI27" s="74">
        <f>R$8*'Input Data'!$E$8</f>
        <v>-6.5750000000000003E-2</v>
      </c>
      <c r="AJ27" s="74">
        <f>S$8*'Input Data'!$E$8</f>
        <v>-0.15490699999999999</v>
      </c>
      <c r="AK27" s="74">
        <f>T$8*'Input Data'!$E$8</f>
        <v>-0.15979880000000002</v>
      </c>
      <c r="AL27" s="74">
        <f>U$8*'Input Data'!$E$8</f>
        <v>-0.12418860000000001</v>
      </c>
      <c r="AM27" s="74">
        <f>V$8*'Input Data'!$E$8</f>
        <v>-0.155696</v>
      </c>
      <c r="AN27" s="74">
        <f>W$8*'Input Data'!$E$8</f>
        <v>-0.19288420000000003</v>
      </c>
      <c r="AO27" s="74">
        <f>X$8*'Input Data'!$E$8</f>
        <v>-0.10656760000000001</v>
      </c>
      <c r="AP27" s="74">
        <f>Y$8*'Input Data'!$E$8</f>
        <v>0.26510400000000001</v>
      </c>
      <c r="AQ27" s="160"/>
      <c r="AR27" s="8"/>
      <c r="AT27" s="8"/>
      <c r="AU27" s="7"/>
      <c r="AX27" s="4"/>
      <c r="AY27" s="4"/>
      <c r="BB27" s="25" t="s">
        <v>30</v>
      </c>
      <c r="BC27" s="25"/>
      <c r="BD27" s="25">
        <f>M$8*'Input Data'!$F$8</f>
        <v>-4.4118000000000004E-3</v>
      </c>
      <c r="BE27" s="25">
        <f>N$8*'Input Data'!$F$8</f>
        <v>-3.2832000000000004E-3</v>
      </c>
      <c r="BF27" s="25">
        <f>O$8*'Input Data'!$F$8</f>
        <v>1.5903E-3</v>
      </c>
      <c r="BG27" s="25">
        <f>P$8*'Input Data'!$F$8</f>
        <v>1.7288100000000001E-2</v>
      </c>
      <c r="BH27" s="25">
        <f>Q$8*'Input Data'!$F$8</f>
        <v>2.2879800000000002E-2</v>
      </c>
      <c r="BI27" s="25">
        <f>R$8*'Input Data'!$F$8</f>
        <v>-6.4125000000000001E-2</v>
      </c>
      <c r="BJ27" s="25">
        <f>S$8*'Input Data'!$F$8</f>
        <v>-0.1510785</v>
      </c>
      <c r="BK27" s="25">
        <f>T$8*'Input Data'!$F$8</f>
        <v>-0.1558494</v>
      </c>
      <c r="BL27" s="25">
        <f>U$8*'Input Data'!$F$8</f>
        <v>-0.1211193</v>
      </c>
      <c r="BM27" s="25">
        <f>V$8*'Input Data'!$F$8</f>
        <v>-0.15184799999999998</v>
      </c>
      <c r="BN27" s="25">
        <f>W$8*'Input Data'!$F$8</f>
        <v>-0.18811710000000001</v>
      </c>
      <c r="BO27" s="25">
        <f>X$8*'Input Data'!$F$8</f>
        <v>-0.10393380000000001</v>
      </c>
      <c r="BP27" s="25">
        <f>Y$8*'Input Data'!$F$8</f>
        <v>0.258552</v>
      </c>
      <c r="BQ27" s="153"/>
      <c r="BR27" s="8"/>
      <c r="BT27" s="8"/>
      <c r="BU27" s="7"/>
      <c r="BX27" s="4"/>
      <c r="BY27" s="4"/>
    </row>
    <row r="28" spans="1:77" x14ac:dyDescent="0.25">
      <c r="B28" s="25" t="s">
        <v>31</v>
      </c>
      <c r="C28" s="25" t="s">
        <v>74</v>
      </c>
      <c r="D28" s="40">
        <f>M$9*('Input Data'!$D9^0.6667)/'Input Data'!$D12</f>
        <v>-3.1498055150919717E-4</v>
      </c>
      <c r="E28" s="40">
        <f>N$9*('Input Data'!$D9^0.6667)/'Input Data'!$D12</f>
        <v>1.4699092403762536E-3</v>
      </c>
      <c r="F28" s="40">
        <f>O$9*('Input Data'!$D9^0.6667)/'Input Data'!$D12</f>
        <v>-4.40972772112876E-4</v>
      </c>
      <c r="G28" s="40">
        <f>P$9*('Input Data'!$D9^0.6667)/'Input Data'!$D12</f>
        <v>-5.984630478674746E-3</v>
      </c>
      <c r="H28" s="40">
        <f>Q$9*('Input Data'!$D9^0.6667)/'Input Data'!$D12</f>
        <v>-2.2909585446435607E-2</v>
      </c>
      <c r="I28" s="40">
        <f>R$9*('Input Data'!$D9^0.6667)/'Input Data'!$D12</f>
        <v>5.7326460374673887E-3</v>
      </c>
      <c r="J28" s="40">
        <f>S$9*('Input Data'!$D9^0.6667)/'Input Data'!$D12</f>
        <v>5.2181778033356996E-2</v>
      </c>
      <c r="K28" s="40">
        <f>T$9*('Input Data'!$D9^0.6667)/'Input Data'!$D12</f>
        <v>0.12668517781699909</v>
      </c>
      <c r="L28" s="40">
        <f>U$9*('Input Data'!$D9^0.6667)/'Input Data'!$D12</f>
        <v>0.18323468616461697</v>
      </c>
      <c r="M28" s="40">
        <f>V$9*('Input Data'!$D9^0.6667)/'Input Data'!$D12</f>
        <v>0.20286847387535689</v>
      </c>
      <c r="N28" s="40">
        <f>W$9*('Input Data'!$D9^0.6667)/'Input Data'!$D12</f>
        <v>0.29307890382759094</v>
      </c>
      <c r="O28" s="40">
        <f>X$9*('Input Data'!$D9^0.6667)/'Input Data'!$D12</f>
        <v>0.2369073721417842</v>
      </c>
      <c r="P28" s="40">
        <f>Y$9*('Input Data'!$D9^0.6667)/'Input Data'!$D12</f>
        <v>0.37518383425432167</v>
      </c>
      <c r="Q28" s="153"/>
      <c r="R28" s="7"/>
      <c r="S28" s="7"/>
      <c r="T28" s="7"/>
      <c r="U28" s="7"/>
      <c r="V28" s="8"/>
      <c r="W28" s="7"/>
      <c r="X28" s="15"/>
      <c r="Y28" s="4"/>
      <c r="Z28" s="81">
        <f t="shared" si="2"/>
        <v>2.5374893138519351E-5</v>
      </c>
      <c r="AB28" s="25" t="s">
        <v>31</v>
      </c>
      <c r="AC28" s="25"/>
      <c r="AD28" s="75">
        <f>M$9*('Input Data'!$E9^0.6667)/'Input Data'!$E12</f>
        <v>-2.827450109308987E-4</v>
      </c>
      <c r="AE28" s="75">
        <f>N$9*('Input Data'!$E9^0.6667)/'Input Data'!$E12</f>
        <v>1.3194767176775274E-3</v>
      </c>
      <c r="AF28" s="75">
        <f>O$9*('Input Data'!$E9^0.6667)/'Input Data'!$E12</f>
        <v>-3.9584301530325817E-4</v>
      </c>
      <c r="AG28" s="75">
        <f>P$9*('Input Data'!$E9^0.6667)/'Input Data'!$E12</f>
        <v>-5.3721552076870759E-3</v>
      </c>
      <c r="AH28" s="75">
        <f>Q$9*('Input Data'!$E9^0.6667)/'Input Data'!$E12</f>
        <v>-2.056498712837403E-2</v>
      </c>
      <c r="AI28" s="75">
        <f>R$9*('Input Data'!$E9^0.6667)/'Input Data'!$E12</f>
        <v>5.1459591989423568E-3</v>
      </c>
      <c r="AJ28" s="75">
        <f>S$9*('Input Data'!$E9^0.6667)/'Input Data'!$E12</f>
        <v>4.684142347755222E-2</v>
      </c>
      <c r="AK28" s="75">
        <f>T$9*('Input Data'!$E9^0.6667)/'Input Data'!$E12</f>
        <v>0.11372004339640746</v>
      </c>
      <c r="AL28" s="75">
        <f>U$9*('Input Data'!$E9^0.6667)/'Input Data'!$E12</f>
        <v>0.16448219769220149</v>
      </c>
      <c r="AM28" s="75">
        <f>V$9*('Input Data'!$E9^0.6667)/'Input Data'!$E12</f>
        <v>0.18210663670689414</v>
      </c>
      <c r="AN28" s="75">
        <f>W$9*('Input Data'!$E9^0.6667)/'Input Data'!$E12</f>
        <v>0.26308480783750354</v>
      </c>
      <c r="AO28" s="75">
        <f>X$9*('Input Data'!$E9^0.6667)/'Input Data'!$E12</f>
        <v>0.21266194755482662</v>
      </c>
      <c r="AP28" s="75">
        <f>Y$9*('Input Data'!$E9^0.6667)/'Input Data'!$E12</f>
        <v>0.3367870073534911</v>
      </c>
      <c r="AQ28" s="160"/>
      <c r="AR28" s="7"/>
      <c r="AS28" s="7"/>
      <c r="AT28" s="7"/>
      <c r="AU28" s="7"/>
      <c r="AV28" s="8"/>
      <c r="AW28" s="7"/>
      <c r="AX28" s="15"/>
      <c r="AY28" s="4"/>
      <c r="BB28" s="25" t="s">
        <v>31</v>
      </c>
      <c r="BC28" s="25"/>
      <c r="BD28" s="40">
        <f>M$9*('Input Data'!$F9^0.6667)/'Input Data'!$F12</f>
        <v>-3.0811990406941805E-4</v>
      </c>
      <c r="BE28" s="40">
        <f>N$9*('Input Data'!$F9^0.6667)/'Input Data'!$F12</f>
        <v>1.4378928856572841E-3</v>
      </c>
      <c r="BF28" s="40">
        <f>O$9*('Input Data'!$F9^0.6667)/'Input Data'!$F12</f>
        <v>-4.3136786569718521E-4</v>
      </c>
      <c r="BG28" s="40">
        <f>P$9*('Input Data'!$F9^0.6667)/'Input Data'!$F12</f>
        <v>-5.8542781773189426E-3</v>
      </c>
      <c r="BH28" s="40">
        <f>Q$9*('Input Data'!$F9^0.6667)/'Input Data'!$F12</f>
        <v>-2.2410587689315673E-2</v>
      </c>
      <c r="BI28" s="40">
        <f>R$9*('Input Data'!$F9^0.6667)/'Input Data'!$F12</f>
        <v>5.6077822540634079E-3</v>
      </c>
      <c r="BJ28" s="40">
        <f>S$9*('Input Data'!$F9^0.6667)/'Input Data'!$F12</f>
        <v>5.1045197440833585E-2</v>
      </c>
      <c r="BK28" s="40">
        <f>T$9*('Input Data'!$F9^0.6667)/'Input Data'!$F12</f>
        <v>0.12392582541671993</v>
      </c>
      <c r="BL28" s="40">
        <f>U$9*('Input Data'!$F9^0.6667)/'Input Data'!$F12</f>
        <v>0.17924361886064946</v>
      </c>
      <c r="BM28" s="40">
        <f>V$9*('Input Data'!$F9^0.6667)/'Input Data'!$F12</f>
        <v>0.19844975954764318</v>
      </c>
      <c r="BN28" s="40">
        <f>W$9*('Input Data'!$F9^0.6667)/'Input Data'!$F12</f>
        <v>0.28669530007312449</v>
      </c>
      <c r="BO28" s="40">
        <f>X$9*('Input Data'!$F9^0.6667)/'Input Data'!$F12</f>
        <v>0.23174725051407832</v>
      </c>
      <c r="BP28" s="40">
        <f>Y$9*('Input Data'!$F9^0.6667)/'Input Data'!$F12</f>
        <v>0.36701188840055282</v>
      </c>
      <c r="BQ28" s="153"/>
      <c r="BR28" s="7"/>
      <c r="BS28" s="7"/>
      <c r="BT28" s="7"/>
      <c r="BU28" s="7"/>
      <c r="BV28" s="8"/>
      <c r="BW28" s="7"/>
      <c r="BX28" s="15"/>
      <c r="BY28" s="4"/>
    </row>
    <row r="29" spans="1:77" x14ac:dyDescent="0.25">
      <c r="B29" s="25" t="s">
        <v>32</v>
      </c>
      <c r="C29" s="25" t="s">
        <v>75</v>
      </c>
      <c r="D29" s="25">
        <f>M$10*'Input Data'!$D7/'Input Data'!$D6</f>
        <v>1.0418595125947165E-3</v>
      </c>
      <c r="E29" s="25">
        <f>N$10*'Input Data'!$D7/'Input Data'!$D6</f>
        <v>2.3911529797255785E-4</v>
      </c>
      <c r="F29" s="25">
        <f>O$10*'Input Data'!$D7/'Input Data'!$D6</f>
        <v>-1.1955764898627893E-3</v>
      </c>
      <c r="G29" s="25">
        <f>P$10*'Input Data'!$D7/'Input Data'!$D6</f>
        <v>-6.2682367397091958E-3</v>
      </c>
      <c r="H29" s="25">
        <f>Q$10*'Input Data'!$D7/'Input Data'!$D6</f>
        <v>-1.207532254761417E-2</v>
      </c>
      <c r="I29" s="25">
        <f>R$10*'Input Data'!$D7/'Input Data'!$D6</f>
        <v>-2.2903829612942864E-2</v>
      </c>
      <c r="J29" s="25">
        <f>S$10*'Input Data'!$D7/'Input Data'!$D6</f>
        <v>-4.1469424534097889E-2</v>
      </c>
      <c r="K29" s="25">
        <f>T$10*'Input Data'!$D7/'Input Data'!$D6</f>
        <v>-7.3442555805857054E-3</v>
      </c>
      <c r="L29" s="25">
        <f>U$10*'Input Data'!$D7/'Input Data'!$D6</f>
        <v>7.2059103010444409E-2</v>
      </c>
      <c r="M29" s="25">
        <f>V$10*'Input Data'!$D7/'Input Data'!$D6</f>
        <v>0.10457878353471226</v>
      </c>
      <c r="N29" s="25">
        <f>W$10*'Input Data'!$D7/'Input Data'!$D6</f>
        <v>0.17665496620929755</v>
      </c>
      <c r="O29" s="25">
        <f>X$10*'Input Data'!$D7/'Input Data'!$D6</f>
        <v>0.20215490477165679</v>
      </c>
      <c r="P29" s="25">
        <f>Y$10*'Input Data'!$D7/'Input Data'!$D6</f>
        <v>0.37462535326643459</v>
      </c>
      <c r="Q29" s="153"/>
      <c r="R29" s="7"/>
      <c r="S29" s="7"/>
      <c r="T29" s="7"/>
      <c r="U29" s="7"/>
      <c r="V29" s="8"/>
      <c r="W29" s="7"/>
      <c r="X29" s="15"/>
      <c r="Y29" s="4"/>
      <c r="Z29" s="81">
        <f t="shared" si="2"/>
        <v>6.7899814231356772E-5</v>
      </c>
      <c r="AB29" s="25" t="s">
        <v>32</v>
      </c>
      <c r="AC29" s="25"/>
      <c r="AD29" s="74">
        <f>M$10*'Input Data'!$E7/'Input Data'!E6</f>
        <v>1.1456383301324169E-3</v>
      </c>
      <c r="AE29" s="74">
        <f>N$10*'Input Data'!$E7/'Input Data'!$E6</f>
        <v>2.6293338724350552E-4</v>
      </c>
      <c r="AF29" s="74">
        <f>O$10*'Input Data'!$E7/'Input Data'!$E6</f>
        <v>-1.3146669362175277E-3</v>
      </c>
      <c r="AG29" s="74">
        <f>P$10*'Input Data'!$E7/'Input Data'!$E6</f>
        <v>-6.892610937026181E-3</v>
      </c>
      <c r="AH29" s="74">
        <f>Q$10*'Input Data'!$E7/'Input Data'!$E6</f>
        <v>-1.3278136055797028E-2</v>
      </c>
      <c r="AI29" s="74">
        <f>R$10*'Input Data'!$E7/'Input Data'!$E6</f>
        <v>-2.5185262306681493E-2</v>
      </c>
      <c r="AJ29" s="74">
        <f>S$10*'Input Data'!$E7/'Input Data'!$E6</f>
        <v>-4.5600161730516529E-2</v>
      </c>
      <c r="AK29" s="74">
        <f>T$10*'Input Data'!$E7/'Input Data'!$E6</f>
        <v>-8.0758111796219549E-3</v>
      </c>
      <c r="AL29" s="74">
        <f>U$10*'Input Data'!$E7/'Input Data'!$E6</f>
        <v>7.9236854341453541E-2</v>
      </c>
      <c r="AM29" s="74">
        <f>V$10*'Input Data'!$E7/'Input Data'!$E6</f>
        <v>0.1149957950065703</v>
      </c>
      <c r="AN29" s="74">
        <f>W$10*'Input Data'!$E7/'Input Data'!$E6</f>
        <v>0.19425143030425554</v>
      </c>
      <c r="AO29" s="74">
        <f>X$10*'Input Data'!$E7/'Input Data'!$E6</f>
        <v>0.22229139795815223</v>
      </c>
      <c r="AP29" s="74">
        <f>Y$10*'Input Data'!$E7/'Input Data'!$E6</f>
        <v>0.41194149398564645</v>
      </c>
      <c r="AQ29" s="160"/>
      <c r="AR29" s="7"/>
      <c r="AS29" s="7"/>
      <c r="AT29" s="7"/>
      <c r="AU29" s="7"/>
      <c r="AV29" s="8"/>
      <c r="AW29" s="7"/>
      <c r="AX29" s="15"/>
      <c r="AY29" s="4"/>
      <c r="BB29" s="25" t="s">
        <v>32</v>
      </c>
      <c r="BC29" s="25"/>
      <c r="BD29" s="25">
        <f>M$10*'Input Data'!$F7/'Input Data'!$F6</f>
        <v>1.0777385159010601E-3</v>
      </c>
      <c r="BE29" s="25">
        <f>N$10*'Input Data'!$F7/'Input Data'!$F6</f>
        <v>2.4734982332155476E-4</v>
      </c>
      <c r="BF29" s="25">
        <f>O$10*'Input Data'!$F7/'Input Data'!$F6</f>
        <v>-1.2367491166077737E-3</v>
      </c>
      <c r="BG29" s="25">
        <f>P$10*'Input Data'!$F7/'Input Data'!$F6</f>
        <v>-6.4840989399293286E-3</v>
      </c>
      <c r="BH29" s="25">
        <f>Q$10*'Input Data'!$F7/'Input Data'!$F6</f>
        <v>-1.2491166077738515E-2</v>
      </c>
      <c r="BI29" s="25">
        <f>R$10*'Input Data'!$F7/'Input Data'!$F6</f>
        <v>-2.3692579505300352E-2</v>
      </c>
      <c r="BJ29" s="25">
        <f>S$10*'Input Data'!$F7/'Input Data'!$F6</f>
        <v>-4.2897526501766772E-2</v>
      </c>
      <c r="BK29" s="25">
        <f>T$10*'Input Data'!$F7/'Input Data'!$F6</f>
        <v>-7.5971731448763232E-3</v>
      </c>
      <c r="BL29" s="25">
        <f>U$10*'Input Data'!$F7/'Input Data'!$F6</f>
        <v>7.4540636042402825E-2</v>
      </c>
      <c r="BM29" s="25">
        <f>V$10*'Input Data'!$F7/'Input Data'!$F6</f>
        <v>0.10818021201413426</v>
      </c>
      <c r="BN29" s="25">
        <f>W$10*'Input Data'!$F7/'Input Data'!$F6</f>
        <v>0.18273851590106005</v>
      </c>
      <c r="BO29" s="25">
        <f>X$10*'Input Data'!$F7/'Input Data'!$F6</f>
        <v>0.20911660777385155</v>
      </c>
      <c r="BP29" s="25">
        <f>Y$10*'Input Data'!$F7/'Input Data'!$F6</f>
        <v>0.38752650176678444</v>
      </c>
      <c r="BQ29" s="153"/>
      <c r="BR29" s="7"/>
      <c r="BS29" s="7"/>
      <c r="BT29" s="7"/>
      <c r="BU29" s="7"/>
      <c r="BV29" s="8"/>
      <c r="BW29" s="7"/>
      <c r="BX29" s="15"/>
      <c r="BY29" s="4"/>
    </row>
    <row r="30" spans="1:77" x14ac:dyDescent="0.25">
      <c r="B30" s="25" t="s">
        <v>33</v>
      </c>
      <c r="C30" s="25" t="s">
        <v>76</v>
      </c>
      <c r="D30" s="25">
        <f>M$11*'Input Data'!$D10/'Input Data'!$D11</f>
        <v>9.5238967222120491E-4</v>
      </c>
      <c r="E30" s="25">
        <f>N$11*'Input Data'!$D10/'Input Data'!$D11</f>
        <v>1.2381065738875663E-3</v>
      </c>
      <c r="F30" s="25">
        <f>O$11*'Input Data'!$D10/'Input Data'!$D11</f>
        <v>1.4095367148873833E-2</v>
      </c>
      <c r="G30" s="25">
        <f>P$11*'Input Data'!$D10/'Input Data'!$D11</f>
        <v>2.0762094854422264E-2</v>
      </c>
      <c r="H30" s="25">
        <f>Q$11*'Input Data'!$D10/'Input Data'!$D11</f>
        <v>8.7048416041018123E-2</v>
      </c>
      <c r="I30" s="25">
        <f>R$11*'Input Data'!$D10/'Input Data'!$D11</f>
        <v>0.3407650247207471</v>
      </c>
      <c r="J30" s="25">
        <f>S$11*'Input Data'!$D10/'Input Data'!$D11</f>
        <v>0.59933882072880418</v>
      </c>
      <c r="K30" s="25">
        <f>T$11*'Input Data'!$D10/'Input Data'!$D11</f>
        <v>0.79353107489470798</v>
      </c>
      <c r="L30" s="25">
        <f>U$11*'Input Data'!$D10/'Input Data'!$D11</f>
        <v>0.85619831532686319</v>
      </c>
      <c r="M30" s="25">
        <f>V$11*'Input Data'!$D10/'Input Data'!$D11</f>
        <v>0.71753037905145567</v>
      </c>
      <c r="N30" s="25">
        <f>W$11*'Input Data'!$D10/'Input Data'!$D11</f>
        <v>0.30762186412744918</v>
      </c>
      <c r="O30" s="25">
        <f>X$11*'Input Data'!$D10/'Input Data'!$D11</f>
        <v>0.47362338399560522</v>
      </c>
      <c r="P30" s="25">
        <f>Y$11*'Input Data'!$D10/'Input Data'!$D11</f>
        <v>-1.4742039736312031</v>
      </c>
      <c r="Q30" s="153"/>
      <c r="R30" s="7"/>
      <c r="S30" s="7"/>
      <c r="T30" s="8"/>
      <c r="U30" s="7"/>
      <c r="V30" s="7"/>
      <c r="W30" s="7"/>
      <c r="X30" s="15"/>
      <c r="Y30" s="4"/>
      <c r="Z30" s="81">
        <f t="shared" si="2"/>
        <v>5.8503275054902363E-6</v>
      </c>
      <c r="AB30" s="25" t="s">
        <v>33</v>
      </c>
      <c r="AC30" s="25"/>
      <c r="AD30" s="74">
        <f>M$11*'Input Data'!$D10/'Input Data'!$E11</f>
        <v>9.4477747502270666E-4</v>
      </c>
      <c r="AE30" s="74">
        <f>N$11*'Input Data'!$E10/'Input Data'!$E11</f>
        <v>1.2563124432334242E-3</v>
      </c>
      <c r="AF30" s="74">
        <f>O$11*'Input Data'!$E10/'Input Data'!$E11</f>
        <v>1.4302633969118985E-2</v>
      </c>
      <c r="AG30" s="74">
        <f>P$11*'Input Data'!$E10/'Input Data'!$E11</f>
        <v>2.1067393278837422E-2</v>
      </c>
      <c r="AH30" s="74">
        <f>Q$11*'Input Data'!$E10/'Input Data'!$E11</f>
        <v>8.8328428701180753E-2</v>
      </c>
      <c r="AI30" s="74">
        <f>R$11*'Input Data'!$E10/'Input Data'!$E11</f>
        <v>0.34577584014532248</v>
      </c>
      <c r="AJ30" s="74">
        <f>S$11*'Input Data'!$E10/'Input Data'!$E11</f>
        <v>0.60815186194368764</v>
      </c>
      <c r="AK30" s="74">
        <f>T$11*'Input Data'!$E10/'Input Data'!$E11</f>
        <v>0.8051996366939147</v>
      </c>
      <c r="AL30" s="74">
        <f>U$11*'Input Data'!$E10/'Input Data'!$E11</f>
        <v>0.868788374205268</v>
      </c>
      <c r="AM30" s="74">
        <f>V$11*'Input Data'!$E10/'Input Data'!$E11</f>
        <v>0.72808138056312444</v>
      </c>
      <c r="AN30" s="74">
        <f>W$11*'Input Data'!$E10/'Input Data'!$E11</f>
        <v>0.31214532243415083</v>
      </c>
      <c r="AO30" s="74">
        <f>X$11*'Input Data'!$E10/'Input Data'!$E11</f>
        <v>0.48058782924613991</v>
      </c>
      <c r="AP30" s="74">
        <f>Y$11*'Input Data'!$E10/'Input Data'!$E11</f>
        <v>-1.4958815622161672</v>
      </c>
      <c r="AQ30" s="160"/>
      <c r="AR30" s="7"/>
      <c r="AS30" s="7"/>
      <c r="AT30" s="8"/>
      <c r="AU30" s="7"/>
      <c r="AV30" s="7"/>
      <c r="AW30" s="7"/>
      <c r="AX30" s="15"/>
      <c r="AY30" s="4"/>
      <c r="BB30" s="25" t="s">
        <v>33</v>
      </c>
      <c r="BC30" s="25"/>
      <c r="BD30" s="25">
        <f>M$11*'Input Data'!$F10/'Input Data'!$F11</f>
        <v>9.3892714751721642E-4</v>
      </c>
      <c r="BE30" s="25">
        <f>N$11*'Input Data'!$F10/'Input Data'!$F11</f>
        <v>1.2206052917723815E-3</v>
      </c>
      <c r="BF30" s="25">
        <f>O$11*'Input Data'!$F10/'Input Data'!$F11</f>
        <v>1.3896121783254804E-2</v>
      </c>
      <c r="BG30" s="25">
        <f>P$11*'Input Data'!$F10/'Input Data'!$F11</f>
        <v>2.046861181587532E-2</v>
      </c>
      <c r="BH30" s="25">
        <f>Q$11*'Input Data'!$F10/'Input Data'!$F11</f>
        <v>8.5817941283073573E-2</v>
      </c>
      <c r="BI30" s="25">
        <f>R$11*'Input Data'!$F10/'Input Data'!$F11</f>
        <v>0.33594813338166007</v>
      </c>
      <c r="BJ30" s="25">
        <f>S$11*'Input Data'!$F10/'Input Data'!$F11</f>
        <v>0.59086685393258431</v>
      </c>
      <c r="BK30" s="25">
        <f>T$11*'Input Data'!$F10/'Input Data'!$F11</f>
        <v>0.78231409931134477</v>
      </c>
      <c r="BL30" s="25">
        <f>U$11*'Input Data'!$F10/'Input Data'!$F11</f>
        <v>0.84409550561797764</v>
      </c>
      <c r="BM30" s="25">
        <f>V$11*'Input Data'!$F10/'Input Data'!$F11</f>
        <v>0.70738771293947089</v>
      </c>
      <c r="BN30" s="25">
        <f>W$11*'Input Data'!$F10/'Input Data'!$F11</f>
        <v>0.30327346864806093</v>
      </c>
      <c r="BO30" s="25">
        <f>X$11*'Input Data'!$F10/'Input Data'!$F11</f>
        <v>0.46692847046031177</v>
      </c>
      <c r="BP30" s="25">
        <f>Y$11*'Input Data'!$F10/'Input Data'!$F11</f>
        <v>-1.4533653316418995</v>
      </c>
      <c r="BQ30" s="153"/>
      <c r="BR30" s="7"/>
      <c r="BS30" s="7"/>
      <c r="BT30" s="8"/>
      <c r="BU30" s="7"/>
      <c r="BV30" s="7"/>
      <c r="BW30" s="7"/>
      <c r="BX30" s="15"/>
      <c r="BY30" s="4"/>
    </row>
    <row r="31" spans="1:77" x14ac:dyDescent="0.25">
      <c r="B31" s="25" t="s">
        <v>34</v>
      </c>
      <c r="C31" s="25" t="s">
        <v>35</v>
      </c>
      <c r="D31" s="25">
        <f>M$12*'Input Data'!$D7/'Input Data'!$D16</f>
        <v>2.9160839160839161E-4</v>
      </c>
      <c r="E31" s="25">
        <f>N$12*'Input Data'!$D7/'Input Data'!$D16</f>
        <v>1.4580419580419582E-3</v>
      </c>
      <c r="F31" s="25">
        <f>O$12*'Input Data'!$D7/'Input Data'!$D16</f>
        <v>2.9160839160839165E-3</v>
      </c>
      <c r="G31" s="25">
        <f>P$12*'Input Data'!$D7/'Input Data'!$D16</f>
        <v>4.3741258741258745E-3</v>
      </c>
      <c r="H31" s="25">
        <f>Q$12*'Input Data'!$D7/'Input Data'!$D16</f>
        <v>6.1237762237762242E-3</v>
      </c>
      <c r="I31" s="25">
        <f>R$12*'Input Data'!$D7/'Input Data'!$D16</f>
        <v>1.3122377622377623E-2</v>
      </c>
      <c r="J31" s="25">
        <f>S$12*'Input Data'!$D7/'Input Data'!$D16</f>
        <v>2.3620279720279722E-2</v>
      </c>
      <c r="K31" s="25">
        <f>T$12*'Input Data'!$D7/'Input Data'!$D16</f>
        <v>3.0910489510489515E-2</v>
      </c>
      <c r="L31" s="25">
        <f>U$12*'Input Data'!$D7/'Input Data'!$D16</f>
        <v>2.7994405594405594E-2</v>
      </c>
      <c r="M31" s="25">
        <f>V$12*'Input Data'!$D7/'Input Data'!$D16</f>
        <v>2.9160839160839162E-2</v>
      </c>
      <c r="N31" s="25">
        <f>W$12*'Input Data'!$D7/'Input Data'!$D16</f>
        <v>2.0995804195804199E-2</v>
      </c>
      <c r="O31" s="25">
        <f>X$12*'Input Data'!$D7/'Input Data'!$D16</f>
        <v>1.1081118881118882E-2</v>
      </c>
      <c r="P31" s="25">
        <f>Y$12*'Input Data'!$D7/'Input Data'!$D16</f>
        <v>-3.3534965034965038E-2</v>
      </c>
      <c r="Q31" s="153"/>
      <c r="R31" s="7"/>
      <c r="S31" s="7"/>
      <c r="T31" s="7"/>
      <c r="W31" s="7"/>
      <c r="X31" s="15"/>
      <c r="Y31" s="4"/>
      <c r="Z31" s="81">
        <f t="shared" si="2"/>
        <v>-1.2772194304857122E-6</v>
      </c>
      <c r="AB31" s="25" t="s">
        <v>34</v>
      </c>
      <c r="AC31" s="25"/>
      <c r="AD31" s="74">
        <f>M$12*'Input Data'!$E7/'Input Data'!$E16</f>
        <v>3.1122278056951424E-4</v>
      </c>
      <c r="AE31" s="74">
        <f>N$12*'Input Data'!$E7/'Input Data'!$E16</f>
        <v>1.556113902847571E-3</v>
      </c>
      <c r="AF31" s="74">
        <f>O$12*'Input Data'!$E7/'Input Data'!$E16</f>
        <v>3.1122278056951421E-3</v>
      </c>
      <c r="AG31" s="74">
        <f>P$12*'Input Data'!$E7/'Input Data'!$E16</f>
        <v>4.6683417085427135E-3</v>
      </c>
      <c r="AH31" s="74">
        <f>Q$12*'Input Data'!$E7/'Input Data'!$E16</f>
        <v>6.5356783919597976E-3</v>
      </c>
      <c r="AI31" s="74">
        <f>R$12*'Input Data'!$E7/'Input Data'!$E16</f>
        <v>1.4005025125628139E-2</v>
      </c>
      <c r="AJ31" s="74">
        <f>S$12*'Input Data'!$E7/'Input Data'!$E16</f>
        <v>2.5209045226130652E-2</v>
      </c>
      <c r="AK31" s="74">
        <f>T$12*'Input Data'!$E7/'Input Data'!$E16</f>
        <v>3.298961474036851E-2</v>
      </c>
      <c r="AL31" s="74">
        <f>U$12*'Input Data'!$E7/'Input Data'!$E16</f>
        <v>2.9877386934673362E-2</v>
      </c>
      <c r="AM31" s="74">
        <f>V$12*'Input Data'!$E7/'Input Data'!$E16</f>
        <v>3.1122278056951422E-2</v>
      </c>
      <c r="AN31" s="74">
        <f>W$12*'Input Data'!$E7/'Input Data'!$E16</f>
        <v>2.2408040201005022E-2</v>
      </c>
      <c r="AO31" s="74">
        <f>X$12*'Input Data'!$E7/'Input Data'!$E16</f>
        <v>1.1826465661641541E-2</v>
      </c>
      <c r="AP31" s="74">
        <f>Y$12*'Input Data'!$E7/'Input Data'!$E16</f>
        <v>-3.5790619765494136E-2</v>
      </c>
      <c r="AQ31" s="160"/>
      <c r="AR31" s="7"/>
      <c r="AS31" s="7"/>
      <c r="AT31" s="7"/>
      <c r="AW31" s="7"/>
      <c r="AX31" s="15"/>
      <c r="AY31" s="4"/>
      <c r="BB31" s="25" t="s">
        <v>34</v>
      </c>
      <c r="BC31" s="25"/>
      <c r="BD31" s="25">
        <f>M$12*'Input Data'!$F7/'Input Data'!$F16</f>
        <v>3.1249999999999995E-4</v>
      </c>
      <c r="BE31" s="25">
        <f>N$12*'Input Data'!$F7/'Input Data'!$F16</f>
        <v>1.5624999999999999E-3</v>
      </c>
      <c r="BF31" s="25">
        <f>O$12*'Input Data'!$F7/'Input Data'!$F16</f>
        <v>3.1249999999999997E-3</v>
      </c>
      <c r="BG31" s="25">
        <f>P$12*'Input Data'!$F7/'Input Data'!$F16</f>
        <v>4.6874999999999998E-3</v>
      </c>
      <c r="BH31" s="25">
        <f>Q$12*'Input Data'!$F7/'Input Data'!$F16</f>
        <v>6.5624999999999989E-3</v>
      </c>
      <c r="BI31" s="25">
        <f>R$12*'Input Data'!$F7/'Input Data'!$F16</f>
        <v>1.4062499999999999E-2</v>
      </c>
      <c r="BJ31" s="25">
        <f>S$12*'Input Data'!$F7/'Input Data'!$F16</f>
        <v>2.5312499999999998E-2</v>
      </c>
      <c r="BK31" s="25">
        <f>T$12*'Input Data'!$F7/'Input Data'!$F16</f>
        <v>3.3124999999999995E-2</v>
      </c>
      <c r="BL31" s="25">
        <f>U$12*'Input Data'!$F7/'Input Data'!$F16</f>
        <v>2.9999999999999995E-2</v>
      </c>
      <c r="BM31" s="25">
        <f>V$12*'Input Data'!$F7/'Input Data'!$F16</f>
        <v>3.1249999999999997E-2</v>
      </c>
      <c r="BN31" s="25">
        <f>W$12*'Input Data'!$F7/'Input Data'!$F16</f>
        <v>2.2499999999999996E-2</v>
      </c>
      <c r="BO31" s="25">
        <f>X$12*'Input Data'!$F7/'Input Data'!$F16</f>
        <v>1.1875E-2</v>
      </c>
      <c r="BP31" s="25">
        <f>Y$12*'Input Data'!$F7/'Input Data'!$F16</f>
        <v>-3.5937499999999997E-2</v>
      </c>
      <c r="BQ31" s="153"/>
      <c r="BR31" s="7"/>
      <c r="BS31" s="7"/>
      <c r="BT31" s="7"/>
      <c r="BW31" s="7"/>
      <c r="BX31" s="15"/>
      <c r="BY31" s="4"/>
    </row>
    <row r="32" spans="1:77" x14ac:dyDescent="0.25">
      <c r="B32" s="25" t="s">
        <v>36</v>
      </c>
      <c r="C32" s="25" t="s">
        <v>77</v>
      </c>
      <c r="D32" s="25">
        <f>M$13*'Input Data'!$D13</f>
        <v>3.5516000000000002E-3</v>
      </c>
      <c r="E32" s="25">
        <f>N$13*'Input Data'!$D13</f>
        <v>-1.366E-3</v>
      </c>
      <c r="F32" s="25">
        <f>O$13*'Input Data'!$D13</f>
        <v>-2.9369000000000001E-3</v>
      </c>
      <c r="G32" s="25">
        <f>P$13*'Input Data'!$D13</f>
        <v>-1.17476E-2</v>
      </c>
      <c r="H32" s="25">
        <f>Q$13*'Input Data'!$D13</f>
        <v>-5.3274000000000004E-3</v>
      </c>
      <c r="I32" s="25">
        <f>R$13*'Input Data'!$D13</f>
        <v>7.6154500000000014E-2</v>
      </c>
      <c r="J32" s="25">
        <f>S$13*'Input Data'!$D13</f>
        <v>0.14247380000000001</v>
      </c>
      <c r="K32" s="25">
        <f>T$13*'Input Data'!$D13</f>
        <v>9.1248800000000005E-2</v>
      </c>
      <c r="L32" s="25">
        <f>U$13*'Input Data'!$D13</f>
        <v>-0.15517760000000003</v>
      </c>
      <c r="M32" s="25">
        <f>V$13*'Input Data'!$D13</f>
        <v>-0.22894160000000002</v>
      </c>
      <c r="N32" s="25">
        <f>W$13*'Input Data'!$D13</f>
        <v>-0.31636560000000002</v>
      </c>
      <c r="O32" s="25">
        <f>X$13*'Input Data'!$D13</f>
        <v>-0.30577910000000003</v>
      </c>
      <c r="P32" s="25">
        <f>Y$13*'Input Data'!$D13</f>
        <v>-6.67291E-2</v>
      </c>
      <c r="Q32" s="153"/>
      <c r="W32" s="9"/>
      <c r="Z32" s="81">
        <f t="shared" si="2"/>
        <v>-5.1999999999999963E-4</v>
      </c>
      <c r="AB32" s="25" t="s">
        <v>36</v>
      </c>
      <c r="AC32" s="25"/>
      <c r="AD32" s="74">
        <f>M$13*'Input Data'!$E13</f>
        <v>3.2396E-3</v>
      </c>
      <c r="AE32" s="74">
        <f>N$13*'Input Data'!$E13</f>
        <v>-1.2459999999999999E-3</v>
      </c>
      <c r="AF32" s="74">
        <f>O$13*'Input Data'!$E13</f>
        <v>-2.6789000000000001E-3</v>
      </c>
      <c r="AG32" s="74">
        <f>P$13*'Input Data'!$E13</f>
        <v>-1.07156E-2</v>
      </c>
      <c r="AH32" s="74">
        <f>Q$13*'Input Data'!$E13</f>
        <v>-4.8593999999999998E-3</v>
      </c>
      <c r="AI32" s="74">
        <f>R$13*'Input Data'!$E13</f>
        <v>6.9464499999999998E-2</v>
      </c>
      <c r="AJ32" s="74">
        <f>S$13*'Input Data'!$E13</f>
        <v>0.12995780000000001</v>
      </c>
      <c r="AK32" s="74">
        <f>T$13*'Input Data'!$E13</f>
        <v>8.3232799999999996E-2</v>
      </c>
      <c r="AL32" s="74">
        <f>U$13*'Input Data'!$E13</f>
        <v>-0.14154560000000002</v>
      </c>
      <c r="AM32" s="74">
        <f>V$13*'Input Data'!$E13</f>
        <v>-0.2088296</v>
      </c>
      <c r="AN32" s="74">
        <f>W$13*'Input Data'!$E13</f>
        <v>-0.28857359999999999</v>
      </c>
      <c r="AO32" s="74">
        <f>X$13*'Input Data'!$E13</f>
        <v>-0.27891709999999997</v>
      </c>
      <c r="AP32" s="74">
        <f>Y$13*'Input Data'!$E13</f>
        <v>-6.0867099999999993E-2</v>
      </c>
      <c r="AQ32" s="160"/>
      <c r="AW32" s="9"/>
      <c r="BB32" s="25" t="s">
        <v>36</v>
      </c>
      <c r="BC32" s="25"/>
      <c r="BD32" s="25">
        <f>M$13*'Input Data'!$F13</f>
        <v>3.7595999999999997E-3</v>
      </c>
      <c r="BE32" s="25">
        <f>N$13*'Input Data'!$F13</f>
        <v>-1.446E-3</v>
      </c>
      <c r="BF32" s="25">
        <f>O$13*'Input Data'!$F13</f>
        <v>-3.1088999999999999E-3</v>
      </c>
      <c r="BG32" s="25">
        <f>P$13*'Input Data'!$F13</f>
        <v>-1.24356E-2</v>
      </c>
      <c r="BH32" s="25">
        <f>Q$13*'Input Data'!$F13</f>
        <v>-5.6393999999999993E-3</v>
      </c>
      <c r="BI32" s="25">
        <f>R$13*'Input Data'!$F13</f>
        <v>8.0614500000000006E-2</v>
      </c>
      <c r="BJ32" s="25">
        <f>S$13*'Input Data'!$F13</f>
        <v>0.1508178</v>
      </c>
      <c r="BK32" s="25">
        <f>T$13*'Input Data'!$F13</f>
        <v>9.6592799999999993E-2</v>
      </c>
      <c r="BL32" s="25">
        <f>U$13*'Input Data'!$F13</f>
        <v>-0.16426560000000001</v>
      </c>
      <c r="BM32" s="25">
        <f>V$13*'Input Data'!$F13</f>
        <v>-0.2423496</v>
      </c>
      <c r="BN32" s="25">
        <f>W$13*'Input Data'!$F13</f>
        <v>-0.33489360000000001</v>
      </c>
      <c r="BO32" s="25">
        <f>X$13*'Input Data'!$F13</f>
        <v>-0.32368710000000001</v>
      </c>
      <c r="BP32" s="25">
        <f>Y$13*'Input Data'!$F13</f>
        <v>-7.0637099999999994E-2</v>
      </c>
      <c r="BQ32" s="153"/>
      <c r="BW32" s="9"/>
    </row>
    <row r="33" spans="2:77" ht="15.75" x14ac:dyDescent="0.25">
      <c r="B33" s="25" t="s">
        <v>37</v>
      </c>
      <c r="C33" s="25"/>
      <c r="D33" s="25">
        <f>IF(((SUM(D$26:D$32))*D25+M$6)&lt;0,0,(SUM(D$26:D$32))*D25+M$6)</f>
        <v>0</v>
      </c>
      <c r="E33" s="25">
        <f t="shared" ref="E33:P33" si="3">IF(((SUM(E$26:E$32))*E25+N$6)&lt;0,0,(SUM(E$26:E$32))*E25+N$6)</f>
        <v>9.7670861882849166E-5</v>
      </c>
      <c r="F33" s="25">
        <f t="shared" si="3"/>
        <v>7.2570549230305335E-4</v>
      </c>
      <c r="G33" s="25">
        <f t="shared" si="3"/>
        <v>2.427441944079259E-3</v>
      </c>
      <c r="H33" s="25">
        <f t="shared" si="3"/>
        <v>4.9483901991744829E-3</v>
      </c>
      <c r="I33" s="25">
        <f t="shared" si="3"/>
        <v>1.3502505993514387E-2</v>
      </c>
      <c r="J33" s="25">
        <f t="shared" si="3"/>
        <v>2.970442687113363E-2</v>
      </c>
      <c r="K33" s="25">
        <f t="shared" si="3"/>
        <v>4.6450685639996464E-2</v>
      </c>
      <c r="L33" s="25">
        <f t="shared" si="3"/>
        <v>5.8862000770094423E-2</v>
      </c>
      <c r="M33" s="25">
        <f t="shared" si="3"/>
        <v>6.7261823792370473E-2</v>
      </c>
      <c r="N33" s="25">
        <f t="shared" si="3"/>
        <v>7.4816127729176715E-2</v>
      </c>
      <c r="O33" s="25">
        <f t="shared" si="3"/>
        <v>7.9332643175770698E-2</v>
      </c>
      <c r="P33" s="25">
        <f t="shared" si="3"/>
        <v>8.2533082191814044E-2</v>
      </c>
      <c r="Q33" s="153"/>
      <c r="T33" s="10"/>
      <c r="U33" s="7"/>
      <c r="V33" s="7"/>
      <c r="Z33" s="81">
        <f t="shared" si="2"/>
        <v>0</v>
      </c>
      <c r="AB33" s="25" t="s">
        <v>37</v>
      </c>
      <c r="AC33" s="25"/>
      <c r="AD33" s="74">
        <f>IF(((SUM(AD$26:AD$32))*AD25+M$6)&lt;0,0,(SUM(AD$26:AD$32))*AD25+M$6)</f>
        <v>0</v>
      </c>
      <c r="AE33" s="74">
        <f>IF(((SUM(AE$26:AE$32))*AE25+N$6)&lt;0,0,(SUM(AE$26:AE$32))*AE25+N$6)</f>
        <v>1.5790171214045268E-4</v>
      </c>
      <c r="AF33" s="74">
        <f t="shared" ref="AF33:AP33" si="4">IF(((SUM(AF$26:AF$32))*AF25+O$6)&lt;0,0,(SUM(AF$26:AF$32))*AF25+O$6)</f>
        <v>7.7107671652296009E-4</v>
      </c>
      <c r="AG33" s="74">
        <f t="shared" si="4"/>
        <v>2.4069088556596275E-3</v>
      </c>
      <c r="AH33" s="74">
        <f t="shared" si="4"/>
        <v>5.012706713712017E-3</v>
      </c>
      <c r="AI33" s="74">
        <f t="shared" si="4"/>
        <v>1.3205041965134195E-2</v>
      </c>
      <c r="AJ33" s="74">
        <f t="shared" si="4"/>
        <v>2.8827994642196236E-2</v>
      </c>
      <c r="AK33" s="74">
        <f t="shared" si="4"/>
        <v>4.5703993478879781E-2</v>
      </c>
      <c r="AL33" s="74">
        <f t="shared" si="4"/>
        <v>6.1440115353058843E-2</v>
      </c>
      <c r="AM33" s="74">
        <f t="shared" si="4"/>
        <v>7.1398707668329231E-2</v>
      </c>
      <c r="AN33" s="74">
        <f t="shared" si="4"/>
        <v>7.9964236089610174E-2</v>
      </c>
      <c r="AO33" s="74">
        <f t="shared" si="4"/>
        <v>8.4448456844255754E-2</v>
      </c>
      <c r="AP33" s="74">
        <f t="shared" si="4"/>
        <v>7.7006492759175843E-2</v>
      </c>
      <c r="AQ33" s="160"/>
      <c r="AT33" s="10"/>
      <c r="AU33" s="7"/>
      <c r="AV33" s="7"/>
      <c r="BB33" s="25" t="s">
        <v>37</v>
      </c>
      <c r="BC33" s="25"/>
      <c r="BD33" s="25">
        <f>IF(((SUM(BD$26:BD$32))*BD25+M$6)&lt;0,0,(SUM(BD$26:BD$32))*BD25+M$6)</f>
        <v>0</v>
      </c>
      <c r="BE33" s="25">
        <f>IF(((SUM(BE$26:BE$32))*BE25+N$6)&lt;0,0,(SUM(BE$26:BE$32))*BE25+N$6)</f>
        <v>1.3760308798537656E-4</v>
      </c>
      <c r="BF33" s="25">
        <f>(SUM(BF$26:BF$32))*BF25+O$6</f>
        <v>6.7892568166069266E-4</v>
      </c>
      <c r="BG33" s="25">
        <f>IF(((SUM(BG$26:BG$32))*BG25+P$6)&lt;0,0,(SUM(BG$26:BG$32))*BG25+P$6)</f>
        <v>1.9665663845943628E-3</v>
      </c>
      <c r="BH33" s="25">
        <f>(SUM(BH$26:BH$32))*BH25+Q$6</f>
        <v>4.3794955142949579E-3</v>
      </c>
      <c r="BI33" s="25">
        <f t="shared" ref="BI33:BP33" si="5">(SUM(BI$26:BI$32))*BI25+R$6</f>
        <v>1.4883277118751127E-2</v>
      </c>
      <c r="BJ33" s="25">
        <f t="shared" si="5"/>
        <v>3.2237866637003232E-2</v>
      </c>
      <c r="BK33" s="25">
        <f t="shared" si="5"/>
        <v>4.7845606715656033E-2</v>
      </c>
      <c r="BL33" s="25">
        <f t="shared" si="5"/>
        <v>5.7196795383654013E-2</v>
      </c>
      <c r="BM33" s="25">
        <f t="shared" si="5"/>
        <v>6.5043823586790783E-2</v>
      </c>
      <c r="BN33" s="25">
        <f t="shared" si="5"/>
        <v>7.3163971865586777E-2</v>
      </c>
      <c r="BO33" s="25">
        <f t="shared" si="5"/>
        <v>7.6982896731572686E-2</v>
      </c>
      <c r="BP33" s="25">
        <f t="shared" si="5"/>
        <v>8.0193163048410357E-2</v>
      </c>
      <c r="BQ33" s="153"/>
      <c r="BT33" s="10"/>
      <c r="BU33" s="7"/>
      <c r="BV33" s="7"/>
    </row>
    <row r="34" spans="2:77" x14ac:dyDescent="0.25">
      <c r="B34" s="26" t="s">
        <v>57</v>
      </c>
      <c r="C34" s="26"/>
      <c r="D34" s="26">
        <f>'Input Data'!$D9*'Input Data'!$D15*'Input Data'!$D14*D33</f>
        <v>0</v>
      </c>
      <c r="E34" s="26">
        <f>'Input Data'!$D9*'Input Data'!$D15*'Input Data'!$D14*E33</f>
        <v>3.5365598671450163E-3</v>
      </c>
      <c r="F34" s="26">
        <f>'Input Data'!$D9*'Input Data'!$D15*'Input Data'!$D14*F33</f>
        <v>2.6277037695480478E-2</v>
      </c>
      <c r="G34" s="26">
        <f>'Input Data'!$D9*'Input Data'!$D15*'Input Data'!$D14*G33</f>
        <v>8.7895136725138892E-2</v>
      </c>
      <c r="H34" s="26">
        <f>'Input Data'!$D9*'Input Data'!$D15*'Input Data'!$D14*H33</f>
        <v>0.17917603928144746</v>
      </c>
      <c r="I34" s="26">
        <f>'Input Data'!$D9*'Input Data'!$D15*'Input Data'!$D14*I33</f>
        <v>0.48891163528201925</v>
      </c>
      <c r="J34" s="26">
        <f>'Input Data'!$D9*'Input Data'!$D15*'Input Data'!$D14*J33</f>
        <v>1.0755662633037752</v>
      </c>
      <c r="K34" s="26">
        <f>'Input Data'!$D9*'Input Data'!$D15*'Input Data'!$D14*K33</f>
        <v>1.6819307976704496</v>
      </c>
      <c r="L34" s="26">
        <f>'Input Data'!$D9*'Input Data'!$D15*'Input Data'!$D14*L33</f>
        <v>2.1313315518098146</v>
      </c>
      <c r="M34" s="26">
        <f>'Input Data'!$D9*'Input Data'!$D15*'Input Data'!$D14*M33</f>
        <v>2.4354803677313277</v>
      </c>
      <c r="N34" s="26">
        <f>'Input Data'!$D9*'Input Data'!$D15*'Input Data'!$D14*N33</f>
        <v>2.709013820924044</v>
      </c>
      <c r="O34" s="26">
        <f>'Input Data'!$D9*'Input Data'!$D15*'Input Data'!$D14*O33</f>
        <v>2.8725521266156995</v>
      </c>
      <c r="P34" s="26">
        <f>'Input Data'!$D9*'Input Data'!$D15*'Input Data'!$D14*P33</f>
        <v>2.9884366797279669</v>
      </c>
      <c r="Q34" s="153"/>
      <c r="U34" s="7"/>
      <c r="V34" s="7"/>
      <c r="Z34" s="81">
        <f t="shared" si="2"/>
        <v>0</v>
      </c>
      <c r="AB34" s="26" t="s">
        <v>57</v>
      </c>
      <c r="AC34" s="26"/>
      <c r="AD34" s="76">
        <f>'Input Data'!$E9*'Input Data'!$E15*'Input Data'!$E14*AD33</f>
        <v>0</v>
      </c>
      <c r="AE34" s="76">
        <f>'Input Data'!$E9*'Input Data'!$E15*'Input Data'!$E14*AE33</f>
        <v>5.7158682876010331E-3</v>
      </c>
      <c r="AF34" s="76">
        <f>'Input Data'!$E9*'Input Data'!$E15*'Input Data'!$E14*AF33</f>
        <v>2.7912128953742982E-2</v>
      </c>
      <c r="AG34" s="76">
        <f>'Input Data'!$E9*'Input Data'!$E15*'Input Data'!$E14*AG33</f>
        <v>8.7127452975137298E-2</v>
      </c>
      <c r="AH34" s="76">
        <f>'Input Data'!$E9*'Input Data'!$E15*'Input Data'!$E14*AH33</f>
        <v>0.18145446905898993</v>
      </c>
      <c r="AI34" s="76">
        <f>'Input Data'!$E9*'Input Data'!$E15*'Input Data'!$E14*AI33</f>
        <v>0.47800799359169627</v>
      </c>
      <c r="AJ34" s="76">
        <f>'Input Data'!$E9*'Input Data'!$E15*'Input Data'!$E14*AJ33</f>
        <v>1.0435416952533974</v>
      </c>
      <c r="AK34" s="76">
        <f>'Input Data'!$E9*'Input Data'!$E15*'Input Data'!$E14*AK33</f>
        <v>1.6544342895426214</v>
      </c>
      <c r="AL34" s="76">
        <f>'Input Data'!$E9*'Input Data'!$E15*'Input Data'!$E14*AL33</f>
        <v>2.2240645916538417</v>
      </c>
      <c r="AM34" s="76">
        <f>'Input Data'!$E9*'Input Data'!$E15*'Input Data'!$E14*AM33</f>
        <v>2.5845546790150831</v>
      </c>
      <c r="AN34" s="76">
        <f>'Input Data'!$E9*'Input Data'!$E15*'Input Data'!$E14*AN33</f>
        <v>2.8946173857841897</v>
      </c>
      <c r="AO34" s="76">
        <f>'Input Data'!$E9*'Input Data'!$E15*'Input Data'!$E14*AO33</f>
        <v>3.0569412444595296</v>
      </c>
      <c r="AP34" s="76">
        <f>'Input Data'!$E9*'Input Data'!$E15*'Input Data'!$E14*AP33</f>
        <v>2.7875503307401304</v>
      </c>
      <c r="AQ34" s="160"/>
      <c r="AU34" s="7"/>
      <c r="AV34" s="7"/>
      <c r="BB34" s="26" t="s">
        <v>57</v>
      </c>
      <c r="BC34" s="26"/>
      <c r="BD34" s="26">
        <f>'Input Data'!$F9*'Input Data'!$F15*'Input Data'!$F14*BD33</f>
        <v>0</v>
      </c>
      <c r="BE34" s="26">
        <f>'Input Data'!$F9*'Input Data'!$F15*'Input Data'!$F14*BE33</f>
        <v>4.9935331227280323E-3</v>
      </c>
      <c r="BF34" s="26">
        <f>'Input Data'!$F9*'Input Data'!$F15*'Input Data'!$F14*BF33</f>
        <v>2.4637803765011915E-2</v>
      </c>
      <c r="BG34" s="26">
        <f>'Input Data'!$F9*'Input Data'!$F15*'Input Data'!$F14*BG33</f>
        <v>7.1365508749041115E-2</v>
      </c>
      <c r="BH34" s="26">
        <f>'Input Data'!$F9*'Input Data'!$F15*'Input Data'!$F14*BH33</f>
        <v>0.15892925247284279</v>
      </c>
      <c r="BI34" s="26">
        <f>'Input Data'!$F9*'Input Data'!$F15*'Input Data'!$F14*BI33</f>
        <v>0.54010515574419504</v>
      </c>
      <c r="BJ34" s="26">
        <f>'Input Data'!$F9*'Input Data'!$F15*'Input Data'!$F14*BJ33</f>
        <v>1.1698927488827318</v>
      </c>
      <c r="BK34" s="26">
        <f>'Input Data'!$F9*'Input Data'!$F15*'Input Data'!$F14*BK33</f>
        <v>1.7362882287717096</v>
      </c>
      <c r="BL34" s="26">
        <f>'Input Data'!$F9*'Input Data'!$F15*'Input Data'!$F14*BL33</f>
        <v>2.0756372291043865</v>
      </c>
      <c r="BM34" s="26">
        <f>'Input Data'!$F9*'Input Data'!$F15*'Input Data'!$F14*BM33</f>
        <v>2.3604011527999704</v>
      </c>
      <c r="BN34" s="26">
        <f>'Input Data'!$F9*'Input Data'!$F15*'Input Data'!$F14*BN33</f>
        <v>2.6550764394181021</v>
      </c>
      <c r="BO34" s="26">
        <f>'Input Data'!$F9*'Input Data'!$F15*'Input Data'!$F14*BO33</f>
        <v>2.7936629209477677</v>
      </c>
      <c r="BP34" s="26">
        <f>'Input Data'!$F9*'Input Data'!$F15*'Input Data'!$F14*BP33</f>
        <v>2.9101615505977843</v>
      </c>
      <c r="BQ34" s="153"/>
      <c r="BU34" s="7"/>
      <c r="BV34" s="7"/>
    </row>
    <row r="35" spans="2:77" x14ac:dyDescent="0.25">
      <c r="B35" s="13" t="s">
        <v>38</v>
      </c>
      <c r="C35" s="13"/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0.02</v>
      </c>
      <c r="K35" s="13">
        <f>1/25</f>
        <v>0.04</v>
      </c>
      <c r="L35" s="13"/>
      <c r="M35" s="13">
        <f>2/36</f>
        <v>5.5555555555555552E-2</v>
      </c>
      <c r="N35" s="13"/>
      <c r="O35" s="13"/>
      <c r="P35" s="13">
        <f>4/66</f>
        <v>6.0606060606060608E-2</v>
      </c>
      <c r="Q35" s="154" t="s">
        <v>61</v>
      </c>
      <c r="R35" s="4"/>
      <c r="S35" s="4"/>
      <c r="T35" s="4"/>
      <c r="U35" s="4"/>
      <c r="V35" s="4"/>
      <c r="W35" s="4"/>
      <c r="X35" s="15"/>
      <c r="Y35" s="4"/>
      <c r="Z35" s="81">
        <f t="shared" si="2"/>
        <v>0</v>
      </c>
      <c r="AB35" s="13" t="s">
        <v>38</v>
      </c>
      <c r="AC35" s="13"/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0.02</v>
      </c>
      <c r="AK35" s="77">
        <f>1/25</f>
        <v>0.04</v>
      </c>
      <c r="AL35" s="77"/>
      <c r="AM35" s="77">
        <f>2/36</f>
        <v>5.5555555555555552E-2</v>
      </c>
      <c r="AN35" s="77"/>
      <c r="AO35" s="77"/>
      <c r="AP35" s="77">
        <f>4/66</f>
        <v>6.0606060606060608E-2</v>
      </c>
      <c r="AQ35" s="161" t="s">
        <v>61</v>
      </c>
      <c r="AR35" s="4"/>
      <c r="AS35" s="4"/>
      <c r="AT35" s="4"/>
      <c r="AU35" s="4"/>
      <c r="AV35" s="4"/>
      <c r="AW35" s="4"/>
      <c r="AX35" s="15"/>
      <c r="AY35" s="4"/>
      <c r="BB35" s="13" t="s">
        <v>38</v>
      </c>
      <c r="BC35" s="13"/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0.02</v>
      </c>
      <c r="BK35" s="13">
        <f>1/25</f>
        <v>0.04</v>
      </c>
      <c r="BL35" s="13"/>
      <c r="BM35" s="13">
        <f>2/36</f>
        <v>5.5555555555555552E-2</v>
      </c>
      <c r="BN35" s="13"/>
      <c r="BO35" s="13"/>
      <c r="BP35" s="13">
        <f>4/66</f>
        <v>6.0606060606060608E-2</v>
      </c>
      <c r="BQ35" s="154" t="s">
        <v>61</v>
      </c>
      <c r="BR35" s="4"/>
      <c r="BS35" s="4"/>
      <c r="BT35" s="4"/>
      <c r="BU35" s="4"/>
      <c r="BV35" s="4"/>
      <c r="BW35" s="4"/>
      <c r="BX35" s="15"/>
      <c r="BY35" s="4"/>
    </row>
    <row r="36" spans="2:77" x14ac:dyDescent="0.25">
      <c r="B36" s="13" t="s">
        <v>39</v>
      </c>
      <c r="C36" s="13"/>
      <c r="D36" s="13"/>
      <c r="E36" s="13"/>
      <c r="F36" s="13"/>
      <c r="G36" s="13"/>
      <c r="H36" s="13"/>
      <c r="I36" s="13">
        <v>0</v>
      </c>
      <c r="J36" s="13">
        <v>0</v>
      </c>
      <c r="K36" s="13">
        <f>1/24</f>
        <v>4.1666666666666664E-2</v>
      </c>
      <c r="L36" s="13"/>
      <c r="M36" s="13">
        <f>3.5/37</f>
        <v>9.45945945945946E-2</v>
      </c>
      <c r="N36" s="13"/>
      <c r="O36" s="13"/>
      <c r="P36" s="13">
        <f>4.5/42</f>
        <v>0.10714285714285714</v>
      </c>
      <c r="Q36" s="154"/>
      <c r="R36" s="4"/>
      <c r="S36" s="4"/>
      <c r="T36" s="4"/>
      <c r="U36" s="4"/>
      <c r="V36" s="4"/>
      <c r="W36" s="4"/>
      <c r="X36" s="4"/>
      <c r="Y36" s="4"/>
      <c r="Z36" s="81">
        <f t="shared" si="2"/>
        <v>0</v>
      </c>
      <c r="AB36" s="13" t="s">
        <v>39</v>
      </c>
      <c r="AC36" s="13"/>
      <c r="AD36" s="77"/>
      <c r="AE36" s="77"/>
      <c r="AF36" s="77"/>
      <c r="AG36" s="77"/>
      <c r="AH36" s="77"/>
      <c r="AI36" s="77">
        <v>0</v>
      </c>
      <c r="AJ36" s="77">
        <v>0</v>
      </c>
      <c r="AK36" s="77">
        <f>1/24</f>
        <v>4.1666666666666664E-2</v>
      </c>
      <c r="AL36" s="77"/>
      <c r="AM36" s="77">
        <f>3.5/37</f>
        <v>9.45945945945946E-2</v>
      </c>
      <c r="AN36" s="77"/>
      <c r="AO36" s="77"/>
      <c r="AP36" s="77">
        <f>4.5/42</f>
        <v>0.10714285714285714</v>
      </c>
      <c r="AQ36" s="161"/>
      <c r="AR36" s="4"/>
      <c r="AS36" s="4"/>
      <c r="AT36" s="4"/>
      <c r="AU36" s="4"/>
      <c r="AV36" s="4"/>
      <c r="AW36" s="4"/>
      <c r="AX36" s="4"/>
      <c r="AY36" s="4"/>
      <c r="BB36" s="13" t="s">
        <v>39</v>
      </c>
      <c r="BC36" s="13"/>
      <c r="BD36" s="13"/>
      <c r="BE36" s="13"/>
      <c r="BF36" s="13"/>
      <c r="BG36" s="13"/>
      <c r="BH36" s="13"/>
      <c r="BI36" s="13">
        <v>0</v>
      </c>
      <c r="BJ36" s="13">
        <v>0</v>
      </c>
      <c r="BK36" s="13">
        <f>1/24</f>
        <v>4.1666666666666664E-2</v>
      </c>
      <c r="BL36" s="13"/>
      <c r="BM36" s="13">
        <f>3.5/37</f>
        <v>9.45945945945946E-2</v>
      </c>
      <c r="BN36" s="13"/>
      <c r="BO36" s="13"/>
      <c r="BP36" s="13">
        <f>4.5/42</f>
        <v>0.10714285714285714</v>
      </c>
      <c r="BQ36" s="154"/>
      <c r="BR36" s="4"/>
      <c r="BS36" s="4"/>
      <c r="BT36" s="4"/>
      <c r="BU36" s="4"/>
      <c r="BV36" s="4"/>
      <c r="BW36" s="4"/>
      <c r="BX36" s="4"/>
      <c r="BY36" s="4"/>
    </row>
    <row r="37" spans="2:77" x14ac:dyDescent="0.25">
      <c r="B37" s="13" t="s">
        <v>40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0.01</v>
      </c>
      <c r="K37" s="13">
        <f>(K35+K36)/2</f>
        <v>4.0833333333333333E-2</v>
      </c>
      <c r="L37" s="13">
        <f>(K37+M37)/2</f>
        <v>5.7954204204204204E-2</v>
      </c>
      <c r="M37" s="13">
        <f>(M35+M36)/2</f>
        <v>7.5075075075075076E-2</v>
      </c>
      <c r="N37" s="13">
        <f>M37+(P37-M37)*1/3</f>
        <v>7.8008203008203006E-2</v>
      </c>
      <c r="O37" s="13">
        <f>M37+(P37-M37)*2/3</f>
        <v>8.094133094133095E-2</v>
      </c>
      <c r="P37" s="13">
        <f>(P35+P36)/2</f>
        <v>8.3874458874458879E-2</v>
      </c>
      <c r="Q37" s="154"/>
      <c r="R37" s="4"/>
      <c r="S37" s="4"/>
      <c r="T37" s="4"/>
      <c r="U37" s="4"/>
      <c r="V37" s="4"/>
      <c r="W37" s="4"/>
      <c r="X37" s="4"/>
      <c r="Y37" s="4"/>
      <c r="Z37" s="81">
        <f t="shared" si="2"/>
        <v>0</v>
      </c>
      <c r="AB37" s="13" t="s">
        <v>40</v>
      </c>
      <c r="AC37" s="13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0.01</v>
      </c>
      <c r="AK37" s="77">
        <f>(AK35+AK36)/2</f>
        <v>4.0833333333333333E-2</v>
      </c>
      <c r="AL37" s="77">
        <f>(AK37+AM37)/2</f>
        <v>5.7954204204204204E-2</v>
      </c>
      <c r="AM37" s="77">
        <f>(AM35+AM36)/2</f>
        <v>7.5075075075075076E-2</v>
      </c>
      <c r="AN37" s="77">
        <f>AM37+(AP37-AM37)*1/3</f>
        <v>7.8008203008203006E-2</v>
      </c>
      <c r="AO37" s="77">
        <f>AM37+(AP37-AM37)*2/3</f>
        <v>8.094133094133095E-2</v>
      </c>
      <c r="AP37" s="77">
        <f>(AP35+AP36)/2</f>
        <v>8.3874458874458879E-2</v>
      </c>
      <c r="AQ37" s="161"/>
      <c r="AR37" s="4"/>
      <c r="AS37" s="4"/>
      <c r="AT37" s="4"/>
      <c r="AU37" s="4"/>
      <c r="AV37" s="4"/>
      <c r="AW37" s="4"/>
      <c r="AX37" s="4"/>
      <c r="AY37" s="4"/>
      <c r="BB37" s="13" t="s">
        <v>40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0.01</v>
      </c>
      <c r="BK37" s="13">
        <f>(BK35+BK36)/2</f>
        <v>4.0833333333333333E-2</v>
      </c>
      <c r="BL37" s="13">
        <f>(BK37+BM37)/2</f>
        <v>5.7954204204204204E-2</v>
      </c>
      <c r="BM37" s="13">
        <f>(BM35+BM36)/2</f>
        <v>7.5075075075075076E-2</v>
      </c>
      <c r="BN37" s="13">
        <f>BM37+(BP37-BM37)*1/3</f>
        <v>7.8008203008203006E-2</v>
      </c>
      <c r="BO37" s="13">
        <f>BM37+(BP37-BM37)*2/3</f>
        <v>8.094133094133095E-2</v>
      </c>
      <c r="BP37" s="13">
        <f>(BP35+BP36)/2</f>
        <v>8.3874458874458879E-2</v>
      </c>
      <c r="BQ37" s="154"/>
      <c r="BR37" s="4"/>
      <c r="BS37" s="4"/>
      <c r="BT37" s="4"/>
      <c r="BU37" s="4"/>
      <c r="BV37" s="4"/>
      <c r="BW37" s="4"/>
      <c r="BX37" s="4"/>
      <c r="BY37" s="4"/>
    </row>
    <row r="38" spans="2:77" x14ac:dyDescent="0.25">
      <c r="B38" s="13" t="s">
        <v>60</v>
      </c>
      <c r="C38" s="13">
        <v>0</v>
      </c>
      <c r="D38" s="13">
        <f>D34*(1+D37)</f>
        <v>0</v>
      </c>
      <c r="E38" s="13">
        <f t="shared" ref="E38:P38" si="6">E34*(1+E37)</f>
        <v>3.5365598671450163E-3</v>
      </c>
      <c r="F38" s="13">
        <f t="shared" si="6"/>
        <v>2.6277037695480478E-2</v>
      </c>
      <c r="G38" s="13">
        <f t="shared" si="6"/>
        <v>8.7895136725138892E-2</v>
      </c>
      <c r="H38" s="13">
        <f t="shared" si="6"/>
        <v>0.17917603928144746</v>
      </c>
      <c r="I38" s="13">
        <f t="shared" si="6"/>
        <v>0.48891163528201925</v>
      </c>
      <c r="J38" s="13">
        <f t="shared" si="6"/>
        <v>1.0863219259368131</v>
      </c>
      <c r="K38" s="13">
        <f t="shared" si="6"/>
        <v>1.7506096385753263</v>
      </c>
      <c r="L38" s="13">
        <f t="shared" si="6"/>
        <v>2.2548511757902641</v>
      </c>
      <c r="M38" s="13">
        <f t="shared" si="6"/>
        <v>2.6183242391826287</v>
      </c>
      <c r="N38" s="13">
        <f t="shared" si="6"/>
        <v>2.9203391210187144</v>
      </c>
      <c r="O38" s="13">
        <f t="shared" si="6"/>
        <v>3.1050603189423249</v>
      </c>
      <c r="P38" s="13">
        <f t="shared" si="6"/>
        <v>3.2390901891207347</v>
      </c>
      <c r="Q38" s="154"/>
      <c r="R38" s="4"/>
      <c r="S38" s="4"/>
      <c r="T38" s="4"/>
      <c r="U38" s="4"/>
      <c r="V38" s="4"/>
      <c r="W38" s="4"/>
      <c r="X38" s="4"/>
      <c r="Y38" s="4"/>
      <c r="Z38" s="81">
        <f t="shared" si="2"/>
        <v>0</v>
      </c>
      <c r="AB38" s="13" t="s">
        <v>60</v>
      </c>
      <c r="AC38" s="13">
        <v>0</v>
      </c>
      <c r="AD38" s="77">
        <f>AD34*(1+AD37)</f>
        <v>0</v>
      </c>
      <c r="AE38" s="77">
        <f t="shared" ref="AE38:AP38" si="7">AE34*(1+AE37)</f>
        <v>5.7158682876010331E-3</v>
      </c>
      <c r="AF38" s="77">
        <f t="shared" si="7"/>
        <v>2.7912128953742982E-2</v>
      </c>
      <c r="AG38" s="77">
        <f t="shared" si="7"/>
        <v>8.7127452975137298E-2</v>
      </c>
      <c r="AH38" s="77">
        <f t="shared" si="7"/>
        <v>0.18145446905898993</v>
      </c>
      <c r="AI38" s="77">
        <f t="shared" si="7"/>
        <v>0.47800799359169627</v>
      </c>
      <c r="AJ38" s="77">
        <f t="shared" si="7"/>
        <v>1.0539771122059314</v>
      </c>
      <c r="AK38" s="77">
        <f t="shared" si="7"/>
        <v>1.7219903563656116</v>
      </c>
      <c r="AL38" s="77">
        <f t="shared" si="7"/>
        <v>2.3529584851618885</v>
      </c>
      <c r="AM38" s="77">
        <f t="shared" si="7"/>
        <v>2.7785903155777771</v>
      </c>
      <c r="AN38" s="77">
        <f t="shared" si="7"/>
        <v>3.1204212864455165</v>
      </c>
      <c r="AO38" s="77">
        <f t="shared" si="7"/>
        <v>3.3043741373955324</v>
      </c>
      <c r="AP38" s="77">
        <f t="shared" si="7"/>
        <v>3.0213546063162777</v>
      </c>
      <c r="AQ38" s="161"/>
      <c r="AR38" s="4"/>
      <c r="AS38" s="4"/>
      <c r="AT38" s="4"/>
      <c r="AU38" s="4"/>
      <c r="AV38" s="4"/>
      <c r="AW38" s="4"/>
      <c r="AX38" s="4"/>
      <c r="AY38" s="4"/>
      <c r="BB38" s="13" t="s">
        <v>60</v>
      </c>
      <c r="BC38" s="13">
        <v>0</v>
      </c>
      <c r="BD38" s="13">
        <f>BD34*(1+BD37)</f>
        <v>0</v>
      </c>
      <c r="BE38" s="13">
        <f t="shared" ref="BE38:BP38" si="8">BE34*(1+BE37)</f>
        <v>4.9935331227280323E-3</v>
      </c>
      <c r="BF38" s="13">
        <f t="shared" si="8"/>
        <v>2.4637803765011915E-2</v>
      </c>
      <c r="BG38" s="13">
        <f t="shared" si="8"/>
        <v>7.1365508749041115E-2</v>
      </c>
      <c r="BH38" s="13">
        <f t="shared" si="8"/>
        <v>0.15892925247284279</v>
      </c>
      <c r="BI38" s="13">
        <f t="shared" si="8"/>
        <v>0.54010515574419504</v>
      </c>
      <c r="BJ38" s="13">
        <f t="shared" si="8"/>
        <v>1.181591676371559</v>
      </c>
      <c r="BK38" s="13">
        <f t="shared" si="8"/>
        <v>1.8071866647798878</v>
      </c>
      <c r="BL38" s="13">
        <f t="shared" si="8"/>
        <v>2.1959291329337507</v>
      </c>
      <c r="BM38" s="13">
        <f t="shared" si="8"/>
        <v>2.5376084465537221</v>
      </c>
      <c r="BN38" s="13">
        <f t="shared" si="8"/>
        <v>2.8621941813065264</v>
      </c>
      <c r="BO38" s="13">
        <f t="shared" si="8"/>
        <v>3.019785715970726</v>
      </c>
      <c r="BP38" s="13">
        <f t="shared" si="8"/>
        <v>3.1542497758914294</v>
      </c>
      <c r="BQ38" s="154"/>
      <c r="BR38" s="4"/>
      <c r="BS38" s="4"/>
      <c r="BT38" s="4"/>
      <c r="BU38" s="4"/>
      <c r="BV38" s="4"/>
      <c r="BW38" s="4"/>
      <c r="BX38" s="4"/>
      <c r="BY38" s="4"/>
    </row>
    <row r="39" spans="2:77" x14ac:dyDescent="0.25">
      <c r="R39" s="4"/>
      <c r="S39" s="4"/>
      <c r="T39" s="4"/>
      <c r="U39" s="4"/>
      <c r="V39" s="4"/>
      <c r="W39" s="4"/>
      <c r="X39" s="4"/>
      <c r="Y39" s="4"/>
      <c r="Z39" s="81">
        <f t="shared" si="2"/>
        <v>0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4"/>
      <c r="AS39" s="4"/>
      <c r="AT39" s="4"/>
      <c r="AU39" s="4"/>
      <c r="AV39" s="4"/>
      <c r="AW39" s="4"/>
      <c r="AX39" s="4"/>
      <c r="AY39" s="4"/>
      <c r="BR39" s="4"/>
      <c r="BS39" s="4"/>
      <c r="BT39" s="4"/>
      <c r="BU39" s="4"/>
      <c r="BV39" s="4"/>
      <c r="BW39" s="4"/>
      <c r="BX39" s="4"/>
      <c r="BY39" s="4"/>
    </row>
    <row r="40" spans="2:77" x14ac:dyDescent="0.25">
      <c r="R40" s="4"/>
      <c r="S40" s="4"/>
      <c r="T40" s="4"/>
      <c r="U40" s="4"/>
      <c r="V40" s="4"/>
      <c r="W40" s="4"/>
      <c r="X40" s="4"/>
      <c r="Y40" s="4"/>
      <c r="Z40" s="81">
        <f t="shared" si="2"/>
        <v>0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4"/>
      <c r="AS40" s="4"/>
      <c r="AT40" s="4"/>
      <c r="AU40" s="4"/>
      <c r="AV40" s="4"/>
      <c r="AW40" s="4"/>
      <c r="AX40" s="4"/>
      <c r="AY40" s="4"/>
      <c r="BR40" s="4"/>
      <c r="BS40" s="4"/>
      <c r="BT40" s="4"/>
      <c r="BU40" s="4"/>
      <c r="BV40" s="4"/>
      <c r="BW40" s="4"/>
      <c r="BX40" s="4"/>
      <c r="BY40" s="4"/>
    </row>
    <row r="41" spans="2:77" x14ac:dyDescent="0.25">
      <c r="B41" s="11" t="s">
        <v>62</v>
      </c>
      <c r="C41" s="11" t="s">
        <v>67</v>
      </c>
      <c r="D41" s="11">
        <f>D24*'Input Data'!$D6*0.7/'Input Data'!$J$14</f>
        <v>297938.72551308008</v>
      </c>
      <c r="E41" s="11">
        <f>E24*'Input Data'!$D6*0.7/'Input Data'!$J$14</f>
        <v>397251.6340174402</v>
      </c>
      <c r="F41" s="11">
        <f>F24*'Input Data'!$D6*0.7/'Input Data'!$J$14</f>
        <v>496564.54252180015</v>
      </c>
      <c r="G41" s="11">
        <f>G24*'Input Data'!$D6*0.7/'Input Data'!$J$14</f>
        <v>595877.45102616015</v>
      </c>
      <c r="H41" s="11">
        <f>H24*'Input Data'!$D6*0.7/'Input Data'!$J$14</f>
        <v>695190.35953052016</v>
      </c>
      <c r="I41" s="11">
        <f>I24*'Input Data'!$D6*0.7/'Input Data'!$J$14</f>
        <v>794503.26803488017</v>
      </c>
      <c r="J41" s="11">
        <f>J24*'Input Data'!$D6*0.7/'Input Data'!$J$14</f>
        <v>893816.17653924017</v>
      </c>
      <c r="K41" s="11">
        <f>K24*'Input Data'!$D6*0.7/'Input Data'!$J$14</f>
        <v>993129.08504360006</v>
      </c>
      <c r="L41" s="11">
        <f>L24*'Input Data'!$D6*0.7/'Input Data'!$J$14</f>
        <v>1092441.9935479602</v>
      </c>
      <c r="M41" s="11">
        <f>M24*'Input Data'!$D6*0.7/'Input Data'!$J$14</f>
        <v>1191754.9020523203</v>
      </c>
      <c r="N41" s="11">
        <f>N24*'Input Data'!$D6*0.7/'Input Data'!$J$14</f>
        <v>1291067.8105566804</v>
      </c>
      <c r="O41" s="11">
        <f>O24*'Input Data'!$D6*0.7/'Input Data'!$J$14</f>
        <v>1390380.7190610406</v>
      </c>
      <c r="P41" s="11">
        <f>P24*'Input Data'!$D6*0.7/'Input Data'!$J$14</f>
        <v>1489693.6275654007</v>
      </c>
      <c r="Q41" s="155" t="s">
        <v>70</v>
      </c>
      <c r="R41" s="4"/>
      <c r="S41" s="18"/>
      <c r="T41" s="4"/>
      <c r="U41" s="4"/>
      <c r="V41" s="4"/>
      <c r="W41" s="4"/>
      <c r="X41" s="4"/>
      <c r="Y41" s="4"/>
      <c r="Z41" s="81">
        <f t="shared" si="2"/>
        <v>-552.86619564017747</v>
      </c>
      <c r="AB41" s="11" t="s">
        <v>62</v>
      </c>
      <c r="AC41" s="11" t="s">
        <v>67</v>
      </c>
      <c r="AD41" s="78">
        <f>AD24*'Input Data'!$E6*0.7/'Input Data'!$L$14</f>
        <v>303769.30625789624</v>
      </c>
      <c r="AE41" s="78">
        <f>AE24*'Input Data'!$E6*0.7/'Input Data'!$L$14</f>
        <v>405025.74167719501</v>
      </c>
      <c r="AF41" s="78">
        <f>AF24*'Input Data'!$E6*0.7/'Input Data'!$L$14</f>
        <v>506282.17709649372</v>
      </c>
      <c r="AG41" s="78">
        <f>AG24*'Input Data'!$E6*0.7/'Input Data'!$L$14</f>
        <v>607538.61251579248</v>
      </c>
      <c r="AH41" s="78">
        <f>AH24*'Input Data'!$E6*0.7/'Input Data'!$L$14</f>
        <v>708795.04793509119</v>
      </c>
      <c r="AI41" s="78">
        <f>AI24*'Input Data'!$E6*0.7/'Input Data'!$L$14</f>
        <v>810051.48335439002</v>
      </c>
      <c r="AJ41" s="78">
        <f>AJ24*'Input Data'!$E6*0.7/'Input Data'!$L$14</f>
        <v>911307.91877368873</v>
      </c>
      <c r="AK41" s="78">
        <f>AK24*'Input Data'!$E6*0.7/'Input Data'!$L$14</f>
        <v>1012564.3541929873</v>
      </c>
      <c r="AL41" s="78">
        <f>AL24*'Input Data'!$E6*0.7/'Input Data'!$L$14</f>
        <v>1113820.789612286</v>
      </c>
      <c r="AM41" s="78">
        <f>AM24*'Input Data'!$E6*0.7/'Input Data'!$L$14</f>
        <v>1215077.225031585</v>
      </c>
      <c r="AN41" s="78">
        <f>AN24*'Input Data'!$E6*0.7/'Input Data'!$L$14</f>
        <v>1316333.6604508837</v>
      </c>
      <c r="AO41" s="78">
        <f>AO24*'Input Data'!$E6*0.7/'Input Data'!$L$14</f>
        <v>1417590.0958701826</v>
      </c>
      <c r="AP41" s="78">
        <f>AP24*'Input Data'!$E6*0.7/'Input Data'!$L$14</f>
        <v>1518846.5312894816</v>
      </c>
      <c r="AQ41" s="162" t="s">
        <v>70</v>
      </c>
      <c r="AR41" s="4"/>
      <c r="AS41" s="18"/>
      <c r="AT41" s="4"/>
      <c r="AU41" s="4"/>
      <c r="AV41" s="4"/>
      <c r="AW41" s="4"/>
      <c r="AX41" s="4"/>
      <c r="AY41" s="4"/>
      <c r="BB41" s="11" t="s">
        <v>62</v>
      </c>
      <c r="BC41" s="11" t="s">
        <v>67</v>
      </c>
      <c r="BD41" s="11">
        <f>BD24*'Input Data'!$F6*0.7/'Input Data'!$N$14</f>
        <v>304322.17245353642</v>
      </c>
      <c r="BE41" s="11">
        <f>BE24*'Input Data'!$F6*0.7/'Input Data'!$N$14</f>
        <v>405762.89660471526</v>
      </c>
      <c r="BF41" s="11">
        <f>BF24*'Input Data'!$F6*0.7/'Input Data'!$N$14</f>
        <v>507203.62075589411</v>
      </c>
      <c r="BG41" s="11">
        <f>BG24*'Input Data'!$F6*0.7/'Input Data'!$N$14</f>
        <v>608644.34490707284</v>
      </c>
      <c r="BH41" s="11">
        <f>BH24*'Input Data'!$F6*0.7/'Input Data'!$N$14</f>
        <v>710085.06905825168</v>
      </c>
      <c r="BI41" s="11">
        <f>BI24*'Input Data'!$F6*0.7/'Input Data'!$N$14</f>
        <v>811525.79320943041</v>
      </c>
      <c r="BJ41" s="11">
        <f>BJ24*'Input Data'!$F6*0.7/'Input Data'!$N$14</f>
        <v>912966.51736060937</v>
      </c>
      <c r="BK41" s="11">
        <f>BK24*'Input Data'!$F6*0.7/'Input Data'!$N$14</f>
        <v>1014407.241511788</v>
      </c>
      <c r="BL41" s="11">
        <f>BL24*'Input Data'!$F6*0.7/'Input Data'!$N$14</f>
        <v>1115847.9656629667</v>
      </c>
      <c r="BM41" s="11">
        <f>BM24*'Input Data'!$F6*0.7/'Input Data'!$N$14</f>
        <v>1217288.6898141457</v>
      </c>
      <c r="BN41" s="11">
        <f>BN24*'Input Data'!$F6*0.7/'Input Data'!$N$14</f>
        <v>1318729.4139653249</v>
      </c>
      <c r="BO41" s="11">
        <f>BO24*'Input Data'!$F6*0.7/'Input Data'!$N$14</f>
        <v>1420170.1381165034</v>
      </c>
      <c r="BP41" s="11">
        <f>BP24*'Input Data'!$F6*0.7/'Input Data'!$N$14</f>
        <v>1521610.8622676826</v>
      </c>
      <c r="BQ41" s="155" t="s">
        <v>70</v>
      </c>
      <c r="BR41" s="4"/>
      <c r="BS41" s="18"/>
      <c r="BT41" s="4"/>
      <c r="BU41" s="4"/>
      <c r="BV41" s="4"/>
      <c r="BW41" s="4"/>
      <c r="BX41" s="4"/>
      <c r="BY41" s="4"/>
    </row>
    <row r="42" spans="2:77" x14ac:dyDescent="0.25">
      <c r="B42" s="11" t="s">
        <v>63</v>
      </c>
      <c r="C42" s="11"/>
      <c r="D42" s="11">
        <f>1.328/SQRT(D41)*1.4</f>
        <v>3.4061410855264237E-3</v>
      </c>
      <c r="E42" s="11">
        <f t="shared" ref="E42:P42" si="9">1.328/SQRT(E41)*1.4</f>
        <v>2.949804708939787E-3</v>
      </c>
      <c r="F42" s="11">
        <f t="shared" si="9"/>
        <v>2.6383855398153383E-3</v>
      </c>
      <c r="G42" s="11">
        <f t="shared" si="9"/>
        <v>2.4085054592538424E-3</v>
      </c>
      <c r="H42" s="11">
        <f t="shared" si="9"/>
        <v>2.2298427645891274E-3</v>
      </c>
      <c r="I42" s="11">
        <f t="shared" si="9"/>
        <v>2.0858269128673336E-3</v>
      </c>
      <c r="J42" s="11">
        <f t="shared" si="9"/>
        <v>1.9665364726265248E-3</v>
      </c>
      <c r="K42" s="11">
        <f t="shared" si="9"/>
        <v>1.8656203065879559E-3</v>
      </c>
      <c r="L42" s="11">
        <f t="shared" si="9"/>
        <v>1.7787991680685079E-3</v>
      </c>
      <c r="M42" s="11">
        <f t="shared" si="9"/>
        <v>1.7030705427632119E-3</v>
      </c>
      <c r="N42" s="11">
        <f t="shared" si="9"/>
        <v>1.6362572508750047E-3</v>
      </c>
      <c r="O42" s="11">
        <f t="shared" si="9"/>
        <v>1.5767369398207302E-3</v>
      </c>
      <c r="P42" s="11">
        <f t="shared" si="9"/>
        <v>1.5232726016384014E-3</v>
      </c>
      <c r="Q42" s="155"/>
      <c r="Z42" s="81">
        <f t="shared" si="2"/>
        <v>3.0655470976410741E-6</v>
      </c>
      <c r="AB42" s="11" t="s">
        <v>63</v>
      </c>
      <c r="AC42" s="11"/>
      <c r="AD42" s="78">
        <f>1.328/SQRT(AD41)*1.4</f>
        <v>3.3732937839624265E-3</v>
      </c>
      <c r="AE42" s="78">
        <f t="shared" ref="AE42:AP42" si="10">1.328/SQRT(AE41)*1.4</f>
        <v>2.9213581113395975E-3</v>
      </c>
      <c r="AF42" s="78">
        <f t="shared" si="10"/>
        <v>2.612942129430296E-3</v>
      </c>
      <c r="AG42" s="78">
        <f t="shared" si="10"/>
        <v>2.3852789095742608E-3</v>
      </c>
      <c r="AH42" s="78">
        <f t="shared" si="10"/>
        <v>2.2083391580474047E-3</v>
      </c>
      <c r="AI42" s="78">
        <f t="shared" si="10"/>
        <v>2.0657121308025545E-3</v>
      </c>
      <c r="AJ42" s="78">
        <f t="shared" si="10"/>
        <v>1.9475720742263983E-3</v>
      </c>
      <c r="AK42" s="78">
        <f t="shared" si="10"/>
        <v>1.8476290985681798E-3</v>
      </c>
      <c r="AL42" s="78">
        <f t="shared" si="10"/>
        <v>1.7616452242863166E-3</v>
      </c>
      <c r="AM42" s="78">
        <f t="shared" si="10"/>
        <v>1.6866468919812133E-3</v>
      </c>
      <c r="AN42" s="78">
        <f t="shared" si="10"/>
        <v>1.6204779176042397E-3</v>
      </c>
      <c r="AO42" s="78">
        <f t="shared" si="10"/>
        <v>1.5615315938151109E-3</v>
      </c>
      <c r="AP42" s="78">
        <f t="shared" si="10"/>
        <v>1.5085828418034952E-3</v>
      </c>
      <c r="AQ42" s="162"/>
      <c r="BB42" s="11" t="s">
        <v>63</v>
      </c>
      <c r="BC42" s="11"/>
      <c r="BD42" s="11">
        <f>1.328/SQRT(BD41)*1.4</f>
        <v>3.3702282368647855E-3</v>
      </c>
      <c r="BE42" s="11">
        <f t="shared" ref="BE42:BP42" si="11">1.328/SQRT(BE41)*1.4</f>
        <v>2.9187032696765427E-3</v>
      </c>
      <c r="BF42" s="11">
        <f t="shared" si="11"/>
        <v>2.61056756685906E-3</v>
      </c>
      <c r="BG42" s="11">
        <f t="shared" si="11"/>
        <v>2.3831112404334716E-3</v>
      </c>
      <c r="BH42" s="11">
        <f t="shared" si="11"/>
        <v>2.2063322863872057E-3</v>
      </c>
      <c r="BI42" s="11">
        <f t="shared" si="11"/>
        <v>2.0638348742596318E-3</v>
      </c>
      <c r="BJ42" s="11">
        <f t="shared" si="11"/>
        <v>1.9458021797843614E-3</v>
      </c>
      <c r="BK42" s="11">
        <f t="shared" si="11"/>
        <v>1.8459500292717069E-3</v>
      </c>
      <c r="BL42" s="11">
        <f t="shared" si="11"/>
        <v>1.7600442945273785E-3</v>
      </c>
      <c r="BM42" s="11">
        <f t="shared" si="11"/>
        <v>1.6851141184323927E-3</v>
      </c>
      <c r="BN42" s="11">
        <f t="shared" si="11"/>
        <v>1.6190052764127956E-3</v>
      </c>
      <c r="BO42" s="11">
        <f t="shared" si="11"/>
        <v>1.5601125212552126E-3</v>
      </c>
      <c r="BP42" s="11">
        <f t="shared" si="11"/>
        <v>1.5072118874637842E-3</v>
      </c>
      <c r="BQ42" s="155"/>
    </row>
    <row r="43" spans="2:77" x14ac:dyDescent="0.25">
      <c r="B43" s="11" t="s">
        <v>64</v>
      </c>
      <c r="C43" s="11"/>
      <c r="D43" s="11">
        <f>0.075*1.4/(LOG(D41)-2)^2</f>
        <v>8.699572850540082E-3</v>
      </c>
      <c r="E43" s="11">
        <f t="shared" ref="E43:P43" si="12">0.075*1.4/(LOG(E41)-2)^2</f>
        <v>8.1060588355492819E-3</v>
      </c>
      <c r="F43" s="11">
        <f t="shared" si="12"/>
        <v>7.6865433963058481E-3</v>
      </c>
      <c r="G43" s="11">
        <f t="shared" si="12"/>
        <v>7.3674852490615188E-3</v>
      </c>
      <c r="H43" s="11">
        <f t="shared" si="12"/>
        <v>7.1129724216848489E-3</v>
      </c>
      <c r="I43" s="11">
        <f t="shared" si="12"/>
        <v>6.9030143170580793E-3</v>
      </c>
      <c r="J43" s="11">
        <f t="shared" si="12"/>
        <v>6.7254395699434671E-3</v>
      </c>
      <c r="K43" s="11">
        <f t="shared" si="12"/>
        <v>6.5723360869782005E-3</v>
      </c>
      <c r="L43" s="11">
        <f t="shared" si="12"/>
        <v>6.4382965971799206E-3</v>
      </c>
      <c r="M43" s="11">
        <f t="shared" si="12"/>
        <v>6.3194766167706E-3</v>
      </c>
      <c r="N43" s="11">
        <f t="shared" si="12"/>
        <v>6.2130537363099675E-3</v>
      </c>
      <c r="O43" s="11">
        <f t="shared" si="12"/>
        <v>6.116900198710213E-3</v>
      </c>
      <c r="P43" s="11">
        <f t="shared" si="12"/>
        <v>6.0293757257682858E-3</v>
      </c>
      <c r="Q43" s="155"/>
      <c r="Z43" s="81">
        <f t="shared" si="2"/>
        <v>3.9250694237238232E-6</v>
      </c>
      <c r="AB43" s="11" t="s">
        <v>64</v>
      </c>
      <c r="AC43" s="11"/>
      <c r="AD43" s="78">
        <f>0.075*1.4/(LOG(AD41)-2)^2</f>
        <v>8.6575718057645273E-3</v>
      </c>
      <c r="AE43" s="78">
        <f t="shared" ref="AE43:AP43" si="13">0.075*1.4/(LOG(AE41)-2)^2</f>
        <v>8.0682770512657629E-3</v>
      </c>
      <c r="AF43" s="78">
        <f t="shared" si="13"/>
        <v>7.6516531286528692E-3</v>
      </c>
      <c r="AG43" s="78">
        <f t="shared" si="13"/>
        <v>7.3347423127728987E-3</v>
      </c>
      <c r="AH43" s="78">
        <f t="shared" si="13"/>
        <v>7.0819096188134319E-3</v>
      </c>
      <c r="AI43" s="78">
        <f t="shared" si="13"/>
        <v>6.8733152175726158E-3</v>
      </c>
      <c r="AJ43" s="78">
        <f t="shared" si="13"/>
        <v>6.6968778545435977E-3</v>
      </c>
      <c r="AK43" s="78">
        <f t="shared" si="13"/>
        <v>6.5447430967061071E-3</v>
      </c>
      <c r="AL43" s="78">
        <f t="shared" si="13"/>
        <v>6.4115425420037016E-3</v>
      </c>
      <c r="AM43" s="78">
        <f t="shared" si="13"/>
        <v>6.2934590083907303E-3</v>
      </c>
      <c r="AN43" s="78">
        <f t="shared" si="13"/>
        <v>6.1876899130833066E-3</v>
      </c>
      <c r="AO43" s="78">
        <f t="shared" si="13"/>
        <v>6.0921222995207218E-3</v>
      </c>
      <c r="AP43" s="78">
        <f t="shared" si="13"/>
        <v>6.0051271971162147E-3</v>
      </c>
      <c r="AQ43" s="162"/>
      <c r="BB43" s="11" t="s">
        <v>64</v>
      </c>
      <c r="BC43" s="11"/>
      <c r="BD43" s="11">
        <f>0.075*1.4/(LOG(BD41)-2)^2</f>
        <v>8.6536467363408035E-3</v>
      </c>
      <c r="BE43" s="11">
        <f t="shared" ref="BE43:BP43" si="14">0.075*1.4/(LOG(BE41)-2)^2</f>
        <v>8.0647457927856096E-3</v>
      </c>
      <c r="BF43" s="11">
        <f t="shared" si="14"/>
        <v>7.6483917971563783E-3</v>
      </c>
      <c r="BG43" s="11">
        <f t="shared" si="14"/>
        <v>7.3316814614817639E-3</v>
      </c>
      <c r="BH43" s="11">
        <f t="shared" si="14"/>
        <v>7.0790056438178681E-3</v>
      </c>
      <c r="BI43" s="11">
        <f t="shared" si="14"/>
        <v>6.8705385833188609E-3</v>
      </c>
      <c r="BJ43" s="11">
        <f t="shared" si="14"/>
        <v>6.6942074346704366E-3</v>
      </c>
      <c r="BK43" s="11">
        <f t="shared" si="14"/>
        <v>6.542163146203055E-3</v>
      </c>
      <c r="BL43" s="11">
        <f t="shared" si="14"/>
        <v>6.4090409436970384E-3</v>
      </c>
      <c r="BM43" s="11">
        <f t="shared" si="14"/>
        <v>6.2910261934772263E-3</v>
      </c>
      <c r="BN43" s="11">
        <f t="shared" si="14"/>
        <v>6.1853181635018175E-3</v>
      </c>
      <c r="BO43" s="11">
        <f t="shared" si="14"/>
        <v>6.0898052788509209E-3</v>
      </c>
      <c r="BP43" s="11">
        <f t="shared" si="14"/>
        <v>6.0028596245599933E-3</v>
      </c>
      <c r="BQ43" s="155"/>
    </row>
    <row r="44" spans="2:77" x14ac:dyDescent="0.25">
      <c r="B44" s="11" t="s">
        <v>65</v>
      </c>
      <c r="C44" s="11"/>
      <c r="D44" s="11">
        <f>IF(D41&lt;420000,0.35,IF(D41&gt;840000,1,0.35+0.65*(D41-420000)/42000))</f>
        <v>0.35</v>
      </c>
      <c r="E44" s="11">
        <f>IF(E41&lt;420000,0.35,IF(E41&gt;840000,1,(0.35+0.65*(E41-420000)/420000)))</f>
        <v>0.35</v>
      </c>
      <c r="F44" s="11">
        <f>IF(F41&lt;420000,0.35,IF(F41&gt;840000,1,(0.35+0.65*(F41-420000)/420000)))</f>
        <v>0.46849274437897642</v>
      </c>
      <c r="G44" s="11">
        <f t="shared" ref="G44:P44" si="15">IF(G41&lt;420000,0.35,IF(G41&gt;840000,1,(0.35+0.65*(G41-420000)/420000)))</f>
        <v>0.62219129325477163</v>
      </c>
      <c r="H44" s="11">
        <f t="shared" si="15"/>
        <v>0.77588984213056689</v>
      </c>
      <c r="I44" s="11">
        <f t="shared" si="15"/>
        <v>0.92958839100636215</v>
      </c>
      <c r="J44" s="11">
        <f t="shared" si="15"/>
        <v>1</v>
      </c>
      <c r="K44" s="11">
        <f t="shared" si="15"/>
        <v>1</v>
      </c>
      <c r="L44" s="11">
        <f t="shared" si="15"/>
        <v>1</v>
      </c>
      <c r="M44" s="11">
        <f t="shared" si="15"/>
        <v>1</v>
      </c>
      <c r="N44" s="11">
        <f t="shared" si="15"/>
        <v>1</v>
      </c>
      <c r="O44" s="11">
        <f t="shared" si="15"/>
        <v>1</v>
      </c>
      <c r="P44" s="11">
        <f t="shared" si="15"/>
        <v>1</v>
      </c>
      <c r="Q44" s="155"/>
      <c r="Z44" s="81">
        <f t="shared" si="2"/>
        <v>0</v>
      </c>
      <c r="AB44" s="11" t="s">
        <v>65</v>
      </c>
      <c r="AC44" s="11"/>
      <c r="AD44" s="78">
        <f>IF(AD41&lt;420000,0.35,IF(AD41&gt;840000,1,0.35+0.65*(AD41-420000)/42000))</f>
        <v>0.35</v>
      </c>
      <c r="AE44" s="78">
        <f>IF(AE41&lt;420000,0.35,IF(AE41&gt;840000,1,(0.35+0.65*(AE41-420000)/420000)))</f>
        <v>0.35</v>
      </c>
      <c r="AF44" s="78">
        <f>IF(AF41&lt;420000,0.35,IF(AF41&gt;840000,1,(0.35+0.65*(AF41-420000)/420000)))</f>
        <v>0.48353194074457362</v>
      </c>
      <c r="AG44" s="78">
        <f t="shared" ref="AG44:AP44" si="16">IF(AG41&lt;420000,0.35,IF(AG41&gt;840000,1,(0.35+0.65*(AG41-420000)/420000)))</f>
        <v>0.64023832889348831</v>
      </c>
      <c r="AH44" s="78">
        <f t="shared" si="16"/>
        <v>0.79694471704240311</v>
      </c>
      <c r="AI44" s="78">
        <f t="shared" si="16"/>
        <v>0.95365110519131779</v>
      </c>
      <c r="AJ44" s="78">
        <f t="shared" si="16"/>
        <v>1</v>
      </c>
      <c r="AK44" s="78">
        <f t="shared" si="16"/>
        <v>1</v>
      </c>
      <c r="AL44" s="78">
        <f t="shared" si="16"/>
        <v>1</v>
      </c>
      <c r="AM44" s="78">
        <f t="shared" si="16"/>
        <v>1</v>
      </c>
      <c r="AN44" s="78">
        <f t="shared" si="16"/>
        <v>1</v>
      </c>
      <c r="AO44" s="78">
        <f t="shared" si="16"/>
        <v>1</v>
      </c>
      <c r="AP44" s="78">
        <f t="shared" si="16"/>
        <v>1</v>
      </c>
      <c r="AQ44" s="162"/>
      <c r="BB44" s="11" t="s">
        <v>65</v>
      </c>
      <c r="BC44" s="11"/>
      <c r="BD44" s="11">
        <f>IF(BD41&lt;420000,0.35,IF(BD41&gt;840000,1,0.35+0.65*(BD41-420000)/42000))</f>
        <v>0.35</v>
      </c>
      <c r="BE44" s="11">
        <f>IF(BE41&lt;420000,0.35,IF(BE41&gt;840000,1,(0.35+0.65*(BE41-420000)/420000)))</f>
        <v>0.35</v>
      </c>
      <c r="BF44" s="11">
        <f>IF(BF41&lt;420000,0.35,IF(BF41&gt;840000,1,(0.35+0.65*(BF41-420000)/420000)))</f>
        <v>0.4849579845031694</v>
      </c>
      <c r="BG44" s="11">
        <f t="shared" ref="BG44:BP44" si="17">IF(BG41&lt;420000,0.35,IF(BG41&gt;840000,1,(0.35+0.65*(BG41-420000)/420000)))</f>
        <v>0.6419495814038032</v>
      </c>
      <c r="BH44" s="11">
        <f t="shared" si="17"/>
        <v>0.79894117830443712</v>
      </c>
      <c r="BI44" s="11">
        <f t="shared" si="17"/>
        <v>0.95593277520507081</v>
      </c>
      <c r="BJ44" s="11">
        <f t="shared" si="17"/>
        <v>1</v>
      </c>
      <c r="BK44" s="11">
        <f t="shared" si="17"/>
        <v>1</v>
      </c>
      <c r="BL44" s="11">
        <f t="shared" si="17"/>
        <v>1</v>
      </c>
      <c r="BM44" s="11">
        <f t="shared" si="17"/>
        <v>1</v>
      </c>
      <c r="BN44" s="11">
        <f t="shared" si="17"/>
        <v>1</v>
      </c>
      <c r="BO44" s="11">
        <f t="shared" si="17"/>
        <v>1</v>
      </c>
      <c r="BP44" s="11">
        <f t="shared" si="17"/>
        <v>1</v>
      </c>
      <c r="BQ44" s="155"/>
    </row>
    <row r="45" spans="2:77" x14ac:dyDescent="0.25">
      <c r="B45" s="11" t="s">
        <v>66</v>
      </c>
      <c r="C45" s="11"/>
      <c r="D45" s="11">
        <f>D44*D43+(1-D44)*D42</f>
        <v>5.2588422032812041E-3</v>
      </c>
      <c r="E45" s="11">
        <f t="shared" ref="E45:P45" si="18">E44*E43+(1-E44)*E42</f>
        <v>4.7544936532531099E-3</v>
      </c>
      <c r="F45" s="11">
        <f t="shared" si="18"/>
        <v>5.0034108680608678E-3</v>
      </c>
      <c r="G45" s="11">
        <f t="shared" si="18"/>
        <v>5.4939395078985563E-3</v>
      </c>
      <c r="H45" s="11">
        <f t="shared" si="18"/>
        <v>6.0186134633362157E-3</v>
      </c>
      <c r="I45" s="11">
        <f t="shared" si="18"/>
        <v>6.5638284011051238E-3</v>
      </c>
      <c r="J45" s="11">
        <f t="shared" si="18"/>
        <v>6.7254395699434671E-3</v>
      </c>
      <c r="K45" s="11">
        <f t="shared" si="18"/>
        <v>6.5723360869782005E-3</v>
      </c>
      <c r="L45" s="11">
        <f t="shared" si="18"/>
        <v>6.4382965971799206E-3</v>
      </c>
      <c r="M45" s="11">
        <f t="shared" si="18"/>
        <v>6.3194766167706E-3</v>
      </c>
      <c r="N45" s="11">
        <f t="shared" si="18"/>
        <v>6.2130537363099675E-3</v>
      </c>
      <c r="O45" s="11">
        <f t="shared" si="18"/>
        <v>6.116900198710213E-3</v>
      </c>
      <c r="P45" s="11">
        <f t="shared" si="18"/>
        <v>6.0293757257682858E-3</v>
      </c>
      <c r="Q45" s="155"/>
      <c r="Z45" s="81">
        <f t="shared" si="2"/>
        <v>3.3663799117698845E-6</v>
      </c>
      <c r="AB45" s="11" t="s">
        <v>66</v>
      </c>
      <c r="AC45" s="11"/>
      <c r="AD45" s="78">
        <f>AD44*AD43+(1-AD44)*AD42</f>
        <v>5.2227910915931619E-3</v>
      </c>
      <c r="AE45" s="78">
        <f t="shared" ref="AE45:AP45" si="19">AE44*AE43+(1-AE44)*AE42</f>
        <v>4.7227797403137555E-3</v>
      </c>
      <c r="AF45" s="78">
        <f t="shared" si="19"/>
        <v>5.0493198377354167E-3</v>
      </c>
      <c r="AG45" s="78">
        <f t="shared" si="19"/>
        <v>5.5541150877576346E-3</v>
      </c>
      <c r="AH45" s="78">
        <f t="shared" si="19"/>
        <v>6.0923053898888002E-3</v>
      </c>
      <c r="AI45" s="78">
        <f t="shared" si="19"/>
        <v>6.6504881278220147E-3</v>
      </c>
      <c r="AJ45" s="78">
        <f t="shared" si="19"/>
        <v>6.6968778545435977E-3</v>
      </c>
      <c r="AK45" s="78">
        <f t="shared" si="19"/>
        <v>6.5447430967061071E-3</v>
      </c>
      <c r="AL45" s="78">
        <f t="shared" si="19"/>
        <v>6.4115425420037016E-3</v>
      </c>
      <c r="AM45" s="78">
        <f t="shared" si="19"/>
        <v>6.2934590083907303E-3</v>
      </c>
      <c r="AN45" s="78">
        <f t="shared" si="19"/>
        <v>6.1876899130833066E-3</v>
      </c>
      <c r="AO45" s="78">
        <f t="shared" si="19"/>
        <v>6.0921222995207218E-3</v>
      </c>
      <c r="AP45" s="78">
        <f t="shared" si="19"/>
        <v>6.0051271971162147E-3</v>
      </c>
      <c r="AQ45" s="162"/>
      <c r="BB45" s="11" t="s">
        <v>66</v>
      </c>
      <c r="BC45" s="11"/>
      <c r="BD45" s="11">
        <f>BD44*BD43+(1-BD44)*BD42</f>
        <v>5.2194247116813921E-3</v>
      </c>
      <c r="BE45" s="11">
        <f t="shared" ref="BE45:BP45" si="20">BE44*BE43+(1-BE44)*BE42</f>
        <v>4.7198181527647156E-3</v>
      </c>
      <c r="BF45" s="11">
        <f t="shared" si="20"/>
        <v>5.0537006518652783E-3</v>
      </c>
      <c r="BG45" s="11">
        <f t="shared" si="20"/>
        <v>5.5598438223827488E-3</v>
      </c>
      <c r="BH45" s="11">
        <f t="shared" si="20"/>
        <v>6.0993116800654966E-3</v>
      </c>
      <c r="BI45" s="11">
        <f t="shared" si="20"/>
        <v>6.6587204904491274E-3</v>
      </c>
      <c r="BJ45" s="11">
        <f t="shared" si="20"/>
        <v>6.6942074346704366E-3</v>
      </c>
      <c r="BK45" s="11">
        <f t="shared" si="20"/>
        <v>6.542163146203055E-3</v>
      </c>
      <c r="BL45" s="11">
        <f t="shared" si="20"/>
        <v>6.4090409436970384E-3</v>
      </c>
      <c r="BM45" s="11">
        <f t="shared" si="20"/>
        <v>6.2910261934772263E-3</v>
      </c>
      <c r="BN45" s="11">
        <f t="shared" si="20"/>
        <v>6.1853181635018175E-3</v>
      </c>
      <c r="BO45" s="11">
        <f t="shared" si="20"/>
        <v>6.0898052788509209E-3</v>
      </c>
      <c r="BP45" s="11">
        <f t="shared" si="20"/>
        <v>6.0028596245599933E-3</v>
      </c>
      <c r="BQ45" s="155"/>
    </row>
    <row r="46" spans="2:77" x14ac:dyDescent="0.25">
      <c r="B46" s="11" t="s">
        <v>69</v>
      </c>
      <c r="C46" s="11"/>
      <c r="D46" s="11">
        <f>D45*'Input Data'!$D5*D24^2*'Input Data'!$D15/2</f>
        <v>8.5303539855836205E-2</v>
      </c>
      <c r="E46" s="11">
        <f>E45*'Input Data'!$D5*E24^2*'Input Data'!$D15/2</f>
        <v>0.13710669405657133</v>
      </c>
      <c r="F46" s="11">
        <f>F45*'Input Data'!$D5*F24^2*'Input Data'!$D15/2</f>
        <v>0.22544498595593443</v>
      </c>
      <c r="G46" s="11">
        <f>G45*'Input Data'!$D5*G24^2*'Input Data'!$D15/2</f>
        <v>0.35646818798644803</v>
      </c>
      <c r="H46" s="11">
        <f>H45*'Input Data'!$D5*H24^2*'Input Data'!$D15/2</f>
        <v>0.53152896622981616</v>
      </c>
      <c r="I46" s="11">
        <f>I45*'Input Data'!$D5*I24^2*'Input Data'!$D15/2</f>
        <v>0.75713199180686275</v>
      </c>
      <c r="J46" s="11">
        <f>J45*'Input Data'!$D5*J24^2*'Input Data'!$D15/2</f>
        <v>0.98183859146840358</v>
      </c>
      <c r="K46" s="11">
        <f>K45*'Input Data'!$D5*K24^2*'Input Data'!$D15/2</f>
        <v>1.1845521032740867</v>
      </c>
      <c r="L46" s="11">
        <f>L45*'Input Data'!$D5*L24^2*'Input Data'!$D15/2</f>
        <v>1.4040764480792094</v>
      </c>
      <c r="M46" s="11">
        <f>M45*'Input Data'!$D5*M24^2*'Input Data'!$D15/2</f>
        <v>1.6401290005936771</v>
      </c>
      <c r="N46" s="11">
        <f>N45*'Input Data'!$D5*N24^2*'Input Data'!$D15/2</f>
        <v>1.8924578654466135</v>
      </c>
      <c r="O46" s="11">
        <f>O45*'Input Data'!$D5*O24^2*'Input Data'!$D15/2</f>
        <v>2.1608363181702943</v>
      </c>
      <c r="P46" s="11">
        <f>P45*'Input Data'!$D5*P24^2*'Input Data'!$D15/2</f>
        <v>2.4450585920222943</v>
      </c>
      <c r="Q46" s="155"/>
      <c r="Z46" s="81">
        <f t="shared" si="2"/>
        <v>3.2300801138458041E-3</v>
      </c>
      <c r="AB46" s="11" t="s">
        <v>69</v>
      </c>
      <c r="AC46" s="11"/>
      <c r="AD46" s="78">
        <f>AD45*'Input Data'!$E5*AD24^2*'Input Data'!$E15/2</f>
        <v>8.9426758676545898E-2</v>
      </c>
      <c r="AE46" s="78">
        <f>AE45*'Input Data'!$E5*AE24^2*'Input Data'!$E15/2</f>
        <v>0.14376064078052583</v>
      </c>
      <c r="AF46" s="78">
        <f>AF45*'Input Data'!$E5*AF24^2*'Input Data'!$E15/2</f>
        <v>0.24015698092958535</v>
      </c>
      <c r="AG46" s="78">
        <f>AG45*'Input Data'!$E5*AG24^2*'Input Data'!$E15/2</f>
        <v>0.38039929294828839</v>
      </c>
      <c r="AH46" s="78">
        <f>AH45*'Input Data'!$E5*AH24^2*'Input Data'!$E15/2</f>
        <v>0.56793687943248616</v>
      </c>
      <c r="AI46" s="78">
        <f>AI45*'Input Data'!$E5*AI24^2*'Input Data'!$E15/2</f>
        <v>0.80975907184310525</v>
      </c>
      <c r="AJ46" s="78">
        <f>AJ45*'Input Data'!$E5*AJ24^2*'Input Data'!$E15/2</f>
        <v>1.0320000596495289</v>
      </c>
      <c r="AK46" s="78">
        <f>AK45*'Input Data'!$E5*AK24^2*'Input Data'!$E15/2</f>
        <v>1.2451306659707331</v>
      </c>
      <c r="AL46" s="78">
        <f>AL45*'Input Data'!$E5*AL24^2*'Input Data'!$E15/2</f>
        <v>1.4759451703281616</v>
      </c>
      <c r="AM46" s="78">
        <f>AM45*'Input Data'!$E5*AM24^2*'Input Data'!$E15/2</f>
        <v>1.7241467410481131</v>
      </c>
      <c r="AN46" s="78">
        <f>AN45*'Input Data'!$E5*AN24^2*'Input Data'!$E15/2</f>
        <v>1.9894708117475841</v>
      </c>
      <c r="AO46" s="78">
        <f>AO45*'Input Data'!$E5*AO24^2*'Input Data'!$E15/2</f>
        <v>2.2716792455304109</v>
      </c>
      <c r="AP46" s="78">
        <f>AP45*'Input Data'!$E5*AP24^2*'Input Data'!$E15/2</f>
        <v>2.570555911870974</v>
      </c>
      <c r="AQ46" s="162"/>
      <c r="BB46" s="11" t="s">
        <v>69</v>
      </c>
      <c r="BC46" s="11"/>
      <c r="BD46" s="11">
        <f>BD45*'Input Data'!$F5*BD24^2*'Input Data'!$F15/2</f>
        <v>8.6196678562700094E-2</v>
      </c>
      <c r="BE46" s="11">
        <f>BE45*'Input Data'!$F5*BE24^2*'Input Data'!$F15/2</f>
        <v>0.13857045195131804</v>
      </c>
      <c r="BF46" s="11">
        <f>BF45*'Input Data'!$F5*BF24^2*'Input Data'!$F15/2</f>
        <v>0.2318328140147177</v>
      </c>
      <c r="BG46" s="11">
        <f>BG45*'Input Data'!$F5*BG24^2*'Input Data'!$F15/2</f>
        <v>0.36727424748108428</v>
      </c>
      <c r="BH46" s="11">
        <f>BH45*'Input Data'!$F5*BH24^2*'Input Data'!$F15/2</f>
        <v>0.54840611820730079</v>
      </c>
      <c r="BI46" s="11">
        <f>BI45*'Input Data'!$F5*BI24^2*'Input Data'!$F15/2</f>
        <v>0.78198089664835824</v>
      </c>
      <c r="BJ46" s="11">
        <f>BJ45*'Input Data'!$F5*BJ24^2*'Input Data'!$F15/2</f>
        <v>0.9949690445160172</v>
      </c>
      <c r="BK46" s="11">
        <f>BK45*'Input Data'!$F5*BK24^2*'Input Data'!$F15/2</f>
        <v>1.2004574045103649</v>
      </c>
      <c r="BL46" s="11">
        <f>BL45*'Input Data'!$F5*BL24^2*'Input Data'!$F15/2</f>
        <v>1.422996398366372</v>
      </c>
      <c r="BM46" s="11">
        <f>BM45*'Input Data'!$F5*BM24^2*'Input Data'!$F15/2</f>
        <v>1.6622998666195825</v>
      </c>
      <c r="BN46" s="11">
        <f>BN45*'Input Data'!$F5*BN24^2*'Input Data'!$F15/2</f>
        <v>1.9181127541988381</v>
      </c>
      <c r="BO46" s="11">
        <f>BO45*'Input Data'!$F5*BO24^2*'Input Data'!$F15/2</f>
        <v>2.1902054846799364</v>
      </c>
      <c r="BP46" s="11">
        <f>BP45*'Input Data'!$F5*BP24^2*'Input Data'!$F15/2</f>
        <v>2.4783696963631661</v>
      </c>
      <c r="BQ46" s="155"/>
    </row>
    <row r="47" spans="2:77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Z47" s="81">
        <f t="shared" si="2"/>
        <v>0</v>
      </c>
      <c r="AB47" s="22"/>
      <c r="AC47" s="22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37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spans="2:77" x14ac:dyDescent="0.25">
      <c r="B48" s="27" t="s">
        <v>68</v>
      </c>
      <c r="C48" s="27">
        <v>0</v>
      </c>
      <c r="D48" s="27">
        <f>D24/0.514444</f>
        <v>0.90249751828174896</v>
      </c>
      <c r="E48" s="27">
        <f t="shared" ref="E48:P48" si="21">E24/0.514444</f>
        <v>1.2033300243756655</v>
      </c>
      <c r="F48" s="27">
        <f t="shared" si="21"/>
        <v>1.5041625304695818</v>
      </c>
      <c r="G48" s="27">
        <f t="shared" si="21"/>
        <v>1.8049950365634979</v>
      </c>
      <c r="H48" s="27">
        <f t="shared" si="21"/>
        <v>2.1058275426574142</v>
      </c>
      <c r="I48" s="27">
        <f t="shared" si="21"/>
        <v>2.4066600487513305</v>
      </c>
      <c r="J48" s="27">
        <f t="shared" si="21"/>
        <v>2.7074925548452469</v>
      </c>
      <c r="K48" s="27">
        <f t="shared" si="21"/>
        <v>3.0083250609391632</v>
      </c>
      <c r="L48" s="27">
        <f t="shared" si="21"/>
        <v>3.3091575670330791</v>
      </c>
      <c r="M48" s="27">
        <f t="shared" si="21"/>
        <v>3.6099900731269958</v>
      </c>
      <c r="N48" s="27">
        <f t="shared" si="21"/>
        <v>3.9108225792209126</v>
      </c>
      <c r="O48" s="27">
        <f t="shared" si="21"/>
        <v>4.2116550853148293</v>
      </c>
      <c r="P48" s="27">
        <f t="shared" si="21"/>
        <v>4.5124875914087452</v>
      </c>
      <c r="Z48" s="81">
        <f t="shared" si="2"/>
        <v>-5.5073574460284824E-4</v>
      </c>
      <c r="AB48" s="27" t="s">
        <v>68</v>
      </c>
      <c r="AC48" s="27">
        <v>0</v>
      </c>
      <c r="AD48" s="80">
        <f>AD24/0.514444</f>
        <v>0.90834673797838972</v>
      </c>
      <c r="AE48" s="80">
        <f t="shared" ref="AE48:AP48" si="22">AE24/0.514444</f>
        <v>1.2111289839711865</v>
      </c>
      <c r="AF48" s="80">
        <f t="shared" si="22"/>
        <v>1.513911229963983</v>
      </c>
      <c r="AG48" s="80">
        <f t="shared" si="22"/>
        <v>1.8166934759567794</v>
      </c>
      <c r="AH48" s="80">
        <f t="shared" si="22"/>
        <v>2.1194757219495761</v>
      </c>
      <c r="AI48" s="80">
        <f t="shared" si="22"/>
        <v>2.4222579679423726</v>
      </c>
      <c r="AJ48" s="80">
        <f t="shared" si="22"/>
        <v>2.725040213935169</v>
      </c>
      <c r="AK48" s="80">
        <f t="shared" si="22"/>
        <v>3.0278224599279655</v>
      </c>
      <c r="AL48" s="80">
        <f t="shared" si="22"/>
        <v>3.330604705920762</v>
      </c>
      <c r="AM48" s="80">
        <f t="shared" si="22"/>
        <v>3.6333869519135589</v>
      </c>
      <c r="AN48" s="80">
        <f t="shared" si="22"/>
        <v>3.9361691979063558</v>
      </c>
      <c r="AO48" s="80">
        <f t="shared" si="22"/>
        <v>4.2389514438991531</v>
      </c>
      <c r="AP48" s="80">
        <f t="shared" si="22"/>
        <v>4.5417336898919496</v>
      </c>
      <c r="AQ48" s="37"/>
      <c r="BB48" s="27" t="s">
        <v>68</v>
      </c>
      <c r="BC48" s="27">
        <v>0</v>
      </c>
      <c r="BD48" s="27">
        <f>BD24/0.514444</f>
        <v>0.90889747372299257</v>
      </c>
      <c r="BE48" s="27">
        <f t="shared" ref="BE48:BP48" si="23">BE24/0.514444</f>
        <v>1.2118632982973236</v>
      </c>
      <c r="BF48" s="27">
        <f t="shared" si="23"/>
        <v>1.5148291228716544</v>
      </c>
      <c r="BG48" s="27">
        <f t="shared" si="23"/>
        <v>1.8177949474459851</v>
      </c>
      <c r="BH48" s="27">
        <f t="shared" si="23"/>
        <v>2.1207607720203163</v>
      </c>
      <c r="BI48" s="27">
        <f t="shared" si="23"/>
        <v>2.4237265965946468</v>
      </c>
      <c r="BJ48" s="27">
        <f t="shared" si="23"/>
        <v>2.7266924211689778</v>
      </c>
      <c r="BK48" s="27">
        <f t="shared" si="23"/>
        <v>3.0296582457433083</v>
      </c>
      <c r="BL48" s="27">
        <f t="shared" si="23"/>
        <v>3.3326240703176393</v>
      </c>
      <c r="BM48" s="27">
        <f t="shared" si="23"/>
        <v>3.6355898948919703</v>
      </c>
      <c r="BN48" s="27">
        <f t="shared" si="23"/>
        <v>3.9385557194663012</v>
      </c>
      <c r="BO48" s="27">
        <f t="shared" si="23"/>
        <v>4.2415215440406326</v>
      </c>
      <c r="BP48" s="27">
        <f t="shared" si="23"/>
        <v>4.5444873686149645</v>
      </c>
    </row>
    <row r="49" spans="2:68" x14ac:dyDescent="0.25">
      <c r="B49" s="27" t="s">
        <v>71</v>
      </c>
      <c r="C49" s="27">
        <v>0</v>
      </c>
      <c r="D49" s="27">
        <f>D38+D46</f>
        <v>8.5303539855836205E-2</v>
      </c>
      <c r="E49" s="27">
        <f t="shared" ref="E49:P49" si="24">E38+E46</f>
        <v>0.14064325392371635</v>
      </c>
      <c r="F49" s="27">
        <f t="shared" si="24"/>
        <v>0.25172202365141488</v>
      </c>
      <c r="G49" s="27">
        <f t="shared" si="24"/>
        <v>0.4443633247115869</v>
      </c>
      <c r="H49" s="27">
        <f t="shared" si="24"/>
        <v>0.71070500551126359</v>
      </c>
      <c r="I49" s="27">
        <f t="shared" si="24"/>
        <v>1.2460436270888819</v>
      </c>
      <c r="J49" s="27">
        <f t="shared" si="24"/>
        <v>2.0681605174052167</v>
      </c>
      <c r="K49" s="27">
        <f t="shared" si="24"/>
        <v>2.9351617418494129</v>
      </c>
      <c r="L49" s="27">
        <f t="shared" si="24"/>
        <v>3.6589276238694737</v>
      </c>
      <c r="M49" s="27">
        <f t="shared" si="24"/>
        <v>4.2584532397763057</v>
      </c>
      <c r="N49" s="27">
        <f t="shared" si="24"/>
        <v>4.8127969864653277</v>
      </c>
      <c r="O49" s="27">
        <f t="shared" si="24"/>
        <v>5.2658966371126192</v>
      </c>
      <c r="P49" s="27">
        <f t="shared" si="24"/>
        <v>5.6841487811430289</v>
      </c>
      <c r="Z49" s="81">
        <f t="shared" si="2"/>
        <v>3.2300801138458041E-3</v>
      </c>
      <c r="AB49" s="27" t="s">
        <v>71</v>
      </c>
      <c r="AC49" s="27">
        <v>0</v>
      </c>
      <c r="AD49" s="80">
        <f>AD38+AD46</f>
        <v>8.9426758676545898E-2</v>
      </c>
      <c r="AE49" s="80">
        <f t="shared" ref="AE49:AP49" si="25">AE38+AE46</f>
        <v>0.14947650906812687</v>
      </c>
      <c r="AF49" s="80">
        <f t="shared" si="25"/>
        <v>0.26806910988332833</v>
      </c>
      <c r="AG49" s="80">
        <f t="shared" si="25"/>
        <v>0.46752674592342569</v>
      </c>
      <c r="AH49" s="80">
        <f t="shared" si="25"/>
        <v>0.74939134849147604</v>
      </c>
      <c r="AI49" s="80">
        <f t="shared" si="25"/>
        <v>1.2877670654348015</v>
      </c>
      <c r="AJ49" s="80">
        <f t="shared" si="25"/>
        <v>2.0859771718554603</v>
      </c>
      <c r="AK49" s="80">
        <f t="shared" si="25"/>
        <v>2.9671210223363449</v>
      </c>
      <c r="AL49" s="80">
        <f t="shared" si="25"/>
        <v>3.8289036554900502</v>
      </c>
      <c r="AM49" s="80">
        <f t="shared" si="25"/>
        <v>4.5027370566258904</v>
      </c>
      <c r="AN49" s="80">
        <f t="shared" si="25"/>
        <v>5.1098920981931002</v>
      </c>
      <c r="AO49" s="80">
        <f t="shared" si="25"/>
        <v>5.5760533829259433</v>
      </c>
      <c r="AP49" s="80">
        <f t="shared" si="25"/>
        <v>5.5919105181872517</v>
      </c>
      <c r="AQ49" s="37"/>
      <c r="BB49" s="27" t="s">
        <v>71</v>
      </c>
      <c r="BC49" s="27">
        <v>0</v>
      </c>
      <c r="BD49" s="27">
        <f>BD38+BD46</f>
        <v>8.6196678562700094E-2</v>
      </c>
      <c r="BE49" s="27">
        <f t="shared" ref="BE49:BP49" si="26">BE38+BE46</f>
        <v>0.14356398507404608</v>
      </c>
      <c r="BF49" s="27">
        <f t="shared" si="26"/>
        <v>0.25647061777972963</v>
      </c>
      <c r="BG49" s="27">
        <f t="shared" si="26"/>
        <v>0.43863975623012541</v>
      </c>
      <c r="BH49" s="27">
        <f t="shared" si="26"/>
        <v>0.70733537068014352</v>
      </c>
      <c r="BI49" s="27">
        <f t="shared" si="26"/>
        <v>1.3220860523925533</v>
      </c>
      <c r="BJ49" s="27">
        <f t="shared" si="26"/>
        <v>2.1765607208875761</v>
      </c>
      <c r="BK49" s="27">
        <f t="shared" si="26"/>
        <v>3.0076440692902526</v>
      </c>
      <c r="BL49" s="27">
        <f t="shared" si="26"/>
        <v>3.618925531300123</v>
      </c>
      <c r="BM49" s="27">
        <f t="shared" si="26"/>
        <v>4.1999083131733048</v>
      </c>
      <c r="BN49" s="27">
        <f t="shared" si="26"/>
        <v>4.7803069355053642</v>
      </c>
      <c r="BO49" s="27">
        <f t="shared" si="26"/>
        <v>5.2099912006506628</v>
      </c>
      <c r="BP49" s="27">
        <f t="shared" si="26"/>
        <v>5.6326194722545955</v>
      </c>
    </row>
    <row r="52" spans="2:68" ht="19.5" x14ac:dyDescent="0.4">
      <c r="B52" s="32" t="s">
        <v>116</v>
      </c>
      <c r="AC52" s="149" t="s">
        <v>118</v>
      </c>
      <c r="AD52" s="149"/>
      <c r="AE52" s="11" t="str">
        <f>B20</f>
        <v>Target 0.57</v>
      </c>
      <c r="AF52" s="11" t="str">
        <f>AB21</f>
        <v>Sky</v>
      </c>
      <c r="AG52" s="11" t="s">
        <v>120</v>
      </c>
      <c r="AH52" s="150" t="str">
        <f>B20</f>
        <v>Target 0.57</v>
      </c>
      <c r="AI52" s="150" t="str">
        <f>AB21</f>
        <v>Sky</v>
      </c>
      <c r="AJ52" s="150" t="s">
        <v>120</v>
      </c>
      <c r="AL52" t="str">
        <f>B20</f>
        <v>Target 0.57</v>
      </c>
      <c r="AM52" t="str">
        <f>AB21</f>
        <v>Sky</v>
      </c>
      <c r="AN52" t="s">
        <v>120</v>
      </c>
      <c r="BF52" s="81" t="str">
        <f>$BB$21</f>
        <v>Target 0.52</v>
      </c>
      <c r="BI52" s="81" t="str">
        <f>$BB$21</f>
        <v>Target 0.52</v>
      </c>
      <c r="BM52" s="81" t="str">
        <f>$BB$21</f>
        <v>Target 0.52</v>
      </c>
    </row>
    <row r="53" spans="2:68" x14ac:dyDescent="0.25">
      <c r="C53" s="12" t="s">
        <v>101</v>
      </c>
      <c r="D53" s="12"/>
      <c r="E53" s="12">
        <v>0</v>
      </c>
      <c r="F53" s="12">
        <v>0.15</v>
      </c>
      <c r="G53" s="12">
        <v>0.2</v>
      </c>
      <c r="H53" s="12">
        <v>0.25</v>
      </c>
      <c r="I53" s="12">
        <v>0.3</v>
      </c>
      <c r="J53" s="12">
        <v>0.35</v>
      </c>
      <c r="K53" s="12">
        <v>0.39999999999999997</v>
      </c>
      <c r="L53" s="12">
        <v>0.44999999999999996</v>
      </c>
      <c r="M53" s="12">
        <v>0.49999999999999994</v>
      </c>
      <c r="N53" s="12">
        <v>0.54999999999999993</v>
      </c>
      <c r="O53" s="12">
        <v>0.6</v>
      </c>
      <c r="P53" s="12">
        <v>0.65</v>
      </c>
      <c r="Q53" s="12">
        <v>0.70000000000000007</v>
      </c>
      <c r="R53" s="12">
        <v>0.75000000000000011</v>
      </c>
      <c r="AC53" s="149" t="s">
        <v>133</v>
      </c>
      <c r="AD53" s="149"/>
      <c r="AE53" s="11">
        <f>F46</f>
        <v>0.22544498595593443</v>
      </c>
      <c r="AF53" s="11">
        <f>AF46</f>
        <v>0.24015698092958535</v>
      </c>
      <c r="AG53" s="11">
        <v>0.23424798709169395</v>
      </c>
      <c r="AH53" s="150">
        <f>I46</f>
        <v>0.75713199180686275</v>
      </c>
      <c r="AI53" s="150">
        <f>AI46</f>
        <v>0.80975907184310525</v>
      </c>
      <c r="AJ53" s="150">
        <v>0.78239911325593903</v>
      </c>
      <c r="AL53" s="81">
        <f>M46</f>
        <v>1.6401290005936771</v>
      </c>
      <c r="AM53" s="81">
        <f>AM46</f>
        <v>1.7241467410481131</v>
      </c>
      <c r="AN53">
        <v>1.6622998666195825</v>
      </c>
      <c r="BF53" s="81">
        <f>BF46</f>
        <v>0.2318328140147177</v>
      </c>
      <c r="BI53" s="81">
        <f>BI46</f>
        <v>0.78198089664835824</v>
      </c>
      <c r="BM53" s="81">
        <f>BM46</f>
        <v>1.6622998666195825</v>
      </c>
    </row>
    <row r="54" spans="2:68" x14ac:dyDescent="0.25">
      <c r="AC54" s="149" t="s">
        <v>132</v>
      </c>
      <c r="AD54" s="149"/>
      <c r="AE54" s="11">
        <f>F38</f>
        <v>2.6277037695480478E-2</v>
      </c>
      <c r="AF54" s="11">
        <f>AF38</f>
        <v>2.7912128953742982E-2</v>
      </c>
      <c r="AG54" s="11">
        <v>2.4637803765011915E-2</v>
      </c>
      <c r="AH54" s="150">
        <f>I38</f>
        <v>0.48891163528201925</v>
      </c>
      <c r="AI54" s="150">
        <f>AI38</f>
        <v>0.47800799359169627</v>
      </c>
      <c r="AJ54" s="150">
        <v>0.54010515574419504</v>
      </c>
      <c r="AL54" s="81">
        <f>M38</f>
        <v>2.6183242391826287</v>
      </c>
      <c r="AM54" s="81">
        <f>AM38</f>
        <v>2.7785903155777771</v>
      </c>
      <c r="AN54">
        <v>2.5376084465537221</v>
      </c>
      <c r="BF54" s="81">
        <f>BF38</f>
        <v>2.4637803765011915E-2</v>
      </c>
      <c r="BI54" s="81">
        <f>BI38</f>
        <v>0.54010515574419504</v>
      </c>
      <c r="BM54" s="81">
        <f>BM38</f>
        <v>2.5376084465537221</v>
      </c>
    </row>
    <row r="55" spans="2:68" x14ac:dyDescent="0.25">
      <c r="B55" s="156" t="str">
        <f>'Input Data'!D4</f>
        <v>Target 0.57</v>
      </c>
      <c r="C55" s="29" t="s">
        <v>102</v>
      </c>
      <c r="D55" s="29" t="s">
        <v>68</v>
      </c>
      <c r="E55" s="12">
        <f>C48</f>
        <v>0</v>
      </c>
      <c r="F55" s="12">
        <f t="shared" ref="F55:R55" si="27">D48</f>
        <v>0.90249751828174896</v>
      </c>
      <c r="G55" s="12">
        <f t="shared" si="27"/>
        <v>1.2033300243756655</v>
      </c>
      <c r="H55" s="12">
        <f t="shared" si="27"/>
        <v>1.5041625304695818</v>
      </c>
      <c r="I55" s="12">
        <f t="shared" si="27"/>
        <v>1.8049950365634979</v>
      </c>
      <c r="J55" s="12">
        <f t="shared" si="27"/>
        <v>2.1058275426574142</v>
      </c>
      <c r="K55" s="12">
        <f t="shared" si="27"/>
        <v>2.4066600487513305</v>
      </c>
      <c r="L55" s="12">
        <f t="shared" si="27"/>
        <v>2.7074925548452469</v>
      </c>
      <c r="M55" s="12">
        <f t="shared" si="27"/>
        <v>3.0083250609391632</v>
      </c>
      <c r="N55" s="12">
        <f t="shared" si="27"/>
        <v>3.3091575670330791</v>
      </c>
      <c r="O55" s="12">
        <f t="shared" si="27"/>
        <v>3.6099900731269958</v>
      </c>
      <c r="P55" s="12">
        <f t="shared" si="27"/>
        <v>3.9108225792209126</v>
      </c>
      <c r="Q55" s="12">
        <f t="shared" si="27"/>
        <v>4.2116550853148293</v>
      </c>
      <c r="R55" s="12">
        <f t="shared" si="27"/>
        <v>4.5124875914087452</v>
      </c>
      <c r="AC55" s="149" t="s">
        <v>29</v>
      </c>
      <c r="AD55" s="149"/>
      <c r="AE55" s="11">
        <f>F26*F$25*9.81*'Input Data'!$D$15*'Input Data'!$D$9</f>
        <v>-4.7222593234154002E-2</v>
      </c>
      <c r="AF55" s="11">
        <f>AF26*AF$25*9.81*'Input Data'!$E$15*'Input Data'!$E$9</f>
        <v>-4.7053421587562191E-2</v>
      </c>
      <c r="AG55" s="11">
        <v>-4.5865489566805438E-2</v>
      </c>
      <c r="AH55" s="150">
        <f>I26*I$25*9.81*'Input Data'!$D$15*'Input Data'!$D$9</f>
        <v>-1.2211278276062638</v>
      </c>
      <c r="AI55" s="150">
        <f>AI26*AI$25*9.81*'Input Data'!$E$15*'Input Data'!$E$9</f>
        <v>-1.2167532223347814</v>
      </c>
      <c r="AJ55" s="150">
        <v>-1.1860345186698278</v>
      </c>
      <c r="AL55" s="81">
        <f>M26*M$25*9.81*'Input Data'!$D$15*'Input Data'!$D$9</f>
        <v>1.1200230446562164E-2</v>
      </c>
      <c r="AM55" s="81">
        <f>AM26*AM$25*9.81*'Input Data'!$E$15*'Input Data'!$E$9</f>
        <v>1.1160106402178214E-2</v>
      </c>
      <c r="AN55">
        <v>1.0878353294691032E-2</v>
      </c>
      <c r="BF55" s="81">
        <f>BF26*BF$25*9.81*'Input Data'!$F$15*'Input Data'!$F$9</f>
        <v>-4.5865489566805438E-2</v>
      </c>
      <c r="BI55" s="81">
        <f>BI26*BI$25*9.81*'Input Data'!$F$15*'Input Data'!$F$9</f>
        <v>-1.1860345186698278</v>
      </c>
      <c r="BM55" s="81">
        <f>BM26*BM$25*9.81*'Input Data'!$F$15*'Input Data'!$F$9</f>
        <v>1.0878353294691032E-2</v>
      </c>
    </row>
    <row r="56" spans="2:68" x14ac:dyDescent="0.25">
      <c r="B56" s="157"/>
      <c r="C56" s="29" t="s">
        <v>103</v>
      </c>
      <c r="D56" s="29" t="s">
        <v>71</v>
      </c>
      <c r="E56" s="12">
        <f>C49</f>
        <v>0</v>
      </c>
      <c r="F56" s="12">
        <f t="shared" ref="F56:R56" si="28">D49</f>
        <v>8.5303539855836205E-2</v>
      </c>
      <c r="G56" s="12">
        <f t="shared" si="28"/>
        <v>0.14064325392371635</v>
      </c>
      <c r="H56" s="12">
        <f t="shared" si="28"/>
        <v>0.25172202365141488</v>
      </c>
      <c r="I56" s="12">
        <f t="shared" si="28"/>
        <v>0.4443633247115869</v>
      </c>
      <c r="J56" s="12">
        <f t="shared" si="28"/>
        <v>0.71070500551126359</v>
      </c>
      <c r="K56" s="12">
        <f t="shared" si="28"/>
        <v>1.2460436270888819</v>
      </c>
      <c r="L56" s="12">
        <f t="shared" si="28"/>
        <v>2.0681605174052167</v>
      </c>
      <c r="M56" s="12">
        <f t="shared" si="28"/>
        <v>2.9351617418494129</v>
      </c>
      <c r="N56" s="12">
        <f t="shared" si="28"/>
        <v>3.6589276238694737</v>
      </c>
      <c r="O56" s="12">
        <f t="shared" si="28"/>
        <v>4.2584532397763057</v>
      </c>
      <c r="P56" s="12">
        <f t="shared" si="28"/>
        <v>4.8127969864653277</v>
      </c>
      <c r="Q56" s="12">
        <f t="shared" si="28"/>
        <v>5.2658966371126192</v>
      </c>
      <c r="R56" s="12">
        <f t="shared" si="28"/>
        <v>5.6841487811430289</v>
      </c>
      <c r="AC56" s="149" t="s">
        <v>30</v>
      </c>
      <c r="AD56" s="149"/>
      <c r="AE56" s="11">
        <f>F27*F$25*9.81*'Input Data'!$D$15*'Input Data'!$D$9</f>
        <v>1.0043651850016877E-2</v>
      </c>
      <c r="AF56" s="11">
        <f>AF27*AF$25*9.81*'Input Data'!$E$15*'Input Data'!$E$9</f>
        <v>9.1459837613027343E-3</v>
      </c>
      <c r="AG56" s="11">
        <v>8.9388444862068522E-3</v>
      </c>
      <c r="AH56" s="150">
        <f>I27*I$25*9.81*'Input Data'!$D$15*'Input Data'!$D$9</f>
        <v>-0.40498596169422896</v>
      </c>
      <c r="AI56" s="150">
        <f>AI27*AI$25*9.81*'Input Data'!$E$15*'Input Data'!$E$9</f>
        <v>-0.36878966779446504</v>
      </c>
      <c r="AJ56" s="150">
        <v>-0.36043727766963113</v>
      </c>
      <c r="AL56" s="81">
        <f>M27*M$25*9.81*'Input Data'!$D$15*'Input Data'!$D$9</f>
        <v>-0.95900675729193419</v>
      </c>
      <c r="AM56" s="81">
        <f>AM27*AM$25*9.81*'Input Data'!$E$15*'Input Data'!$E$9</f>
        <v>-0.87329393333729333</v>
      </c>
      <c r="AN56">
        <v>-0.85351547352168644</v>
      </c>
      <c r="BF56" s="81">
        <f>BF27*BF$25*9.81*'Input Data'!$F$15*'Input Data'!$F$9</f>
        <v>8.9388444862068522E-3</v>
      </c>
      <c r="BI56" s="81">
        <f>BI27*BI$25*9.81*'Input Data'!$F$15*'Input Data'!$F$9</f>
        <v>-0.36043727766963113</v>
      </c>
      <c r="BM56" s="81">
        <f>BM27*BM$25*9.81*'Input Data'!$F$15*'Input Data'!$F$9</f>
        <v>-0.85351547352168644</v>
      </c>
    </row>
    <row r="57" spans="2:68" x14ac:dyDescent="0.25">
      <c r="AC57" s="149" t="s">
        <v>31</v>
      </c>
      <c r="AD57" s="149"/>
      <c r="AE57" s="11">
        <f>F28*F$25*9.81*'Input Data'!$D$15*'Input Data'!$D$9</f>
        <v>-2.5064951887032024E-3</v>
      </c>
      <c r="AF57" s="11">
        <f>AF28*AF$25*9.81*'Input Data'!$E$15*'Input Data'!$E$9</f>
        <v>-2.2202709370714516E-3</v>
      </c>
      <c r="AG57" s="11">
        <v>-2.4246558937396105E-3</v>
      </c>
      <c r="AH57" s="150">
        <f>I28*I$25*9.81*'Input Data'!$D$15*'Input Data'!$D$9</f>
        <v>3.2584437453141636E-2</v>
      </c>
      <c r="AI57" s="150">
        <f>AI28*AI$25*9.81*'Input Data'!$E$15*'Input Data'!$E$9</f>
        <v>2.886352218192887E-2</v>
      </c>
      <c r="AJ57" s="150">
        <v>3.1520526618614937E-2</v>
      </c>
      <c r="AL57" s="81">
        <f>M28*M$25*9.81*'Input Data'!$D$15*'Input Data'!$D$9</f>
        <v>1.1531071437172209</v>
      </c>
      <c r="AM57" s="81">
        <f>AM28*AM$25*9.81*'Input Data'!$E$15*'Input Data'!$E$9</f>
        <v>1.0214303582403472</v>
      </c>
      <c r="AN57">
        <v>1.1154571709246848</v>
      </c>
      <c r="BF57" s="81">
        <f>BF28*BF$25*9.81*'Input Data'!$F$15*'Input Data'!$F$9</f>
        <v>-2.4246558937396105E-3</v>
      </c>
      <c r="BI57" s="81">
        <f>BI28*BI$25*9.81*'Input Data'!$F$15*'Input Data'!$F$9</f>
        <v>3.1520526618614937E-2</v>
      </c>
      <c r="BM57" s="81">
        <f>BM28*BM$25*9.81*'Input Data'!$F$15*'Input Data'!$F$9</f>
        <v>1.1154571709246848</v>
      </c>
    </row>
    <row r="58" spans="2:68" x14ac:dyDescent="0.25">
      <c r="B58" s="158" t="str">
        <f>'Input Data'!E4</f>
        <v>Sky</v>
      </c>
      <c r="C58" s="12" t="s">
        <v>68</v>
      </c>
      <c r="D58" s="12" t="s">
        <v>68</v>
      </c>
      <c r="E58" s="12">
        <v>0</v>
      </c>
      <c r="F58" s="12">
        <f t="shared" ref="F58:R58" si="29">AD48</f>
        <v>0.90834673797838972</v>
      </c>
      <c r="G58" s="12">
        <f t="shared" si="29"/>
        <v>1.2111289839711865</v>
      </c>
      <c r="H58" s="12">
        <f t="shared" si="29"/>
        <v>1.513911229963983</v>
      </c>
      <c r="I58" s="12">
        <f t="shared" si="29"/>
        <v>1.8166934759567794</v>
      </c>
      <c r="J58" s="12">
        <f t="shared" si="29"/>
        <v>2.1194757219495761</v>
      </c>
      <c r="K58" s="12">
        <f t="shared" si="29"/>
        <v>2.4222579679423726</v>
      </c>
      <c r="L58" s="12">
        <f t="shared" si="29"/>
        <v>2.725040213935169</v>
      </c>
      <c r="M58" s="12">
        <f t="shared" si="29"/>
        <v>3.0278224599279655</v>
      </c>
      <c r="N58" s="12">
        <f t="shared" si="29"/>
        <v>3.330604705920762</v>
      </c>
      <c r="O58" s="12">
        <f t="shared" si="29"/>
        <v>3.6333869519135589</v>
      </c>
      <c r="P58" s="12">
        <f t="shared" si="29"/>
        <v>3.9361691979063558</v>
      </c>
      <c r="Q58" s="12">
        <f t="shared" si="29"/>
        <v>4.2389514438991531</v>
      </c>
      <c r="R58" s="12">
        <f t="shared" si="29"/>
        <v>4.5417336898919496</v>
      </c>
      <c r="AC58" s="149" t="s">
        <v>32</v>
      </c>
      <c r="AD58" s="149"/>
      <c r="AE58" s="11">
        <f>F29*F$25*9.81*'Input Data'!$D$15*'Input Data'!$D$9</f>
        <v>-6.7956729056293666E-3</v>
      </c>
      <c r="AF58" s="11">
        <f>AF29*AF$25*9.81*'Input Data'!$E$15*'Input Data'!$E$9</f>
        <v>-7.3739252116810528E-3</v>
      </c>
      <c r="AG58" s="11">
        <v>-6.9515865068292739E-3</v>
      </c>
      <c r="AH58" s="150">
        <f>I29*I$25*9.81*'Input Data'!$D$15*'Input Data'!$D$9</f>
        <v>-0.13018567666355685</v>
      </c>
      <c r="AI58" s="150">
        <f>AI29*AI$25*9.81*'Input Data'!$E$15*'Input Data'!$E$9</f>
        <v>-0.14126333869806129</v>
      </c>
      <c r="AJ58" s="150">
        <v>-0.13317253579511509</v>
      </c>
      <c r="AL58" s="81">
        <f>M29*M$25*9.81*'Input Data'!$D$15*'Input Data'!$D$9</f>
        <v>0.59442721715955149</v>
      </c>
      <c r="AM58" s="81">
        <f>AM29*AM$25*9.81*'Input Data'!$E$15*'Input Data'!$E$9</f>
        <v>0.64500777244461538</v>
      </c>
      <c r="AN58">
        <v>0.60806520259022345</v>
      </c>
      <c r="BF58" s="81">
        <f>BF29*BF$25*9.81*'Input Data'!$F$15*'Input Data'!$F$9</f>
        <v>-6.9515865068292739E-3</v>
      </c>
      <c r="BI58" s="81">
        <f>BI29*BI$25*9.81*'Input Data'!$F$15*'Input Data'!$F$9</f>
        <v>-0.13317253579511509</v>
      </c>
      <c r="BM58" s="81">
        <f>BM29*BM$25*9.81*'Input Data'!$F$15*'Input Data'!$F$9</f>
        <v>0.60806520259022345</v>
      </c>
    </row>
    <row r="59" spans="2:68" x14ac:dyDescent="0.25">
      <c r="B59" s="158"/>
      <c r="C59" s="12" t="s">
        <v>71</v>
      </c>
      <c r="D59" s="12" t="s">
        <v>71</v>
      </c>
      <c r="E59" s="12">
        <f>AC49</f>
        <v>0</v>
      </c>
      <c r="F59" s="12">
        <f t="shared" ref="F59:R59" si="30">AD49</f>
        <v>8.9426758676545898E-2</v>
      </c>
      <c r="G59" s="12">
        <f t="shared" si="30"/>
        <v>0.14947650906812687</v>
      </c>
      <c r="H59" s="12">
        <f t="shared" si="30"/>
        <v>0.26806910988332833</v>
      </c>
      <c r="I59" s="12">
        <f t="shared" si="30"/>
        <v>0.46752674592342569</v>
      </c>
      <c r="J59" s="12">
        <f t="shared" si="30"/>
        <v>0.74939134849147604</v>
      </c>
      <c r="K59" s="12">
        <f t="shared" si="30"/>
        <v>1.2877670654348015</v>
      </c>
      <c r="L59" s="12">
        <f t="shared" si="30"/>
        <v>2.0859771718554603</v>
      </c>
      <c r="M59" s="12">
        <f t="shared" si="30"/>
        <v>2.9671210223363449</v>
      </c>
      <c r="N59" s="12">
        <f t="shared" si="30"/>
        <v>3.8289036554900502</v>
      </c>
      <c r="O59" s="12">
        <f t="shared" si="30"/>
        <v>4.5027370566258904</v>
      </c>
      <c r="P59" s="12">
        <f t="shared" si="30"/>
        <v>5.1098920981931002</v>
      </c>
      <c r="Q59" s="12">
        <f t="shared" si="30"/>
        <v>5.5760533829259433</v>
      </c>
      <c r="R59" s="12">
        <f t="shared" si="30"/>
        <v>5.5919105181872517</v>
      </c>
      <c r="AC59" s="149" t="s">
        <v>33</v>
      </c>
      <c r="AD59" s="149"/>
      <c r="AE59" s="11">
        <f>F30*F$25*9.81*'Input Data'!$D$15*'Input Data'!$D$9</f>
        <v>8.0118257125893516E-2</v>
      </c>
      <c r="AF59" s="11">
        <f>AF30*AF$25*9.81*'Input Data'!$E$15*'Input Data'!$E$9</f>
        <v>8.0223020989463448E-2</v>
      </c>
      <c r="AG59" s="11">
        <v>7.8108074943033484E-2</v>
      </c>
      <c r="AH59" s="150">
        <f>I30*I$25*9.81*'Input Data'!$D$15*'Input Data'!$D$9</f>
        <v>1.9369129999759926</v>
      </c>
      <c r="AI59" s="150">
        <f>AI30*AI$25*9.81*'Input Data'!$E$15*'Input Data'!$E$9</f>
        <v>1.9394457371641904</v>
      </c>
      <c r="AJ59" s="150">
        <v>1.888315487474147</v>
      </c>
      <c r="AL59" s="81">
        <f>M30*M$25*9.81*'Input Data'!$D$15*'Input Data'!$D$9</f>
        <v>4.0784523593681179</v>
      </c>
      <c r="AM59" s="81">
        <f>AM30*AM$25*9.81*'Input Data'!$E$15*'Input Data'!$E$9</f>
        <v>4.0837854063149832</v>
      </c>
      <c r="AN59">
        <v>3.9761232204109076</v>
      </c>
      <c r="BF59" s="81">
        <f>BF30*BF$25*9.81*'Input Data'!$F$15*'Input Data'!$F$9</f>
        <v>7.8108074943033484E-2</v>
      </c>
      <c r="BI59" s="81">
        <f>BI30*BI$25*9.81*'Input Data'!$F$15*'Input Data'!$F$9</f>
        <v>1.888315487474147</v>
      </c>
      <c r="BM59" s="81">
        <f>BM30*BM$25*9.81*'Input Data'!$F$15*'Input Data'!$F$9</f>
        <v>3.9761232204109076</v>
      </c>
    </row>
    <row r="60" spans="2:68" x14ac:dyDescent="0.25">
      <c r="AC60" s="149" t="s">
        <v>34</v>
      </c>
      <c r="AD60" s="149"/>
      <c r="AE60" s="11">
        <f>F31*F$25*9.81*'Input Data'!$D$15*'Input Data'!$D$9</f>
        <v>1.6575060338755342E-2</v>
      </c>
      <c r="AF60" s="11">
        <f>AF31*AF$25*9.81*'Input Data'!$E$15*'Input Data'!$E$9</f>
        <v>1.7456387202479218E-2</v>
      </c>
      <c r="AG60" s="11">
        <v>1.7565169477077543E-2</v>
      </c>
      <c r="AH60" s="150">
        <f>I31*I$25*9.81*'Input Data'!$D$15*'Input Data'!$D$9</f>
        <v>7.4587771524399049E-2</v>
      </c>
      <c r="AI60" s="150">
        <f>AI31*AI$25*9.81*'Input Data'!$E$15*'Input Data'!$E$9</f>
        <v>7.8553742411156466E-2</v>
      </c>
      <c r="AJ60" s="150">
        <v>7.9043262646848925E-2</v>
      </c>
      <c r="AL60" s="81">
        <f>M31*M$25*9.81*'Input Data'!$D$15*'Input Data'!$D$9</f>
        <v>0.16575060338755343</v>
      </c>
      <c r="AM60" s="81">
        <f>AM31*AM$25*9.81*'Input Data'!$E$15*'Input Data'!$E$9</f>
        <v>0.17456387202479215</v>
      </c>
      <c r="AN60">
        <v>0.17565169477077539</v>
      </c>
      <c r="BF60" s="81">
        <f>BF31*BF$25*9.81*'Input Data'!$F$15*'Input Data'!$F$9</f>
        <v>1.7565169477077543E-2</v>
      </c>
      <c r="BI60" s="81">
        <f>BI31*BI$25*9.81*'Input Data'!$F$15*'Input Data'!$F$9</f>
        <v>7.9043262646848925E-2</v>
      </c>
      <c r="BM60" s="81">
        <f>BM31*BM$25*9.81*'Input Data'!$F$15*'Input Data'!$F$9</f>
        <v>0.17565169477077539</v>
      </c>
    </row>
    <row r="61" spans="2:68" x14ac:dyDescent="0.25">
      <c r="B61" s="159" t="str">
        <f>'Input Data'!F4</f>
        <v>Target 0.52</v>
      </c>
      <c r="C61" s="11" t="s">
        <v>102</v>
      </c>
      <c r="D61" s="12" t="s">
        <v>68</v>
      </c>
      <c r="E61" s="12">
        <v>0</v>
      </c>
      <c r="F61" s="12">
        <f>BD48</f>
        <v>0.90889747372299257</v>
      </c>
      <c r="G61" s="12">
        <f t="shared" ref="G61:R62" si="31">BE48</f>
        <v>1.2118632982973236</v>
      </c>
      <c r="H61" s="12">
        <f t="shared" si="31"/>
        <v>1.5148291228716544</v>
      </c>
      <c r="I61" s="12">
        <f t="shared" si="31"/>
        <v>1.8177949474459851</v>
      </c>
      <c r="J61" s="12">
        <f t="shared" si="31"/>
        <v>2.1207607720203163</v>
      </c>
      <c r="K61" s="12">
        <f t="shared" si="31"/>
        <v>2.4237265965946468</v>
      </c>
      <c r="L61" s="12">
        <f t="shared" si="31"/>
        <v>2.7266924211689778</v>
      </c>
      <c r="M61" s="12">
        <f t="shared" si="31"/>
        <v>3.0296582457433083</v>
      </c>
      <c r="N61" s="12">
        <f t="shared" si="31"/>
        <v>3.3326240703176393</v>
      </c>
      <c r="O61" s="12">
        <f t="shared" si="31"/>
        <v>3.6355898948919703</v>
      </c>
      <c r="P61" s="12">
        <f t="shared" si="31"/>
        <v>3.9385557194663012</v>
      </c>
      <c r="Q61" s="12">
        <f t="shared" si="31"/>
        <v>4.2415215440406326</v>
      </c>
      <c r="R61" s="12">
        <f t="shared" si="31"/>
        <v>4.5444873686149645</v>
      </c>
      <c r="AC61" s="149" t="s">
        <v>36</v>
      </c>
      <c r="AD61" s="149"/>
      <c r="AE61" s="11">
        <f>F32*F$25*9.81*'Input Data'!$D$15*'Input Data'!$D$9</f>
        <v>-1.6693379240698684E-2</v>
      </c>
      <c r="AF61" s="11">
        <f>AF32*AF$25*9.81*'Input Data'!$E$15*'Input Data'!$E$9</f>
        <v>-1.5025865263187718E-2</v>
      </c>
      <c r="AG61" s="11">
        <v>-1.7474673723931636E-2</v>
      </c>
      <c r="AH61" s="150">
        <f>I32*I$25*9.81*'Input Data'!$D$15*'Input Data'!$D$9</f>
        <v>0.43286320589253569</v>
      </c>
      <c r="AI61" s="150">
        <f>AI32*AI$25*9.81*'Input Data'!$E$15*'Input Data'!$E$9</f>
        <v>0.38962418066172805</v>
      </c>
      <c r="AJ61" s="150">
        <v>0.45312235353915764</v>
      </c>
      <c r="AL61" s="81">
        <f>M32*M$25*9.81*'Input Data'!$D$15*'Input Data'!$D$9</f>
        <v>-1.3013071445307438</v>
      </c>
      <c r="AM61" s="81">
        <f>AM32*AM$25*9.81*'Input Data'!$E$15*'Input Data'!$E$9</f>
        <v>-1.1713186130745403</v>
      </c>
      <c r="AN61">
        <v>-1.3622117749446245</v>
      </c>
      <c r="BF61" s="81">
        <f>BF32*BF$25*9.81*'Input Data'!$F$15*'Input Data'!$F$9</f>
        <v>-1.7474673723931636E-2</v>
      </c>
      <c r="BI61" s="81">
        <f>BI32*BI$25*9.81*'Input Data'!$F$15*'Input Data'!$F$9</f>
        <v>0.45312235353915764</v>
      </c>
      <c r="BM61" s="81">
        <f>BM32*BM$25*9.81*'Input Data'!$F$15*'Input Data'!$F$9</f>
        <v>-1.3622117749446245</v>
      </c>
    </row>
    <row r="62" spans="2:68" x14ac:dyDescent="0.25">
      <c r="B62" s="159"/>
      <c r="C62" s="11" t="s">
        <v>103</v>
      </c>
      <c r="D62" s="12" t="s">
        <v>71</v>
      </c>
      <c r="E62" s="12">
        <v>0</v>
      </c>
      <c r="F62" s="12">
        <f>BD49</f>
        <v>8.6196678562700094E-2</v>
      </c>
      <c r="G62" s="12">
        <f t="shared" si="31"/>
        <v>0.14356398507404608</v>
      </c>
      <c r="H62" s="12">
        <f t="shared" si="31"/>
        <v>0.25647061777972963</v>
      </c>
      <c r="I62" s="12">
        <f t="shared" si="31"/>
        <v>0.43863975623012541</v>
      </c>
      <c r="J62" s="12">
        <f t="shared" si="31"/>
        <v>0.70733537068014352</v>
      </c>
      <c r="K62" s="12">
        <f t="shared" si="31"/>
        <v>1.3220860523925533</v>
      </c>
      <c r="L62" s="12">
        <f t="shared" si="31"/>
        <v>2.1765607208875761</v>
      </c>
      <c r="M62" s="12">
        <f t="shared" si="31"/>
        <v>3.0076440692902526</v>
      </c>
      <c r="N62" s="12">
        <f t="shared" si="31"/>
        <v>3.618925531300123</v>
      </c>
      <c r="O62" s="12">
        <f t="shared" si="31"/>
        <v>4.1999083131733048</v>
      </c>
      <c r="P62" s="12">
        <f t="shared" si="31"/>
        <v>4.7803069355053642</v>
      </c>
      <c r="Q62" s="12">
        <f t="shared" si="31"/>
        <v>5.2099912006506628</v>
      </c>
      <c r="R62" s="12">
        <f t="shared" si="31"/>
        <v>5.6326194722545955</v>
      </c>
      <c r="AC62" s="38"/>
      <c r="AD62" s="38"/>
    </row>
    <row r="63" spans="2:68" x14ac:dyDescent="0.25">
      <c r="C63" s="29" t="s">
        <v>114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AC63" s="148"/>
      <c r="AD63" s="148"/>
    </row>
    <row r="64" spans="2:68" x14ac:dyDescent="0.25">
      <c r="C64" s="29" t="s">
        <v>104</v>
      </c>
      <c r="D64" s="29"/>
      <c r="E64" s="35">
        <v>0</v>
      </c>
      <c r="F64" s="36">
        <f>IF(F56&gt;F59,F74,F72)</f>
        <v>3.9924895346009701</v>
      </c>
      <c r="G64" s="36">
        <f t="shared" ref="G64:Q64" si="32">IF(G56&gt;G59,G74,G72)</f>
        <v>3.0531931964658856</v>
      </c>
      <c r="H64" s="36">
        <f t="shared" si="32"/>
        <v>2.1266003489525804</v>
      </c>
      <c r="I64" s="36">
        <f t="shared" si="32"/>
        <v>1.2999636333896099</v>
      </c>
      <c r="J64" s="36">
        <f t="shared" si="32"/>
        <v>1.3253289415932856</v>
      </c>
      <c r="K64" s="36">
        <f t="shared" si="32"/>
        <v>0.32689795988675635</v>
      </c>
      <c r="L64" s="36">
        <f t="shared" si="32"/>
        <v>-0.39849896890621889</v>
      </c>
      <c r="M64" s="36">
        <f t="shared" si="32"/>
        <v>-0.2830618508437478</v>
      </c>
      <c r="N64" s="36">
        <f t="shared" si="32"/>
        <v>1.1565764594822237</v>
      </c>
      <c r="O64" s="36">
        <f t="shared" si="32"/>
        <v>2.3925361299013925</v>
      </c>
      <c r="P64" s="36">
        <f t="shared" si="32"/>
        <v>3.140305861528061</v>
      </c>
      <c r="Q64" s="36">
        <f t="shared" si="32"/>
        <v>4.1351303648974911</v>
      </c>
    </row>
    <row r="65" spans="3:17" x14ac:dyDescent="0.25">
      <c r="C65" s="29" t="s">
        <v>112</v>
      </c>
      <c r="D65" s="29"/>
      <c r="E65" s="29">
        <v>0</v>
      </c>
      <c r="F65" s="29">
        <f>IF(F56&gt;F62,F79,F77)</f>
        <v>0.33437326170434867</v>
      </c>
      <c r="G65" s="29">
        <f t="shared" ref="G65:Q65" si="33">IF(G56&gt;G62,G79,G77)</f>
        <v>0.57270818274173863</v>
      </c>
      <c r="H65" s="29">
        <f t="shared" si="33"/>
        <v>0.137980808281427</v>
      </c>
      <c r="I65" s="29">
        <f t="shared" si="33"/>
        <v>-1.0666777099721418</v>
      </c>
      <c r="J65" s="29">
        <f t="shared" si="33"/>
        <v>-0.78799790329259667</v>
      </c>
      <c r="K65" s="29">
        <f t="shared" si="33"/>
        <v>0.84803101623628208</v>
      </c>
      <c r="L65" s="29">
        <f t="shared" si="33"/>
        <v>0.71043322615100846</v>
      </c>
      <c r="M65" s="29">
        <f t="shared" si="33"/>
        <v>0.16918910961308803</v>
      </c>
      <c r="N65" s="29">
        <f t="shared" si="33"/>
        <v>-1.339508442527906</v>
      </c>
      <c r="O65" s="29">
        <f t="shared" si="33"/>
        <v>-1.5556842185821067</v>
      </c>
      <c r="P65" s="29">
        <f t="shared" si="33"/>
        <v>-1.2949074024652916</v>
      </c>
      <c r="Q65" s="29">
        <f t="shared" si="33"/>
        <v>-1.6606986449269352</v>
      </c>
    </row>
    <row r="70" spans="3:17" ht="19.5" x14ac:dyDescent="0.4">
      <c r="C70" s="34" t="s">
        <v>113</v>
      </c>
    </row>
    <row r="71" spans="3:17" x14ac:dyDescent="0.25">
      <c r="C71" s="25" t="s">
        <v>105</v>
      </c>
      <c r="D71" s="25"/>
      <c r="E71" s="25"/>
      <c r="F71" s="25">
        <f>F$55-(F$56-E59)/(F59-E59)*(F58-E58)-E58</f>
        <v>3.6032118967432303E-2</v>
      </c>
      <c r="G71" s="25">
        <f t="shared" ref="G71:Q71" si="34">G$55-(G$56-F59)/(G59-F59)*(G58-F58)-F58</f>
        <v>3.6739990435269099E-2</v>
      </c>
      <c r="H71" s="25">
        <f t="shared" si="34"/>
        <v>3.1987525621780089E-2</v>
      </c>
      <c r="I71" s="25">
        <f t="shared" si="34"/>
        <v>2.3464279059812965E-2</v>
      </c>
      <c r="J71" s="25">
        <f t="shared" si="34"/>
        <v>2.7909141882881405E-2</v>
      </c>
      <c r="K71" s="25">
        <f t="shared" si="34"/>
        <v>7.8673226007777153E-3</v>
      </c>
      <c r="L71" s="25">
        <f t="shared" si="34"/>
        <v>-1.0789329914270951E-2</v>
      </c>
      <c r="M71" s="25">
        <f t="shared" si="34"/>
        <v>-8.5154205968906993E-3</v>
      </c>
      <c r="N71" s="25">
        <f t="shared" si="34"/>
        <v>3.8272937427479281E-2</v>
      </c>
      <c r="O71" s="25">
        <f t="shared" si="34"/>
        <v>8.6370316785417067E-2</v>
      </c>
      <c r="P71" s="25">
        <f t="shared" si="34"/>
        <v>0.1228117906892372</v>
      </c>
      <c r="Q71" s="25">
        <f t="shared" si="34"/>
        <v>0.17415742829760283</v>
      </c>
    </row>
    <row r="72" spans="3:17" x14ac:dyDescent="0.25">
      <c r="C72" s="25" t="s">
        <v>106</v>
      </c>
      <c r="D72" s="25"/>
      <c r="E72" s="25"/>
      <c r="F72" s="25">
        <f>F71/F55*100</f>
        <v>3.9924895346009701</v>
      </c>
      <c r="G72" s="25">
        <f t="shared" ref="G72:Q72" si="35">G71/G55*100</f>
        <v>3.0531931964658856</v>
      </c>
      <c r="H72" s="25">
        <f t="shared" si="35"/>
        <v>2.1266003489525804</v>
      </c>
      <c r="I72" s="25">
        <f t="shared" si="35"/>
        <v>1.2999636333896099</v>
      </c>
      <c r="J72" s="25">
        <f t="shared" si="35"/>
        <v>1.3253289415932856</v>
      </c>
      <c r="K72" s="25">
        <f t="shared" si="35"/>
        <v>0.32689795988675635</v>
      </c>
      <c r="L72" s="25">
        <f t="shared" si="35"/>
        <v>-0.39849896890621889</v>
      </c>
      <c r="M72" s="25">
        <f t="shared" si="35"/>
        <v>-0.2830618508437478</v>
      </c>
      <c r="N72" s="25">
        <f t="shared" si="35"/>
        <v>1.1565764594822237</v>
      </c>
      <c r="O72" s="25">
        <f t="shared" si="35"/>
        <v>2.3925361299013925</v>
      </c>
      <c r="P72" s="25">
        <f t="shared" si="35"/>
        <v>3.140305861528061</v>
      </c>
      <c r="Q72" s="25">
        <f t="shared" si="35"/>
        <v>4.1351303648974911</v>
      </c>
    </row>
    <row r="73" spans="3:17" x14ac:dyDescent="0.25">
      <c r="C73" s="25" t="s">
        <v>107</v>
      </c>
      <c r="D73" s="25"/>
      <c r="E73" s="25"/>
      <c r="F73" s="25">
        <f>F55-(F56-F59)/(G59-F59)*(G58-F58) -F58</f>
        <v>1.4940832670159443E-2</v>
      </c>
      <c r="G73" s="25">
        <f t="shared" ref="G73:Q73" si="36">G55-(G56-G59)/(H59-G59)*(H58-G58) -G58</f>
        <v>1.4753483083594254E-2</v>
      </c>
      <c r="H73" s="25">
        <f t="shared" si="36"/>
        <v>1.5066632638291111E-2</v>
      </c>
      <c r="I73" s="25">
        <f t="shared" si="36"/>
        <v>1.3183978035151922E-2</v>
      </c>
      <c r="J73" s="25">
        <f t="shared" si="36"/>
        <v>8.1090015169968943E-3</v>
      </c>
      <c r="K73" s="25">
        <f t="shared" si="36"/>
        <v>2.2888664779774359E-4</v>
      </c>
      <c r="L73" s="25">
        <f t="shared" si="36"/>
        <v>-1.1425427575081137E-2</v>
      </c>
      <c r="M73" s="25">
        <f t="shared" si="36"/>
        <v>-8.2686942622576254E-3</v>
      </c>
      <c r="N73" s="25">
        <f t="shared" si="36"/>
        <v>5.4930381924239047E-2</v>
      </c>
      <c r="O73" s="25">
        <f t="shared" si="36"/>
        <v>9.8425057393839666E-2</v>
      </c>
      <c r="P73" s="25">
        <f t="shared" si="36"/>
        <v>0.16762334288905656</v>
      </c>
      <c r="Q73" s="25">
        <f t="shared" si="36"/>
        <v>5.8949559625090489</v>
      </c>
    </row>
    <row r="74" spans="3:17" x14ac:dyDescent="0.25">
      <c r="C74" s="25" t="s">
        <v>108</v>
      </c>
      <c r="D74" s="25"/>
      <c r="E74" s="25"/>
      <c r="F74" s="25">
        <f>F73/F55*100</f>
        <v>1.6554984770046861</v>
      </c>
      <c r="G74" s="25">
        <f t="shared" ref="G74:Q74" si="37">G73/G55*100</f>
        <v>1.2260545972206534</v>
      </c>
      <c r="H74" s="25">
        <f t="shared" si="37"/>
        <v>1.0016625419852392</v>
      </c>
      <c r="I74" s="25">
        <f t="shared" si="37"/>
        <v>0.73041630409425906</v>
      </c>
      <c r="J74" s="25">
        <f t="shared" si="37"/>
        <v>0.38507434026453441</v>
      </c>
      <c r="K74" s="25">
        <f t="shared" si="37"/>
        <v>9.5105516841275089E-3</v>
      </c>
      <c r="L74" s="25">
        <f t="shared" si="37"/>
        <v>-0.42199294526718228</v>
      </c>
      <c r="M74" s="25">
        <f t="shared" si="37"/>
        <v>-0.27486039888509384</v>
      </c>
      <c r="N74" s="25">
        <f t="shared" si="37"/>
        <v>1.6599506312867558</v>
      </c>
      <c r="O74" s="25">
        <f t="shared" si="37"/>
        <v>2.7264633807866199</v>
      </c>
      <c r="P74" s="25">
        <f t="shared" si="37"/>
        <v>4.2861403066372121</v>
      </c>
      <c r="Q74" s="25">
        <f t="shared" si="37"/>
        <v>139.9676811869885</v>
      </c>
    </row>
    <row r="75" spans="3:17" x14ac:dyDescent="0.2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3:17" x14ac:dyDescent="0.25">
      <c r="C76" s="25" t="s">
        <v>109</v>
      </c>
      <c r="D76" s="25"/>
      <c r="E76" s="25"/>
      <c r="F76" s="25">
        <f>F$55-(F$56-E62)/(F62-E62)*(F61-E61)-E61</f>
        <v>3.0177103886794843E-3</v>
      </c>
      <c r="G76" s="25">
        <f t="shared" ref="G76:Q76" si="38">G$55-(G$56-F62)/(G62-F62)*(G61-F61)-F61</f>
        <v>6.8915695149875944E-3</v>
      </c>
      <c r="H76" s="25">
        <f t="shared" si="38"/>
        <v>2.075455617408295E-3</v>
      </c>
      <c r="I76" s="25">
        <f t="shared" si="38"/>
        <v>-2.2318788005385892E-2</v>
      </c>
      <c r="J76" s="25">
        <f t="shared" si="38"/>
        <v>-1.8732637095009164E-2</v>
      </c>
      <c r="K76" s="25">
        <f t="shared" si="38"/>
        <v>2.0409223668778509E-2</v>
      </c>
      <c r="L76" s="25">
        <f t="shared" si="38"/>
        <v>1.9234926705185451E-2</v>
      </c>
      <c r="M76" s="25">
        <f t="shared" si="38"/>
        <v>5.0897583848703576E-3</v>
      </c>
      <c r="N76" s="25">
        <f t="shared" si="38"/>
        <v>-4.329250442014887E-2</v>
      </c>
      <c r="O76" s="25">
        <f t="shared" si="38"/>
        <v>-5.612931853548897E-2</v>
      </c>
      <c r="P76" s="25">
        <f t="shared" si="38"/>
        <v>-4.46928205423478E-2</v>
      </c>
      <c r="Q76" s="25">
        <f t="shared" si="38"/>
        <v>-6.928478988148834E-2</v>
      </c>
    </row>
    <row r="77" spans="3:17" x14ac:dyDescent="0.25">
      <c r="C77" s="25" t="s">
        <v>106</v>
      </c>
      <c r="D77" s="25"/>
      <c r="E77" s="25"/>
      <c r="F77" s="25">
        <f>F76/F55*100</f>
        <v>0.33437326170434867</v>
      </c>
      <c r="G77" s="25">
        <f t="shared" ref="G77:Q77" si="39">G76/G55*100</f>
        <v>0.57270818274173863</v>
      </c>
      <c r="H77" s="25">
        <f t="shared" si="39"/>
        <v>0.137980808281427</v>
      </c>
      <c r="I77" s="25">
        <f t="shared" si="39"/>
        <v>-1.2365013506008464</v>
      </c>
      <c r="J77" s="25">
        <f t="shared" si="39"/>
        <v>-0.88956178583217793</v>
      </c>
      <c r="K77" s="25">
        <f t="shared" si="39"/>
        <v>0.84803101623628208</v>
      </c>
      <c r="L77" s="25">
        <f t="shared" si="39"/>
        <v>0.71043322615100846</v>
      </c>
      <c r="M77" s="25">
        <f t="shared" si="39"/>
        <v>0.16918910961308803</v>
      </c>
      <c r="N77" s="25">
        <f t="shared" si="39"/>
        <v>-1.3082636152307494</v>
      </c>
      <c r="O77" s="25">
        <f t="shared" si="39"/>
        <v>-1.5548330438169156</v>
      </c>
      <c r="P77" s="25">
        <f t="shared" si="39"/>
        <v>-1.142798468532193</v>
      </c>
      <c r="Q77" s="25">
        <f t="shared" si="39"/>
        <v>-1.6450727440399875</v>
      </c>
    </row>
    <row r="78" spans="3:17" x14ac:dyDescent="0.25">
      <c r="C78" s="25" t="s">
        <v>110</v>
      </c>
      <c r="D78" s="25"/>
      <c r="E78" s="25"/>
      <c r="F78" s="25">
        <f>F$55-(-F62+F$56)/(G62-F62)*(G61-F61)-F61</f>
        <v>-1.6831485831291237E-3</v>
      </c>
      <c r="G78" s="25">
        <f t="shared" ref="G78:Q78" si="40">G$55-(-G62+G$56)/(H62-G62)*(H61-G61)-G61</f>
        <v>-6.9598659748271174E-4</v>
      </c>
      <c r="H78" s="25">
        <f t="shared" si="40"/>
        <v>-2.7691968942959999E-3</v>
      </c>
      <c r="I78" s="25">
        <f t="shared" si="40"/>
        <v>-1.9253479721126343E-2</v>
      </c>
      <c r="J78" s="25">
        <f t="shared" si="40"/>
        <v>-1.6593876883098435E-2</v>
      </c>
      <c r="K78" s="25">
        <f t="shared" si="40"/>
        <v>9.8953469140039552E-3</v>
      </c>
      <c r="L78" s="25">
        <f t="shared" si="40"/>
        <v>2.0316696118747313E-2</v>
      </c>
      <c r="M78" s="25">
        <f t="shared" si="40"/>
        <v>1.4590803513737427E-2</v>
      </c>
      <c r="N78" s="25">
        <f t="shared" si="40"/>
        <v>-4.4326444986959146E-2</v>
      </c>
      <c r="O78" s="25">
        <f t="shared" si="40"/>
        <v>-5.6160045860017327E-2</v>
      </c>
      <c r="P78" s="25">
        <f t="shared" si="40"/>
        <v>-5.0641531075615642E-2</v>
      </c>
      <c r="Q78" s="25">
        <f t="shared" si="40"/>
        <v>-6.994289893081973E-2</v>
      </c>
    </row>
    <row r="79" spans="3:17" x14ac:dyDescent="0.25">
      <c r="C79" s="25" t="s">
        <v>111</v>
      </c>
      <c r="D79" s="25"/>
      <c r="E79" s="25"/>
      <c r="F79" s="25">
        <f>F78/F55*100</f>
        <v>-0.18649897080422384</v>
      </c>
      <c r="G79" s="25">
        <f t="shared" ref="G79:Q79" si="41">G78/G55*100</f>
        <v>-5.7838380442955931E-2</v>
      </c>
      <c r="H79" s="25">
        <f t="shared" si="41"/>
        <v>-0.18410223883395693</v>
      </c>
      <c r="I79" s="25">
        <f t="shared" si="41"/>
        <v>-1.0666777099721418</v>
      </c>
      <c r="J79" s="25">
        <f t="shared" si="41"/>
        <v>-0.78799790329259667</v>
      </c>
      <c r="K79" s="25">
        <f t="shared" si="41"/>
        <v>0.41116512982953485</v>
      </c>
      <c r="L79" s="25">
        <f t="shared" si="41"/>
        <v>0.75038788499673492</v>
      </c>
      <c r="M79" s="25">
        <f t="shared" si="41"/>
        <v>0.48501419288719921</v>
      </c>
      <c r="N79" s="25">
        <f t="shared" si="41"/>
        <v>-1.339508442527906</v>
      </c>
      <c r="O79" s="25">
        <f t="shared" si="41"/>
        <v>-1.5556842185821067</v>
      </c>
      <c r="P79" s="25">
        <f t="shared" si="41"/>
        <v>-1.2949074024652916</v>
      </c>
      <c r="Q79" s="25">
        <f t="shared" si="41"/>
        <v>-1.6606986449269352</v>
      </c>
    </row>
    <row r="82" spans="2:7" x14ac:dyDescent="0.25">
      <c r="B82" t="s">
        <v>131</v>
      </c>
    </row>
    <row r="92" spans="2:7" x14ac:dyDescent="0.25">
      <c r="G92" s="72"/>
    </row>
    <row r="93" spans="2:7" x14ac:dyDescent="0.25">
      <c r="G93" s="72"/>
    </row>
  </sheetData>
  <sheetProtection algorithmName="SHA-512" hashValue="l0ybOAl+niWzwUyVqRP7Fejqg5ZzgGXtrxxCOrZsG2nWXKzDHT3pDrQlVCYVKIAq9L2JMzDxvhCbnao4QOvAHA==" saltValue="PypmGuLlJatuVkbD+xXqKg==" spinCount="100000" sheet="1" objects="1" scenarios="1"/>
  <mergeCells count="12">
    <mergeCell ref="B61:B62"/>
    <mergeCell ref="Q23:Q34"/>
    <mergeCell ref="Q35:Q38"/>
    <mergeCell ref="Q41:Q46"/>
    <mergeCell ref="AQ23:AQ34"/>
    <mergeCell ref="AQ35:AQ38"/>
    <mergeCell ref="AQ41:AQ46"/>
    <mergeCell ref="BQ23:BQ34"/>
    <mergeCell ref="BQ35:BQ38"/>
    <mergeCell ref="BQ41:BQ46"/>
    <mergeCell ref="B55:B56"/>
    <mergeCell ref="B58:B5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ht="21" x14ac:dyDescent="0.35">
      <c r="A1" s="73" t="s">
        <v>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W24" sqref="W24"/>
    </sheetView>
  </sheetViews>
  <sheetFormatPr defaultRowHeight="15" x14ac:dyDescent="0.25"/>
  <cols>
    <col min="4" max="4" width="13.85546875" customWidth="1"/>
  </cols>
  <sheetData>
    <row r="1" spans="1:12" ht="22.5" x14ac:dyDescent="0.45">
      <c r="A1" s="33" t="s">
        <v>115</v>
      </c>
    </row>
    <row r="2" spans="1:12" ht="18.75" x14ac:dyDescent="0.3">
      <c r="D2" s="14" t="s">
        <v>123</v>
      </c>
      <c r="E2" s="14" t="str">
        <f>'Input Data'!D4</f>
        <v>Target 0.57</v>
      </c>
    </row>
    <row r="9" spans="1:12" ht="18.75" x14ac:dyDescent="0.3">
      <c r="L9" s="71"/>
    </row>
    <row r="46" spans="24:24" x14ac:dyDescent="0.25">
      <c r="X46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8" workbookViewId="0">
      <selection activeCell="E69" sqref="E69"/>
    </sheetView>
  </sheetViews>
  <sheetFormatPr defaultRowHeight="15" x14ac:dyDescent="0.25"/>
  <cols>
    <col min="1" max="1" width="14.140625" customWidth="1"/>
    <col min="2" max="2" width="30" customWidth="1"/>
    <col min="3" max="3" width="20.140625" customWidth="1"/>
  </cols>
  <sheetData>
    <row r="1" spans="1:17" ht="21" x14ac:dyDescent="0.35">
      <c r="A1" s="73" t="s">
        <v>126</v>
      </c>
    </row>
    <row r="3" spans="1:17" ht="18.75" x14ac:dyDescent="0.3">
      <c r="A3" s="146" t="s">
        <v>127</v>
      </c>
    </row>
    <row r="5" spans="1:17" ht="21" x14ac:dyDescent="0.35">
      <c r="A5" s="73" t="s">
        <v>128</v>
      </c>
    </row>
    <row r="6" spans="1:17" ht="18.75" x14ac:dyDescent="0.3">
      <c r="A6" s="14" t="str">
        <f>Calculations!B52</f>
        <v>Result Summary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7" x14ac:dyDescent="0.25">
      <c r="A7" s="81"/>
      <c r="B7" s="81" t="str">
        <f>Calculations!C53</f>
        <v>Froude Number</v>
      </c>
      <c r="C7" s="81"/>
      <c r="D7" s="81">
        <f>Calculations!E53</f>
        <v>0</v>
      </c>
      <c r="E7" s="81">
        <f>Calculations!F53</f>
        <v>0.15</v>
      </c>
      <c r="F7" s="81">
        <f>Calculations!G53</f>
        <v>0.2</v>
      </c>
      <c r="G7" s="81">
        <f>Calculations!H53</f>
        <v>0.25</v>
      </c>
      <c r="H7" s="81">
        <f>Calculations!I53</f>
        <v>0.3</v>
      </c>
      <c r="I7" s="81">
        <f>Calculations!J53</f>
        <v>0.35</v>
      </c>
      <c r="J7" s="81">
        <f>Calculations!K53</f>
        <v>0.39999999999999997</v>
      </c>
      <c r="K7" s="81">
        <f>Calculations!L53</f>
        <v>0.44999999999999996</v>
      </c>
      <c r="L7" s="81">
        <f>Calculations!M53</f>
        <v>0.49999999999999994</v>
      </c>
      <c r="M7" s="81">
        <f>Calculations!N53</f>
        <v>0.54999999999999993</v>
      </c>
      <c r="N7" s="81">
        <f>Calculations!O53</f>
        <v>0.6</v>
      </c>
      <c r="O7" s="81">
        <f>Calculations!P53</f>
        <v>0.65</v>
      </c>
      <c r="P7" s="81">
        <f>Calculations!Q53</f>
        <v>0.70000000000000007</v>
      </c>
      <c r="Q7" s="81">
        <f>Calculations!R53</f>
        <v>0.75000000000000011</v>
      </c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x14ac:dyDescent="0.25">
      <c r="A9" s="29" t="str">
        <f>Calculations!B55</f>
        <v>Target 0.57</v>
      </c>
      <c r="B9" s="29" t="str">
        <f>Calculations!C55</f>
        <v>Boat Speed, Knots</v>
      </c>
      <c r="C9" s="29" t="str">
        <f>Calculations!D55</f>
        <v>Speed, Knots</v>
      </c>
      <c r="D9" s="29">
        <f>Calculations!E55</f>
        <v>0</v>
      </c>
      <c r="E9" s="29">
        <f>Calculations!F55</f>
        <v>0.90249751828174896</v>
      </c>
      <c r="F9" s="29">
        <f>Calculations!G55</f>
        <v>1.2033300243756655</v>
      </c>
      <c r="G9" s="29">
        <f>Calculations!H55</f>
        <v>1.5041625304695818</v>
      </c>
      <c r="H9" s="29">
        <f>Calculations!I55</f>
        <v>1.8049950365634979</v>
      </c>
      <c r="I9" s="29">
        <f>Calculations!J55</f>
        <v>2.1058275426574142</v>
      </c>
      <c r="J9" s="29">
        <f>Calculations!K55</f>
        <v>2.4066600487513305</v>
      </c>
      <c r="K9" s="29">
        <f>Calculations!L55</f>
        <v>2.7074925548452469</v>
      </c>
      <c r="L9" s="29">
        <f>Calculations!M55</f>
        <v>3.0083250609391632</v>
      </c>
      <c r="M9" s="29">
        <f>Calculations!N55</f>
        <v>3.3091575670330791</v>
      </c>
      <c r="N9" s="29">
        <f>Calculations!O55</f>
        <v>3.6099900731269958</v>
      </c>
      <c r="O9" s="29">
        <f>Calculations!P55</f>
        <v>3.9108225792209126</v>
      </c>
      <c r="P9" s="29">
        <f>Calculations!Q55</f>
        <v>4.2116550853148293</v>
      </c>
      <c r="Q9" s="29">
        <f>Calculations!R55</f>
        <v>4.5124875914087452</v>
      </c>
    </row>
    <row r="10" spans="1:17" x14ac:dyDescent="0.25">
      <c r="A10" s="29"/>
      <c r="B10" s="29" t="str">
        <f>Calculations!C56</f>
        <v>Resistance, N</v>
      </c>
      <c r="C10" s="29" t="str">
        <f>Calculations!D56</f>
        <v>Total Drag, N</v>
      </c>
      <c r="D10" s="29">
        <f>Calculations!E56</f>
        <v>0</v>
      </c>
      <c r="E10" s="29">
        <f>Calculations!F56</f>
        <v>8.5303539855836205E-2</v>
      </c>
      <c r="F10" s="29">
        <f>Calculations!G56</f>
        <v>0.14064325392371635</v>
      </c>
      <c r="G10" s="29">
        <f>Calculations!H56</f>
        <v>0.25172202365141488</v>
      </c>
      <c r="H10" s="29">
        <f>Calculations!I56</f>
        <v>0.4443633247115869</v>
      </c>
      <c r="I10" s="29">
        <f>Calculations!J56</f>
        <v>0.71070500551126359</v>
      </c>
      <c r="J10" s="29">
        <f>Calculations!K56</f>
        <v>1.2460436270888819</v>
      </c>
      <c r="K10" s="29">
        <f>Calculations!L56</f>
        <v>2.0681605174052167</v>
      </c>
      <c r="L10" s="29">
        <f>Calculations!M56</f>
        <v>2.9351617418494129</v>
      </c>
      <c r="M10" s="29">
        <f>Calculations!N56</f>
        <v>3.6589276238694737</v>
      </c>
      <c r="N10" s="29">
        <f>Calculations!O56</f>
        <v>4.2584532397763057</v>
      </c>
      <c r="O10" s="29">
        <f>Calculations!P56</f>
        <v>4.8127969864653277</v>
      </c>
      <c r="P10" s="29">
        <f>Calculations!Q56</f>
        <v>5.2658966371126192</v>
      </c>
      <c r="Q10" s="29">
        <f>Calculations!R56</f>
        <v>5.6841487811430289</v>
      </c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1:17" x14ac:dyDescent="0.25">
      <c r="A12" s="147" t="str">
        <f>Calculations!B58</f>
        <v>Sky</v>
      </c>
      <c r="B12" s="147" t="str">
        <f>Calculations!C58</f>
        <v>Speed, Knots</v>
      </c>
      <c r="C12" s="147" t="str">
        <f>Calculations!D58</f>
        <v>Speed, Knots</v>
      </c>
      <c r="D12" s="147">
        <f>Calculations!E58</f>
        <v>0</v>
      </c>
      <c r="E12" s="147">
        <f>Calculations!F58</f>
        <v>0.90834673797838972</v>
      </c>
      <c r="F12" s="147">
        <f>Calculations!G58</f>
        <v>1.2111289839711865</v>
      </c>
      <c r="G12" s="147">
        <f>Calculations!H58</f>
        <v>1.513911229963983</v>
      </c>
      <c r="H12" s="147">
        <f>Calculations!I58</f>
        <v>1.8166934759567794</v>
      </c>
      <c r="I12" s="147">
        <f>Calculations!J58</f>
        <v>2.1194757219495761</v>
      </c>
      <c r="J12" s="147">
        <f>Calculations!K58</f>
        <v>2.4222579679423726</v>
      </c>
      <c r="K12" s="147">
        <f>Calculations!L58</f>
        <v>2.725040213935169</v>
      </c>
      <c r="L12" s="147">
        <f>Calculations!M58</f>
        <v>3.0278224599279655</v>
      </c>
      <c r="M12" s="147">
        <f>Calculations!N58</f>
        <v>3.330604705920762</v>
      </c>
      <c r="N12" s="147">
        <f>Calculations!O58</f>
        <v>3.6333869519135589</v>
      </c>
      <c r="O12" s="147">
        <f>Calculations!P58</f>
        <v>3.9361691979063558</v>
      </c>
      <c r="P12" s="147">
        <f>Calculations!Q58</f>
        <v>4.2389514438991531</v>
      </c>
      <c r="Q12" s="147">
        <f>Calculations!R58</f>
        <v>4.5417336898919496</v>
      </c>
    </row>
    <row r="13" spans="1:17" x14ac:dyDescent="0.25">
      <c r="A13" s="147"/>
      <c r="B13" s="147" t="str">
        <f>Calculations!C59</f>
        <v>Total Drag, N</v>
      </c>
      <c r="C13" s="147" t="str">
        <f>Calculations!D59</f>
        <v>Total Drag, N</v>
      </c>
      <c r="D13" s="147">
        <f>Calculations!E59</f>
        <v>0</v>
      </c>
      <c r="E13" s="147">
        <f>Calculations!F59</f>
        <v>8.9426758676545898E-2</v>
      </c>
      <c r="F13" s="147">
        <f>Calculations!G59</f>
        <v>0.14947650906812687</v>
      </c>
      <c r="G13" s="147">
        <f>Calculations!H59</f>
        <v>0.26806910988332833</v>
      </c>
      <c r="H13" s="147">
        <f>Calculations!I59</f>
        <v>0.46752674592342569</v>
      </c>
      <c r="I13" s="147">
        <f>Calculations!J59</f>
        <v>0.74939134849147604</v>
      </c>
      <c r="J13" s="147">
        <f>Calculations!K59</f>
        <v>1.2877670654348015</v>
      </c>
      <c r="K13" s="147">
        <f>Calculations!L59</f>
        <v>2.0859771718554603</v>
      </c>
      <c r="L13" s="147">
        <f>Calculations!M59</f>
        <v>2.9671210223363449</v>
      </c>
      <c r="M13" s="147">
        <f>Calculations!N59</f>
        <v>3.8289036554900502</v>
      </c>
      <c r="N13" s="147">
        <f>Calculations!O59</f>
        <v>4.5027370566258904</v>
      </c>
      <c r="O13" s="147">
        <f>Calculations!P59</f>
        <v>5.1098920981931002</v>
      </c>
      <c r="P13" s="147">
        <f>Calculations!Q59</f>
        <v>5.5760533829259433</v>
      </c>
      <c r="Q13" s="147">
        <f>Calculations!R59</f>
        <v>5.5919105181872517</v>
      </c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x14ac:dyDescent="0.25">
      <c r="A15" s="12" t="str">
        <f>Calculations!B61</f>
        <v>Target 0.52</v>
      </c>
      <c r="B15" s="12" t="str">
        <f>Calculations!C61</f>
        <v>Boat Speed, Knots</v>
      </c>
      <c r="C15" s="12" t="str">
        <f>Calculations!D61</f>
        <v>Speed, Knots</v>
      </c>
      <c r="D15" s="12">
        <f>Calculations!E61</f>
        <v>0</v>
      </c>
      <c r="E15" s="12">
        <f>Calculations!F61</f>
        <v>0.90889747372299257</v>
      </c>
      <c r="F15" s="12">
        <f>Calculations!G61</f>
        <v>1.2118632982973236</v>
      </c>
      <c r="G15" s="12">
        <f>Calculations!H61</f>
        <v>1.5148291228716544</v>
      </c>
      <c r="H15" s="12">
        <f>Calculations!I61</f>
        <v>1.8177949474459851</v>
      </c>
      <c r="I15" s="12">
        <f>Calculations!J61</f>
        <v>2.1207607720203163</v>
      </c>
      <c r="J15" s="12">
        <f>Calculations!K61</f>
        <v>2.4237265965946468</v>
      </c>
      <c r="K15" s="12">
        <f>Calculations!L61</f>
        <v>2.7266924211689778</v>
      </c>
      <c r="L15" s="12">
        <f>Calculations!M61</f>
        <v>3.0296582457433083</v>
      </c>
      <c r="M15" s="12">
        <f>Calculations!N61</f>
        <v>3.3326240703176393</v>
      </c>
      <c r="N15" s="12">
        <f>Calculations!O61</f>
        <v>3.6355898948919703</v>
      </c>
      <c r="O15" s="12">
        <f>Calculations!P61</f>
        <v>3.9385557194663012</v>
      </c>
      <c r="P15" s="12">
        <f>Calculations!Q61</f>
        <v>4.2415215440406326</v>
      </c>
      <c r="Q15" s="12">
        <f>Calculations!R61</f>
        <v>4.5444873686149645</v>
      </c>
    </row>
    <row r="16" spans="1:17" x14ac:dyDescent="0.25">
      <c r="A16" s="12"/>
      <c r="B16" s="12" t="str">
        <f>Calculations!C62</f>
        <v>Resistance, N</v>
      </c>
      <c r="C16" s="12" t="str">
        <f>Calculations!D62</f>
        <v>Total Drag, N</v>
      </c>
      <c r="D16" s="12">
        <f>Calculations!E62</f>
        <v>0</v>
      </c>
      <c r="E16" s="12">
        <f>Calculations!F62</f>
        <v>8.6196678562700094E-2</v>
      </c>
      <c r="F16" s="12">
        <f>Calculations!G62</f>
        <v>0.14356398507404608</v>
      </c>
      <c r="G16" s="12">
        <f>Calculations!H62</f>
        <v>0.25647061777972963</v>
      </c>
      <c r="H16" s="12">
        <f>Calculations!I62</f>
        <v>0.43863975623012541</v>
      </c>
      <c r="I16" s="12">
        <f>Calculations!J62</f>
        <v>0.70733537068014352</v>
      </c>
      <c r="J16" s="12">
        <f>Calculations!K62</f>
        <v>1.3220860523925533</v>
      </c>
      <c r="K16" s="12">
        <f>Calculations!L62</f>
        <v>2.1765607208875761</v>
      </c>
      <c r="L16" s="12">
        <f>Calculations!M62</f>
        <v>3.0076440692902526</v>
      </c>
      <c r="M16" s="12">
        <f>Calculations!N62</f>
        <v>3.618925531300123</v>
      </c>
      <c r="N16" s="12">
        <f>Calculations!O62</f>
        <v>4.1999083131733048</v>
      </c>
      <c r="O16" s="12">
        <f>Calculations!P62</f>
        <v>4.7803069355053642</v>
      </c>
      <c r="P16" s="12">
        <f>Calculations!Q62</f>
        <v>5.2099912006506628</v>
      </c>
      <c r="Q16" s="12">
        <f>Calculations!R62</f>
        <v>5.6326194722545955</v>
      </c>
    </row>
    <row r="17" spans="1:17" x14ac:dyDescent="0.25">
      <c r="A17" s="81"/>
      <c r="B17" s="81" t="str">
        <f>Calculations!C63</f>
        <v>Comparision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1:17" x14ac:dyDescent="0.25">
      <c r="A18" s="81"/>
      <c r="B18" s="147" t="str">
        <f>Calculations!C64</f>
        <v>%boat 1 is faster than boat 2</v>
      </c>
      <c r="C18" s="147"/>
      <c r="D18" s="147">
        <f>Calculations!E64</f>
        <v>0</v>
      </c>
      <c r="E18" s="147">
        <f>Calculations!F64</f>
        <v>3.9924895346009701</v>
      </c>
      <c r="F18" s="147">
        <f>Calculations!G64</f>
        <v>3.0531931964658856</v>
      </c>
      <c r="G18" s="147">
        <f>Calculations!H64</f>
        <v>2.1266003489525804</v>
      </c>
      <c r="H18" s="147">
        <f>Calculations!I64</f>
        <v>1.2999636333896099</v>
      </c>
      <c r="I18" s="147">
        <f>Calculations!J64</f>
        <v>1.3253289415932856</v>
      </c>
      <c r="J18" s="147">
        <f>Calculations!K64</f>
        <v>0.32689795988675635</v>
      </c>
      <c r="K18" s="147">
        <f>Calculations!L64</f>
        <v>-0.39849896890621889</v>
      </c>
      <c r="L18" s="147">
        <f>Calculations!M64</f>
        <v>-0.2830618508437478</v>
      </c>
      <c r="M18" s="147">
        <f>Calculations!N64</f>
        <v>1.1565764594822237</v>
      </c>
      <c r="N18" s="147">
        <f>Calculations!O64</f>
        <v>2.3925361299013925</v>
      </c>
      <c r="O18" s="147">
        <f>Calculations!P64</f>
        <v>3.140305861528061</v>
      </c>
      <c r="P18" s="147">
        <f>Calculations!Q64</f>
        <v>4.1351303648974911</v>
      </c>
      <c r="Q18" s="81"/>
    </row>
    <row r="19" spans="1:17" x14ac:dyDescent="0.25">
      <c r="A19" s="81"/>
      <c r="B19" s="12" t="str">
        <f>Calculations!C65</f>
        <v>%boat 1 is faster than Boat 3</v>
      </c>
      <c r="C19" s="12"/>
      <c r="D19" s="12">
        <f>Calculations!E65</f>
        <v>0</v>
      </c>
      <c r="E19" s="12">
        <f>Calculations!F65</f>
        <v>0.33437326170434867</v>
      </c>
      <c r="F19" s="12">
        <f>Calculations!G65</f>
        <v>0.57270818274173863</v>
      </c>
      <c r="G19" s="12">
        <f>Calculations!H65</f>
        <v>0.137980808281427</v>
      </c>
      <c r="H19" s="12">
        <f>Calculations!I65</f>
        <v>-1.0666777099721418</v>
      </c>
      <c r="I19" s="12">
        <f>Calculations!J65</f>
        <v>-0.78799790329259667</v>
      </c>
      <c r="J19" s="12">
        <f>Calculations!K65</f>
        <v>0.84803101623628208</v>
      </c>
      <c r="K19" s="12">
        <f>Calculations!L65</f>
        <v>0.71043322615100846</v>
      </c>
      <c r="L19" s="12">
        <f>Calculations!M65</f>
        <v>0.16918910961308803</v>
      </c>
      <c r="M19" s="12">
        <f>Calculations!N65</f>
        <v>-1.339508442527906</v>
      </c>
      <c r="N19" s="12">
        <f>Calculations!O65</f>
        <v>-1.5556842185821067</v>
      </c>
      <c r="O19" s="12">
        <f>Calculations!P65</f>
        <v>-1.2949074024652916</v>
      </c>
      <c r="P19" s="12">
        <f>Calculations!Q65</f>
        <v>-1.6606986449269352</v>
      </c>
      <c r="Q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1:17" ht="18.75" x14ac:dyDescent="0.3">
      <c r="A22" s="14" t="s">
        <v>129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4" spans="1:17" x14ac:dyDescent="0.25">
      <c r="B24" s="29" t="str">
        <f>Calculations!B20</f>
        <v>Target 0.57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7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7" x14ac:dyDescent="0.25">
      <c r="B26" s="29" t="str">
        <f>Calculations!B22</f>
        <v>Calculation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7" x14ac:dyDescent="0.25">
      <c r="B27" s="29" t="str">
        <f>Calculations!B23</f>
        <v>Fu=Froude Number</v>
      </c>
      <c r="C27" s="29"/>
      <c r="D27" s="29">
        <f>Calculations!D23</f>
        <v>0.15</v>
      </c>
      <c r="E27" s="29">
        <f>Calculations!E23</f>
        <v>0.2</v>
      </c>
      <c r="F27" s="29">
        <f>Calculations!F23</f>
        <v>0.25</v>
      </c>
      <c r="G27" s="29">
        <f>Calculations!G23</f>
        <v>0.3</v>
      </c>
      <c r="H27" s="29">
        <f>Calculations!H23</f>
        <v>0.35</v>
      </c>
      <c r="I27" s="29">
        <f>Calculations!I23</f>
        <v>0.39999999999999997</v>
      </c>
      <c r="J27" s="29">
        <f>Calculations!J23</f>
        <v>0.44999999999999996</v>
      </c>
      <c r="K27" s="29">
        <f>Calculations!K23</f>
        <v>0.49999999999999994</v>
      </c>
      <c r="L27" s="29">
        <f>Calculations!L23</f>
        <v>0.54999999999999993</v>
      </c>
      <c r="M27" s="29">
        <f>Calculations!M23</f>
        <v>0.6</v>
      </c>
      <c r="N27" s="29">
        <f>Calculations!N23</f>
        <v>0.65</v>
      </c>
      <c r="O27" s="29">
        <f>Calculations!O23</f>
        <v>0.70000000000000007</v>
      </c>
      <c r="P27" s="29">
        <f>Calculations!P23</f>
        <v>0.75000000000000011</v>
      </c>
    </row>
    <row r="28" spans="1:17" x14ac:dyDescent="0.25">
      <c r="B28" s="29" t="str">
        <f>Calculations!B24</f>
        <v>Speed, m/s</v>
      </c>
      <c r="C28" s="29"/>
      <c r="D28" s="29">
        <f>Calculations!D24</f>
        <v>0.46428443329493607</v>
      </c>
      <c r="E28" s="29">
        <f>Calculations!E24</f>
        <v>0.61904591105991491</v>
      </c>
      <c r="F28" s="29">
        <f>Calculations!F24</f>
        <v>0.77380738882489353</v>
      </c>
      <c r="G28" s="29">
        <f>Calculations!G24</f>
        <v>0.92856886658987214</v>
      </c>
      <c r="H28" s="29">
        <f>Calculations!H24</f>
        <v>1.0833303443548508</v>
      </c>
      <c r="I28" s="29">
        <f>Calculations!I24</f>
        <v>1.2380918221198296</v>
      </c>
      <c r="J28" s="29">
        <f>Calculations!J24</f>
        <v>1.3928532998848082</v>
      </c>
      <c r="K28" s="29">
        <f>Calculations!K24</f>
        <v>1.5476147776497868</v>
      </c>
      <c r="L28" s="29">
        <f>Calculations!L24</f>
        <v>1.7023762554147654</v>
      </c>
      <c r="M28" s="29">
        <f>Calculations!M24</f>
        <v>1.8571377331797443</v>
      </c>
      <c r="N28" s="29">
        <f>Calculations!N24</f>
        <v>2.0118992109447231</v>
      </c>
      <c r="O28" s="29">
        <f>Calculations!O24</f>
        <v>2.166660688709702</v>
      </c>
      <c r="P28" s="29">
        <f>Calculations!P24</f>
        <v>2.3214221664746808</v>
      </c>
    </row>
    <row r="29" spans="1:17" x14ac:dyDescent="0.25">
      <c r="B29" s="29" t="str">
        <f>Calculations!B25</f>
        <v>1st Multiplier</v>
      </c>
      <c r="C29" s="29"/>
      <c r="D29" s="29">
        <f>Calculations!D25</f>
        <v>0.15697811379031332</v>
      </c>
      <c r="E29" s="29">
        <f>Calculations!E25</f>
        <v>0.15697811379031332</v>
      </c>
      <c r="F29" s="29">
        <f>Calculations!F25</f>
        <v>0.15697811379031332</v>
      </c>
      <c r="G29" s="29">
        <f>Calculations!G25</f>
        <v>0.15697811379031332</v>
      </c>
      <c r="H29" s="29">
        <f>Calculations!H25</f>
        <v>0.15697811379031332</v>
      </c>
      <c r="I29" s="29">
        <f>Calculations!I25</f>
        <v>0.15697811379031332</v>
      </c>
      <c r="J29" s="29">
        <f>Calculations!J25</f>
        <v>0.15697811379031332</v>
      </c>
      <c r="K29" s="29">
        <f>Calculations!K25</f>
        <v>0.15697811379031332</v>
      </c>
      <c r="L29" s="29">
        <f>Calculations!L25</f>
        <v>0.15697811379031332</v>
      </c>
      <c r="M29" s="29">
        <f>Calculations!M25</f>
        <v>0.15697811379031332</v>
      </c>
      <c r="N29" s="29">
        <f>Calculations!N25</f>
        <v>0.15697811379031332</v>
      </c>
      <c r="O29" s="29">
        <f>Calculations!O25</f>
        <v>0.15697811379031332</v>
      </c>
      <c r="P29" s="29">
        <f>Calculations!P25</f>
        <v>0.15697811379031332</v>
      </c>
    </row>
    <row r="30" spans="1:17" x14ac:dyDescent="0.25">
      <c r="B30" s="29" t="str">
        <f>Calculations!B26</f>
        <v>Term 1      LCb/LWL</v>
      </c>
      <c r="C30" s="29"/>
      <c r="D30" s="29">
        <f>Calculations!D26</f>
        <v>1.2248924841286094E-3</v>
      </c>
      <c r="E30" s="29">
        <f>Calculations!E26</f>
        <v>3.1421155027646936E-3</v>
      </c>
      <c r="F30" s="29">
        <f>Calculations!F26</f>
        <v>-8.3079664140897E-3</v>
      </c>
      <c r="G30" s="29">
        <f>Calculations!G26</f>
        <v>8.520991193938153E-4</v>
      </c>
      <c r="H30" s="29">
        <f>Calculations!H26</f>
        <v>-3.0196262543518326E-2</v>
      </c>
      <c r="I30" s="29">
        <f>Calculations!I26</f>
        <v>-0.21483549047716566</v>
      </c>
      <c r="J30" s="29">
        <f>Calculations!J26</f>
        <v>-0.28018084169567886</v>
      </c>
      <c r="K30" s="29">
        <f>Calculations!K26</f>
        <v>-0.31879158304321115</v>
      </c>
      <c r="L30" s="29">
        <f>Calculations!L26</f>
        <v>-0.25371251279950846</v>
      </c>
      <c r="M30" s="29">
        <f>Calculations!M26</f>
        <v>1.970479213598198E-3</v>
      </c>
      <c r="N30" s="29">
        <f>Calculations!N26</f>
        <v>0.19853909481875895</v>
      </c>
      <c r="O30" s="29">
        <f>Calculations!O26</f>
        <v>-6.5931169363096453E-2</v>
      </c>
      <c r="P30" s="29">
        <f>Calculations!P26</f>
        <v>0.41145736227728852</v>
      </c>
    </row>
    <row r="31" spans="1:17" x14ac:dyDescent="0.25">
      <c r="B31" s="29" t="str">
        <f>Calculations!B27</f>
        <v>Term 2        Cp</v>
      </c>
      <c r="C31" s="29"/>
      <c r="D31" s="29">
        <f>Calculations!D27</f>
        <v>-4.9019999999999992E-3</v>
      </c>
      <c r="E31" s="29">
        <f>Calculations!E27</f>
        <v>-3.6479999999999998E-3</v>
      </c>
      <c r="F31" s="29">
        <f>Calculations!F27</f>
        <v>1.7669999999999997E-3</v>
      </c>
      <c r="G31" s="29">
        <f>Calculations!G27</f>
        <v>1.9209E-2</v>
      </c>
      <c r="H31" s="29">
        <f>Calculations!H27</f>
        <v>2.5421999999999997E-2</v>
      </c>
      <c r="I31" s="29">
        <f>Calculations!I27</f>
        <v>-7.1249999999999994E-2</v>
      </c>
      <c r="J31" s="29">
        <f>Calculations!J27</f>
        <v>-0.16786499999999999</v>
      </c>
      <c r="K31" s="29">
        <f>Calculations!K27</f>
        <v>-0.17316599999999999</v>
      </c>
      <c r="L31" s="29">
        <f>Calculations!L27</f>
        <v>-0.134577</v>
      </c>
      <c r="M31" s="29">
        <f>Calculations!M27</f>
        <v>-0.16871999999999998</v>
      </c>
      <c r="N31" s="29">
        <f>Calculations!N27</f>
        <v>-0.20901900000000001</v>
      </c>
      <c r="O31" s="29">
        <f>Calculations!O27</f>
        <v>-0.11548199999999999</v>
      </c>
      <c r="P31" s="29">
        <f>Calculations!P27</f>
        <v>0.28727999999999998</v>
      </c>
    </row>
    <row r="32" spans="1:17" x14ac:dyDescent="0.25">
      <c r="B32" s="29" t="str">
        <f>Calculations!B28</f>
        <v>Term 3   (Del^2/3)/AWP</v>
      </c>
      <c r="C32" s="29"/>
      <c r="D32" s="29">
        <f>Calculations!D28</f>
        <v>-3.1498055150919717E-4</v>
      </c>
      <c r="E32" s="29">
        <f>Calculations!E28</f>
        <v>1.4699092403762536E-3</v>
      </c>
      <c r="F32" s="29">
        <f>Calculations!F28</f>
        <v>-4.40972772112876E-4</v>
      </c>
      <c r="G32" s="29">
        <f>Calculations!G28</f>
        <v>-5.984630478674746E-3</v>
      </c>
      <c r="H32" s="29">
        <f>Calculations!H28</f>
        <v>-2.2909585446435607E-2</v>
      </c>
      <c r="I32" s="29">
        <f>Calculations!I28</f>
        <v>5.7326460374673887E-3</v>
      </c>
      <c r="J32" s="29">
        <f>Calculations!J28</f>
        <v>5.2181778033356996E-2</v>
      </c>
      <c r="K32" s="29">
        <f>Calculations!K28</f>
        <v>0.12668517781699909</v>
      </c>
      <c r="L32" s="29">
        <f>Calculations!L28</f>
        <v>0.18323468616461697</v>
      </c>
      <c r="M32" s="29">
        <f>Calculations!M28</f>
        <v>0.20286847387535689</v>
      </c>
      <c r="N32" s="29">
        <f>Calculations!N28</f>
        <v>0.29307890382759094</v>
      </c>
      <c r="O32" s="29">
        <f>Calculations!O28</f>
        <v>0.2369073721417842</v>
      </c>
      <c r="P32" s="29">
        <f>Calculations!P28</f>
        <v>0.37518383425432167</v>
      </c>
    </row>
    <row r="33" spans="2:16" x14ac:dyDescent="0.25">
      <c r="B33" s="29" t="str">
        <f>Calculations!B29</f>
        <v>Term 4    BWL/LWL</v>
      </c>
      <c r="C33" s="29"/>
      <c r="D33" s="29">
        <f>Calculations!D29</f>
        <v>1.0418595125947165E-3</v>
      </c>
      <c r="E33" s="29">
        <f>Calculations!E29</f>
        <v>2.3911529797255785E-4</v>
      </c>
      <c r="F33" s="29">
        <f>Calculations!F29</f>
        <v>-1.1955764898627893E-3</v>
      </c>
      <c r="G33" s="29">
        <f>Calculations!G29</f>
        <v>-6.2682367397091958E-3</v>
      </c>
      <c r="H33" s="29">
        <f>Calculations!H29</f>
        <v>-1.207532254761417E-2</v>
      </c>
      <c r="I33" s="29">
        <f>Calculations!I29</f>
        <v>-2.2903829612942864E-2</v>
      </c>
      <c r="J33" s="29">
        <f>Calculations!J29</f>
        <v>-4.1469424534097889E-2</v>
      </c>
      <c r="K33" s="29">
        <f>Calculations!K29</f>
        <v>-7.3442555805857054E-3</v>
      </c>
      <c r="L33" s="29">
        <f>Calculations!L29</f>
        <v>7.2059103010444409E-2</v>
      </c>
      <c r="M33" s="29">
        <f>Calculations!M29</f>
        <v>0.10457878353471226</v>
      </c>
      <c r="N33" s="29">
        <f>Calculations!N29</f>
        <v>0.17665496620929755</v>
      </c>
      <c r="O33" s="29">
        <f>Calculations!O29</f>
        <v>0.20215490477165679</v>
      </c>
      <c r="P33" s="29">
        <f>Calculations!P29</f>
        <v>0.37462535326643459</v>
      </c>
    </row>
    <row r="34" spans="2:16" x14ac:dyDescent="0.25">
      <c r="B34" s="29" t="str">
        <f>Calculations!B30</f>
        <v>Term 5  LCb/LCF</v>
      </c>
      <c r="C34" s="29"/>
      <c r="D34" s="29">
        <f>Calculations!D30</f>
        <v>9.5238967222120491E-4</v>
      </c>
      <c r="E34" s="29">
        <f>Calculations!E30</f>
        <v>1.2381065738875663E-3</v>
      </c>
      <c r="F34" s="29">
        <f>Calculations!F30</f>
        <v>1.4095367148873833E-2</v>
      </c>
      <c r="G34" s="29">
        <f>Calculations!G30</f>
        <v>2.0762094854422264E-2</v>
      </c>
      <c r="H34" s="29">
        <f>Calculations!H30</f>
        <v>8.7048416041018123E-2</v>
      </c>
      <c r="I34" s="29">
        <f>Calculations!I30</f>
        <v>0.3407650247207471</v>
      </c>
      <c r="J34" s="29">
        <f>Calculations!J30</f>
        <v>0.59933882072880418</v>
      </c>
      <c r="K34" s="29">
        <f>Calculations!K30</f>
        <v>0.79353107489470798</v>
      </c>
      <c r="L34" s="29">
        <f>Calculations!L30</f>
        <v>0.85619831532686319</v>
      </c>
      <c r="M34" s="29">
        <f>Calculations!M30</f>
        <v>0.71753037905145567</v>
      </c>
      <c r="N34" s="29">
        <f>Calculations!N30</f>
        <v>0.30762186412744918</v>
      </c>
      <c r="O34" s="29">
        <f>Calculations!O30</f>
        <v>0.47362338399560522</v>
      </c>
      <c r="P34" s="29">
        <f>Calculations!P30</f>
        <v>-1.4742039736312031</v>
      </c>
    </row>
    <row r="35" spans="2:16" x14ac:dyDescent="0.25">
      <c r="B35" s="29" t="str">
        <f>Calculations!B31</f>
        <v>Term 6    BWL/Tc</v>
      </c>
      <c r="C35" s="29"/>
      <c r="D35" s="29">
        <f>Calculations!D31</f>
        <v>2.9160839160839161E-4</v>
      </c>
      <c r="E35" s="29">
        <f>Calculations!E31</f>
        <v>1.4580419580419582E-3</v>
      </c>
      <c r="F35" s="29">
        <f>Calculations!F31</f>
        <v>2.9160839160839165E-3</v>
      </c>
      <c r="G35" s="29">
        <f>Calculations!G31</f>
        <v>4.3741258741258745E-3</v>
      </c>
      <c r="H35" s="29">
        <f>Calculations!H31</f>
        <v>6.1237762237762242E-3</v>
      </c>
      <c r="I35" s="29">
        <f>Calculations!I31</f>
        <v>1.3122377622377623E-2</v>
      </c>
      <c r="J35" s="29">
        <f>Calculations!J31</f>
        <v>2.3620279720279722E-2</v>
      </c>
      <c r="K35" s="29">
        <f>Calculations!K31</f>
        <v>3.0910489510489515E-2</v>
      </c>
      <c r="L35" s="29">
        <f>Calculations!L31</f>
        <v>2.7994405594405594E-2</v>
      </c>
      <c r="M35" s="29">
        <f>Calculations!M31</f>
        <v>2.9160839160839162E-2</v>
      </c>
      <c r="N35" s="29">
        <f>Calculations!N31</f>
        <v>2.0995804195804199E-2</v>
      </c>
      <c r="O35" s="29">
        <f>Calculations!O31</f>
        <v>1.1081118881118882E-2</v>
      </c>
      <c r="P35" s="29">
        <f>Calculations!P31</f>
        <v>-3.3534965034965038E-2</v>
      </c>
    </row>
    <row r="36" spans="2:16" x14ac:dyDescent="0.25">
      <c r="B36" s="29" t="str">
        <f>Calculations!B32</f>
        <v>Term 7  Cm</v>
      </c>
      <c r="C36" s="29"/>
      <c r="D36" s="29">
        <f>Calculations!D32</f>
        <v>3.5516000000000002E-3</v>
      </c>
      <c r="E36" s="29">
        <f>Calculations!E32</f>
        <v>-1.366E-3</v>
      </c>
      <c r="F36" s="29">
        <f>Calculations!F32</f>
        <v>-2.9369000000000001E-3</v>
      </c>
      <c r="G36" s="29">
        <f>Calculations!G32</f>
        <v>-1.17476E-2</v>
      </c>
      <c r="H36" s="29">
        <f>Calculations!H32</f>
        <v>-5.3274000000000004E-3</v>
      </c>
      <c r="I36" s="29">
        <f>Calculations!I32</f>
        <v>7.6154500000000014E-2</v>
      </c>
      <c r="J36" s="29">
        <f>Calculations!J32</f>
        <v>0.14247380000000001</v>
      </c>
      <c r="K36" s="29">
        <f>Calculations!K32</f>
        <v>9.1248800000000005E-2</v>
      </c>
      <c r="L36" s="29">
        <f>Calculations!L32</f>
        <v>-0.15517760000000003</v>
      </c>
      <c r="M36" s="29">
        <f>Calculations!M32</f>
        <v>-0.22894160000000002</v>
      </c>
      <c r="N36" s="29">
        <f>Calculations!N32</f>
        <v>-0.31636560000000002</v>
      </c>
      <c r="O36" s="29">
        <f>Calculations!O32</f>
        <v>-0.30577910000000003</v>
      </c>
      <c r="P36" s="29">
        <f>Calculations!P32</f>
        <v>-6.67291E-2</v>
      </c>
    </row>
    <row r="37" spans="2:16" x14ac:dyDescent="0.25">
      <c r="B37" s="29" t="str">
        <f>Calculations!B33</f>
        <v>Total RHS</v>
      </c>
      <c r="C37" s="29"/>
      <c r="D37" s="29">
        <f>Calculations!D33</f>
        <v>0</v>
      </c>
      <c r="E37" s="29">
        <f>Calculations!E33</f>
        <v>9.7670861882849166E-5</v>
      </c>
      <c r="F37" s="29">
        <f>Calculations!F33</f>
        <v>7.2570549230305335E-4</v>
      </c>
      <c r="G37" s="29">
        <f>Calculations!G33</f>
        <v>2.427441944079259E-3</v>
      </c>
      <c r="H37" s="29">
        <f>Calculations!H33</f>
        <v>4.9483901991744829E-3</v>
      </c>
      <c r="I37" s="29">
        <f>Calculations!I33</f>
        <v>1.3502505993514387E-2</v>
      </c>
      <c r="J37" s="29">
        <f>Calculations!J33</f>
        <v>2.970442687113363E-2</v>
      </c>
      <c r="K37" s="29">
        <f>Calculations!K33</f>
        <v>4.6450685639996464E-2</v>
      </c>
      <c r="L37" s="29">
        <f>Calculations!L33</f>
        <v>5.8862000770094423E-2</v>
      </c>
      <c r="M37" s="29">
        <f>Calculations!M33</f>
        <v>6.7261823792370473E-2</v>
      </c>
      <c r="N37" s="29">
        <f>Calculations!N33</f>
        <v>7.4816127729176715E-2</v>
      </c>
      <c r="O37" s="29">
        <f>Calculations!O33</f>
        <v>7.9332643175770698E-2</v>
      </c>
      <c r="P37" s="29">
        <f>Calculations!P33</f>
        <v>8.2533082191814044E-2</v>
      </c>
    </row>
    <row r="40" spans="2:16" x14ac:dyDescent="0.25">
      <c r="B40" s="147" t="str">
        <f>Calculations!AB21</f>
        <v>Sky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</row>
    <row r="41" spans="2:16" x14ac:dyDescent="0.25"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2:16" x14ac:dyDescent="0.25">
      <c r="B42" s="147" t="str">
        <f>Calculations!AB23</f>
        <v>Fu=Froude Number</v>
      </c>
      <c r="C42" s="147"/>
      <c r="D42" s="147">
        <f>Calculations!AD23</f>
        <v>0.15</v>
      </c>
      <c r="E42" s="147">
        <f>Calculations!AE23</f>
        <v>0.2</v>
      </c>
      <c r="F42" s="147">
        <f>Calculations!AF23</f>
        <v>0.25</v>
      </c>
      <c r="G42" s="147">
        <f>Calculations!AG23</f>
        <v>0.3</v>
      </c>
      <c r="H42" s="147">
        <f>Calculations!AH23</f>
        <v>0.35</v>
      </c>
      <c r="I42" s="147">
        <f>Calculations!AI23</f>
        <v>0.39999999999999997</v>
      </c>
      <c r="J42" s="147">
        <f>Calculations!AJ23</f>
        <v>0.44999999999999996</v>
      </c>
      <c r="K42" s="147">
        <f>Calculations!AK23</f>
        <v>0.49999999999999994</v>
      </c>
      <c r="L42" s="147">
        <f>Calculations!AL23</f>
        <v>0.54999999999999993</v>
      </c>
      <c r="M42" s="147">
        <f>Calculations!AM23</f>
        <v>0.6</v>
      </c>
      <c r="N42" s="147">
        <f>Calculations!AN23</f>
        <v>0.65</v>
      </c>
      <c r="O42" s="147">
        <f>Calculations!AO23</f>
        <v>0.70000000000000007</v>
      </c>
      <c r="P42" s="147">
        <f>Calculations!AP23</f>
        <v>0.75000000000000011</v>
      </c>
    </row>
    <row r="43" spans="2:16" x14ac:dyDescent="0.25">
      <c r="B43" s="147" t="str">
        <f>Calculations!AB24</f>
        <v>Speed, m/s</v>
      </c>
      <c r="C43" s="147"/>
      <c r="D43" s="147">
        <f>Calculations!AD24</f>
        <v>0.46729352927255474</v>
      </c>
      <c r="E43" s="147">
        <f>Calculations!AE24</f>
        <v>0.62305803903007306</v>
      </c>
      <c r="F43" s="147">
        <f>Calculations!AF24</f>
        <v>0.77882254878759127</v>
      </c>
      <c r="G43" s="147">
        <f>Calculations!AG24</f>
        <v>0.93458705854510948</v>
      </c>
      <c r="H43" s="147">
        <f>Calculations!AH24</f>
        <v>1.0903515683026277</v>
      </c>
      <c r="I43" s="147">
        <f>Calculations!AI24</f>
        <v>1.2461160780601459</v>
      </c>
      <c r="J43" s="147">
        <f>Calculations!AJ24</f>
        <v>1.4018805878176641</v>
      </c>
      <c r="K43" s="147">
        <f>Calculations!AK24</f>
        <v>1.5576450975751823</v>
      </c>
      <c r="L43" s="147">
        <f>Calculations!AL24</f>
        <v>1.7134096073327005</v>
      </c>
      <c r="M43" s="147">
        <f>Calculations!AM24</f>
        <v>1.869174117090219</v>
      </c>
      <c r="N43" s="147">
        <f>Calculations!AN24</f>
        <v>2.0249386268477374</v>
      </c>
      <c r="O43" s="147">
        <f>Calculations!AO24</f>
        <v>2.1807031366052558</v>
      </c>
      <c r="P43" s="147">
        <f>Calculations!AP24</f>
        <v>2.3364676463627743</v>
      </c>
    </row>
    <row r="44" spans="2:16" x14ac:dyDescent="0.25">
      <c r="B44" s="147" t="str">
        <f>Calculations!AB25</f>
        <v>1st Multiplier</v>
      </c>
      <c r="C44" s="147"/>
      <c r="D44" s="147">
        <f>Calculations!AD25</f>
        <v>0.15494858494249145</v>
      </c>
      <c r="E44" s="147">
        <f>Calculations!AE25</f>
        <v>0.15494858494249145</v>
      </c>
      <c r="F44" s="147">
        <f>Calculations!AF25</f>
        <v>0.15494858494249145</v>
      </c>
      <c r="G44" s="147">
        <f>Calculations!AG25</f>
        <v>0.15494858494249145</v>
      </c>
      <c r="H44" s="147">
        <f>Calculations!AH25</f>
        <v>0.15494858494249145</v>
      </c>
      <c r="I44" s="147">
        <f>Calculations!AI25</f>
        <v>0.15494858494249145</v>
      </c>
      <c r="J44" s="147">
        <f>Calculations!AJ25</f>
        <v>0.15494858494249145</v>
      </c>
      <c r="K44" s="147">
        <f>Calculations!AK25</f>
        <v>0.15494858494249145</v>
      </c>
      <c r="L44" s="147">
        <f>Calculations!AL25</f>
        <v>0.15494858494249145</v>
      </c>
      <c r="M44" s="147">
        <f>Calculations!AM25</f>
        <v>0.15494858494249145</v>
      </c>
      <c r="N44" s="147">
        <f>Calculations!AN25</f>
        <v>0.15494858494249145</v>
      </c>
      <c r="O44" s="147">
        <f>Calculations!AO25</f>
        <v>0.15494858494249145</v>
      </c>
      <c r="P44" s="147">
        <f>Calculations!AP25</f>
        <v>0.15494858494249145</v>
      </c>
    </row>
    <row r="45" spans="2:16" x14ac:dyDescent="0.25">
      <c r="B45" s="147" t="str">
        <f>Calculations!AB26</f>
        <v>Term 1      LCb/LWL</v>
      </c>
      <c r="C45" s="147"/>
      <c r="D45" s="147">
        <f>Calculations!AD26</f>
        <v>1.2368341251389873E-3</v>
      </c>
      <c r="E45" s="147">
        <f>Calculations!AE26</f>
        <v>3.1727484079652284E-3</v>
      </c>
      <c r="F45" s="147">
        <f>Calculations!AF26</f>
        <v>-8.3889618922470439E-3</v>
      </c>
      <c r="G45" s="147">
        <f>Calculations!AG26</f>
        <v>8.6040634792277379E-4</v>
      </c>
      <c r="H45" s="147">
        <f>Calculations!AH26</f>
        <v>-3.0490649954513293E-2</v>
      </c>
      <c r="I45" s="147">
        <f>Calculations!AI26</f>
        <v>-0.2169299504700293</v>
      </c>
      <c r="J45" s="147">
        <f>Calculations!AJ26</f>
        <v>-0.28291236227635702</v>
      </c>
      <c r="K45" s="147">
        <f>Calculations!AK26</f>
        <v>-0.32189952491660778</v>
      </c>
      <c r="L45" s="147">
        <f>Calculations!AL26</f>
        <v>-0.25618599009400589</v>
      </c>
      <c r="M45" s="147">
        <f>Calculations!AM26</f>
        <v>1.9896896795714145E-3</v>
      </c>
      <c r="N45" s="147">
        <f>Calculations!AN26</f>
        <v>0.2004746790660063</v>
      </c>
      <c r="O45" s="147">
        <f>Calculations!AO26</f>
        <v>-6.657394117052462E-2</v>
      </c>
      <c r="P45" s="147">
        <f>Calculations!AP26</f>
        <v>0.41546871525320933</v>
      </c>
    </row>
    <row r="46" spans="2:16" x14ac:dyDescent="0.25">
      <c r="B46" s="147" t="str">
        <f>Calculations!AB27</f>
        <v>Term 2        Cp</v>
      </c>
      <c r="C46" s="147"/>
      <c r="D46" s="147">
        <f>Calculations!AD27</f>
        <v>-4.5236E-3</v>
      </c>
      <c r="E46" s="147">
        <f>Calculations!AE27</f>
        <v>-3.3664000000000003E-3</v>
      </c>
      <c r="F46" s="147">
        <f>Calculations!AF27</f>
        <v>1.6306000000000001E-3</v>
      </c>
      <c r="G46" s="147">
        <f>Calculations!AG27</f>
        <v>1.7726200000000001E-2</v>
      </c>
      <c r="H46" s="147">
        <f>Calculations!AH27</f>
        <v>2.3459600000000001E-2</v>
      </c>
      <c r="I46" s="147">
        <f>Calculations!AI27</f>
        <v>-6.5750000000000003E-2</v>
      </c>
      <c r="J46" s="147">
        <f>Calculations!AJ27</f>
        <v>-0.15490699999999999</v>
      </c>
      <c r="K46" s="147">
        <f>Calculations!AK27</f>
        <v>-0.15979880000000002</v>
      </c>
      <c r="L46" s="147">
        <f>Calculations!AL27</f>
        <v>-0.12418860000000001</v>
      </c>
      <c r="M46" s="147">
        <f>Calculations!AM27</f>
        <v>-0.155696</v>
      </c>
      <c r="N46" s="147">
        <f>Calculations!AN27</f>
        <v>-0.19288420000000003</v>
      </c>
      <c r="O46" s="147">
        <f>Calculations!AO27</f>
        <v>-0.10656760000000001</v>
      </c>
      <c r="P46" s="147">
        <f>Calculations!AP27</f>
        <v>0.26510400000000001</v>
      </c>
    </row>
    <row r="47" spans="2:16" x14ac:dyDescent="0.25">
      <c r="B47" s="147" t="str">
        <f>Calculations!AB28</f>
        <v>Term 3   (Del^2/3)/AWP</v>
      </c>
      <c r="C47" s="147"/>
      <c r="D47" s="147">
        <f>Calculations!AD28</f>
        <v>-2.827450109308987E-4</v>
      </c>
      <c r="E47" s="147">
        <f>Calculations!AE28</f>
        <v>1.3194767176775274E-3</v>
      </c>
      <c r="F47" s="147">
        <f>Calculations!AF28</f>
        <v>-3.9584301530325817E-4</v>
      </c>
      <c r="G47" s="147">
        <f>Calculations!AG28</f>
        <v>-5.3721552076870759E-3</v>
      </c>
      <c r="H47" s="147">
        <f>Calculations!AH28</f>
        <v>-2.056498712837403E-2</v>
      </c>
      <c r="I47" s="147">
        <f>Calculations!AI28</f>
        <v>5.1459591989423568E-3</v>
      </c>
      <c r="J47" s="147">
        <f>Calculations!AJ28</f>
        <v>4.684142347755222E-2</v>
      </c>
      <c r="K47" s="147">
        <f>Calculations!AK28</f>
        <v>0.11372004339640746</v>
      </c>
      <c r="L47" s="147">
        <f>Calculations!AL28</f>
        <v>0.16448219769220149</v>
      </c>
      <c r="M47" s="147">
        <f>Calculations!AM28</f>
        <v>0.18210663670689414</v>
      </c>
      <c r="N47" s="147">
        <f>Calculations!AN28</f>
        <v>0.26308480783750354</v>
      </c>
      <c r="O47" s="147">
        <f>Calculations!AO28</f>
        <v>0.21266194755482662</v>
      </c>
      <c r="P47" s="147">
        <f>Calculations!AP28</f>
        <v>0.3367870073534911</v>
      </c>
    </row>
    <row r="48" spans="2:16" x14ac:dyDescent="0.25">
      <c r="B48" s="147" t="str">
        <f>Calculations!AB29</f>
        <v>Term 4    BWL/LWL</v>
      </c>
      <c r="C48" s="147"/>
      <c r="D48" s="147">
        <f>Calculations!AD29</f>
        <v>1.1456383301324169E-3</v>
      </c>
      <c r="E48" s="147">
        <f>Calculations!AE29</f>
        <v>2.6293338724350552E-4</v>
      </c>
      <c r="F48" s="147">
        <f>Calculations!AF29</f>
        <v>-1.3146669362175277E-3</v>
      </c>
      <c r="G48" s="147">
        <f>Calculations!AG29</f>
        <v>-6.892610937026181E-3</v>
      </c>
      <c r="H48" s="147">
        <f>Calculations!AH29</f>
        <v>-1.3278136055797028E-2</v>
      </c>
      <c r="I48" s="147">
        <f>Calculations!AI29</f>
        <v>-2.5185262306681493E-2</v>
      </c>
      <c r="J48" s="147">
        <f>Calculations!AJ29</f>
        <v>-4.5600161730516529E-2</v>
      </c>
      <c r="K48" s="147">
        <f>Calculations!AK29</f>
        <v>-8.0758111796219549E-3</v>
      </c>
      <c r="L48" s="147">
        <f>Calculations!AL29</f>
        <v>7.9236854341453541E-2</v>
      </c>
      <c r="M48" s="147">
        <f>Calculations!AM29</f>
        <v>0.1149957950065703</v>
      </c>
      <c r="N48" s="147">
        <f>Calculations!AN29</f>
        <v>0.19425143030425554</v>
      </c>
      <c r="O48" s="147">
        <f>Calculations!AO29</f>
        <v>0.22229139795815223</v>
      </c>
      <c r="P48" s="147">
        <f>Calculations!AP29</f>
        <v>0.41194149398564645</v>
      </c>
    </row>
    <row r="49" spans="2:16" x14ac:dyDescent="0.25">
      <c r="B49" s="147" t="str">
        <f>Calculations!AB30</f>
        <v>Term 5  LCb/LCF</v>
      </c>
      <c r="C49" s="147"/>
      <c r="D49" s="147">
        <f>Calculations!AD30</f>
        <v>9.4477747502270666E-4</v>
      </c>
      <c r="E49" s="147">
        <f>Calculations!AE30</f>
        <v>1.2563124432334242E-3</v>
      </c>
      <c r="F49" s="147">
        <f>Calculations!AF30</f>
        <v>1.4302633969118985E-2</v>
      </c>
      <c r="G49" s="147">
        <f>Calculations!AG30</f>
        <v>2.1067393278837422E-2</v>
      </c>
      <c r="H49" s="147">
        <f>Calculations!AH30</f>
        <v>8.8328428701180753E-2</v>
      </c>
      <c r="I49" s="147">
        <f>Calculations!AI30</f>
        <v>0.34577584014532248</v>
      </c>
      <c r="J49" s="147">
        <f>Calculations!AJ30</f>
        <v>0.60815186194368764</v>
      </c>
      <c r="K49" s="147">
        <f>Calculations!AK30</f>
        <v>0.8051996366939147</v>
      </c>
      <c r="L49" s="147">
        <f>Calculations!AL30</f>
        <v>0.868788374205268</v>
      </c>
      <c r="M49" s="147">
        <f>Calculations!AM30</f>
        <v>0.72808138056312444</v>
      </c>
      <c r="N49" s="147">
        <f>Calculations!AN30</f>
        <v>0.31214532243415083</v>
      </c>
      <c r="O49" s="147">
        <f>Calculations!AO30</f>
        <v>0.48058782924613991</v>
      </c>
      <c r="P49" s="147">
        <f>Calculations!AP30</f>
        <v>-1.4958815622161672</v>
      </c>
    </row>
    <row r="50" spans="2:16" x14ac:dyDescent="0.25">
      <c r="B50" s="147" t="str">
        <f>Calculations!AB31</f>
        <v>Term 6    BWL/Tc</v>
      </c>
      <c r="C50" s="147"/>
      <c r="D50" s="147">
        <f>Calculations!AD31</f>
        <v>3.1122278056951424E-4</v>
      </c>
      <c r="E50" s="147">
        <f>Calculations!AE31</f>
        <v>1.556113902847571E-3</v>
      </c>
      <c r="F50" s="147">
        <f>Calculations!AF31</f>
        <v>3.1122278056951421E-3</v>
      </c>
      <c r="G50" s="147">
        <f>Calculations!AG31</f>
        <v>4.6683417085427135E-3</v>
      </c>
      <c r="H50" s="147">
        <f>Calculations!AH31</f>
        <v>6.5356783919597976E-3</v>
      </c>
      <c r="I50" s="147">
        <f>Calculations!AI31</f>
        <v>1.4005025125628139E-2</v>
      </c>
      <c r="J50" s="147">
        <f>Calculations!AJ31</f>
        <v>2.5209045226130652E-2</v>
      </c>
      <c r="K50" s="147">
        <f>Calculations!AK31</f>
        <v>3.298961474036851E-2</v>
      </c>
      <c r="L50" s="147">
        <f>Calculations!AL31</f>
        <v>2.9877386934673362E-2</v>
      </c>
      <c r="M50" s="147">
        <f>Calculations!AM31</f>
        <v>3.1122278056951422E-2</v>
      </c>
      <c r="N50" s="147">
        <f>Calculations!AN31</f>
        <v>2.2408040201005022E-2</v>
      </c>
      <c r="O50" s="147">
        <f>Calculations!AO31</f>
        <v>1.1826465661641541E-2</v>
      </c>
      <c r="P50" s="147">
        <f>Calculations!AP31</f>
        <v>-3.5790619765494136E-2</v>
      </c>
    </row>
    <row r="51" spans="2:16" x14ac:dyDescent="0.25">
      <c r="B51" s="147" t="str">
        <f>Calculations!AB32</f>
        <v>Term 7  Cm</v>
      </c>
      <c r="C51" s="147"/>
      <c r="D51" s="147">
        <f>Calculations!AD32</f>
        <v>3.2396E-3</v>
      </c>
      <c r="E51" s="147">
        <f>Calculations!AE32</f>
        <v>-1.2459999999999999E-3</v>
      </c>
      <c r="F51" s="147">
        <f>Calculations!AF32</f>
        <v>-2.6789000000000001E-3</v>
      </c>
      <c r="G51" s="147">
        <f>Calculations!AG32</f>
        <v>-1.07156E-2</v>
      </c>
      <c r="H51" s="147">
        <f>Calculations!AH32</f>
        <v>-4.8593999999999998E-3</v>
      </c>
      <c r="I51" s="147">
        <f>Calculations!AI32</f>
        <v>6.9464499999999998E-2</v>
      </c>
      <c r="J51" s="147">
        <f>Calculations!AJ32</f>
        <v>0.12995780000000001</v>
      </c>
      <c r="K51" s="147">
        <f>Calculations!AK32</f>
        <v>8.3232799999999996E-2</v>
      </c>
      <c r="L51" s="147">
        <f>Calculations!AL32</f>
        <v>-0.14154560000000002</v>
      </c>
      <c r="M51" s="147">
        <f>Calculations!AM32</f>
        <v>-0.2088296</v>
      </c>
      <c r="N51" s="147">
        <f>Calculations!AN32</f>
        <v>-0.28857359999999999</v>
      </c>
      <c r="O51" s="147">
        <f>Calculations!AO32</f>
        <v>-0.27891709999999997</v>
      </c>
      <c r="P51" s="147">
        <f>Calculations!AP32</f>
        <v>-6.0867099999999993E-2</v>
      </c>
    </row>
    <row r="52" spans="2:16" x14ac:dyDescent="0.2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 x14ac:dyDescent="0.2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 x14ac:dyDescent="0.25">
      <c r="B54" s="12" t="str">
        <f>Calculations!BB21</f>
        <v>Target 0.52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x14ac:dyDescent="0.25">
      <c r="B56" s="12" t="str">
        <f>Calculations!BB23</f>
        <v>Fu=Froude Number</v>
      </c>
      <c r="C56" s="12"/>
      <c r="D56" s="12">
        <f>Calculations!BD23</f>
        <v>0.15</v>
      </c>
      <c r="E56" s="12">
        <f>Calculations!BE23</f>
        <v>0.2</v>
      </c>
      <c r="F56" s="12">
        <f>Calculations!BF23</f>
        <v>0.25</v>
      </c>
      <c r="G56" s="12">
        <f>Calculations!BG23</f>
        <v>0.3</v>
      </c>
      <c r="H56" s="12">
        <f>Calculations!BH23</f>
        <v>0.35</v>
      </c>
      <c r="I56" s="12">
        <f>Calculations!BI23</f>
        <v>0.39999999999999997</v>
      </c>
      <c r="J56" s="12">
        <f>Calculations!BJ23</f>
        <v>0.44999999999999996</v>
      </c>
      <c r="K56" s="12">
        <f>Calculations!BK23</f>
        <v>0.49999999999999994</v>
      </c>
      <c r="L56" s="12">
        <f>Calculations!BL23</f>
        <v>0.54999999999999993</v>
      </c>
      <c r="M56" s="12">
        <f>Calculations!BM23</f>
        <v>0.6</v>
      </c>
      <c r="N56" s="12">
        <f>Calculations!BN23</f>
        <v>0.65</v>
      </c>
      <c r="O56" s="12">
        <f>Calculations!BO23</f>
        <v>0.70000000000000007</v>
      </c>
      <c r="P56" s="12">
        <f>Calculations!BP23</f>
        <v>0.75000000000000011</v>
      </c>
    </row>
    <row r="57" spans="2:16" x14ac:dyDescent="0.25">
      <c r="B57" s="12" t="str">
        <f>Calculations!BB24</f>
        <v>Speed, m/s</v>
      </c>
      <c r="C57" s="12"/>
      <c r="D57" s="12">
        <f>Calculations!BD24</f>
        <v>0.4675768519719512</v>
      </c>
      <c r="E57" s="12">
        <f>Calculations!BE24</f>
        <v>0.62343580262926834</v>
      </c>
      <c r="F57" s="12">
        <f>Calculations!BF24</f>
        <v>0.77929475328658537</v>
      </c>
      <c r="G57" s="12">
        <f>Calculations!BG24</f>
        <v>0.9351537039439024</v>
      </c>
      <c r="H57" s="12">
        <f>Calculations!BH24</f>
        <v>1.0910126546012195</v>
      </c>
      <c r="I57" s="12">
        <f>Calculations!BI24</f>
        <v>1.2468716052585365</v>
      </c>
      <c r="J57" s="12">
        <f>Calculations!BJ24</f>
        <v>1.4027305559158536</v>
      </c>
      <c r="K57" s="12">
        <f>Calculations!BK24</f>
        <v>1.5585895065731705</v>
      </c>
      <c r="L57" s="12">
        <f>Calculations!BL24</f>
        <v>1.7144484572304877</v>
      </c>
      <c r="M57" s="12">
        <f>Calculations!BM24</f>
        <v>1.8703074078878048</v>
      </c>
      <c r="N57" s="12">
        <f>Calculations!BN24</f>
        <v>2.0261663585451219</v>
      </c>
      <c r="O57" s="12">
        <f>Calculations!BO24</f>
        <v>2.1820253092024391</v>
      </c>
      <c r="P57" s="12">
        <f>Calculations!BP24</f>
        <v>2.3378842598597567</v>
      </c>
    </row>
    <row r="58" spans="2:16" x14ac:dyDescent="0.25">
      <c r="B58" s="12" t="str">
        <f>Calculations!BB25</f>
        <v>1st Multiplier</v>
      </c>
      <c r="C58" s="12"/>
      <c r="D58" s="12">
        <f>Calculations!BD25</f>
        <v>0.15488971045571207</v>
      </c>
      <c r="E58" s="12">
        <f>Calculations!BE25</f>
        <v>0.15488971045571207</v>
      </c>
      <c r="F58" s="12">
        <f>Calculations!BF25</f>
        <v>0.15488971045571207</v>
      </c>
      <c r="G58" s="12">
        <f>Calculations!BG25</f>
        <v>0.15488971045571207</v>
      </c>
      <c r="H58" s="12">
        <f>Calculations!BH25</f>
        <v>0.15488971045571207</v>
      </c>
      <c r="I58" s="12">
        <f>Calculations!BI25</f>
        <v>0.15488971045571207</v>
      </c>
      <c r="J58" s="12">
        <f>Calculations!BJ25</f>
        <v>0.15488971045571207</v>
      </c>
      <c r="K58" s="12">
        <f>Calculations!BK25</f>
        <v>0.15488971045571207</v>
      </c>
      <c r="L58" s="12">
        <f>Calculations!BL25</f>
        <v>0.15488971045571207</v>
      </c>
      <c r="M58" s="12">
        <f>Calculations!BM25</f>
        <v>0.15488971045571207</v>
      </c>
      <c r="N58" s="12">
        <f>Calculations!BN25</f>
        <v>0.15488971045571207</v>
      </c>
      <c r="O58" s="12">
        <f>Calculations!BO25</f>
        <v>0.15488971045571207</v>
      </c>
      <c r="P58" s="12">
        <f>Calculations!BP25</f>
        <v>0.15488971045571207</v>
      </c>
    </row>
    <row r="59" spans="2:16" x14ac:dyDescent="0.25">
      <c r="B59" s="12" t="str">
        <f>Calculations!BB26</f>
        <v>Term 1      LCb/LWL</v>
      </c>
      <c r="C59" s="12"/>
      <c r="D59" s="12">
        <f>Calculations!BD26</f>
        <v>1.2030590610802624E-3</v>
      </c>
      <c r="E59" s="12">
        <f>Calculations!BE26</f>
        <v>3.0861080262493687E-3</v>
      </c>
      <c r="F59" s="12">
        <f>Calculations!BF26</f>
        <v>-8.1598788490661288E-3</v>
      </c>
      <c r="G59" s="12">
        <f>Calculations!BG26</f>
        <v>8.3691065118626957E-4</v>
      </c>
      <c r="H59" s="12">
        <f>Calculations!BH26</f>
        <v>-2.9658021201413427E-2</v>
      </c>
      <c r="I59" s="12">
        <f>Calculations!BI26</f>
        <v>-0.2110060979303382</v>
      </c>
      <c r="J59" s="12">
        <f>Calculations!BJ26</f>
        <v>-0.27518668349318526</v>
      </c>
      <c r="K59" s="12">
        <f>Calculations!BK26</f>
        <v>-0.3131091973750631</v>
      </c>
      <c r="L59" s="12">
        <f>Calculations!BL26</f>
        <v>-0.24919014639071174</v>
      </c>
      <c r="M59" s="12">
        <f>Calculations!BM26</f>
        <v>1.9353558808682483E-3</v>
      </c>
      <c r="N59" s="12">
        <f>Calculations!BN26</f>
        <v>0.19500018172640082</v>
      </c>
      <c r="O59" s="12">
        <f>Calculations!BO26</f>
        <v>-6.4755961635537596E-2</v>
      </c>
      <c r="P59" s="12">
        <f>Calculations!BP26</f>
        <v>0.40412323069156991</v>
      </c>
    </row>
    <row r="60" spans="2:16" x14ac:dyDescent="0.25">
      <c r="B60" s="12" t="str">
        <f>Calculations!BB27</f>
        <v>Term 2        Cp</v>
      </c>
      <c r="C60" s="12"/>
      <c r="D60" s="12">
        <f>Calculations!BD27</f>
        <v>-4.4118000000000004E-3</v>
      </c>
      <c r="E60" s="12">
        <f>Calculations!BE27</f>
        <v>-3.2832000000000004E-3</v>
      </c>
      <c r="F60" s="12">
        <f>Calculations!BF27</f>
        <v>1.5903E-3</v>
      </c>
      <c r="G60" s="12">
        <f>Calculations!BG27</f>
        <v>1.7288100000000001E-2</v>
      </c>
      <c r="H60" s="12">
        <f>Calculations!BH27</f>
        <v>2.2879800000000002E-2</v>
      </c>
      <c r="I60" s="12">
        <f>Calculations!BI27</f>
        <v>-6.4125000000000001E-2</v>
      </c>
      <c r="J60" s="12">
        <f>Calculations!BJ27</f>
        <v>-0.1510785</v>
      </c>
      <c r="K60" s="12">
        <f>Calculations!BK27</f>
        <v>-0.1558494</v>
      </c>
      <c r="L60" s="12">
        <f>Calculations!BL27</f>
        <v>-0.1211193</v>
      </c>
      <c r="M60" s="12">
        <f>Calculations!BM27</f>
        <v>-0.15184799999999998</v>
      </c>
      <c r="N60" s="12">
        <f>Calculations!BN27</f>
        <v>-0.18811710000000001</v>
      </c>
      <c r="O60" s="12">
        <f>Calculations!BO27</f>
        <v>-0.10393380000000001</v>
      </c>
      <c r="P60" s="12">
        <f>Calculations!BP27</f>
        <v>0.258552</v>
      </c>
    </row>
    <row r="61" spans="2:16" x14ac:dyDescent="0.25">
      <c r="B61" s="12" t="str">
        <f>Calculations!BB28</f>
        <v>Term 3   (Del^2/3)/AWP</v>
      </c>
      <c r="C61" s="12"/>
      <c r="D61" s="12">
        <f>Calculations!BD28</f>
        <v>-3.0811990406941805E-4</v>
      </c>
      <c r="E61" s="12">
        <f>Calculations!BE28</f>
        <v>1.4378928856572841E-3</v>
      </c>
      <c r="F61" s="12">
        <f>Calculations!BF28</f>
        <v>-4.3136786569718521E-4</v>
      </c>
      <c r="G61" s="12">
        <f>Calculations!BG28</f>
        <v>-5.8542781773189426E-3</v>
      </c>
      <c r="H61" s="12">
        <f>Calculations!BH28</f>
        <v>-2.2410587689315673E-2</v>
      </c>
      <c r="I61" s="12">
        <f>Calculations!BI28</f>
        <v>5.6077822540634079E-3</v>
      </c>
      <c r="J61" s="12">
        <f>Calculations!BJ28</f>
        <v>5.1045197440833585E-2</v>
      </c>
      <c r="K61" s="12">
        <f>Calculations!BK28</f>
        <v>0.12392582541671993</v>
      </c>
      <c r="L61" s="12">
        <f>Calculations!BL28</f>
        <v>0.17924361886064946</v>
      </c>
      <c r="M61" s="12">
        <f>Calculations!BM28</f>
        <v>0.19844975954764318</v>
      </c>
      <c r="N61" s="12">
        <f>Calculations!BN28</f>
        <v>0.28669530007312449</v>
      </c>
      <c r="O61" s="12">
        <f>Calculations!BO28</f>
        <v>0.23174725051407832</v>
      </c>
      <c r="P61" s="12">
        <f>Calculations!BP28</f>
        <v>0.36701188840055282</v>
      </c>
    </row>
    <row r="62" spans="2:16" x14ac:dyDescent="0.25">
      <c r="B62" s="12" t="str">
        <f>Calculations!BB29</f>
        <v>Term 4    BWL/LWL</v>
      </c>
      <c r="C62" s="12"/>
      <c r="D62" s="12">
        <f>Calculations!BD29</f>
        <v>1.0777385159010601E-3</v>
      </c>
      <c r="E62" s="12">
        <f>Calculations!BE29</f>
        <v>2.4734982332155476E-4</v>
      </c>
      <c r="F62" s="12">
        <f>Calculations!BF29</f>
        <v>-1.2367491166077737E-3</v>
      </c>
      <c r="G62" s="12">
        <f>Calculations!BG29</f>
        <v>-6.4840989399293286E-3</v>
      </c>
      <c r="H62" s="12">
        <f>Calculations!BH29</f>
        <v>-1.2491166077738515E-2</v>
      </c>
      <c r="I62" s="12">
        <f>Calculations!BI29</f>
        <v>-2.3692579505300352E-2</v>
      </c>
      <c r="J62" s="12">
        <f>Calculations!BJ29</f>
        <v>-4.2897526501766772E-2</v>
      </c>
      <c r="K62" s="12">
        <f>Calculations!BK29</f>
        <v>-7.5971731448763232E-3</v>
      </c>
      <c r="L62" s="12">
        <f>Calculations!BL29</f>
        <v>7.4540636042402825E-2</v>
      </c>
      <c r="M62" s="12">
        <f>Calculations!BM29</f>
        <v>0.10818021201413426</v>
      </c>
      <c r="N62" s="12">
        <f>Calculations!BN29</f>
        <v>0.18273851590106005</v>
      </c>
      <c r="O62" s="12">
        <f>Calculations!BO29</f>
        <v>0.20911660777385155</v>
      </c>
      <c r="P62" s="12">
        <f>Calculations!BP29</f>
        <v>0.38752650176678444</v>
      </c>
    </row>
    <row r="63" spans="2:16" x14ac:dyDescent="0.25">
      <c r="B63" s="12" t="str">
        <f>Calculations!BB30</f>
        <v>Term 5  LCb/LCF</v>
      </c>
      <c r="C63" s="12"/>
      <c r="D63" s="12">
        <f>Calculations!BD30</f>
        <v>9.3892714751721642E-4</v>
      </c>
      <c r="E63" s="12">
        <f>Calculations!BE30</f>
        <v>1.2206052917723815E-3</v>
      </c>
      <c r="F63" s="12">
        <f>Calculations!BF30</f>
        <v>1.3896121783254804E-2</v>
      </c>
      <c r="G63" s="12">
        <f>Calculations!BG30</f>
        <v>2.046861181587532E-2</v>
      </c>
      <c r="H63" s="12">
        <f>Calculations!BH30</f>
        <v>8.5817941283073573E-2</v>
      </c>
      <c r="I63" s="12">
        <f>Calculations!BI30</f>
        <v>0.33594813338166007</v>
      </c>
      <c r="J63" s="12">
        <f>Calculations!BJ30</f>
        <v>0.59086685393258431</v>
      </c>
      <c r="K63" s="12">
        <f>Calculations!BK30</f>
        <v>0.78231409931134477</v>
      </c>
      <c r="L63" s="12">
        <f>Calculations!BL30</f>
        <v>0.84409550561797764</v>
      </c>
      <c r="M63" s="12">
        <f>Calculations!BM30</f>
        <v>0.70738771293947089</v>
      </c>
      <c r="N63" s="12">
        <f>Calculations!BN30</f>
        <v>0.30327346864806093</v>
      </c>
      <c r="O63" s="12">
        <f>Calculations!BO30</f>
        <v>0.46692847046031177</v>
      </c>
      <c r="P63" s="12">
        <f>Calculations!BP30</f>
        <v>-1.4533653316418995</v>
      </c>
    </row>
    <row r="64" spans="2:16" x14ac:dyDescent="0.25">
      <c r="B64" s="12" t="str">
        <f>Calculations!BB31</f>
        <v>Term 6    BWL/Tc</v>
      </c>
      <c r="C64" s="12"/>
      <c r="D64" s="12">
        <f>Calculations!BD31</f>
        <v>3.1249999999999995E-4</v>
      </c>
      <c r="E64" s="12">
        <f>Calculations!BE31</f>
        <v>1.5624999999999999E-3</v>
      </c>
      <c r="F64" s="12">
        <f>Calculations!BF31</f>
        <v>3.1249999999999997E-3</v>
      </c>
      <c r="G64" s="12">
        <f>Calculations!BG31</f>
        <v>4.6874999999999998E-3</v>
      </c>
      <c r="H64" s="12">
        <f>Calculations!BH31</f>
        <v>6.5624999999999989E-3</v>
      </c>
      <c r="I64" s="12">
        <f>Calculations!BI31</f>
        <v>1.4062499999999999E-2</v>
      </c>
      <c r="J64" s="12">
        <f>Calculations!BJ31</f>
        <v>2.5312499999999998E-2</v>
      </c>
      <c r="K64" s="12">
        <f>Calculations!BK31</f>
        <v>3.3124999999999995E-2</v>
      </c>
      <c r="L64" s="12">
        <f>Calculations!BL31</f>
        <v>2.9999999999999995E-2</v>
      </c>
      <c r="M64" s="12">
        <f>Calculations!BM31</f>
        <v>3.1249999999999997E-2</v>
      </c>
      <c r="N64" s="12">
        <f>Calculations!BN31</f>
        <v>2.2499999999999996E-2</v>
      </c>
      <c r="O64" s="12">
        <f>Calculations!BO31</f>
        <v>1.1875E-2</v>
      </c>
      <c r="P64" s="12">
        <f>Calculations!BP31</f>
        <v>-3.5937499999999997E-2</v>
      </c>
    </row>
    <row r="65" spans="2:16" x14ac:dyDescent="0.25">
      <c r="B65" s="12" t="str">
        <f>Calculations!BB32</f>
        <v>Term 7  Cm</v>
      </c>
      <c r="C65" s="12"/>
      <c r="D65" s="12">
        <f>Calculations!BD32</f>
        <v>3.7595999999999997E-3</v>
      </c>
      <c r="E65" s="12">
        <f>Calculations!BE32</f>
        <v>-1.446E-3</v>
      </c>
      <c r="F65" s="12">
        <f>Calculations!BF32</f>
        <v>-3.1088999999999999E-3</v>
      </c>
      <c r="G65" s="12">
        <f>Calculations!BG32</f>
        <v>-1.24356E-2</v>
      </c>
      <c r="H65" s="12">
        <f>Calculations!BH32</f>
        <v>-5.6393999999999993E-3</v>
      </c>
      <c r="I65" s="12">
        <f>Calculations!BI32</f>
        <v>8.0614500000000006E-2</v>
      </c>
      <c r="J65" s="12">
        <f>Calculations!BJ32</f>
        <v>0.1508178</v>
      </c>
      <c r="K65" s="12">
        <f>Calculations!BK32</f>
        <v>9.6592799999999993E-2</v>
      </c>
      <c r="L65" s="12">
        <f>Calculations!BL32</f>
        <v>-0.16426560000000001</v>
      </c>
      <c r="M65" s="12">
        <f>Calculations!BM32</f>
        <v>-0.2423496</v>
      </c>
      <c r="N65" s="12">
        <f>Calculations!BN32</f>
        <v>-0.33489360000000001</v>
      </c>
      <c r="O65" s="12">
        <f>Calculations!BO32</f>
        <v>-0.32368710000000001</v>
      </c>
      <c r="P65" s="12">
        <f>Calculations!BP32</f>
        <v>-7.0637099999999994E-2</v>
      </c>
    </row>
    <row r="66" spans="2:16" x14ac:dyDescent="0.2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 x14ac:dyDescent="0.2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</sheetData>
  <sheetProtection algorithmName="SHA-512" hashValue="wMEBctwM3jR1mT0YdXp6qCJsEZ0E+eVMnrACSsfhghAbl/7uYNM8uTJ/ikm14evPPDFCseYSbjR3JUETUyxE6g==" saltValue="rnenYPgc4CBOL9c8aMKFw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1"/>
  <sheetViews>
    <sheetView tabSelected="1" topLeftCell="A4" workbookViewId="0">
      <selection activeCell="I28" sqref="I28"/>
    </sheetView>
  </sheetViews>
  <sheetFormatPr defaultRowHeight="15" x14ac:dyDescent="0.25"/>
  <cols>
    <col min="1" max="1" width="30.140625" style="37" customWidth="1"/>
    <col min="2" max="2" width="28" style="37" customWidth="1"/>
    <col min="3" max="3" width="12.5703125" style="37" customWidth="1"/>
    <col min="4" max="4" width="13.140625" style="37" bestFit="1" customWidth="1"/>
    <col min="5" max="6" width="13.140625" style="37" customWidth="1"/>
    <col min="7" max="7" width="18.42578125" style="37" bestFit="1" customWidth="1"/>
    <col min="8" max="9" width="9.140625" style="37"/>
    <col min="10" max="10" width="11.5703125" style="37" customWidth="1"/>
    <col min="11" max="11" width="9.140625" style="37"/>
    <col min="12" max="12" width="11" style="37" bestFit="1" customWidth="1"/>
    <col min="13" max="13" width="9.140625" style="37"/>
    <col min="14" max="14" width="11" style="37" bestFit="1" customWidth="1"/>
    <col min="15" max="18" width="9.140625" style="37"/>
    <col min="19" max="19" width="11.28515625" style="37" customWidth="1"/>
    <col min="20" max="16384" width="9.140625" style="37"/>
  </cols>
  <sheetData>
    <row r="1" spans="1:27" ht="23.25" x14ac:dyDescent="0.35">
      <c r="A1" s="83" t="s">
        <v>117</v>
      </c>
      <c r="C1" s="83"/>
      <c r="D1" s="84"/>
      <c r="E1" s="84"/>
      <c r="F1" s="84"/>
      <c r="I1" s="85"/>
    </row>
    <row r="2" spans="1:27" ht="23.25" x14ac:dyDescent="0.35">
      <c r="B2" s="86"/>
      <c r="C2" s="83"/>
      <c r="D2" s="84"/>
      <c r="E2" s="84"/>
      <c r="F2" s="84"/>
      <c r="I2" s="85"/>
    </row>
    <row r="3" spans="1:27" ht="47.25" x14ac:dyDescent="0.4">
      <c r="A3" s="116" t="s">
        <v>88</v>
      </c>
      <c r="B3" s="117" t="s">
        <v>9</v>
      </c>
      <c r="C3" s="118"/>
      <c r="D3" s="87"/>
      <c r="E3" s="87"/>
      <c r="F3" s="87"/>
      <c r="G3" s="130" t="s">
        <v>41</v>
      </c>
      <c r="H3" s="131" t="s">
        <v>86</v>
      </c>
      <c r="I3" s="132"/>
      <c r="J3" s="133" t="s">
        <v>87</v>
      </c>
      <c r="K3" s="134" t="s">
        <v>85</v>
      </c>
      <c r="L3" s="135" t="s">
        <v>87</v>
      </c>
      <c r="M3" s="127" t="s">
        <v>85</v>
      </c>
      <c r="N3" s="136" t="s">
        <v>87</v>
      </c>
      <c r="O3" s="137" t="s">
        <v>85</v>
      </c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1:27" ht="19.5" x14ac:dyDescent="0.4">
      <c r="A4" s="116"/>
      <c r="B4" s="119" t="s">
        <v>118</v>
      </c>
      <c r="C4" s="120"/>
      <c r="D4" s="88" t="s">
        <v>119</v>
      </c>
      <c r="E4" s="82" t="s">
        <v>121</v>
      </c>
      <c r="F4" s="89" t="s">
        <v>120</v>
      </c>
      <c r="G4" s="138"/>
      <c r="H4" s="131"/>
      <c r="I4" s="132"/>
      <c r="J4" s="164" t="str">
        <f>D4</f>
        <v>Target 0.57</v>
      </c>
      <c r="K4" s="165"/>
      <c r="L4" s="166" t="str">
        <f>E4</f>
        <v>Sky</v>
      </c>
      <c r="M4" s="167"/>
      <c r="N4" s="168" t="str">
        <f>F4</f>
        <v>Target 0.52</v>
      </c>
      <c r="O4" s="169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27" x14ac:dyDescent="0.25">
      <c r="A5" s="121" t="s">
        <v>89</v>
      </c>
      <c r="B5" s="122" t="s">
        <v>51</v>
      </c>
      <c r="C5" s="123" t="s">
        <v>78</v>
      </c>
      <c r="D5" s="91">
        <v>0.14682999999999999</v>
      </c>
      <c r="E5" s="110">
        <v>0.153</v>
      </c>
      <c r="F5" s="92">
        <v>0.14738999999999999</v>
      </c>
      <c r="G5" s="138"/>
      <c r="H5" s="130" t="s">
        <v>49</v>
      </c>
      <c r="I5" s="130" t="s">
        <v>0</v>
      </c>
      <c r="J5" s="134"/>
      <c r="K5" s="134"/>
      <c r="L5" s="127"/>
      <c r="M5" s="127"/>
      <c r="N5" s="137"/>
      <c r="O5" s="137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1:27" x14ac:dyDescent="0.25">
      <c r="A6" s="124" t="s">
        <v>90</v>
      </c>
      <c r="B6" s="125" t="s">
        <v>11</v>
      </c>
      <c r="C6" s="126" t="s">
        <v>79</v>
      </c>
      <c r="D6" s="93">
        <v>0.97660000000000002</v>
      </c>
      <c r="E6" s="82">
        <v>0.98929999999999996</v>
      </c>
      <c r="F6" s="89">
        <v>0.99050000000000005</v>
      </c>
      <c r="G6" s="138" t="s">
        <v>42</v>
      </c>
      <c r="H6" s="130">
        <v>0.5</v>
      </c>
      <c r="I6" s="130">
        <v>0.58199999999999996</v>
      </c>
      <c r="J6" s="134">
        <f>D10/D6</f>
        <v>0.53256194962113457</v>
      </c>
      <c r="K6" s="134" t="str">
        <f>IF(J6&lt;$H6,"Warning",IF(J6&gt;$I6,"Warning","OK"))</f>
        <v>OK</v>
      </c>
      <c r="L6" s="127">
        <f>E10/E6</f>
        <v>0.53775396745173365</v>
      </c>
      <c r="M6" s="127" t="str">
        <f>IF(L6&lt;$H6,"Warning",IF(L6&gt;$I6,"Warning","OK"))</f>
        <v>OK</v>
      </c>
      <c r="N6" s="137">
        <f>F10/F6</f>
        <v>0.52306915699141843</v>
      </c>
      <c r="O6" s="137" t="str">
        <f t="shared" ref="O6:O13" si="0">IF(N6&lt;$H6,"Warning",IF(N6&gt;$I6,"Warning","OK"))</f>
        <v>OK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1:27" x14ac:dyDescent="0.25">
      <c r="A7" s="124" t="s">
        <v>91</v>
      </c>
      <c r="B7" s="125" t="s">
        <v>12</v>
      </c>
      <c r="C7" s="126" t="s">
        <v>79</v>
      </c>
      <c r="D7" s="93">
        <v>0.1668</v>
      </c>
      <c r="E7" s="82">
        <v>0.18579999999999999</v>
      </c>
      <c r="F7" s="89">
        <v>0.17499999999999999</v>
      </c>
      <c r="G7" s="138" t="s">
        <v>15</v>
      </c>
      <c r="H7" s="130">
        <v>0.52100000000000002</v>
      </c>
      <c r="I7" s="130">
        <v>0.59899999999999998</v>
      </c>
      <c r="J7" s="134">
        <f>D8</f>
        <v>0.56999999999999995</v>
      </c>
      <c r="K7" s="134" t="str">
        <f t="shared" ref="K7:M13" si="1">IF(J7&lt;$H7,"Warning",IF(J7&gt;$I7,"Warning","OK"))</f>
        <v>OK</v>
      </c>
      <c r="L7" s="127">
        <f>E8</f>
        <v>0.52600000000000002</v>
      </c>
      <c r="M7" s="127" t="str">
        <f t="shared" si="1"/>
        <v>OK</v>
      </c>
      <c r="N7" s="137">
        <f>F8</f>
        <v>0.51300000000000001</v>
      </c>
      <c r="O7" s="137" t="str">
        <f t="shared" si="0"/>
        <v>Warning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1:27" x14ac:dyDescent="0.25">
      <c r="A8" s="124" t="s">
        <v>92</v>
      </c>
      <c r="B8" s="125" t="s">
        <v>15</v>
      </c>
      <c r="C8" s="126"/>
      <c r="D8" s="93">
        <v>0.56999999999999995</v>
      </c>
      <c r="E8" s="82">
        <v>0.52600000000000002</v>
      </c>
      <c r="F8" s="89">
        <v>0.51300000000000001</v>
      </c>
      <c r="G8" s="138" t="s">
        <v>43</v>
      </c>
      <c r="H8" s="130">
        <v>7.9000000000000001E-2</v>
      </c>
      <c r="I8" s="130">
        <v>0.26500000000000001</v>
      </c>
      <c r="J8" s="134">
        <f>(D9^0.66667)/D12</f>
        <v>0.21002248236784729</v>
      </c>
      <c r="K8" s="134" t="str">
        <f t="shared" si="1"/>
        <v>OK</v>
      </c>
      <c r="L8" s="127">
        <f>(E9^0.66667)/E12</f>
        <v>0.18852849575344519</v>
      </c>
      <c r="M8" s="127" t="str">
        <f t="shared" si="1"/>
        <v>OK</v>
      </c>
      <c r="N8" s="137">
        <f>(F9^0.66667)/F12</f>
        <v>0.20544793163064254</v>
      </c>
      <c r="O8" s="137" t="str">
        <f t="shared" si="0"/>
        <v>OK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1:27" x14ac:dyDescent="0.25">
      <c r="A9" s="124" t="s">
        <v>93</v>
      </c>
      <c r="B9" s="125" t="s">
        <v>45</v>
      </c>
      <c r="C9" s="126" t="s">
        <v>80</v>
      </c>
      <c r="D9" s="93">
        <v>3.601E-3</v>
      </c>
      <c r="E9" s="82">
        <v>3.5999999999999999E-3</v>
      </c>
      <c r="F9" s="89">
        <v>3.6089999999999998E-3</v>
      </c>
      <c r="G9" s="138" t="s">
        <v>44</v>
      </c>
      <c r="H9" s="130">
        <v>0.17</v>
      </c>
      <c r="I9" s="130">
        <v>0.36599999999999999</v>
      </c>
      <c r="J9" s="134">
        <f>D7/D6</f>
        <v>0.17079664140896988</v>
      </c>
      <c r="K9" s="134" t="str">
        <f t="shared" si="1"/>
        <v>OK</v>
      </c>
      <c r="L9" s="127">
        <f>E7/E6</f>
        <v>0.18780956231678966</v>
      </c>
      <c r="M9" s="127" t="str">
        <f t="shared" si="1"/>
        <v>OK</v>
      </c>
      <c r="N9" s="137">
        <f>F7/F6</f>
        <v>0.17667844522968196</v>
      </c>
      <c r="O9" s="137" t="str">
        <f t="shared" si="0"/>
        <v>OK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x14ac:dyDescent="0.25">
      <c r="A10" s="124" t="s">
        <v>94</v>
      </c>
      <c r="B10" s="125" t="s">
        <v>17</v>
      </c>
      <c r="C10" s="126" t="s">
        <v>81</v>
      </c>
      <c r="D10" s="93">
        <v>0.52010000000000001</v>
      </c>
      <c r="E10" s="82">
        <v>0.53200000000000003</v>
      </c>
      <c r="F10" s="89">
        <v>0.5181</v>
      </c>
      <c r="G10" s="138" t="s">
        <v>46</v>
      </c>
      <c r="H10" s="130">
        <v>7.9000000000000001E-2</v>
      </c>
      <c r="I10" s="130">
        <v>0.26900000000000002</v>
      </c>
      <c r="J10" s="134">
        <f>(D9^0.3333)/D6</f>
        <v>0.15697811379031332</v>
      </c>
      <c r="K10" s="134" t="str">
        <f t="shared" si="1"/>
        <v>OK</v>
      </c>
      <c r="L10" s="127">
        <f>(E9^0.3333)/E6</f>
        <v>0.15494858494249145</v>
      </c>
      <c r="M10" s="127" t="str">
        <f t="shared" si="1"/>
        <v>OK</v>
      </c>
      <c r="N10" s="137">
        <f>(F9^0.3333)/F6</f>
        <v>0.15488971045571207</v>
      </c>
      <c r="O10" s="137" t="str">
        <f t="shared" si="0"/>
        <v>OK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 x14ac:dyDescent="0.25">
      <c r="A11" s="124" t="s">
        <v>95</v>
      </c>
      <c r="B11" s="125" t="s">
        <v>20</v>
      </c>
      <c r="C11" s="126" t="s">
        <v>79</v>
      </c>
      <c r="D11" s="93">
        <v>0.54610000000000003</v>
      </c>
      <c r="E11" s="82">
        <v>0.55049999999999999</v>
      </c>
      <c r="F11" s="89">
        <v>0.55179999999999996</v>
      </c>
      <c r="G11" s="138" t="s">
        <v>47</v>
      </c>
      <c r="H11" s="130">
        <v>0.92</v>
      </c>
      <c r="I11" s="130">
        <v>1.002</v>
      </c>
      <c r="J11" s="134">
        <f>D10/D11</f>
        <v>0.95238967222120485</v>
      </c>
      <c r="K11" s="134" t="str">
        <f t="shared" si="1"/>
        <v>OK</v>
      </c>
      <c r="L11" s="127">
        <f>E10/E11</f>
        <v>0.96639418710263403</v>
      </c>
      <c r="M11" s="127" t="str">
        <f t="shared" si="1"/>
        <v>OK</v>
      </c>
      <c r="N11" s="137">
        <f>F10/F11</f>
        <v>0.93892714751721651</v>
      </c>
      <c r="O11" s="137" t="str">
        <f t="shared" si="0"/>
        <v>OK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1:27" x14ac:dyDescent="0.25">
      <c r="A12" s="124" t="s">
        <v>96</v>
      </c>
      <c r="B12" s="125" t="s">
        <v>21</v>
      </c>
      <c r="C12" s="126" t="s">
        <v>78</v>
      </c>
      <c r="D12" s="93">
        <v>0.11186</v>
      </c>
      <c r="E12" s="82">
        <v>0.12459000000000001</v>
      </c>
      <c r="F12" s="89">
        <v>0.11452</v>
      </c>
      <c r="G12" s="138" t="s">
        <v>48</v>
      </c>
      <c r="H12" s="130">
        <v>2.46</v>
      </c>
      <c r="I12" s="130">
        <v>19.38</v>
      </c>
      <c r="J12" s="134">
        <f>D7/D16</f>
        <v>2.9160839160839163</v>
      </c>
      <c r="K12" s="134" t="str">
        <f t="shared" si="1"/>
        <v>OK</v>
      </c>
      <c r="L12" s="127">
        <f>E7/E16</f>
        <v>3.112227805695142</v>
      </c>
      <c r="M12" s="127" t="str">
        <f t="shared" si="1"/>
        <v>OK</v>
      </c>
      <c r="N12" s="137">
        <f>F7/F16</f>
        <v>3.1249999999999996</v>
      </c>
      <c r="O12" s="137" t="str">
        <f t="shared" si="0"/>
        <v>OK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1:27" x14ac:dyDescent="0.25">
      <c r="A13" s="124" t="s">
        <v>97</v>
      </c>
      <c r="B13" s="125" t="s">
        <v>22</v>
      </c>
      <c r="C13" s="126"/>
      <c r="D13" s="93">
        <v>0.68300000000000005</v>
      </c>
      <c r="E13" s="82">
        <v>0.623</v>
      </c>
      <c r="F13" s="89">
        <v>0.72299999999999998</v>
      </c>
      <c r="G13" s="138" t="s">
        <v>22</v>
      </c>
      <c r="H13" s="130">
        <v>0.64600000000000002</v>
      </c>
      <c r="I13" s="130">
        <v>0.79</v>
      </c>
      <c r="J13" s="134">
        <f>D13</f>
        <v>0.68300000000000005</v>
      </c>
      <c r="K13" s="134" t="str">
        <f t="shared" si="1"/>
        <v>OK</v>
      </c>
      <c r="L13" s="127">
        <f>F13</f>
        <v>0.72299999999999998</v>
      </c>
      <c r="M13" s="127" t="str">
        <f t="shared" si="1"/>
        <v>OK</v>
      </c>
      <c r="N13" s="137">
        <f>F13</f>
        <v>0.72299999999999998</v>
      </c>
      <c r="O13" s="137" t="str">
        <f t="shared" si="0"/>
        <v>OK</v>
      </c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 x14ac:dyDescent="0.25">
      <c r="A14" s="124" t="s">
        <v>98</v>
      </c>
      <c r="B14" s="125" t="s">
        <v>23</v>
      </c>
      <c r="C14" s="126" t="s">
        <v>82</v>
      </c>
      <c r="D14" s="93">
        <v>9.81</v>
      </c>
      <c r="E14" s="82">
        <v>9.81</v>
      </c>
      <c r="F14" s="89">
        <v>9.81</v>
      </c>
      <c r="G14" s="138" t="s">
        <v>54</v>
      </c>
      <c r="H14" s="130" t="s">
        <v>55</v>
      </c>
      <c r="I14" s="130" t="s">
        <v>55</v>
      </c>
      <c r="J14" s="134">
        <f>IF($D$15=1000,((0.0006*$D$17^2-0.0499*$D$17+1.7459)*10^-6),((0.0006*$D$17^2-0.0478*$D$17+1.7813)*10^-6))</f>
        <v>1.0653E-6</v>
      </c>
      <c r="K14" s="139"/>
      <c r="L14" s="127">
        <f>IF($E$15=1000,((0.0006*$E$17^2-0.0499*$E$17+1.7459)*10^-6),((0.0006*$E$17^2-0.0478*$E$17+1.7813)*10^-6))</f>
        <v>1.0653E-6</v>
      </c>
      <c r="M14" s="140"/>
      <c r="N14" s="137">
        <f>IF($F$15=1000,((0.0006*$F$17^2-0.0499*$F$17+1.7459)*10^-6),((0.0006*$F$17^2-0.0478*$F$17+1.7813)*10^-6))</f>
        <v>1.0653E-6</v>
      </c>
      <c r="O14" s="141"/>
      <c r="V14" s="94"/>
      <c r="W14" s="94"/>
      <c r="X14" s="94"/>
      <c r="Y14" s="94"/>
      <c r="Z14" s="94"/>
    </row>
    <row r="15" spans="1:27" x14ac:dyDescent="0.25">
      <c r="A15" s="124" t="s">
        <v>99</v>
      </c>
      <c r="B15" s="125" t="s">
        <v>24</v>
      </c>
      <c r="C15" s="126" t="s">
        <v>83</v>
      </c>
      <c r="D15" s="93">
        <v>1025</v>
      </c>
      <c r="E15" s="82">
        <v>1025</v>
      </c>
      <c r="F15" s="89">
        <v>1025</v>
      </c>
      <c r="G15" s="142" t="s">
        <v>53</v>
      </c>
      <c r="H15" s="143"/>
      <c r="I15" s="143"/>
      <c r="J15" s="143"/>
      <c r="K15" s="143"/>
      <c r="L15" s="143"/>
      <c r="M15" s="143"/>
      <c r="N15" s="143"/>
      <c r="O15" s="143"/>
      <c r="U15" s="95"/>
      <c r="V15" s="95"/>
      <c r="W15" s="95"/>
      <c r="X15" s="95"/>
      <c r="Y15" s="95"/>
      <c r="Z15" s="95"/>
    </row>
    <row r="16" spans="1:27" x14ac:dyDescent="0.25">
      <c r="A16" s="124" t="s">
        <v>100</v>
      </c>
      <c r="B16" s="125" t="s">
        <v>25</v>
      </c>
      <c r="C16" s="126" t="s">
        <v>79</v>
      </c>
      <c r="D16" s="93">
        <v>5.7199999999999994E-2</v>
      </c>
      <c r="E16" s="82">
        <v>5.9700000000000003E-2</v>
      </c>
      <c r="F16" s="89">
        <v>5.6000000000000001E-2</v>
      </c>
      <c r="U16" s="96"/>
      <c r="V16" s="95"/>
      <c r="W16" s="96"/>
      <c r="X16" s="96"/>
      <c r="Y16" s="95"/>
      <c r="Z16" s="95"/>
    </row>
    <row r="17" spans="1:28" x14ac:dyDescent="0.25">
      <c r="A17" s="127"/>
      <c r="B17" s="128" t="s">
        <v>52</v>
      </c>
      <c r="C17" s="129" t="s">
        <v>84</v>
      </c>
      <c r="D17" s="97">
        <v>20</v>
      </c>
      <c r="E17" s="114">
        <v>20</v>
      </c>
      <c r="F17" s="98">
        <v>20</v>
      </c>
      <c r="I17" s="99"/>
      <c r="K17" s="100"/>
      <c r="U17" s="96"/>
      <c r="V17" s="95"/>
      <c r="W17" s="96"/>
      <c r="X17" s="96"/>
      <c r="Y17" s="95"/>
      <c r="Z17" s="95"/>
    </row>
    <row r="18" spans="1:28" x14ac:dyDescent="0.25">
      <c r="B18" s="101"/>
      <c r="C18" s="101"/>
      <c r="D18" s="9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U18" s="96"/>
      <c r="V18" s="95"/>
      <c r="W18" s="95"/>
      <c r="X18" s="102"/>
      <c r="Y18" s="95"/>
      <c r="Z18" s="95"/>
    </row>
    <row r="19" spans="1:28" ht="23.25" x14ac:dyDescent="0.35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U19" s="103"/>
      <c r="W19" s="104"/>
    </row>
    <row r="20" spans="1:28" x14ac:dyDescent="0.25">
      <c r="B20" s="90"/>
      <c r="C20" s="90"/>
      <c r="D20" s="90"/>
      <c r="E20" s="90"/>
      <c r="F20" s="90"/>
      <c r="G20" s="90"/>
      <c r="H20" s="105"/>
      <c r="I20" s="105"/>
      <c r="J20" s="105"/>
      <c r="K20" s="105"/>
      <c r="L20" s="105"/>
      <c r="M20" s="105"/>
      <c r="N20" s="105"/>
      <c r="O20" s="105"/>
      <c r="P20" s="90"/>
      <c r="Q20" s="90"/>
      <c r="R20" s="90"/>
      <c r="S20" s="90"/>
      <c r="U20" s="106"/>
      <c r="V20" s="106"/>
      <c r="W20" s="106"/>
      <c r="Z20" s="102"/>
    </row>
    <row r="21" spans="1:28" x14ac:dyDescent="0.25">
      <c r="B21" s="90"/>
      <c r="C21" s="90"/>
      <c r="D21" s="90"/>
      <c r="E21" s="90"/>
      <c r="F21" s="90"/>
      <c r="G21" s="90"/>
      <c r="H21" s="90"/>
      <c r="I21" s="105"/>
      <c r="J21" s="105"/>
      <c r="K21" s="105"/>
      <c r="L21" s="105"/>
      <c r="M21" s="105"/>
      <c r="N21" s="105"/>
      <c r="O21" s="105"/>
      <c r="P21" s="90"/>
      <c r="Q21" s="90"/>
      <c r="R21" s="90"/>
      <c r="S21" s="90"/>
      <c r="T21" s="95"/>
      <c r="U21" s="106"/>
      <c r="V21" s="106"/>
      <c r="W21" s="106"/>
      <c r="X21" s="95"/>
      <c r="Y21" s="95"/>
      <c r="Z21" s="102"/>
    </row>
    <row r="22" spans="1:28" ht="18.75" x14ac:dyDescent="0.3">
      <c r="A22" s="144" t="s">
        <v>125</v>
      </c>
      <c r="B22" s="145"/>
      <c r="C22" s="90"/>
      <c r="D22" s="90"/>
      <c r="E22" s="90"/>
      <c r="F22" s="90"/>
      <c r="G22" s="90"/>
      <c r="H22" s="107"/>
      <c r="I22" s="107"/>
      <c r="J22" s="107"/>
      <c r="K22" s="107"/>
      <c r="L22" s="90"/>
      <c r="M22" s="90"/>
      <c r="N22" s="90"/>
      <c r="O22" s="90"/>
      <c r="P22" s="90"/>
      <c r="Q22" s="90"/>
      <c r="R22" s="90"/>
      <c r="S22" s="90"/>
      <c r="T22" s="108"/>
      <c r="U22" s="108"/>
      <c r="V22" s="108"/>
      <c r="W22" s="108"/>
      <c r="X22" s="108"/>
      <c r="Y22" s="108"/>
      <c r="Z22" s="102"/>
      <c r="AA22" s="109"/>
      <c r="AB22" s="95"/>
    </row>
    <row r="23" spans="1:28" ht="15" customHeight="1" x14ac:dyDescent="0.25">
      <c r="A23" s="119" t="s">
        <v>118</v>
      </c>
      <c r="B23" s="120"/>
      <c r="C23" s="88" t="s">
        <v>119</v>
      </c>
      <c r="D23" s="82" t="s">
        <v>121</v>
      </c>
      <c r="E23" s="89" t="s">
        <v>120</v>
      </c>
      <c r="F23" s="90"/>
      <c r="H23" s="152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163"/>
      <c r="T23" s="108"/>
      <c r="U23" s="108"/>
      <c r="V23" s="108"/>
      <c r="W23" s="108"/>
      <c r="X23" s="109"/>
      <c r="Y23" s="109"/>
      <c r="Z23" s="109"/>
      <c r="AA23" s="109"/>
      <c r="AB23" s="95"/>
    </row>
    <row r="24" spans="1:28" ht="15.75" x14ac:dyDescent="0.25">
      <c r="A24" s="122" t="s">
        <v>51</v>
      </c>
      <c r="B24" s="123" t="s">
        <v>78</v>
      </c>
      <c r="C24" s="91">
        <v>0.14682999999999999</v>
      </c>
      <c r="D24" s="110">
        <v>0.153</v>
      </c>
      <c r="E24" s="92">
        <v>0.14738999999999999</v>
      </c>
      <c r="F24" s="90"/>
      <c r="G24" s="151"/>
      <c r="H24" s="151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163"/>
      <c r="T24" s="108"/>
      <c r="U24" s="108"/>
      <c r="V24" s="108"/>
      <c r="W24" s="108"/>
      <c r="X24" s="109"/>
      <c r="Y24" s="108"/>
      <c r="Z24" s="102"/>
      <c r="AA24" s="95"/>
    </row>
    <row r="25" spans="1:28" ht="15.75" x14ac:dyDescent="0.25">
      <c r="A25" s="125" t="s">
        <v>11</v>
      </c>
      <c r="B25" s="126" t="s">
        <v>79</v>
      </c>
      <c r="C25" s="93">
        <v>0.97660000000000002</v>
      </c>
      <c r="D25" s="82">
        <v>0.98929999999999996</v>
      </c>
      <c r="E25" s="89">
        <v>0.99050000000000005</v>
      </c>
      <c r="F25" s="90"/>
      <c r="G25" s="151"/>
      <c r="H25" s="151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163"/>
      <c r="T25" s="108"/>
      <c r="U25" s="108"/>
      <c r="V25" s="108"/>
      <c r="W25" s="108"/>
      <c r="X25" s="109"/>
      <c r="Y25" s="108"/>
      <c r="Z25" s="102"/>
      <c r="AA25" s="95"/>
      <c r="AB25" s="95"/>
    </row>
    <row r="26" spans="1:28" ht="15.75" x14ac:dyDescent="0.25">
      <c r="A26" s="125" t="s">
        <v>12</v>
      </c>
      <c r="B26" s="126" t="s">
        <v>79</v>
      </c>
      <c r="C26" s="93">
        <v>0.1668</v>
      </c>
      <c r="D26" s="82">
        <v>0.18579999999999999</v>
      </c>
      <c r="E26" s="89">
        <v>0.17499999999999999</v>
      </c>
      <c r="F26" s="90"/>
      <c r="G26" s="151"/>
      <c r="H26" s="151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163"/>
      <c r="T26" s="108"/>
      <c r="U26" s="108"/>
      <c r="V26" s="109"/>
      <c r="W26" s="108"/>
      <c r="X26" s="108"/>
      <c r="Y26" s="108"/>
      <c r="Z26" s="102"/>
      <c r="AA26" s="95"/>
      <c r="AB26" s="95"/>
    </row>
    <row r="27" spans="1:28" ht="15.75" x14ac:dyDescent="0.25">
      <c r="A27" s="125" t="s">
        <v>15</v>
      </c>
      <c r="B27" s="126"/>
      <c r="C27" s="93">
        <v>0.56999999999999995</v>
      </c>
      <c r="D27" s="82">
        <v>0.52600000000000002</v>
      </c>
      <c r="E27" s="89">
        <v>0.51300000000000001</v>
      </c>
      <c r="F27" s="90"/>
      <c r="G27" s="151"/>
      <c r="H27" s="151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163"/>
      <c r="T27" s="109"/>
      <c r="V27" s="109"/>
      <c r="W27" s="108"/>
      <c r="Z27" s="95"/>
      <c r="AA27" s="95"/>
      <c r="AB27" s="95"/>
    </row>
    <row r="28" spans="1:28" ht="15.75" x14ac:dyDescent="0.25">
      <c r="A28" s="125" t="s">
        <v>45</v>
      </c>
      <c r="B28" s="126" t="s">
        <v>80</v>
      </c>
      <c r="C28" s="93">
        <v>3.601E-3</v>
      </c>
      <c r="D28" s="82">
        <v>3.5999999999999999E-3</v>
      </c>
      <c r="E28" s="89">
        <v>3.6089999999999998E-3</v>
      </c>
      <c r="F28" s="111"/>
      <c r="G28" s="151"/>
      <c r="H28" s="151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163"/>
      <c r="T28" s="108"/>
      <c r="U28" s="108"/>
      <c r="V28" s="108"/>
      <c r="W28" s="108"/>
      <c r="X28" s="109"/>
      <c r="Y28" s="108"/>
      <c r="Z28" s="102"/>
      <c r="AA28" s="95"/>
      <c r="AB28" s="95"/>
    </row>
    <row r="29" spans="1:28" ht="15.75" x14ac:dyDescent="0.25">
      <c r="A29" s="125" t="s">
        <v>17</v>
      </c>
      <c r="B29" s="126" t="s">
        <v>81</v>
      </c>
      <c r="C29" s="93">
        <v>0.52010000000000001</v>
      </c>
      <c r="D29" s="82">
        <v>0.53200000000000003</v>
      </c>
      <c r="E29" s="89">
        <v>0.5181</v>
      </c>
      <c r="F29" s="90"/>
      <c r="G29" s="151"/>
      <c r="H29" s="151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163"/>
      <c r="T29" s="108"/>
      <c r="U29" s="108"/>
      <c r="V29" s="108"/>
      <c r="W29" s="108"/>
      <c r="X29" s="109"/>
      <c r="Y29" s="108"/>
      <c r="Z29" s="102"/>
      <c r="AA29" s="95"/>
      <c r="AB29" s="95"/>
    </row>
    <row r="30" spans="1:28" ht="15.75" x14ac:dyDescent="0.25">
      <c r="A30" s="125" t="s">
        <v>20</v>
      </c>
      <c r="B30" s="126" t="s">
        <v>79</v>
      </c>
      <c r="C30" s="93">
        <v>0.54610000000000003</v>
      </c>
      <c r="D30" s="82">
        <v>0.55049999999999999</v>
      </c>
      <c r="E30" s="89">
        <v>0.55179999999999996</v>
      </c>
      <c r="F30" s="90"/>
      <c r="G30" s="151"/>
      <c r="H30" s="151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163"/>
      <c r="T30" s="108"/>
      <c r="U30" s="108"/>
      <c r="V30" s="109"/>
      <c r="W30" s="108"/>
      <c r="X30" s="108"/>
      <c r="Y30" s="108"/>
      <c r="Z30" s="102"/>
      <c r="AA30" s="95"/>
      <c r="AB30" s="95"/>
    </row>
    <row r="31" spans="1:28" ht="15.75" x14ac:dyDescent="0.25">
      <c r="A31" s="125" t="s">
        <v>21</v>
      </c>
      <c r="B31" s="126" t="s">
        <v>78</v>
      </c>
      <c r="C31" s="93">
        <v>0.11186</v>
      </c>
      <c r="D31" s="82">
        <v>0.12459000000000001</v>
      </c>
      <c r="E31" s="89">
        <v>0.11452</v>
      </c>
      <c r="F31" s="90"/>
      <c r="G31" s="151"/>
      <c r="H31" s="151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163"/>
      <c r="T31" s="108"/>
      <c r="U31" s="108"/>
      <c r="V31" s="108"/>
      <c r="Y31" s="108"/>
      <c r="Z31" s="102"/>
      <c r="AA31" s="95"/>
      <c r="AB31" s="95"/>
    </row>
    <row r="32" spans="1:28" ht="15.75" x14ac:dyDescent="0.25">
      <c r="A32" s="125" t="s">
        <v>22</v>
      </c>
      <c r="B32" s="126"/>
      <c r="C32" s="93">
        <v>0.68300000000000005</v>
      </c>
      <c r="D32" s="82">
        <v>0.623</v>
      </c>
      <c r="E32" s="89">
        <v>0.72299999999999998</v>
      </c>
      <c r="F32" s="90"/>
      <c r="G32" s="151"/>
      <c r="H32" s="151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163"/>
      <c r="Y32" s="112"/>
    </row>
    <row r="33" spans="1:27" ht="15.75" x14ac:dyDescent="0.25">
      <c r="A33" s="125" t="s">
        <v>23</v>
      </c>
      <c r="B33" s="126" t="s">
        <v>82</v>
      </c>
      <c r="C33" s="93">
        <v>9.81</v>
      </c>
      <c r="D33" s="82">
        <v>9.81</v>
      </c>
      <c r="E33" s="89">
        <v>9.81</v>
      </c>
      <c r="F33" s="90"/>
      <c r="G33" s="151"/>
      <c r="H33" s="151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163"/>
      <c r="V33" s="113"/>
      <c r="W33" s="108"/>
      <c r="X33" s="108"/>
    </row>
    <row r="34" spans="1:27" ht="15.75" x14ac:dyDescent="0.25">
      <c r="A34" s="125" t="s">
        <v>24</v>
      </c>
      <c r="B34" s="126" t="s">
        <v>83</v>
      </c>
      <c r="C34" s="93">
        <v>1025</v>
      </c>
      <c r="D34" s="82">
        <v>1025</v>
      </c>
      <c r="E34" s="89">
        <v>1025</v>
      </c>
      <c r="F34" s="90"/>
      <c r="G34" s="151"/>
      <c r="H34" s="151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163"/>
      <c r="W34" s="108"/>
      <c r="X34" s="108"/>
    </row>
    <row r="35" spans="1:27" ht="15" customHeight="1" x14ac:dyDescent="0.25">
      <c r="A35" s="125" t="s">
        <v>25</v>
      </c>
      <c r="B35" s="126" t="s">
        <v>79</v>
      </c>
      <c r="C35" s="93">
        <v>5.7199999999999994E-2</v>
      </c>
      <c r="D35" s="82">
        <v>5.9700000000000003E-2</v>
      </c>
      <c r="E35" s="89">
        <v>5.6000000000000001E-2</v>
      </c>
      <c r="F35" s="90"/>
      <c r="G35" s="151"/>
      <c r="H35" s="151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63"/>
      <c r="T35" s="95"/>
      <c r="U35" s="95"/>
      <c r="V35" s="95"/>
      <c r="W35" s="95"/>
      <c r="X35" s="95"/>
      <c r="Y35" s="95"/>
      <c r="Z35" s="102"/>
      <c r="AA35" s="95"/>
    </row>
    <row r="36" spans="1:27" ht="15.75" x14ac:dyDescent="0.25">
      <c r="A36" s="128" t="s">
        <v>52</v>
      </c>
      <c r="B36" s="129" t="s">
        <v>84</v>
      </c>
      <c r="C36" s="97">
        <v>20</v>
      </c>
      <c r="D36" s="114">
        <v>20</v>
      </c>
      <c r="E36" s="98">
        <v>20</v>
      </c>
      <c r="F36" s="90"/>
      <c r="G36" s="151"/>
      <c r="H36" s="151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163"/>
      <c r="T36" s="95"/>
      <c r="U36" s="95"/>
      <c r="V36" s="95"/>
      <c r="W36" s="95"/>
      <c r="X36" s="95"/>
      <c r="Y36" s="95"/>
      <c r="Z36" s="95"/>
      <c r="AA36" s="95"/>
    </row>
    <row r="37" spans="1:27" x14ac:dyDescent="0.25"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163"/>
      <c r="T37" s="95"/>
      <c r="U37" s="95"/>
      <c r="V37" s="95"/>
      <c r="W37" s="95"/>
      <c r="X37" s="95"/>
      <c r="Y37" s="95"/>
      <c r="Z37" s="95"/>
      <c r="AA37" s="95"/>
    </row>
    <row r="38" spans="1:27" x14ac:dyDescent="0.25"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163"/>
      <c r="T38" s="95"/>
      <c r="U38" s="95"/>
      <c r="V38" s="95"/>
      <c r="W38" s="95"/>
      <c r="X38" s="95"/>
      <c r="Y38" s="95"/>
      <c r="Z38" s="95"/>
      <c r="AA38" s="95"/>
    </row>
    <row r="39" spans="1:27" x14ac:dyDescent="0.25"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5"/>
      <c r="U39" s="95"/>
      <c r="V39" s="95"/>
      <c r="W39" s="95"/>
      <c r="X39" s="95"/>
      <c r="Y39" s="95"/>
      <c r="Z39" s="95"/>
      <c r="AA39" s="95"/>
    </row>
    <row r="40" spans="1:27" x14ac:dyDescent="0.25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5"/>
      <c r="U40" s="95"/>
      <c r="V40" s="95"/>
      <c r="W40" s="95"/>
      <c r="X40" s="95"/>
      <c r="Y40" s="95"/>
      <c r="Z40" s="95"/>
      <c r="AA40" s="95"/>
    </row>
    <row r="41" spans="1:27" ht="15" customHeight="1" x14ac:dyDescent="0.25"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163"/>
      <c r="T41" s="95"/>
      <c r="U41" s="115"/>
      <c r="V41" s="95"/>
      <c r="W41" s="95"/>
      <c r="X41" s="95"/>
      <c r="Y41" s="95"/>
      <c r="Z41" s="95"/>
      <c r="AA41" s="95"/>
    </row>
    <row r="42" spans="1:27" x14ac:dyDescent="0.25"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163"/>
    </row>
    <row r="43" spans="1:27" x14ac:dyDescent="0.25"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163"/>
    </row>
    <row r="44" spans="1:27" x14ac:dyDescent="0.25"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163"/>
    </row>
    <row r="45" spans="1:27" x14ac:dyDescent="0.25"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163"/>
    </row>
    <row r="46" spans="1:27" x14ac:dyDescent="0.25"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163"/>
    </row>
    <row r="47" spans="1:27" x14ac:dyDescent="0.25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</row>
    <row r="48" spans="1:27" x14ac:dyDescent="0.25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</row>
    <row r="49" spans="2:19" x14ac:dyDescent="0.25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</row>
    <row r="50" spans="2:19" x14ac:dyDescent="0.25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</row>
    <row r="51" spans="2:19" x14ac:dyDescent="0.2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</sheetData>
  <sheetProtection algorithmName="SHA-512" hashValue="8WGntlrdt+8glodaqIBOoGzUbgeShMMRvhCwZJPaPgdr04kcdFw58FdfxP0hiMWPlu4E47a3VYbRMqUSALtDoA==" saltValue="A9FWuGSTbj70RgMkHQAr1w==" spinCount="100000" sheet="1" objects="1" scenarios="1"/>
  <mergeCells count="6">
    <mergeCell ref="S41:S46"/>
    <mergeCell ref="J4:K4"/>
    <mergeCell ref="L4:M4"/>
    <mergeCell ref="N4:O4"/>
    <mergeCell ref="S23:S34"/>
    <mergeCell ref="S35:S3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Calculations</vt:lpstr>
      <vt:lpstr>Plots</vt:lpstr>
      <vt:lpstr>Drag Plots</vt:lpstr>
      <vt:lpstr>Numerical Output</vt:lpstr>
      <vt:lpstr>Input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2014-07-16T06:08:32Z</dcterms:created>
  <dcterms:modified xsi:type="dcterms:W3CDTF">2014-10-26T22:26:33Z</dcterms:modified>
</cp:coreProperties>
</file>