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31677\Desktop\"/>
    </mc:Choice>
  </mc:AlternateContent>
  <xr:revisionPtr revIDLastSave="0" documentId="13_ncr:1_{3DFC1199-2F9C-4CA6-BCC4-AB9EBE6847E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BA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7" l="1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B40" i="7"/>
  <c r="B87" i="7"/>
  <c r="Q71" i="7"/>
  <c r="Q24" i="7" s="1"/>
  <c r="R71" i="7"/>
  <c r="R24" i="7" s="1"/>
  <c r="P71" i="7"/>
  <c r="P24" i="7" s="1"/>
  <c r="O71" i="7"/>
  <c r="O24" i="7" s="1"/>
  <c r="N71" i="7"/>
  <c r="N24" i="7" s="1"/>
  <c r="M71" i="7"/>
  <c r="M24" i="7" s="1"/>
  <c r="L71" i="7"/>
  <c r="L24" i="7" s="1"/>
  <c r="K71" i="7"/>
  <c r="K24" i="7" s="1"/>
  <c r="J71" i="7"/>
  <c r="J24" i="7" s="1"/>
  <c r="I71" i="7"/>
  <c r="I24" i="7" s="1"/>
  <c r="H71" i="7"/>
  <c r="H24" i="7" s="1"/>
  <c r="G71" i="7"/>
  <c r="G24" i="7" s="1"/>
  <c r="F71" i="7"/>
  <c r="F24" i="7" s="1"/>
  <c r="E71" i="7"/>
  <c r="E24" i="7" s="1"/>
  <c r="D71" i="7"/>
  <c r="D24" i="7" s="1"/>
  <c r="C69" i="7"/>
  <c r="R69" i="7"/>
  <c r="R70" i="7" s="1"/>
  <c r="R23" i="7" s="1"/>
  <c r="Q69" i="7"/>
  <c r="Q70" i="7" s="1"/>
  <c r="Q23" i="7" s="1"/>
  <c r="P69" i="7"/>
  <c r="P70" i="7" s="1"/>
  <c r="P23" i="7" s="1"/>
  <c r="O69" i="7"/>
  <c r="O70" i="7" s="1"/>
  <c r="O23" i="7" s="1"/>
  <c r="N69" i="7"/>
  <c r="N70" i="7" s="1"/>
  <c r="N23" i="7" s="1"/>
  <c r="M69" i="7"/>
  <c r="M70" i="7" s="1"/>
  <c r="M23" i="7" s="1"/>
  <c r="L69" i="7"/>
  <c r="L70" i="7" s="1"/>
  <c r="L23" i="7" s="1"/>
  <c r="K69" i="7"/>
  <c r="K70" i="7" s="1"/>
  <c r="K23" i="7" s="1"/>
  <c r="J69" i="7"/>
  <c r="J70" i="7" s="1"/>
  <c r="J23" i="7" s="1"/>
  <c r="I69" i="7"/>
  <c r="I70" i="7" s="1"/>
  <c r="I23" i="7" s="1"/>
  <c r="H69" i="7"/>
  <c r="H70" i="7" s="1"/>
  <c r="H23" i="7" s="1"/>
  <c r="G69" i="7"/>
  <c r="G70" i="7" s="1"/>
  <c r="G23" i="7" s="1"/>
  <c r="F69" i="7"/>
  <c r="F70" i="7" s="1"/>
  <c r="F23" i="7" s="1"/>
  <c r="E69" i="7"/>
  <c r="E70" i="7" s="1"/>
  <c r="E23" i="7" s="1"/>
  <c r="D69" i="7"/>
  <c r="D70" i="7" s="1"/>
  <c r="D23" i="7" s="1"/>
  <c r="D22" i="7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C22" i="7"/>
  <c r="D66" i="7"/>
  <c r="D19" i="7" s="1"/>
  <c r="R66" i="7"/>
  <c r="R19" i="7" s="1"/>
  <c r="Q66" i="7"/>
  <c r="Q19" i="7" s="1"/>
  <c r="P66" i="7"/>
  <c r="P19" i="7" s="1"/>
  <c r="O66" i="7"/>
  <c r="O19" i="7" s="1"/>
  <c r="N66" i="7"/>
  <c r="N19" i="7" s="1"/>
  <c r="M66" i="7"/>
  <c r="M19" i="7" s="1"/>
  <c r="L66" i="7"/>
  <c r="L19" i="7" s="1"/>
  <c r="K66" i="7"/>
  <c r="K19" i="7" s="1"/>
  <c r="J66" i="7"/>
  <c r="J19" i="7" s="1"/>
  <c r="I66" i="7"/>
  <c r="I19" i="7" s="1"/>
  <c r="H66" i="7"/>
  <c r="H19" i="7" s="1"/>
  <c r="G66" i="7"/>
  <c r="G19" i="7" s="1"/>
  <c r="F66" i="7"/>
  <c r="F19" i="7" s="1"/>
  <c r="E66" i="7"/>
  <c r="E19" i="7" s="1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D64" i="7"/>
  <c r="D17" i="7" s="1"/>
  <c r="R64" i="7"/>
  <c r="R17" i="7" s="1"/>
  <c r="Q64" i="7"/>
  <c r="Q17" i="7" s="1"/>
  <c r="P64" i="7"/>
  <c r="P17" i="7" s="1"/>
  <c r="O64" i="7"/>
  <c r="O17" i="7" s="1"/>
  <c r="N64" i="7"/>
  <c r="N17" i="7" s="1"/>
  <c r="M64" i="7"/>
  <c r="M17" i="7" s="1"/>
  <c r="L64" i="7"/>
  <c r="L17" i="7" s="1"/>
  <c r="K64" i="7"/>
  <c r="K17" i="7" s="1"/>
  <c r="J64" i="7"/>
  <c r="J17" i="7" s="1"/>
  <c r="I64" i="7"/>
  <c r="H64" i="7"/>
  <c r="H17" i="7" s="1"/>
  <c r="G64" i="7"/>
  <c r="G17" i="7" s="1"/>
  <c r="F64" i="7"/>
  <c r="F17" i="7" s="1"/>
  <c r="E64" i="7"/>
  <c r="E17" i="7" s="1"/>
  <c r="D63" i="7"/>
  <c r="C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C67" i="7"/>
  <c r="C65" i="7"/>
  <c r="C56" i="7"/>
  <c r="R55" i="7"/>
  <c r="R67" i="7" s="1"/>
  <c r="Q55" i="7"/>
  <c r="Q67" i="7" s="1"/>
  <c r="P55" i="7"/>
  <c r="P56" i="7" s="1"/>
  <c r="O55" i="7"/>
  <c r="O67" i="7" s="1"/>
  <c r="N55" i="7"/>
  <c r="N56" i="7" s="1"/>
  <c r="M55" i="7"/>
  <c r="M56" i="7" s="1"/>
  <c r="L55" i="7"/>
  <c r="L56" i="7" s="1"/>
  <c r="K55" i="7"/>
  <c r="K56" i="7" s="1"/>
  <c r="J55" i="7"/>
  <c r="J8" i="7" s="1"/>
  <c r="J20" i="7" s="1"/>
  <c r="I55" i="7"/>
  <c r="I56" i="7" s="1"/>
  <c r="H55" i="7"/>
  <c r="H56" i="7" s="1"/>
  <c r="G55" i="7"/>
  <c r="G56" i="7" s="1"/>
  <c r="F55" i="7"/>
  <c r="F56" i="7" s="1"/>
  <c r="E55" i="7"/>
  <c r="E56" i="7" s="1"/>
  <c r="D55" i="7"/>
  <c r="D56" i="7" s="1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E28" i="7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D27" i="7"/>
  <c r="E26" i="7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E25" i="7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C20" i="7"/>
  <c r="C18" i="7"/>
  <c r="C16" i="7"/>
  <c r="C12" i="7"/>
  <c r="C9" i="7"/>
  <c r="R8" i="7"/>
  <c r="R20" i="7" s="1"/>
  <c r="C7" i="7"/>
  <c r="R6" i="7"/>
  <c r="R16" i="7" s="1"/>
  <c r="Q6" i="7"/>
  <c r="Q16" i="7" s="1"/>
  <c r="P6" i="7"/>
  <c r="P16" i="7" s="1"/>
  <c r="O6" i="7"/>
  <c r="O18" i="7" s="1"/>
  <c r="N6" i="7"/>
  <c r="N27" i="7" s="1"/>
  <c r="M6" i="7"/>
  <c r="M27" i="7" s="1"/>
  <c r="L6" i="7"/>
  <c r="L16" i="7" s="1"/>
  <c r="K6" i="7"/>
  <c r="K27" i="7" s="1"/>
  <c r="J6" i="7"/>
  <c r="J16" i="7" s="1"/>
  <c r="I6" i="7"/>
  <c r="I27" i="7" s="1"/>
  <c r="H6" i="7"/>
  <c r="H27" i="7" s="1"/>
  <c r="G6" i="7"/>
  <c r="G27" i="7" s="1"/>
  <c r="F6" i="7"/>
  <c r="F27" i="7" s="1"/>
  <c r="E6" i="7"/>
  <c r="E7" i="7" s="1"/>
  <c r="D6" i="7"/>
  <c r="D16" i="7" s="1"/>
  <c r="M18" i="7" l="1"/>
  <c r="Q18" i="7"/>
  <c r="R18" i="7"/>
  <c r="D67" i="7"/>
  <c r="E67" i="7"/>
  <c r="F67" i="7"/>
  <c r="G67" i="7"/>
  <c r="J67" i="7"/>
  <c r="K67" i="7"/>
  <c r="M67" i="7"/>
  <c r="N67" i="7"/>
  <c r="I18" i="7"/>
  <c r="J18" i="7"/>
  <c r="L18" i="7"/>
  <c r="P67" i="7"/>
  <c r="N18" i="7"/>
  <c r="P18" i="7"/>
  <c r="C79" i="7"/>
  <c r="C83" i="7" s="1"/>
  <c r="D18" i="7"/>
  <c r="E18" i="7"/>
  <c r="G18" i="7"/>
  <c r="H67" i="7"/>
  <c r="F18" i="7"/>
  <c r="H57" i="7"/>
  <c r="H58" i="7" s="1"/>
  <c r="H59" i="7" s="1"/>
  <c r="H62" i="7" s="1"/>
  <c r="H18" i="7"/>
  <c r="I67" i="7"/>
  <c r="K18" i="7"/>
  <c r="L67" i="7"/>
  <c r="K57" i="7"/>
  <c r="K58" i="7" s="1"/>
  <c r="E8" i="7"/>
  <c r="E20" i="7" s="1"/>
  <c r="F8" i="7"/>
  <c r="F16" i="7"/>
  <c r="H16" i="7"/>
  <c r="I16" i="7"/>
  <c r="G16" i="7"/>
  <c r="K16" i="7"/>
  <c r="G57" i="7"/>
  <c r="M57" i="7"/>
  <c r="M58" i="7" s="1"/>
  <c r="M16" i="7"/>
  <c r="N16" i="7"/>
  <c r="O16" i="7"/>
  <c r="E16" i="7"/>
  <c r="H8" i="7"/>
  <c r="H20" i="7" s="1"/>
  <c r="I8" i="7"/>
  <c r="L8" i="7"/>
  <c r="N8" i="7"/>
  <c r="N20" i="7" s="1"/>
  <c r="L27" i="7"/>
  <c r="K8" i="7"/>
  <c r="J56" i="7"/>
  <c r="J57" i="7" s="1"/>
  <c r="M8" i="7"/>
  <c r="O8" i="7"/>
  <c r="P8" i="7"/>
  <c r="C35" i="7"/>
  <c r="J27" i="7"/>
  <c r="O7" i="7"/>
  <c r="D8" i="7"/>
  <c r="D20" i="7" s="1"/>
  <c r="F57" i="7"/>
  <c r="I57" i="7"/>
  <c r="J9" i="7"/>
  <c r="J10" i="7"/>
  <c r="L57" i="7"/>
  <c r="N57" i="7"/>
  <c r="P57" i="7"/>
  <c r="D57" i="7"/>
  <c r="E57" i="7"/>
  <c r="F7" i="7"/>
  <c r="Q8" i="7"/>
  <c r="Q20" i="7" s="1"/>
  <c r="O27" i="7"/>
  <c r="O56" i="7"/>
  <c r="O57" i="7" s="1"/>
  <c r="G7" i="7"/>
  <c r="R9" i="7"/>
  <c r="R10" i="7" s="1"/>
  <c r="P27" i="7"/>
  <c r="R27" i="7"/>
  <c r="R56" i="7"/>
  <c r="R57" i="7" s="1"/>
  <c r="Q56" i="7"/>
  <c r="Q57" i="7" s="1"/>
  <c r="Q27" i="7"/>
  <c r="G8" i="7"/>
  <c r="G20" i="7" s="1"/>
  <c r="E27" i="7"/>
  <c r="D7" i="7"/>
  <c r="C81" i="7" l="1"/>
  <c r="C82" i="7"/>
  <c r="K59" i="7"/>
  <c r="K62" i="7" s="1"/>
  <c r="K9" i="7"/>
  <c r="K20" i="7"/>
  <c r="L9" i="7"/>
  <c r="L10" i="7" s="1"/>
  <c r="L11" i="7" s="1"/>
  <c r="L12" i="7" s="1"/>
  <c r="L15" i="7" s="1"/>
  <c r="L20" i="7"/>
  <c r="F9" i="7"/>
  <c r="F10" i="7" s="1"/>
  <c r="F11" i="7" s="1"/>
  <c r="F12" i="7" s="1"/>
  <c r="F15" i="7" s="1"/>
  <c r="F20" i="7"/>
  <c r="I9" i="7"/>
  <c r="I10" i="7" s="1"/>
  <c r="I11" i="7" s="1"/>
  <c r="I12" i="7" s="1"/>
  <c r="I15" i="7" s="1"/>
  <c r="I20" i="7"/>
  <c r="P9" i="7"/>
  <c r="P10" i="7" s="1"/>
  <c r="P11" i="7" s="1"/>
  <c r="P12" i="7" s="1"/>
  <c r="P20" i="7"/>
  <c r="E9" i="7"/>
  <c r="E10" i="7" s="1"/>
  <c r="E11" i="7" s="1"/>
  <c r="E12" i="7" s="1"/>
  <c r="E15" i="7" s="1"/>
  <c r="O9" i="7"/>
  <c r="O10" i="7" s="1"/>
  <c r="O11" i="7" s="1"/>
  <c r="O12" i="7" s="1"/>
  <c r="O15" i="7" s="1"/>
  <c r="O38" i="7" s="1"/>
  <c r="O20" i="7"/>
  <c r="M9" i="7"/>
  <c r="M10" i="7" s="1"/>
  <c r="M11" i="7" s="1"/>
  <c r="M12" i="7" s="1"/>
  <c r="M15" i="7" s="1"/>
  <c r="M20" i="7"/>
  <c r="G58" i="7"/>
  <c r="G59" i="7" s="1"/>
  <c r="G62" i="7" s="1"/>
  <c r="F58" i="7"/>
  <c r="F59" i="7" s="1"/>
  <c r="F62" i="7" s="1"/>
  <c r="M59" i="7"/>
  <c r="M62" i="7" s="1"/>
  <c r="M79" i="7" s="1"/>
  <c r="D9" i="7"/>
  <c r="D10" i="7" s="1"/>
  <c r="C36" i="7"/>
  <c r="C37" i="7"/>
  <c r="J58" i="7"/>
  <c r="J59" i="7"/>
  <c r="J62" i="7" s="1"/>
  <c r="J79" i="7" s="1"/>
  <c r="N9" i="7"/>
  <c r="N10" i="7" s="1"/>
  <c r="N11" i="7" s="1"/>
  <c r="N12" i="7" s="1"/>
  <c r="N15" i="7" s="1"/>
  <c r="H9" i="7"/>
  <c r="H10" i="7" s="1"/>
  <c r="H11" i="7" s="1"/>
  <c r="H12" i="7" s="1"/>
  <c r="H15" i="7" s="1"/>
  <c r="C34" i="7"/>
  <c r="K10" i="7"/>
  <c r="K11" i="7" s="1"/>
  <c r="K12" i="7" s="1"/>
  <c r="K15" i="7" s="1"/>
  <c r="M38" i="7"/>
  <c r="M37" i="7"/>
  <c r="R58" i="7"/>
  <c r="R59" i="7" s="1"/>
  <c r="R62" i="7" s="1"/>
  <c r="Q58" i="7"/>
  <c r="Q59" i="7" s="1"/>
  <c r="Q62" i="7" s="1"/>
  <c r="P58" i="7"/>
  <c r="P59" i="7" s="1"/>
  <c r="P62" i="7" s="1"/>
  <c r="O58" i="7"/>
  <c r="O59" i="7" s="1"/>
  <c r="O62" i="7" s="1"/>
  <c r="N58" i="7"/>
  <c r="N59" i="7" s="1"/>
  <c r="N62" i="7" s="1"/>
  <c r="R11" i="7"/>
  <c r="R12" i="7" s="1"/>
  <c r="R15" i="7" s="1"/>
  <c r="E58" i="7"/>
  <c r="E59" i="7" s="1"/>
  <c r="E62" i="7" s="1"/>
  <c r="H84" i="7"/>
  <c r="H79" i="7"/>
  <c r="H85" i="7"/>
  <c r="G9" i="7"/>
  <c r="G10" i="7" s="1"/>
  <c r="D58" i="7"/>
  <c r="D59" i="7" s="1"/>
  <c r="D62" i="7" s="1"/>
  <c r="M84" i="7"/>
  <c r="K79" i="7"/>
  <c r="K84" i="7"/>
  <c r="K85" i="7"/>
  <c r="I58" i="7"/>
  <c r="I59" i="7" s="1"/>
  <c r="I62" i="7" s="1"/>
  <c r="L58" i="7"/>
  <c r="L59" i="7" s="1"/>
  <c r="L62" i="7" s="1"/>
  <c r="J11" i="7"/>
  <c r="J12" i="7" s="1"/>
  <c r="J15" i="7" s="1"/>
  <c r="Q9" i="7"/>
  <c r="Q10" i="7" s="1"/>
  <c r="M32" i="7" l="1"/>
  <c r="M35" i="7" s="1"/>
  <c r="O32" i="7"/>
  <c r="O35" i="7" s="1"/>
  <c r="M85" i="7"/>
  <c r="G79" i="7"/>
  <c r="G82" i="7" s="1"/>
  <c r="G85" i="7"/>
  <c r="G84" i="7"/>
  <c r="O37" i="7"/>
  <c r="J84" i="7"/>
  <c r="J85" i="7"/>
  <c r="F84" i="7"/>
  <c r="F85" i="7"/>
  <c r="F79" i="7"/>
  <c r="F82" i="7" s="1"/>
  <c r="P15" i="7"/>
  <c r="P37" i="7" s="1"/>
  <c r="P38" i="7"/>
  <c r="H37" i="7"/>
  <c r="H32" i="7"/>
  <c r="H35" i="7" s="1"/>
  <c r="H38" i="7"/>
  <c r="Q11" i="7"/>
  <c r="Q12" i="7" s="1"/>
  <c r="Q15" i="7" s="1"/>
  <c r="K37" i="7"/>
  <c r="K32" i="7"/>
  <c r="K38" i="7"/>
  <c r="J38" i="7"/>
  <c r="J37" i="7"/>
  <c r="J32" i="7"/>
  <c r="J35" i="7" s="1"/>
  <c r="N79" i="7"/>
  <c r="N84" i="7"/>
  <c r="N85" i="7"/>
  <c r="L79" i="7"/>
  <c r="L84" i="7"/>
  <c r="L85" i="7"/>
  <c r="O79" i="7"/>
  <c r="O84" i="7"/>
  <c r="O85" i="7"/>
  <c r="F37" i="7"/>
  <c r="F32" i="7"/>
  <c r="F35" i="7" s="1"/>
  <c r="F38" i="7"/>
  <c r="G11" i="7"/>
  <c r="G12" i="7" s="1"/>
  <c r="G15" i="7" s="1"/>
  <c r="Q79" i="7"/>
  <c r="Q84" i="7"/>
  <c r="Q85" i="7"/>
  <c r="M82" i="7"/>
  <c r="J82" i="7"/>
  <c r="D11" i="7"/>
  <c r="D12" i="7" s="1"/>
  <c r="D15" i="7" s="1"/>
  <c r="E84" i="7"/>
  <c r="E85" i="7"/>
  <c r="E79" i="7"/>
  <c r="E37" i="7"/>
  <c r="E32" i="7"/>
  <c r="E35" i="7" s="1"/>
  <c r="E38" i="7"/>
  <c r="R79" i="7"/>
  <c r="R84" i="7"/>
  <c r="R85" i="7"/>
  <c r="H82" i="7"/>
  <c r="P79" i="7"/>
  <c r="P84" i="7"/>
  <c r="P85" i="7"/>
  <c r="N38" i="7"/>
  <c r="N32" i="7"/>
  <c r="N35" i="7" s="1"/>
  <c r="N37" i="7"/>
  <c r="L32" i="7"/>
  <c r="L38" i="7"/>
  <c r="L37" i="7"/>
  <c r="D79" i="7"/>
  <c r="D84" i="7"/>
  <c r="D85" i="7"/>
  <c r="R37" i="7"/>
  <c r="R32" i="7"/>
  <c r="R35" i="7" s="1"/>
  <c r="R38" i="7"/>
  <c r="K82" i="7"/>
  <c r="P32" i="7" l="1"/>
  <c r="P35" i="7" s="1"/>
  <c r="G37" i="7"/>
  <c r="G32" i="7"/>
  <c r="G35" i="7" s="1"/>
  <c r="G38" i="7"/>
  <c r="Q38" i="7"/>
  <c r="Q37" i="7"/>
  <c r="Q32" i="7"/>
  <c r="Q35" i="7" s="1"/>
  <c r="D37" i="7"/>
  <c r="D32" i="7"/>
  <c r="D38" i="7"/>
  <c r="N82" i="7"/>
  <c r="L35" i="7"/>
  <c r="R82" i="7"/>
  <c r="Q82" i="7"/>
  <c r="O82" i="7"/>
  <c r="P82" i="7"/>
  <c r="E82" i="7"/>
  <c r="L82" i="7"/>
  <c r="K35" i="7"/>
  <c r="D82" i="7"/>
  <c r="D83" i="7" s="1"/>
  <c r="D81" i="7"/>
  <c r="E81" i="7" s="1"/>
  <c r="F81" i="7" s="1"/>
  <c r="G81" i="7" s="1"/>
  <c r="H81" i="7" s="1"/>
  <c r="E83" i="7" l="1"/>
  <c r="F83" i="7" s="1"/>
  <c r="G83" i="7" s="1"/>
  <c r="H83" i="7" s="1"/>
  <c r="D35" i="7"/>
  <c r="D36" i="7" s="1"/>
  <c r="E36" i="7" s="1"/>
  <c r="F36" i="7" s="1"/>
  <c r="G36" i="7" s="1"/>
  <c r="H36" i="7" s="1"/>
  <c r="D34" i="7"/>
  <c r="E34" i="7" s="1"/>
  <c r="F34" i="7" s="1"/>
  <c r="G34" i="7" s="1"/>
  <c r="H34" i="7" s="1"/>
  <c r="I79" i="7" l="1"/>
  <c r="B90" i="7" s="1"/>
  <c r="AD63" i="7" s="1"/>
  <c r="I85" i="7"/>
  <c r="B91" i="7" s="1"/>
  <c r="I84" i="7"/>
  <c r="B92" i="7" s="1"/>
  <c r="I17" i="7"/>
  <c r="I82" i="7" l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I81" i="7"/>
  <c r="J81" i="7" s="1"/>
  <c r="K81" i="7" s="1"/>
  <c r="L81" i="7" s="1"/>
  <c r="M81" i="7" s="1"/>
  <c r="N81" i="7" s="1"/>
  <c r="O81" i="7" s="1"/>
  <c r="P81" i="7" s="1"/>
  <c r="Q81" i="7" s="1"/>
  <c r="R81" i="7" s="1"/>
  <c r="I38" i="7"/>
  <c r="B44" i="7" s="1"/>
  <c r="I32" i="7"/>
  <c r="B43" i="7" s="1"/>
  <c r="AD62" i="7" s="1"/>
  <c r="I37" i="7"/>
  <c r="B45" i="7" s="1"/>
  <c r="B93" i="7"/>
  <c r="B46" i="7" l="1"/>
  <c r="I35" i="7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I34" i="7"/>
  <c r="J34" i="7" s="1"/>
  <c r="K34" i="7" s="1"/>
  <c r="L34" i="7" s="1"/>
  <c r="M34" i="7" s="1"/>
  <c r="N34" i="7" s="1"/>
  <c r="O34" i="7" s="1"/>
  <c r="P34" i="7" s="1"/>
  <c r="Q34" i="7" s="1"/>
  <c r="R34" i="7" s="1"/>
</calcChain>
</file>

<file path=xl/sharedStrings.xml><?xml version="1.0" encoding="utf-8"?>
<sst xmlns="http://schemas.openxmlformats.org/spreadsheetml/2006/main" count="172" uniqueCount="85">
  <si>
    <t>Net income</t>
  </si>
  <si>
    <t>Values</t>
  </si>
  <si>
    <t>Cost</t>
  </si>
  <si>
    <t>Discount rate</t>
  </si>
  <si>
    <t>This sheet is about the cash-flow and the calculation of the financial indicators for both Alternatives</t>
  </si>
  <si>
    <t>CBA- Alternative A</t>
  </si>
  <si>
    <t>Year</t>
  </si>
  <si>
    <r>
      <rPr>
        <b/>
        <i/>
        <sz val="12"/>
        <color rgb="FF000000"/>
        <rFont val="等线"/>
        <charset val="134"/>
      </rPr>
      <t xml:space="preserve">Remarks </t>
    </r>
    <r>
      <rPr>
        <i/>
        <sz val="12"/>
        <color rgb="FF000000"/>
        <rFont val="等线"/>
        <charset val="134"/>
      </rPr>
      <t>(corresponding to assumption)</t>
    </r>
  </si>
  <si>
    <t>Income statement</t>
  </si>
  <si>
    <t>+Revenue</t>
  </si>
  <si>
    <t>-manufacturing and O&amp;M cost</t>
  </si>
  <si>
    <t>(Operating, Maintenance, Capital Cost)</t>
  </si>
  <si>
    <t>-Depreciation</t>
  </si>
  <si>
    <t>-Finance Costs</t>
  </si>
  <si>
    <t>(Debt Interest, Finance Cost)</t>
  </si>
  <si>
    <t>Taxable income</t>
  </si>
  <si>
    <t>-income tax</t>
  </si>
  <si>
    <t>Cash flow statement</t>
  </si>
  <si>
    <t>Operating activities</t>
  </si>
  <si>
    <t>+Net income</t>
  </si>
  <si>
    <t>+ Additional Benefits</t>
  </si>
  <si>
    <t>(Increased Revenue, Cost Savings, Improved Efficiency)</t>
  </si>
  <si>
    <t>+ Intangible Benefits</t>
  </si>
  <si>
    <t>(Customer Retention, Brand Value Increase, Market Expansion)</t>
  </si>
  <si>
    <t>- Operating Costs</t>
  </si>
  <si>
    <t>- Maintenance Costs</t>
  </si>
  <si>
    <t>+Depreciation</t>
  </si>
  <si>
    <t>Investing activities</t>
  </si>
  <si>
    <t>-Capital investment</t>
  </si>
  <si>
    <t>(Capital Cost)</t>
  </si>
  <si>
    <t>+Salvage value</t>
  </si>
  <si>
    <t>-Gains tax</t>
  </si>
  <si>
    <t>+Losses (on Depreciable Assets)</t>
  </si>
  <si>
    <t>Key Input</t>
  </si>
  <si>
    <t>- Net Foreign Exchange Costs</t>
  </si>
  <si>
    <t>Vairable</t>
  </si>
  <si>
    <t>Base 0%</t>
  </si>
  <si>
    <t>-investment in working Capital</t>
  </si>
  <si>
    <t>+Working capital recovery</t>
  </si>
  <si>
    <t>Financing activities</t>
  </si>
  <si>
    <t>+Borrowed Funds</t>
  </si>
  <si>
    <t>-Repayment of principal</t>
  </si>
  <si>
    <t>Net cash flow</t>
  </si>
  <si>
    <t>Cumulative</t>
  </si>
  <si>
    <t>Discounted NetCash Flow</t>
  </si>
  <si>
    <t>Cummulative Discounted Values</t>
  </si>
  <si>
    <t>Benifit</t>
  </si>
  <si>
    <t>Financial Evaluation</t>
  </si>
  <si>
    <t>Interpretation of results</t>
  </si>
  <si>
    <t>PB</t>
  </si>
  <si>
    <t>The project recovers its initial investment within 7 years, indicating rapid capital recovery. This minimizes financial risk and allows reinvestment in other opportunities quickly.</t>
  </si>
  <si>
    <t>NPV</t>
  </si>
  <si>
    <t>A positive NPV of $88 million shows that the project generates substantial net value over its lifetime, making it highly profitable even after accounting for all costs and the time value of money.</t>
  </si>
  <si>
    <t>NPB</t>
  </si>
  <si>
    <t>NPC(LCC)</t>
  </si>
  <si>
    <t>BCR</t>
  </si>
  <si>
    <r>
      <rPr>
        <sz val="11"/>
        <color rgb="FF000000"/>
        <rFont val="Times New Roman"/>
        <family val="1"/>
      </rPr>
      <t xml:space="preserve">With a </t>
    </r>
    <r>
      <rPr>
        <b/>
        <sz val="11"/>
        <color rgb="FF000000"/>
        <rFont val="Times New Roman"/>
        <family val="1"/>
      </rPr>
      <t>BCR of 1.1</t>
    </r>
    <r>
      <rPr>
        <sz val="11"/>
        <color rgb="FF000000"/>
        <rFont val="Times New Roman"/>
        <family val="1"/>
      </rPr>
      <t>, the project provides $1.1</t>
    </r>
    <r>
      <rPr>
        <b/>
        <sz val="11"/>
        <color rgb="FF000000"/>
        <rFont val="Times New Roman"/>
        <family val="1"/>
      </rPr>
      <t xml:space="preserve"> of benefits for every $1 invested</t>
    </r>
    <r>
      <rPr>
        <sz val="11"/>
        <color rgb="FF000000"/>
        <rFont val="Times New Roman"/>
        <family val="1"/>
      </rPr>
      <t>. This demonstrates exceptional cost efficiency and high profitability.</t>
    </r>
  </si>
  <si>
    <t>CBA- Alternative B</t>
  </si>
  <si>
    <r>
      <rPr>
        <b/>
        <i/>
        <sz val="12"/>
        <color rgb="FF000000"/>
        <rFont val="等线"/>
        <charset val="134"/>
      </rPr>
      <t xml:space="preserve">Remarks
 </t>
    </r>
    <r>
      <rPr>
        <i/>
        <sz val="12"/>
        <color rgb="FF000000"/>
        <rFont val="等线"/>
        <charset val="134"/>
      </rPr>
      <t>(corresponding to assumption)</t>
    </r>
  </si>
  <si>
    <t>- Finance Costs</t>
  </si>
  <si>
    <t>-Income tax</t>
  </si>
  <si>
    <t>变化单元格</t>
  </si>
  <si>
    <t xml:space="preserve"> -investment in working Capital</t>
  </si>
  <si>
    <t>It takes 9 years for Alternative A to recover the initial investment. This relatively long payback period ties up working capital for an extended time, potentially delaying other opportunities for investment.</t>
  </si>
  <si>
    <r>
      <rPr>
        <sz val="10"/>
        <color rgb="FF000000"/>
        <rFont val="Times New Roman"/>
        <family val="1"/>
      </rPr>
      <t xml:space="preserve">Alternative A generates a </t>
    </r>
    <r>
      <rPr>
        <b/>
        <sz val="10"/>
        <color rgb="FF000000"/>
        <rFont val="Times New Roman"/>
        <family val="1"/>
      </rPr>
      <t>positive NPV of $24 million</t>
    </r>
    <r>
      <rPr>
        <sz val="10"/>
        <color rgb="FF000000"/>
        <rFont val="Times New Roman"/>
        <family val="1"/>
      </rPr>
      <t>, indicating that the project adds value over its lifecycle, even after accounting for all costs and the time value of money. This confirms the project’s profitability.</t>
    </r>
  </si>
  <si>
    <t>With a BCR of 1.0, Alternative A provides $1.0 of benefits for every $1 invested. This demonstrates good cost efficiency, although it is slightly lower than the ideal ratio for maximizing returns.</t>
  </si>
  <si>
    <t>NPV</t>
    <phoneticPr fontId="23" type="noConversion"/>
  </si>
  <si>
    <t>Sensitivity Ranking</t>
    <phoneticPr fontId="23" type="noConversion"/>
  </si>
  <si>
    <t xml:space="preserve">                                 NPV as a Function of Percent Deviation from the Most Likely Estimates (Base Value)</t>
    <phoneticPr fontId="23" type="noConversion"/>
  </si>
  <si>
    <t xml:space="preserve">                                         NPV as a Function of Percent Deviation from the Most Likely Estimates (Base Value)</t>
    <phoneticPr fontId="23" type="noConversion"/>
  </si>
  <si>
    <t>IV</t>
  </si>
  <si>
    <t>VIII</t>
  </si>
  <si>
    <t>III</t>
  </si>
  <si>
    <t>II</t>
  </si>
  <si>
    <t>VI</t>
  </si>
  <si>
    <t>V</t>
  </si>
  <si>
    <t>I</t>
  </si>
  <si>
    <t>VII</t>
  </si>
  <si>
    <t>IX</t>
  </si>
  <si>
    <t>Option 1</t>
    <phoneticPr fontId="23" type="noConversion"/>
  </si>
  <si>
    <t>Option 2</t>
    <phoneticPr fontId="23" type="noConversion"/>
  </si>
  <si>
    <t>dicount rate</t>
    <phoneticPr fontId="23" type="noConversion"/>
  </si>
  <si>
    <t>life、</t>
    <phoneticPr fontId="23" type="noConversion"/>
  </si>
  <si>
    <t>X</t>
  </si>
  <si>
    <t>Discount rate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</si>
</sst>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26" formatCode="\$#,##0.00_);[Red]\(\$#,##0.00\)"/>
    <numFmt numFmtId="176" formatCode="_(&quot;$&quot;* #,##0.00_);_(&quot;$&quot;* \(#,##0.00\);_(&quot;$&quot;* &quot;-&quot;??_);_(@_)"/>
    <numFmt numFmtId="177" formatCode="&quot;$&quot;#,##0;[Red]\-&quot;$&quot;#,##0"/>
    <numFmt numFmtId="178" formatCode="_-&quot;$&quot;* #,##0_-;\-&quot;$&quot;* #,##0_-;_-&quot;$&quot;* &quot;-&quot;??_-;_-@_-"/>
    <numFmt numFmtId="179" formatCode="\$#,##0.00;[Red]\$\-#,##0.00"/>
    <numFmt numFmtId="180" formatCode="_(&quot;$&quot;* #,##0_);_(&quot;$&quot;* \(#,##0\);_(&quot;$&quot;* &quot;-&quot;??_);_(@_)"/>
  </numFmts>
  <fonts count="35" x14ac:knownFonts="1">
    <font>
      <sz val="1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i/>
      <sz val="12"/>
      <color rgb="FF000000"/>
      <name val="等线"/>
      <charset val="134"/>
    </font>
    <font>
      <sz val="12"/>
      <color rgb="FF000000"/>
      <name val="宋体"/>
      <charset val="134"/>
    </font>
    <font>
      <i/>
      <sz val="12"/>
      <color rgb="FF000000"/>
      <name val="等线"/>
      <charset val="134"/>
    </font>
    <font>
      <i/>
      <sz val="12"/>
      <color theme="1"/>
      <name val="等线"/>
      <charset val="134"/>
      <scheme val="minor"/>
    </font>
    <font>
      <sz val="14"/>
      <color rgb="FF000000"/>
      <name val="宋体"/>
      <charset val="134"/>
    </font>
    <font>
      <i/>
      <sz val="12"/>
      <color rgb="FF000000"/>
      <name val="宋体"/>
      <charset val="134"/>
    </font>
    <font>
      <b/>
      <sz val="14"/>
      <color rgb="FF000000"/>
      <name val="宋体"/>
      <charset val="134"/>
    </font>
    <font>
      <sz val="14"/>
      <color rgb="FF000000"/>
      <name val="等线"/>
      <charset val="134"/>
    </font>
    <font>
      <sz val="12"/>
      <color rgb="FF000000"/>
      <name val="等线"/>
      <charset val="134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等线"/>
      <charset val="134"/>
      <scheme val="minor"/>
    </font>
    <font>
      <sz val="10"/>
      <name val="Arial"/>
      <family val="2"/>
    </font>
    <font>
      <sz val="14"/>
      <color theme="4"/>
      <name val="等线"/>
      <charset val="134"/>
      <scheme val="minor"/>
    </font>
    <font>
      <sz val="11"/>
      <color rgb="FF000000"/>
      <name val="宋体"/>
      <charset val="13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FF0000"/>
      <name val="Arial"/>
      <family val="2"/>
    </font>
    <font>
      <b/>
      <sz val="12"/>
      <color theme="1"/>
      <name val="等线"/>
      <family val="3"/>
      <charset val="134"/>
      <scheme val="minor"/>
    </font>
    <font>
      <sz val="11"/>
      <name val="Algerian"/>
      <family val="5"/>
    </font>
    <font>
      <sz val="14"/>
      <color theme="6" tint="-0.249977111117893"/>
      <name val="Times New Roman"/>
      <family val="1"/>
    </font>
    <font>
      <sz val="14"/>
      <color theme="4"/>
      <name val="等线"/>
      <family val="3"/>
      <charset val="134"/>
      <scheme val="minor"/>
    </font>
    <font>
      <sz val="14"/>
      <color rgb="FF000000"/>
      <name val="等线"/>
      <family val="3"/>
      <charset val="134"/>
    </font>
    <font>
      <sz val="14"/>
      <name val="Algerian"/>
      <family val="5"/>
    </font>
    <font>
      <sz val="10"/>
      <color theme="4"/>
      <name val="Arial"/>
      <family val="2"/>
    </font>
    <font>
      <sz val="1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A3A3A3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76" fontId="22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2" fillId="4" borderId="0" xfId="0" applyFont="1" applyFill="1"/>
    <xf numFmtId="0" fontId="4" fillId="5" borderId="0" xfId="0" applyFont="1" applyFill="1" applyAlignment="1">
      <alignment horizontal="center"/>
    </xf>
    <xf numFmtId="0" fontId="0" fillId="0" borderId="2" xfId="0" applyBorder="1"/>
    <xf numFmtId="0" fontId="3" fillId="6" borderId="3" xfId="0" applyFont="1" applyFill="1" applyBorder="1" applyAlignment="1">
      <alignment vertical="center" wrapText="1"/>
    </xf>
    <xf numFmtId="177" fontId="0" fillId="0" borderId="2" xfId="0" applyNumberFormat="1" applyBorder="1"/>
    <xf numFmtId="0" fontId="2" fillId="0" borderId="3" xfId="0" applyFont="1" applyBorder="1" applyAlignment="1">
      <alignment vertical="center" wrapText="1"/>
    </xf>
    <xf numFmtId="177" fontId="5" fillId="0" borderId="2" xfId="0" applyNumberFormat="1" applyFont="1" applyBorder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3" fillId="0" borderId="3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0" fillId="0" borderId="3" xfId="0" applyFont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177" fontId="0" fillId="0" borderId="4" xfId="0" applyNumberFormat="1" applyBorder="1"/>
    <xf numFmtId="177" fontId="0" fillId="0" borderId="1" xfId="0" applyNumberFormat="1" applyBorder="1"/>
    <xf numFmtId="177" fontId="0" fillId="0" borderId="0" xfId="0" applyNumberFormat="1" applyAlignment="1">
      <alignment horizontal="center"/>
    </xf>
    <xf numFmtId="49" fontId="2" fillId="0" borderId="3" xfId="0" applyNumberFormat="1" applyFont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178" fontId="0" fillId="0" borderId="0" xfId="1" applyNumberFormat="1" applyFont="1" applyFill="1" applyBorder="1" applyAlignment="1">
      <alignment horizontal="center"/>
    </xf>
    <xf numFmtId="177" fontId="0" fillId="8" borderId="2" xfId="0" applyNumberFormat="1" applyFill="1" applyBorder="1" applyAlignment="1">
      <alignment wrapText="1"/>
    </xf>
    <xf numFmtId="178" fontId="0" fillId="8" borderId="2" xfId="1" applyNumberFormat="1" applyFont="1" applyFill="1" applyBorder="1" applyAlignment="1">
      <alignment horizontal="left"/>
    </xf>
    <xf numFmtId="0" fontId="5" fillId="0" borderId="0" xfId="0" applyFont="1"/>
    <xf numFmtId="0" fontId="2" fillId="0" borderId="2" xfId="0" applyFont="1" applyBorder="1" applyAlignment="1">
      <alignment vertical="center" wrapText="1"/>
    </xf>
    <xf numFmtId="0" fontId="11" fillId="9" borderId="5" xfId="0" applyFont="1" applyFill="1" applyBorder="1"/>
    <xf numFmtId="0" fontId="11" fillId="9" borderId="6" xfId="0" applyFont="1" applyFill="1" applyBorder="1" applyAlignment="1">
      <alignment horizontal="center"/>
    </xf>
    <xf numFmtId="0" fontId="11" fillId="9" borderId="7" xfId="0" applyFont="1" applyFill="1" applyBorder="1"/>
    <xf numFmtId="0" fontId="3" fillId="0" borderId="0" xfId="0" applyFont="1" applyAlignment="1">
      <alignment horizontal="left" vertical="center"/>
    </xf>
    <xf numFmtId="0" fontId="12" fillId="8" borderId="8" xfId="0" applyFont="1" applyFill="1" applyBorder="1" applyAlignment="1">
      <alignment horizontal="center"/>
    </xf>
    <xf numFmtId="0" fontId="13" fillId="0" borderId="9" xfId="0" applyFont="1" applyBorder="1" applyAlignment="1">
      <alignment wrapText="1"/>
    </xf>
    <xf numFmtId="0" fontId="11" fillId="9" borderId="8" xfId="0" applyFont="1" applyFill="1" applyBorder="1"/>
    <xf numFmtId="26" fontId="12" fillId="8" borderId="8" xfId="0" applyNumberFormat="1" applyFont="1" applyFill="1" applyBorder="1" applyAlignment="1">
      <alignment horizontal="center"/>
    </xf>
    <xf numFmtId="179" fontId="12" fillId="8" borderId="8" xfId="0" applyNumberFormat="1" applyFont="1" applyFill="1" applyBorder="1" applyAlignment="1">
      <alignment horizontal="center"/>
    </xf>
    <xf numFmtId="0" fontId="12" fillId="0" borderId="9" xfId="0" applyFont="1" applyBorder="1"/>
    <xf numFmtId="0" fontId="11" fillId="9" borderId="10" xfId="0" applyFont="1" applyFill="1" applyBorder="1"/>
    <xf numFmtId="0" fontId="12" fillId="8" borderId="10" xfId="0" applyFont="1" applyFill="1" applyBorder="1" applyAlignment="1">
      <alignment horizont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11" xfId="0" applyBorder="1"/>
    <xf numFmtId="0" fontId="4" fillId="5" borderId="0" xfId="0" applyFont="1" applyFill="1" applyAlignment="1">
      <alignment horizontal="center" wrapText="1"/>
    </xf>
    <xf numFmtId="0" fontId="0" fillId="0" borderId="1" xfId="0" applyBorder="1"/>
    <xf numFmtId="177" fontId="0" fillId="0" borderId="12" xfId="0" applyNumberFormat="1" applyBorder="1"/>
    <xf numFmtId="178" fontId="0" fillId="8" borderId="1" xfId="1" applyNumberFormat="1" applyFont="1" applyFill="1" applyBorder="1" applyAlignment="1">
      <alignment horizontal="left"/>
    </xf>
    <xf numFmtId="178" fontId="0" fillId="8" borderId="12" xfId="1" applyNumberFormat="1" applyFont="1" applyFill="1" applyBorder="1" applyAlignment="1">
      <alignment horizontal="left"/>
    </xf>
    <xf numFmtId="177" fontId="0" fillId="8" borderId="2" xfId="0" applyNumberFormat="1" applyFill="1" applyBorder="1"/>
    <xf numFmtId="0" fontId="0" fillId="0" borderId="13" xfId="0" applyBorder="1"/>
    <xf numFmtId="0" fontId="0" fillId="0" borderId="12" xfId="0" applyBorder="1"/>
    <xf numFmtId="177" fontId="5" fillId="0" borderId="13" xfId="0" applyNumberFormat="1" applyFont="1" applyBorder="1"/>
    <xf numFmtId="177" fontId="0" fillId="0" borderId="13" xfId="0" applyNumberFormat="1" applyBorder="1"/>
    <xf numFmtId="177" fontId="0" fillId="0" borderId="14" xfId="0" applyNumberFormat="1" applyBorder="1"/>
    <xf numFmtId="0" fontId="16" fillId="0" borderId="16" xfId="0" applyFont="1" applyBorder="1"/>
    <xf numFmtId="0" fontId="16" fillId="10" borderId="16" xfId="0" applyFont="1" applyFill="1" applyBorder="1"/>
    <xf numFmtId="0" fontId="17" fillId="0" borderId="3" xfId="0" applyFont="1" applyBorder="1" applyAlignment="1">
      <alignment vertical="center" wrapText="1"/>
    </xf>
    <xf numFmtId="177" fontId="0" fillId="8" borderId="13" xfId="0" applyNumberFormat="1" applyFill="1" applyBorder="1"/>
    <xf numFmtId="0" fontId="16" fillId="0" borderId="11" xfId="0" applyFont="1" applyBorder="1"/>
    <xf numFmtId="0" fontId="16" fillId="10" borderId="0" xfId="0" applyFont="1" applyFill="1"/>
    <xf numFmtId="9" fontId="16" fillId="0" borderId="0" xfId="0" applyNumberFormat="1" applyFont="1" applyAlignment="1">
      <alignment horizontal="center"/>
    </xf>
    <xf numFmtId="180" fontId="16" fillId="0" borderId="0" xfId="1" applyNumberFormat="1" applyFont="1" applyBorder="1"/>
    <xf numFmtId="180" fontId="16" fillId="0" borderId="17" xfId="1" applyNumberFormat="1" applyFont="1" applyBorder="1"/>
    <xf numFmtId="9" fontId="0" fillId="0" borderId="1" xfId="0" applyNumberFormat="1" applyBorder="1"/>
    <xf numFmtId="9" fontId="0" fillId="0" borderId="0" xfId="0" applyNumberFormat="1"/>
    <xf numFmtId="0" fontId="16" fillId="0" borderId="18" xfId="0" applyFont="1" applyBorder="1"/>
    <xf numFmtId="9" fontId="16" fillId="0" borderId="19" xfId="0" applyNumberFormat="1" applyFont="1" applyBorder="1" applyAlignment="1">
      <alignment horizontal="center"/>
    </xf>
    <xf numFmtId="0" fontId="2" fillId="7" borderId="3" xfId="0" applyFont="1" applyFill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8" fillId="0" borderId="0" xfId="0" applyFont="1" applyAlignment="1">
      <alignment horizontal="center" vertical="center"/>
    </xf>
    <xf numFmtId="177" fontId="0" fillId="0" borderId="0" xfId="0" applyNumberFormat="1"/>
    <xf numFmtId="0" fontId="19" fillId="0" borderId="9" xfId="0" applyFont="1" applyBorder="1" applyAlignment="1">
      <alignment vertical="center" wrapText="1"/>
    </xf>
    <xf numFmtId="0" fontId="13" fillId="0" borderId="21" xfId="0" applyFont="1" applyBorder="1" applyAlignment="1">
      <alignment wrapText="1"/>
    </xf>
    <xf numFmtId="0" fontId="2" fillId="0" borderId="3" xfId="0" quotePrefix="1" applyFont="1" applyBorder="1" applyAlignment="1">
      <alignment vertical="center" wrapText="1"/>
    </xf>
    <xf numFmtId="0" fontId="8" fillId="0" borderId="3" xfId="0" quotePrefix="1" applyFont="1" applyBorder="1" applyAlignment="1">
      <alignment vertical="center" wrapText="1"/>
    </xf>
    <xf numFmtId="0" fontId="24" fillId="0" borderId="1" xfId="0" applyFont="1" applyBorder="1"/>
    <xf numFmtId="26" fontId="16" fillId="0" borderId="0" xfId="1" applyNumberFormat="1" applyFont="1" applyBorder="1"/>
    <xf numFmtId="0" fontId="25" fillId="0" borderId="1" xfId="0" applyFont="1" applyBorder="1"/>
    <xf numFmtId="26" fontId="0" fillId="0" borderId="1" xfId="0" applyNumberFormat="1" applyBorder="1"/>
    <xf numFmtId="180" fontId="26" fillId="0" borderId="0" xfId="1" applyNumberFormat="1" applyFont="1" applyBorder="1"/>
    <xf numFmtId="0" fontId="27" fillId="0" borderId="0" xfId="0" applyFont="1"/>
    <xf numFmtId="0" fontId="27" fillId="0" borderId="0" xfId="0" applyFont="1" applyAlignment="1">
      <alignment horizontal="left"/>
    </xf>
    <xf numFmtId="0" fontId="16" fillId="10" borderId="19" xfId="0" applyFont="1" applyFill="1" applyBorder="1" applyAlignment="1">
      <alignment horizontal="center"/>
    </xf>
    <xf numFmtId="180" fontId="16" fillId="0" borderId="19" xfId="1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80" fontId="28" fillId="11" borderId="19" xfId="1" applyNumberFormat="1" applyFont="1" applyFill="1" applyBorder="1" applyAlignment="1">
      <alignment horizontal="center"/>
    </xf>
    <xf numFmtId="180" fontId="28" fillId="11" borderId="20" xfId="1" applyNumberFormat="1" applyFont="1" applyFill="1" applyBorder="1" applyAlignment="1">
      <alignment horizontal="center"/>
    </xf>
    <xf numFmtId="0" fontId="29" fillId="0" borderId="15" xfId="0" applyFont="1" applyBorder="1"/>
    <xf numFmtId="0" fontId="30" fillId="0" borderId="22" xfId="0" applyFont="1" applyBorder="1" applyAlignment="1">
      <alignment vertical="center" wrapText="1"/>
    </xf>
    <xf numFmtId="0" fontId="24" fillId="0" borderId="23" xfId="0" applyFont="1" applyBorder="1"/>
    <xf numFmtId="0" fontId="31" fillId="9" borderId="5" xfId="0" applyFont="1" applyFill="1" applyBorder="1"/>
    <xf numFmtId="180" fontId="32" fillId="11" borderId="20" xfId="1" applyNumberFormat="1" applyFont="1" applyFill="1" applyBorder="1" applyAlignment="1">
      <alignment horizontal="center"/>
    </xf>
    <xf numFmtId="0" fontId="30" fillId="0" borderId="3" xfId="0" applyFont="1" applyBorder="1" applyAlignment="1">
      <alignment vertical="center" wrapText="1"/>
    </xf>
    <xf numFmtId="0" fontId="33" fillId="10" borderId="0" xfId="0" applyFont="1" applyFill="1"/>
    <xf numFmtId="0" fontId="33" fillId="10" borderId="19" xfId="0" applyFont="1" applyFill="1" applyBorder="1" applyAlignment="1">
      <alignment horizontal="center"/>
    </xf>
    <xf numFmtId="0" fontId="34" fillId="10" borderId="0" xfId="0" applyFont="1" applyFill="1"/>
    <xf numFmtId="0" fontId="0" fillId="0" borderId="0" xfId="0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9" fmlaLink="$Y$63" horiz="1" inc="5" max="120" min="80" page="10" val="100"/>
</file>

<file path=xl/ctrlProps/ctrlProp10.xml><?xml version="1.0" encoding="utf-8"?>
<formControlPr xmlns="http://schemas.microsoft.com/office/spreadsheetml/2009/9/main" objectType="Scroll" dx="39" fmlaLink="$Y$72" horiz="1" inc="5" max="120" min="80" page="10" val="100"/>
</file>

<file path=xl/ctrlProps/ctrlProp11.xml><?xml version="1.0" encoding="utf-8"?>
<formControlPr xmlns="http://schemas.microsoft.com/office/spreadsheetml/2009/9/main" objectType="Scroll" dx="39" fmlaLink="$Y$73" horiz="1" inc="5" max="120" min="80" page="10" val="85"/>
</file>

<file path=xl/ctrlProps/ctrlProp2.xml><?xml version="1.0" encoding="utf-8"?>
<formControlPr xmlns="http://schemas.microsoft.com/office/spreadsheetml/2009/9/main" objectType="Scroll" dx="39" fmlaLink="$Y$64" horiz="1" inc="5" max="120" min="80" page="10" val="100"/>
</file>

<file path=xl/ctrlProps/ctrlProp3.xml><?xml version="1.0" encoding="utf-8"?>
<formControlPr xmlns="http://schemas.microsoft.com/office/spreadsheetml/2009/9/main" objectType="Scroll" dx="39" fmlaLink="$Y$65" horiz="1" inc="5" max="120" min="80" page="10" val="100"/>
</file>

<file path=xl/ctrlProps/ctrlProp4.xml><?xml version="1.0" encoding="utf-8"?>
<formControlPr xmlns="http://schemas.microsoft.com/office/spreadsheetml/2009/9/main" objectType="Scroll" dx="39" fmlaLink="$Y$66" horiz="1" inc="5" max="120" min="80" page="10" val="100"/>
</file>

<file path=xl/ctrlProps/ctrlProp5.xml><?xml version="1.0" encoding="utf-8"?>
<formControlPr xmlns="http://schemas.microsoft.com/office/spreadsheetml/2009/9/main" objectType="Scroll" dx="39" fmlaLink="$Y$67" horiz="1" inc="5" max="120" min="80" page="10" val="100"/>
</file>

<file path=xl/ctrlProps/ctrlProp6.xml><?xml version="1.0" encoding="utf-8"?>
<formControlPr xmlns="http://schemas.microsoft.com/office/spreadsheetml/2009/9/main" objectType="Scroll" dx="39" fmlaLink="$Y$68" horiz="1" inc="5" max="120" min="80" page="10" val="100"/>
</file>

<file path=xl/ctrlProps/ctrlProp7.xml><?xml version="1.0" encoding="utf-8"?>
<formControlPr xmlns="http://schemas.microsoft.com/office/spreadsheetml/2009/9/main" objectType="Scroll" dx="39" fmlaLink="$Y$69" horiz="1" inc="5" max="120" min="80" page="10" val="100"/>
</file>

<file path=xl/ctrlProps/ctrlProp8.xml><?xml version="1.0" encoding="utf-8"?>
<formControlPr xmlns="http://schemas.microsoft.com/office/spreadsheetml/2009/9/main" objectType="Scroll" dx="39" fmlaLink="$Y$70" horiz="1" inc="5" max="120" min="80" page="10" val="100"/>
</file>

<file path=xl/ctrlProps/ctrlProp9.xml><?xml version="1.0" encoding="utf-8"?>
<formControlPr xmlns="http://schemas.microsoft.com/office/spreadsheetml/2009/9/main" objectType="Scroll" dx="39" fmlaLink="$Y$71" horiz="1" inc="5" max="120" min="80" page="10" val="1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62</xdr:row>
          <xdr:rowOff>9525</xdr:rowOff>
        </xdr:from>
        <xdr:to>
          <xdr:col>25</xdr:col>
          <xdr:colOff>1000125</xdr:colOff>
          <xdr:row>62</xdr:row>
          <xdr:rowOff>371475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63</xdr:row>
          <xdr:rowOff>9525</xdr:rowOff>
        </xdr:from>
        <xdr:to>
          <xdr:col>25</xdr:col>
          <xdr:colOff>1000125</xdr:colOff>
          <xdr:row>63</xdr:row>
          <xdr:rowOff>371475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64</xdr:row>
          <xdr:rowOff>9525</xdr:rowOff>
        </xdr:from>
        <xdr:to>
          <xdr:col>25</xdr:col>
          <xdr:colOff>995363</xdr:colOff>
          <xdr:row>64</xdr:row>
          <xdr:rowOff>366713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65</xdr:row>
          <xdr:rowOff>9525</xdr:rowOff>
        </xdr:from>
        <xdr:to>
          <xdr:col>25</xdr:col>
          <xdr:colOff>995363</xdr:colOff>
          <xdr:row>65</xdr:row>
          <xdr:rowOff>366713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66</xdr:row>
          <xdr:rowOff>9525</xdr:rowOff>
        </xdr:from>
        <xdr:to>
          <xdr:col>25</xdr:col>
          <xdr:colOff>995363</xdr:colOff>
          <xdr:row>66</xdr:row>
          <xdr:rowOff>366713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67</xdr:row>
          <xdr:rowOff>9525</xdr:rowOff>
        </xdr:from>
        <xdr:to>
          <xdr:col>25</xdr:col>
          <xdr:colOff>995363</xdr:colOff>
          <xdr:row>67</xdr:row>
          <xdr:rowOff>366713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68</xdr:row>
          <xdr:rowOff>9525</xdr:rowOff>
        </xdr:from>
        <xdr:to>
          <xdr:col>25</xdr:col>
          <xdr:colOff>995363</xdr:colOff>
          <xdr:row>69</xdr:row>
          <xdr:rowOff>0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69</xdr:row>
          <xdr:rowOff>9525</xdr:rowOff>
        </xdr:from>
        <xdr:to>
          <xdr:col>25</xdr:col>
          <xdr:colOff>995363</xdr:colOff>
          <xdr:row>70</xdr:row>
          <xdr:rowOff>9525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</xdr:colOff>
          <xdr:row>70</xdr:row>
          <xdr:rowOff>9525</xdr:rowOff>
        </xdr:from>
        <xdr:to>
          <xdr:col>25</xdr:col>
          <xdr:colOff>995363</xdr:colOff>
          <xdr:row>70</xdr:row>
          <xdr:rowOff>366713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14288</xdr:colOff>
          <xdr:row>71</xdr:row>
          <xdr:rowOff>4763</xdr:rowOff>
        </xdr:from>
        <xdr:to>
          <xdr:col>26</xdr:col>
          <xdr:colOff>19050</xdr:colOff>
          <xdr:row>71</xdr:row>
          <xdr:rowOff>319088</xdr:rowOff>
        </xdr:to>
        <xdr:sp macro="" textlink="">
          <xdr:nvSpPr>
            <xdr:cNvPr id="1036" name="Scroll Ba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28575</xdr:colOff>
          <xdr:row>72</xdr:row>
          <xdr:rowOff>33338</xdr:rowOff>
        </xdr:from>
        <xdr:to>
          <xdr:col>25</xdr:col>
          <xdr:colOff>985838</xdr:colOff>
          <xdr:row>72</xdr:row>
          <xdr:rowOff>195263</xdr:rowOff>
        </xdr:to>
        <xdr:sp macro="" textlink="">
          <xdr:nvSpPr>
            <xdr:cNvPr id="1037" name="Scroll Ba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93"/>
  <sheetViews>
    <sheetView tabSelected="1" topLeftCell="A50" zoomScale="55" zoomScaleNormal="55" workbookViewId="0">
      <selection activeCell="A67" sqref="A67"/>
    </sheetView>
  </sheetViews>
  <sheetFormatPr defaultColWidth="12.46875" defaultRowHeight="15" x14ac:dyDescent="0.4"/>
  <cols>
    <col min="1" max="1" width="69" customWidth="1"/>
    <col min="2" max="2" width="34.64453125" style="1" customWidth="1"/>
    <col min="3" max="3" width="29.87890625" customWidth="1"/>
    <col min="4" max="18" width="20.64453125" customWidth="1"/>
    <col min="24" max="24" width="16.05859375" customWidth="1"/>
    <col min="25" max="25" width="12.5859375" bestFit="1" customWidth="1"/>
    <col min="26" max="26" width="12.46875" customWidth="1"/>
    <col min="27" max="27" width="13.5859375" bestFit="1" customWidth="1"/>
    <col min="28" max="28" width="12.52734375" bestFit="1" customWidth="1"/>
    <col min="29" max="29" width="12.87890625" bestFit="1" customWidth="1"/>
    <col min="30" max="30" width="16.703125" bestFit="1" customWidth="1"/>
    <col min="31" max="33" width="12.87890625" bestFit="1" customWidth="1"/>
    <col min="34" max="34" width="16.5859375" customWidth="1"/>
    <col min="36" max="36" width="16.05859375" customWidth="1"/>
    <col min="46" max="46" width="16.87890625" customWidth="1"/>
  </cols>
  <sheetData>
    <row r="1" spans="1:23" ht="22.5" x14ac:dyDescent="0.6">
      <c r="A1" s="2" t="s">
        <v>4</v>
      </c>
    </row>
    <row r="2" spans="1:23" ht="22.5" x14ac:dyDescent="0.6">
      <c r="A2" s="3"/>
    </row>
    <row r="3" spans="1:23" ht="17.649999999999999" x14ac:dyDescent="0.5">
      <c r="A3" s="4" t="s">
        <v>5</v>
      </c>
      <c r="B3" s="5"/>
      <c r="C3" s="6"/>
      <c r="S3" s="44"/>
      <c r="T3" s="44"/>
      <c r="U3" s="44"/>
      <c r="V3" s="44"/>
      <c r="W3" s="44"/>
    </row>
    <row r="4" spans="1:23" ht="17.649999999999999" x14ac:dyDescent="0.5">
      <c r="A4" s="7" t="s">
        <v>6</v>
      </c>
      <c r="B4" s="8" t="s">
        <v>7</v>
      </c>
      <c r="C4" s="9">
        <v>0</v>
      </c>
      <c r="D4" s="9">
        <v>1</v>
      </c>
      <c r="E4" s="9">
        <v>2</v>
      </c>
      <c r="F4" s="9">
        <v>3</v>
      </c>
      <c r="G4" s="9">
        <v>4</v>
      </c>
      <c r="H4" s="9">
        <v>5</v>
      </c>
      <c r="I4" s="9">
        <v>6</v>
      </c>
      <c r="J4" s="9">
        <v>7</v>
      </c>
      <c r="K4" s="9">
        <v>8</v>
      </c>
      <c r="L4" s="9">
        <v>9</v>
      </c>
      <c r="M4" s="9">
        <v>10</v>
      </c>
      <c r="N4" s="9">
        <v>11</v>
      </c>
      <c r="O4" s="9">
        <v>12</v>
      </c>
      <c r="P4" s="9">
        <v>13</v>
      </c>
      <c r="Q4" s="9">
        <v>14</v>
      </c>
      <c r="R4" s="52">
        <v>15</v>
      </c>
      <c r="S4" s="44"/>
      <c r="T4" s="44"/>
      <c r="U4" s="44"/>
      <c r="V4" s="44"/>
      <c r="W4" s="44"/>
    </row>
    <row r="5" spans="1:23" ht="17.649999999999999" x14ac:dyDescent="0.4">
      <c r="A5" s="10" t="s">
        <v>8</v>
      </c>
      <c r="C5" s="11"/>
      <c r="D5" s="9"/>
      <c r="O5" s="47"/>
      <c r="P5" s="47"/>
      <c r="Q5" s="53"/>
      <c r="R5" s="52"/>
      <c r="S5" s="44"/>
      <c r="T5" s="44"/>
      <c r="U5" s="44"/>
      <c r="V5" s="44"/>
      <c r="W5" s="44"/>
    </row>
    <row r="6" spans="1:23" ht="17" customHeight="1" x14ac:dyDescent="0.4">
      <c r="A6" s="12" t="s">
        <v>9</v>
      </c>
      <c r="C6" s="11">
        <v>0</v>
      </c>
      <c r="D6" s="13">
        <f>D53*1.4</f>
        <v>31751999.999999996</v>
      </c>
      <c r="E6" s="13">
        <f>E53*1.4</f>
        <v>45374000</v>
      </c>
      <c r="F6" s="13">
        <f t="shared" ref="F6:K6" si="0">F53*1.4</f>
        <v>64819999.999999993</v>
      </c>
      <c r="G6" s="13">
        <f t="shared" si="0"/>
        <v>97580000</v>
      </c>
      <c r="H6" s="13">
        <f t="shared" si="0"/>
        <v>128099999.99999999</v>
      </c>
      <c r="I6" s="13">
        <f t="shared" si="0"/>
        <v>166530000</v>
      </c>
      <c r="J6" s="13">
        <f t="shared" si="0"/>
        <v>216482000</v>
      </c>
      <c r="K6" s="13">
        <f t="shared" si="0"/>
        <v>222978000</v>
      </c>
      <c r="L6" s="13">
        <f t="shared" ref="L6:R6" si="1">L53*1.4</f>
        <v>229670000</v>
      </c>
      <c r="M6" s="13">
        <f t="shared" si="1"/>
        <v>236557999.99999997</v>
      </c>
      <c r="N6" s="13">
        <f t="shared" si="1"/>
        <v>243655999.99999997</v>
      </c>
      <c r="O6" s="13">
        <f t="shared" si="1"/>
        <v>250963999.99999997</v>
      </c>
      <c r="P6" s="13">
        <f t="shared" si="1"/>
        <v>258495999.99999997</v>
      </c>
      <c r="Q6" s="13">
        <f t="shared" si="1"/>
        <v>266251999.99999997</v>
      </c>
      <c r="R6" s="54">
        <f t="shared" si="1"/>
        <v>274232000</v>
      </c>
      <c r="S6" s="44"/>
      <c r="T6" s="44"/>
      <c r="U6" s="44"/>
      <c r="V6" s="44"/>
      <c r="W6" s="44"/>
    </row>
    <row r="7" spans="1:23" ht="17.649999999999999" x14ac:dyDescent="0.4">
      <c r="A7" s="12" t="s">
        <v>10</v>
      </c>
      <c r="B7" s="14" t="s">
        <v>11</v>
      </c>
      <c r="C7" s="11">
        <f t="shared" ref="C7:G7" si="2">-C6*0.5</f>
        <v>0</v>
      </c>
      <c r="D7" s="11">
        <f t="shared" si="2"/>
        <v>-15875999.999999998</v>
      </c>
      <c r="E7" s="11">
        <f t="shared" si="2"/>
        <v>-22687000</v>
      </c>
      <c r="F7" s="11">
        <f t="shared" si="2"/>
        <v>-32409999.999999996</v>
      </c>
      <c r="G7" s="11">
        <f t="shared" si="2"/>
        <v>-48790000</v>
      </c>
      <c r="H7" s="11">
        <v>-51900000</v>
      </c>
      <c r="I7" s="11">
        <v>-45685000</v>
      </c>
      <c r="J7" s="11">
        <v>-37189000</v>
      </c>
      <c r="K7" s="11">
        <v>-39781000</v>
      </c>
      <c r="L7" s="11">
        <v>-46215000</v>
      </c>
      <c r="M7" s="11">
        <v>-50691000</v>
      </c>
      <c r="N7" s="11">
        <v>-52212000</v>
      </c>
      <c r="O7" s="11">
        <f>-O6*0.25</f>
        <v>-62740999.999999993</v>
      </c>
      <c r="P7" s="11">
        <v>-55392000</v>
      </c>
      <c r="Q7" s="11">
        <v>-57054000</v>
      </c>
      <c r="R7" s="55">
        <v>-58767000</v>
      </c>
      <c r="S7" s="44"/>
      <c r="T7" s="44"/>
      <c r="U7" s="44"/>
      <c r="V7" s="44"/>
      <c r="W7" s="44"/>
    </row>
    <row r="8" spans="1:23" ht="17.649999999999999" x14ac:dyDescent="0.4">
      <c r="A8" s="12" t="s">
        <v>12</v>
      </c>
      <c r="B8" s="15"/>
      <c r="C8" s="11">
        <v>0</v>
      </c>
      <c r="D8" s="11">
        <f>D55*1.2*1.0296</f>
        <v>-4327654.9155840008</v>
      </c>
      <c r="E8" s="11">
        <f t="shared" ref="E8:R8" si="3">E55*1.2*1.0296</f>
        <v>-6184272.3022080008</v>
      </c>
      <c r="F8" s="11">
        <f t="shared" si="3"/>
        <v>-8834674.7174400017</v>
      </c>
      <c r="G8" s="11">
        <f t="shared" si="3"/>
        <v>-13299715.503360001</v>
      </c>
      <c r="H8" s="11">
        <f t="shared" si="3"/>
        <v>-17459454.3552</v>
      </c>
      <c r="I8" s="11">
        <f t="shared" si="3"/>
        <v>-22697290.661759999</v>
      </c>
      <c r="J8" s="11">
        <f t="shared" si="3"/>
        <v>-29505523.791744005</v>
      </c>
      <c r="K8" s="11">
        <f t="shared" si="3"/>
        <v>-30390899.400575999</v>
      </c>
      <c r="L8" s="11">
        <f t="shared" si="3"/>
        <v>-31302988.928640001</v>
      </c>
      <c r="M8" s="11">
        <f t="shared" si="3"/>
        <v>-32241792.375936002</v>
      </c>
      <c r="N8" s="11">
        <f t="shared" si="3"/>
        <v>-33209217.879552003</v>
      </c>
      <c r="O8" s="11">
        <f t="shared" si="3"/>
        <v>-34205265.439488001</v>
      </c>
      <c r="P8" s="11">
        <f t="shared" si="3"/>
        <v>-35231843.192832001</v>
      </c>
      <c r="Q8" s="11">
        <f t="shared" si="3"/>
        <v>-36288951.139584005</v>
      </c>
      <c r="R8" s="11">
        <f t="shared" si="3"/>
        <v>-37376589.279744007</v>
      </c>
      <c r="S8" s="44"/>
      <c r="T8" s="44"/>
      <c r="U8" s="44"/>
      <c r="V8" s="44"/>
      <c r="W8" s="44"/>
    </row>
    <row r="9" spans="1:23" ht="17.649999999999999" x14ac:dyDescent="0.4">
      <c r="A9" s="77" t="s">
        <v>13</v>
      </c>
      <c r="B9" s="16" t="s">
        <v>14</v>
      </c>
      <c r="C9" s="11">
        <f t="shared" ref="C9:R9" si="4">C8*0.04</f>
        <v>0</v>
      </c>
      <c r="D9" s="11">
        <f t="shared" si="4"/>
        <v>-173106.19662336004</v>
      </c>
      <c r="E9" s="11">
        <f t="shared" si="4"/>
        <v>-247370.89208832005</v>
      </c>
      <c r="F9" s="11">
        <f t="shared" si="4"/>
        <v>-353386.98869760009</v>
      </c>
      <c r="G9" s="11">
        <f t="shared" si="4"/>
        <v>-531988.62013440009</v>
      </c>
      <c r="H9" s="11">
        <f t="shared" si="4"/>
        <v>-698378.17420800007</v>
      </c>
      <c r="I9" s="11">
        <f t="shared" si="4"/>
        <v>-907891.62647040002</v>
      </c>
      <c r="J9" s="11">
        <f t="shared" si="4"/>
        <v>-1180220.9516697603</v>
      </c>
      <c r="K9" s="11">
        <f t="shared" si="4"/>
        <v>-1215635.97602304</v>
      </c>
      <c r="L9" s="11">
        <f t="shared" si="4"/>
        <v>-1252119.5571456</v>
      </c>
      <c r="M9" s="11">
        <f t="shared" si="4"/>
        <v>-1289671.6950374402</v>
      </c>
      <c r="N9" s="11">
        <f t="shared" si="4"/>
        <v>-1328368.7151820802</v>
      </c>
      <c r="O9" s="11">
        <f t="shared" si="4"/>
        <v>-1368210.61757952</v>
      </c>
      <c r="P9" s="11">
        <f t="shared" si="4"/>
        <v>-1409273.7277132801</v>
      </c>
      <c r="Q9" s="11">
        <f t="shared" si="4"/>
        <v>-1451558.0455833601</v>
      </c>
      <c r="R9" s="55">
        <f t="shared" si="4"/>
        <v>-1495063.5711897602</v>
      </c>
      <c r="S9" s="44"/>
      <c r="T9" s="44"/>
      <c r="U9" s="44"/>
      <c r="V9" s="44"/>
      <c r="W9" s="44"/>
    </row>
    <row r="10" spans="1:23" ht="26" customHeight="1" x14ac:dyDescent="0.4">
      <c r="A10" s="17" t="s">
        <v>15</v>
      </c>
      <c r="B10" s="15"/>
      <c r="C10" s="11">
        <v>0</v>
      </c>
      <c r="D10" s="11">
        <f t="shared" ref="D10:R10" si="5">SUM(D6:D9)</f>
        <v>11375238.887792638</v>
      </c>
      <c r="E10" s="11">
        <f t="shared" si="5"/>
        <v>16255356.805703679</v>
      </c>
      <c r="F10" s="11">
        <f t="shared" si="5"/>
        <v>23221938.293862395</v>
      </c>
      <c r="G10" s="11">
        <f t="shared" si="5"/>
        <v>34958295.876505598</v>
      </c>
      <c r="H10" s="11">
        <f t="shared" si="5"/>
        <v>58042167.470591985</v>
      </c>
      <c r="I10" s="11">
        <f t="shared" si="5"/>
        <v>97239817.711769596</v>
      </c>
      <c r="J10" s="11">
        <f t="shared" si="5"/>
        <v>148607255.25658625</v>
      </c>
      <c r="K10" s="11">
        <f t="shared" si="5"/>
        <v>151590464.62340096</v>
      </c>
      <c r="L10" s="11">
        <f t="shared" si="5"/>
        <v>150899891.5142144</v>
      </c>
      <c r="M10" s="11">
        <f t="shared" si="5"/>
        <v>152335535.92902651</v>
      </c>
      <c r="N10" s="11">
        <f t="shared" si="5"/>
        <v>156906413.4052659</v>
      </c>
      <c r="O10" s="11">
        <f t="shared" si="5"/>
        <v>152649523.94293246</v>
      </c>
      <c r="P10" s="11">
        <f t="shared" si="5"/>
        <v>166462883.07945469</v>
      </c>
      <c r="Q10" s="11">
        <f t="shared" si="5"/>
        <v>171457490.8148326</v>
      </c>
      <c r="R10" s="55">
        <f t="shared" si="5"/>
        <v>176593347.14906624</v>
      </c>
    </row>
    <row r="11" spans="1:23" ht="17.649999999999999" x14ac:dyDescent="0.4">
      <c r="A11" s="78" t="s">
        <v>16</v>
      </c>
      <c r="B11" s="18"/>
      <c r="C11" s="11">
        <v>0</v>
      </c>
      <c r="D11" s="11">
        <f t="shared" ref="D11:R11" si="6">-D10*0.3</f>
        <v>-3412571.6663377914</v>
      </c>
      <c r="E11" s="11">
        <f t="shared" si="6"/>
        <v>-4876607.0417111032</v>
      </c>
      <c r="F11" s="11">
        <f t="shared" si="6"/>
        <v>-6966581.4881587187</v>
      </c>
      <c r="G11" s="11">
        <f t="shared" si="6"/>
        <v>-10487488.76295168</v>
      </c>
      <c r="H11" s="11">
        <f t="shared" si="6"/>
        <v>-17412650.241177596</v>
      </c>
      <c r="I11" s="11">
        <f t="shared" si="6"/>
        <v>-29171945.313530877</v>
      </c>
      <c r="J11" s="11">
        <f t="shared" si="6"/>
        <v>-44582176.576975875</v>
      </c>
      <c r="K11" s="11">
        <f t="shared" si="6"/>
        <v>-45477139.387020282</v>
      </c>
      <c r="L11" s="11">
        <f t="shared" si="6"/>
        <v>-45269967.45426432</v>
      </c>
      <c r="M11" s="11">
        <f t="shared" si="6"/>
        <v>-45700660.778707951</v>
      </c>
      <c r="N11" s="11">
        <f t="shared" si="6"/>
        <v>-47071924.021579765</v>
      </c>
      <c r="O11" s="11">
        <f t="shared" si="6"/>
        <v>-45794857.182879739</v>
      </c>
      <c r="P11" s="11">
        <f t="shared" si="6"/>
        <v>-49938864.923836403</v>
      </c>
      <c r="Q11" s="11">
        <f t="shared" si="6"/>
        <v>-51437247.244449779</v>
      </c>
      <c r="R11" s="55">
        <f t="shared" si="6"/>
        <v>-52978004.144719869</v>
      </c>
    </row>
    <row r="12" spans="1:23" ht="17.649999999999999" x14ac:dyDescent="0.4">
      <c r="A12" s="19" t="s">
        <v>0</v>
      </c>
      <c r="B12" s="15"/>
      <c r="C12" s="11">
        <f>C10-C11</f>
        <v>0</v>
      </c>
      <c r="D12" s="11">
        <f t="shared" ref="D12:R12" si="7">D10+D11</f>
        <v>7962667.2214548457</v>
      </c>
      <c r="E12" s="11">
        <f t="shared" si="7"/>
        <v>11378749.763992576</v>
      </c>
      <c r="F12" s="11">
        <f t="shared" si="7"/>
        <v>16255356.805703677</v>
      </c>
      <c r="G12" s="11">
        <f t="shared" si="7"/>
        <v>24470807.113553919</v>
      </c>
      <c r="H12" s="11">
        <f t="shared" si="7"/>
        <v>40629517.229414389</v>
      </c>
      <c r="I12" s="11">
        <f t="shared" si="7"/>
        <v>68067872.398238719</v>
      </c>
      <c r="J12" s="11">
        <f t="shared" si="7"/>
        <v>104025078.67961037</v>
      </c>
      <c r="K12" s="11">
        <f t="shared" si="7"/>
        <v>106113325.23638067</v>
      </c>
      <c r="L12" s="11">
        <f t="shared" si="7"/>
        <v>105629924.05995008</v>
      </c>
      <c r="M12" s="11">
        <f t="shared" si="7"/>
        <v>106634875.15031856</v>
      </c>
      <c r="N12" s="11">
        <f t="shared" si="7"/>
        <v>109834489.38368613</v>
      </c>
      <c r="O12" s="11">
        <f t="shared" si="7"/>
        <v>106854666.76005271</v>
      </c>
      <c r="P12" s="11">
        <f t="shared" si="7"/>
        <v>116524018.15561828</v>
      </c>
      <c r="Q12" s="11">
        <f t="shared" si="7"/>
        <v>120020243.57038282</v>
      </c>
      <c r="R12" s="55">
        <f t="shared" si="7"/>
        <v>123615343.00434637</v>
      </c>
    </row>
    <row r="13" spans="1:23" ht="17.649999999999999" x14ac:dyDescent="0.4">
      <c r="A13" s="20" t="s">
        <v>17</v>
      </c>
      <c r="B13" s="15"/>
      <c r="C13" s="11"/>
      <c r="D13" s="11"/>
      <c r="E13" s="21"/>
      <c r="F13" s="22"/>
      <c r="G13" s="22"/>
      <c r="H13" s="22"/>
      <c r="I13" s="22"/>
      <c r="J13" s="22"/>
      <c r="K13" s="22"/>
      <c r="L13" s="22"/>
      <c r="M13" s="48"/>
      <c r="N13" s="11"/>
      <c r="O13" s="22"/>
      <c r="P13" s="22"/>
      <c r="Q13" s="48"/>
      <c r="R13" s="55"/>
    </row>
    <row r="14" spans="1:23" ht="17.649999999999999" x14ac:dyDescent="0.4">
      <c r="A14" s="10" t="s">
        <v>18</v>
      </c>
      <c r="B14" s="15"/>
      <c r="C14" s="11"/>
      <c r="D14" s="11"/>
      <c r="E14" s="21"/>
      <c r="F14" s="22"/>
      <c r="G14" s="22"/>
      <c r="H14" s="22"/>
      <c r="I14" s="22"/>
      <c r="J14" s="22"/>
      <c r="K14" s="22"/>
      <c r="L14" s="22"/>
      <c r="M14" s="48"/>
      <c r="N14" s="11"/>
      <c r="O14" s="22"/>
      <c r="P14" s="22"/>
      <c r="Q14" s="48"/>
      <c r="R14" s="55"/>
    </row>
    <row r="15" spans="1:23" ht="18" thickBot="1" x14ac:dyDescent="0.45">
      <c r="A15" s="12" t="s">
        <v>19</v>
      </c>
      <c r="B15" s="15"/>
      <c r="C15" s="11">
        <v>0</v>
      </c>
      <c r="D15" s="11">
        <f>D12*Y63/Y62</f>
        <v>7962667.2214548457</v>
      </c>
      <c r="E15" s="11">
        <f>E12*Y63/Y62</f>
        <v>11378749.763992576</v>
      </c>
      <c r="F15" s="11">
        <f>F12*Y63/Y62</f>
        <v>16255356.805703677</v>
      </c>
      <c r="G15" s="11">
        <f>G12*Y63/Y62</f>
        <v>24470807.113553919</v>
      </c>
      <c r="H15" s="11">
        <f>H12*Y63/Y62</f>
        <v>40629517.229414389</v>
      </c>
      <c r="I15" s="11">
        <f>I12*Y63/Y62</f>
        <v>68067872.398238719</v>
      </c>
      <c r="J15" s="11">
        <f>J12*Y63/Y62</f>
        <v>104025078.67961037</v>
      </c>
      <c r="K15" s="11">
        <f>K12*Y63/Y62</f>
        <v>106113325.23638067</v>
      </c>
      <c r="L15" s="11">
        <f>L12*Y63/Y62</f>
        <v>105629924.05995008</v>
      </c>
      <c r="M15" s="11">
        <f>M12*Y63/Y62</f>
        <v>106634875.15031856</v>
      </c>
      <c r="N15" s="11">
        <f>N12*Y63/Y62</f>
        <v>109834489.38368613</v>
      </c>
      <c r="O15" s="11">
        <f>O12*Y63/Y62</f>
        <v>106854666.76005273</v>
      </c>
      <c r="P15" s="11">
        <f>P12*Y63/Y62</f>
        <v>116524018.15561828</v>
      </c>
      <c r="Q15" s="11">
        <f>Q12*Y63/Y62</f>
        <v>120020243.57038282</v>
      </c>
      <c r="R15" s="55">
        <f>R12*Y63/Y62</f>
        <v>123615343.00434637</v>
      </c>
    </row>
    <row r="16" spans="1:23" ht="30.4" thickBot="1" x14ac:dyDescent="0.45">
      <c r="A16" s="12" t="s">
        <v>20</v>
      </c>
      <c r="B16" s="16" t="s">
        <v>21</v>
      </c>
      <c r="C16" s="11">
        <f t="shared" ref="C16" si="8">C6*0.1</f>
        <v>0</v>
      </c>
      <c r="D16" s="11">
        <f>D6*0.1*Y64/Y62</f>
        <v>3175200</v>
      </c>
      <c r="E16" s="11">
        <f>E6*0.1*Y64/Y62</f>
        <v>4537400</v>
      </c>
      <c r="F16" s="11">
        <f>F6*0.1*Y64/Y62</f>
        <v>6482000</v>
      </c>
      <c r="G16" s="11">
        <f>G6*0.1*Y64/Y62</f>
        <v>9758000</v>
      </c>
      <c r="H16" s="11">
        <f>H6*0.03*Y64/Y62</f>
        <v>3842999.9999999995</v>
      </c>
      <c r="I16" s="11">
        <f>I6*0.03*Y64/Y62</f>
        <v>4995900</v>
      </c>
      <c r="J16" s="11">
        <f>J6*0.03*Y64/Y62</f>
        <v>6494460</v>
      </c>
      <c r="K16" s="11">
        <f>K6*0.03*Y64/Y62</f>
        <v>6689340</v>
      </c>
      <c r="L16" s="11">
        <f>L6*0.03*Y64/Y62</f>
        <v>6890100</v>
      </c>
      <c r="M16" s="11">
        <f>M6*0.03*Y64/Y62</f>
        <v>7096739.9999999991</v>
      </c>
      <c r="N16" s="11">
        <f>N6*0.03*Y64/Y62</f>
        <v>7309679.9999999991</v>
      </c>
      <c r="O16" s="11">
        <f>O6*0.03*Y64/Y62</f>
        <v>7528919.9999999991</v>
      </c>
      <c r="P16" s="11">
        <f>P6*0.03*Y64/Y62</f>
        <v>7754879.9999999991</v>
      </c>
      <c r="Q16" s="11">
        <f>Q6*0.03*Y64/Y62</f>
        <v>7987559.9999999991</v>
      </c>
      <c r="R16" s="55">
        <f>R6*0.03*Y64/Y62</f>
        <v>8226960</v>
      </c>
      <c r="S16" s="44"/>
    </row>
    <row r="17" spans="1:19" ht="30.4" thickBot="1" x14ac:dyDescent="0.45">
      <c r="A17" s="12" t="s">
        <v>22</v>
      </c>
      <c r="B17" s="16" t="s">
        <v>23</v>
      </c>
      <c r="C17" s="11">
        <v>0</v>
      </c>
      <c r="D17" s="11">
        <f>D64*0.8*Y65/Y62</f>
        <v>20091200</v>
      </c>
      <c r="E17" s="11">
        <f>E64*0.8*Y65/Y62</f>
        <v>22324000</v>
      </c>
      <c r="F17" s="11">
        <f>F64*0.9*Y65/Y62</f>
        <v>27904500</v>
      </c>
      <c r="G17" s="11">
        <f>G64*0.9*Y65/Y62</f>
        <v>31005900</v>
      </c>
      <c r="H17" s="11">
        <f>H64*1.4*Y65/Y62</f>
        <v>53023600</v>
      </c>
      <c r="I17" s="11">
        <f>I64*1.4*Y65/Y62</f>
        <v>58325400</v>
      </c>
      <c r="J17" s="11">
        <f>J64*1.4*Y65/Y62</f>
        <v>64157799.999999993</v>
      </c>
      <c r="K17" s="11">
        <f>K64*1.4*Y65/Y62</f>
        <v>67365200</v>
      </c>
      <c r="L17" s="11">
        <f>L64*1.4*Y65/Y62</f>
        <v>70733600</v>
      </c>
      <c r="M17" s="11">
        <f>M64*1.4*Y65/Y62</f>
        <v>74270000</v>
      </c>
      <c r="N17" s="11">
        <f>N64*1.4*Y65/Y62</f>
        <v>77982800</v>
      </c>
      <c r="O17" s="11">
        <f>O64*1.4*Y65/Y62</f>
        <v>81881800</v>
      </c>
      <c r="P17" s="11">
        <f>P64*1.4*Y65/Y62</f>
        <v>85976800</v>
      </c>
      <c r="Q17" s="11">
        <f>Q64*1.4*Y65/Y62</f>
        <v>90274800</v>
      </c>
      <c r="R17" s="55">
        <f>R64*1.4*Y65/Y62</f>
        <v>94788400</v>
      </c>
      <c r="S17" s="44"/>
    </row>
    <row r="18" spans="1:19" ht="17.649999999999999" x14ac:dyDescent="0.4">
      <c r="A18" s="12" t="s">
        <v>24</v>
      </c>
      <c r="B18" s="15"/>
      <c r="C18" s="11">
        <f>C6*0.6</f>
        <v>0</v>
      </c>
      <c r="D18" s="11">
        <f>-D6*0.55*Y66/Y62</f>
        <v>-17463600</v>
      </c>
      <c r="E18" s="11">
        <f>-E6*0.55*Y66/Y62</f>
        <v>-24955700.000000004</v>
      </c>
      <c r="F18" s="11">
        <f>-F6*0.55*Y66/Y62</f>
        <v>-35651000</v>
      </c>
      <c r="G18" s="11">
        <f>-G6*0.55*Y66/Y62</f>
        <v>-53669000.000000007</v>
      </c>
      <c r="H18" s="11">
        <f>-H6*0.55*Y66/Y62</f>
        <v>-70455000</v>
      </c>
      <c r="I18" s="11">
        <f>-I6*0.55*Y66/Y62</f>
        <v>-91591500</v>
      </c>
      <c r="J18" s="11">
        <f>-J6*0.48*Y66/Y62</f>
        <v>-103911360</v>
      </c>
      <c r="K18" s="11">
        <f>-K6*0.55*Y66/Y62</f>
        <v>-122637900.00000001</v>
      </c>
      <c r="L18" s="11">
        <f>-L6*0.55*Y66/Y62</f>
        <v>-126318500.00000001</v>
      </c>
      <c r="M18" s="11">
        <f>-M6*0.55*Y66/Y62</f>
        <v>-130106900</v>
      </c>
      <c r="N18" s="11">
        <f>-N6*0.55*Y66/Y62</f>
        <v>-134010800</v>
      </c>
      <c r="O18" s="11">
        <f>-O6*0.55*Y66/Y62</f>
        <v>-138030200</v>
      </c>
      <c r="P18" s="11">
        <f>-P6*0.55*Y66/Y62</f>
        <v>-142172800</v>
      </c>
      <c r="Q18" s="11">
        <f>-Q6*0.55*Y66/Y62</f>
        <v>-146438600</v>
      </c>
      <c r="R18" s="55">
        <f>-R6*0.55*Y66/Y62</f>
        <v>-150827600</v>
      </c>
      <c r="S18" s="44"/>
    </row>
    <row r="19" spans="1:19" ht="17.649999999999999" x14ac:dyDescent="0.4">
      <c r="A19" s="12" t="s">
        <v>25</v>
      </c>
      <c r="B19" s="15"/>
      <c r="C19" s="11">
        <v>0</v>
      </c>
      <c r="D19" s="11">
        <f>D66*1.4*Y67/Y62</f>
        <v>-16368799.999999998</v>
      </c>
      <c r="E19" s="11">
        <f>E66*1.4*Y67/Y62</f>
        <v>-16505999.999999998</v>
      </c>
      <c r="F19" s="11">
        <f>F66*1.4*Y67/Y62</f>
        <v>-16594199.999999998</v>
      </c>
      <c r="G19" s="11">
        <f>G66*1.4*Y67/Y62</f>
        <v>-16661399.999999998</v>
      </c>
      <c r="H19" s="11">
        <f>H66*1.4*Y67/Y62</f>
        <v>-16762199.999999998</v>
      </c>
      <c r="I19" s="11">
        <f>I66*1.4*Y67/Y62</f>
        <v>-17211600</v>
      </c>
      <c r="J19" s="11">
        <f>J66*1.4*Y67/Y62</f>
        <v>-17383800</v>
      </c>
      <c r="K19" s="11">
        <f>K66*1.4*Y67/Y62</f>
        <v>-17557400</v>
      </c>
      <c r="L19" s="11">
        <f>L66*1.4*Y67/Y62</f>
        <v>-17733800</v>
      </c>
      <c r="M19" s="11">
        <f>M66*1.4*Y67/Y62</f>
        <v>-17910200</v>
      </c>
      <c r="N19" s="11">
        <f>N66*1.4*Y67/Y62</f>
        <v>-18089400</v>
      </c>
      <c r="O19" s="11">
        <f>O66*1.4*Y67/Y62</f>
        <v>-18271400</v>
      </c>
      <c r="P19" s="11">
        <f>P66*1.4*Y67/Y62</f>
        <v>-18453400</v>
      </c>
      <c r="Q19" s="11">
        <f>Q66*1.4*Y67/Y62</f>
        <v>-18638200</v>
      </c>
      <c r="R19" s="55">
        <f>R66*1.4*Y67/Y62</f>
        <v>-18824400</v>
      </c>
      <c r="S19" s="44"/>
    </row>
    <row r="20" spans="1:19" ht="17.649999999999999" x14ac:dyDescent="0.4">
      <c r="A20" s="12" t="s">
        <v>26</v>
      </c>
      <c r="B20" s="15"/>
      <c r="C20" s="11">
        <f t="shared" ref="C20" si="9">-C8</f>
        <v>0</v>
      </c>
      <c r="D20" s="11">
        <f>-D8*Y68/Y62</f>
        <v>4327654.9155840008</v>
      </c>
      <c r="E20" s="11">
        <f>-E8*Y68/Y62</f>
        <v>6184272.3022080008</v>
      </c>
      <c r="F20" s="11">
        <f>-F8*Y68/Y62</f>
        <v>8834674.7174400017</v>
      </c>
      <c r="G20" s="11">
        <f>-G8*Y68/Y62</f>
        <v>13299715.503360001</v>
      </c>
      <c r="H20" s="11">
        <f>-H8*Y68/Y62</f>
        <v>17459454.3552</v>
      </c>
      <c r="I20" s="11">
        <f>-I8*Y68/Y62</f>
        <v>22697290.661759995</v>
      </c>
      <c r="J20" s="11">
        <f>-J8*Y68/Y62</f>
        <v>29505523.791744005</v>
      </c>
      <c r="K20" s="11">
        <f>-K8*Y68/Y62</f>
        <v>30390899.400575999</v>
      </c>
      <c r="L20" s="11">
        <f>-L8*Y68/Y62</f>
        <v>31302988.928639997</v>
      </c>
      <c r="M20" s="11">
        <f>-M8*Y68/Y62</f>
        <v>32241792.375936002</v>
      </c>
      <c r="N20" s="11">
        <f>-N8*Y68/Y62</f>
        <v>33209217.879552003</v>
      </c>
      <c r="O20" s="11">
        <f>-O8*Y68/Y62</f>
        <v>34205265.439488001</v>
      </c>
      <c r="P20" s="11">
        <f>-P8*Y68/Y62</f>
        <v>35231843.192832001</v>
      </c>
      <c r="Q20" s="11">
        <f>-Q8*Y68/Y62</f>
        <v>36288951.139584005</v>
      </c>
      <c r="R20" s="55">
        <f>-R8*Y68/Y62</f>
        <v>37376589.279744007</v>
      </c>
      <c r="S20" s="44"/>
    </row>
    <row r="21" spans="1:19" ht="17.649999999999999" x14ac:dyDescent="0.4">
      <c r="A21" s="10" t="s">
        <v>27</v>
      </c>
      <c r="B21" s="15"/>
      <c r="C21" s="11"/>
      <c r="D21" s="11"/>
      <c r="E21" s="21"/>
      <c r="F21" s="22"/>
      <c r="G21" s="22"/>
      <c r="H21" s="22"/>
      <c r="I21" s="22"/>
      <c r="J21" s="22"/>
      <c r="K21" s="22"/>
      <c r="L21" s="22"/>
      <c r="M21" s="48"/>
      <c r="N21" s="11"/>
      <c r="O21" s="22"/>
      <c r="P21" s="22"/>
      <c r="Q21" s="48"/>
      <c r="R21" s="55"/>
      <c r="S21" s="44"/>
    </row>
    <row r="22" spans="1:19" ht="18" thickBot="1" x14ac:dyDescent="0.45">
      <c r="A22" s="12" t="s">
        <v>28</v>
      </c>
      <c r="B22" s="16" t="s">
        <v>29</v>
      </c>
      <c r="C22" s="11">
        <f>-11280000*Y69/Y62</f>
        <v>-11280000</v>
      </c>
      <c r="D22" s="11">
        <f>-12700000*Y69/Y62</f>
        <v>-12700000</v>
      </c>
      <c r="E22" s="21">
        <f>D22*1.07*Y69/Y62</f>
        <v>-13589000</v>
      </c>
      <c r="F22" s="21">
        <f>E22*1.07*Y69/Y62</f>
        <v>-14540230</v>
      </c>
      <c r="G22" s="21">
        <f>F22*1.055*Y69/Y62</f>
        <v>-15339942.649999999</v>
      </c>
      <c r="H22" s="21">
        <f>G22*1.055*Y69/Y62</f>
        <v>-16183639.495749999</v>
      </c>
      <c r="I22" s="21">
        <f>H22*1.055*Y69/Y62</f>
        <v>-17073739.668016247</v>
      </c>
      <c r="J22" s="21">
        <f>I22*1.055*Y69/Y62</f>
        <v>-18012795.349757139</v>
      </c>
      <c r="K22" s="21">
        <f>J22*1.07*Y69/Y62</f>
        <v>-19273691.02424014</v>
      </c>
      <c r="L22" s="21">
        <f>K22*1.07*Y69/Y62</f>
        <v>-20622849.395936951</v>
      </c>
      <c r="M22" s="21">
        <f>L22*1.07*Y69/Y62</f>
        <v>-22066448.853652541</v>
      </c>
      <c r="N22" s="21">
        <f>M22*1.07*Y69/Y62</f>
        <v>-23611100.273408219</v>
      </c>
      <c r="O22" s="21">
        <f>N22*1.07*Y69/Y62</f>
        <v>-25263877.292546798</v>
      </c>
      <c r="P22" s="21">
        <f>O22*1.07*Y69/Y62</f>
        <v>-27032348.70302508</v>
      </c>
      <c r="Q22" s="21">
        <f>P22*1.07*Y69/Y62</f>
        <v>-28924613.112236839</v>
      </c>
      <c r="R22" s="56">
        <f>Q22*1.07*Y69/Y62</f>
        <v>-30949336.03009342</v>
      </c>
    </row>
    <row r="23" spans="1:19" ht="18" thickBot="1" x14ac:dyDescent="0.45">
      <c r="A23" s="12" t="s">
        <v>30</v>
      </c>
      <c r="B23" s="23"/>
      <c r="C23" s="11">
        <v>0</v>
      </c>
      <c r="D23" s="11">
        <f>D70*1.3*Y70/Y62</f>
        <v>1333800</v>
      </c>
      <c r="E23" s="11">
        <f>E70*1.3*Y70/Y62</f>
        <v>1433900</v>
      </c>
      <c r="F23" s="11">
        <f>F70*1.3*Y70/Y62</f>
        <v>1541800</v>
      </c>
      <c r="G23" s="11">
        <f>G70*1.3*Y70/Y62</f>
        <v>1658800</v>
      </c>
      <c r="H23" s="11">
        <f>H70*1.3*Y70/Y62</f>
        <v>1352000</v>
      </c>
      <c r="I23" s="11">
        <f>I70*1.3*Y70/Y62</f>
        <v>1445600</v>
      </c>
      <c r="J23" s="11">
        <f>J70*1.3*Y70/Y62</f>
        <v>1547000</v>
      </c>
      <c r="K23" s="11">
        <f>K70*1.3*Y70/Y62</f>
        <v>1656200</v>
      </c>
      <c r="L23" s="11">
        <f>L70*1.3*Y70/Y62</f>
        <v>1771900</v>
      </c>
      <c r="M23" s="11">
        <f>M70*1.3*Y70/Y62</f>
        <v>1895400</v>
      </c>
      <c r="N23" s="11">
        <f>N70*1.3*Y70/Y62</f>
        <v>2028000</v>
      </c>
      <c r="O23" s="11">
        <f>O70*1.3*Y70/Y62</f>
        <v>2171000</v>
      </c>
      <c r="P23" s="11">
        <f>P70*1.3*Y70/Y62</f>
        <v>2321800</v>
      </c>
      <c r="Q23" s="11">
        <f>Q70*1.3*Y70/Y62</f>
        <v>2484300</v>
      </c>
      <c r="R23" s="55">
        <f>R70*1.3*Y70/Y62</f>
        <v>2658500</v>
      </c>
    </row>
    <row r="24" spans="1:19" ht="18" thickBot="1" x14ac:dyDescent="0.45">
      <c r="A24" s="12" t="s">
        <v>31</v>
      </c>
      <c r="B24" s="23"/>
      <c r="C24" s="11">
        <v>0</v>
      </c>
      <c r="D24" s="11">
        <f>D71*1.3*Y71/Y62</f>
        <v>-1300000</v>
      </c>
      <c r="E24" s="11">
        <f>E71*1.3*Y71/Y62</f>
        <v>-1313000</v>
      </c>
      <c r="F24" s="11">
        <f>F71*1.3*Y71/Y62</f>
        <v>-1326000</v>
      </c>
      <c r="G24" s="11">
        <f>G71*1.3*Y71/Y62</f>
        <v>-1339000</v>
      </c>
      <c r="H24" s="11">
        <f>H71*1.3*Y71/Y62</f>
        <v>-1352000</v>
      </c>
      <c r="I24" s="11">
        <f>I71*1.3*Y71/Y62</f>
        <v>-1365000</v>
      </c>
      <c r="J24" s="11">
        <f>J71*1.3*Y71/Y62</f>
        <v>-1378000</v>
      </c>
      <c r="K24" s="11">
        <f>K71*1.3*Y71/Y62</f>
        <v>-1391000</v>
      </c>
      <c r="L24" s="11">
        <f>L71*1.3*Y71/Y62</f>
        <v>-1404000</v>
      </c>
      <c r="M24" s="11">
        <f>M71*1.3*Y71/Y62</f>
        <v>-1417000</v>
      </c>
      <c r="N24" s="11">
        <f>N71*1.3*Y71/Y62</f>
        <v>-1430000</v>
      </c>
      <c r="O24" s="11">
        <f>O71*1.3*Y71/Y62</f>
        <v>-1443000</v>
      </c>
      <c r="P24" s="11">
        <f>P71*1.3*Y71/Y62</f>
        <v>-1456000</v>
      </c>
      <c r="Q24" s="11">
        <f>Q71*1.3*Y71/Y62</f>
        <v>-1469000</v>
      </c>
      <c r="R24" s="55">
        <f>R71*1.3*Y71/Y62</f>
        <v>-1482000</v>
      </c>
    </row>
    <row r="25" spans="1:19" ht="18" thickBot="1" x14ac:dyDescent="0.45">
      <c r="A25" s="24" t="s">
        <v>32</v>
      </c>
      <c r="B25" s="23"/>
      <c r="C25" s="11">
        <v>0</v>
      </c>
      <c r="D25" s="11">
        <v>1780000</v>
      </c>
      <c r="E25" s="21">
        <f t="shared" ref="E25:R25" si="10">D25*1.015</f>
        <v>1806699.9999999998</v>
      </c>
      <c r="F25" s="21">
        <f t="shared" si="10"/>
        <v>1833800.4999999995</v>
      </c>
      <c r="G25" s="21">
        <f t="shared" si="10"/>
        <v>1861307.5074999994</v>
      </c>
      <c r="H25" s="21">
        <f t="shared" si="10"/>
        <v>1889227.1201124992</v>
      </c>
      <c r="I25" s="21">
        <f t="shared" si="10"/>
        <v>1917565.5269141865</v>
      </c>
      <c r="J25" s="21">
        <f t="shared" si="10"/>
        <v>1946329.0098178992</v>
      </c>
      <c r="K25" s="21">
        <f t="shared" si="10"/>
        <v>1975523.9449651674</v>
      </c>
      <c r="L25" s="21">
        <f t="shared" si="10"/>
        <v>2005156.8041396448</v>
      </c>
      <c r="M25" s="21">
        <f t="shared" si="10"/>
        <v>2035234.1562017393</v>
      </c>
      <c r="N25" s="21">
        <f t="shared" si="10"/>
        <v>2065762.6685447653</v>
      </c>
      <c r="O25" s="21">
        <f t="shared" si="10"/>
        <v>2096749.1085729366</v>
      </c>
      <c r="P25" s="21">
        <f t="shared" si="10"/>
        <v>2128200.3452015305</v>
      </c>
      <c r="Q25" s="21">
        <f t="shared" si="10"/>
        <v>2160123.3503795532</v>
      </c>
      <c r="R25" s="56">
        <f t="shared" si="10"/>
        <v>2192525.2006352465</v>
      </c>
    </row>
    <row r="26" spans="1:19" ht="18" thickBot="1" x14ac:dyDescent="0.45">
      <c r="A26" s="24" t="s">
        <v>34</v>
      </c>
      <c r="B26" s="23"/>
      <c r="C26" s="11">
        <v>0</v>
      </c>
      <c r="D26" s="11">
        <v>-1000000</v>
      </c>
      <c r="E26" s="21">
        <f t="shared" ref="E26:R26" si="11">D26*1.02</f>
        <v>-1020000</v>
      </c>
      <c r="F26" s="21">
        <f t="shared" si="11"/>
        <v>-1040400</v>
      </c>
      <c r="G26" s="21">
        <f t="shared" si="11"/>
        <v>-1061208</v>
      </c>
      <c r="H26" s="21">
        <f t="shared" si="11"/>
        <v>-1082432.1599999999</v>
      </c>
      <c r="I26" s="21">
        <f t="shared" si="11"/>
        <v>-1104080.8032</v>
      </c>
      <c r="J26" s="21">
        <f t="shared" si="11"/>
        <v>-1126162.4192639999</v>
      </c>
      <c r="K26" s="21">
        <f t="shared" si="11"/>
        <v>-1148685.6676492798</v>
      </c>
      <c r="L26" s="21">
        <f t="shared" si="11"/>
        <v>-1171659.3810022655</v>
      </c>
      <c r="M26" s="21">
        <f t="shared" si="11"/>
        <v>-1195092.5686223109</v>
      </c>
      <c r="N26" s="21">
        <f t="shared" si="11"/>
        <v>-1218994.419994757</v>
      </c>
      <c r="O26" s="21">
        <f t="shared" si="11"/>
        <v>-1243374.3083946521</v>
      </c>
      <c r="P26" s="21">
        <f t="shared" si="11"/>
        <v>-1268241.7945625451</v>
      </c>
      <c r="Q26" s="21">
        <f t="shared" si="11"/>
        <v>-1293606.6304537961</v>
      </c>
      <c r="R26" s="56">
        <f t="shared" si="11"/>
        <v>-1319478.763062872</v>
      </c>
    </row>
    <row r="27" spans="1:19" ht="18" thickBot="1" x14ac:dyDescent="0.45">
      <c r="A27" s="77" t="s">
        <v>37</v>
      </c>
      <c r="B27" s="23"/>
      <c r="C27" s="11">
        <v>-45300000</v>
      </c>
      <c r="D27" s="11">
        <f>-4132000</f>
        <v>-4132000</v>
      </c>
      <c r="E27" s="11">
        <f t="shared" ref="E27:I27" si="12">-E6*0.035</f>
        <v>-1588090.0000000002</v>
      </c>
      <c r="F27" s="11">
        <f t="shared" si="12"/>
        <v>-2268700</v>
      </c>
      <c r="G27" s="11">
        <f t="shared" si="12"/>
        <v>-3415300.0000000005</v>
      </c>
      <c r="H27" s="11">
        <f t="shared" si="12"/>
        <v>-4483500</v>
      </c>
      <c r="I27" s="11">
        <f t="shared" si="12"/>
        <v>-5828550.0000000009</v>
      </c>
      <c r="J27" s="11">
        <f t="shared" ref="J27:R27" si="13">-J6*0.05</f>
        <v>-10824100</v>
      </c>
      <c r="K27" s="11">
        <f t="shared" si="13"/>
        <v>-11148900</v>
      </c>
      <c r="L27" s="11">
        <f t="shared" si="13"/>
        <v>-11483500</v>
      </c>
      <c r="M27" s="11">
        <f t="shared" si="13"/>
        <v>-11827900</v>
      </c>
      <c r="N27" s="11">
        <f t="shared" si="13"/>
        <v>-12182800</v>
      </c>
      <c r="O27" s="11">
        <f t="shared" si="13"/>
        <v>-12548200</v>
      </c>
      <c r="P27" s="11">
        <f t="shared" si="13"/>
        <v>-12924800</v>
      </c>
      <c r="Q27" s="11">
        <f t="shared" si="13"/>
        <v>-13312600</v>
      </c>
      <c r="R27" s="55">
        <f t="shared" si="13"/>
        <v>-13711600</v>
      </c>
    </row>
    <row r="28" spans="1:19" ht="18" thickBot="1" x14ac:dyDescent="0.45">
      <c r="A28" s="24" t="s">
        <v>38</v>
      </c>
      <c r="B28" s="23"/>
      <c r="C28" s="11">
        <v>0</v>
      </c>
      <c r="D28" s="11">
        <v>2300000</v>
      </c>
      <c r="E28" s="21">
        <f t="shared" ref="E28:R28" si="14">D28*1.01</f>
        <v>2323000</v>
      </c>
      <c r="F28" s="21">
        <f t="shared" si="14"/>
        <v>2346230</v>
      </c>
      <c r="G28" s="21">
        <f t="shared" si="14"/>
        <v>2369692.2999999998</v>
      </c>
      <c r="H28" s="21">
        <f t="shared" si="14"/>
        <v>2393389.2229999998</v>
      </c>
      <c r="I28" s="21">
        <f t="shared" si="14"/>
        <v>2417323.1152299996</v>
      </c>
      <c r="J28" s="21">
        <f t="shared" si="14"/>
        <v>2441496.3463822994</v>
      </c>
      <c r="K28" s="21">
        <f t="shared" si="14"/>
        <v>2465911.3098461223</v>
      </c>
      <c r="L28" s="21">
        <f t="shared" si="14"/>
        <v>2490570.4229445835</v>
      </c>
      <c r="M28" s="21">
        <f t="shared" si="14"/>
        <v>2515476.1271740291</v>
      </c>
      <c r="N28" s="21">
        <f t="shared" si="14"/>
        <v>2540630.8884457694</v>
      </c>
      <c r="O28" s="21">
        <f t="shared" si="14"/>
        <v>2566037.1973302271</v>
      </c>
      <c r="P28" s="21">
        <f t="shared" si="14"/>
        <v>2591697.5693035293</v>
      </c>
      <c r="Q28" s="21">
        <f t="shared" si="14"/>
        <v>2617614.5449965647</v>
      </c>
      <c r="R28" s="56">
        <f t="shared" si="14"/>
        <v>2643790.6904465305</v>
      </c>
    </row>
    <row r="29" spans="1:19" ht="18" thickBot="1" x14ac:dyDescent="0.45">
      <c r="A29" s="10" t="s">
        <v>39</v>
      </c>
      <c r="C29" s="11"/>
      <c r="D29" s="11"/>
      <c r="E29" s="21"/>
      <c r="F29" s="22"/>
      <c r="G29" s="22"/>
      <c r="H29" s="22"/>
      <c r="I29" s="22"/>
      <c r="J29" s="22"/>
      <c r="K29" s="22"/>
      <c r="L29" s="22"/>
      <c r="M29" s="48"/>
      <c r="N29" s="11"/>
      <c r="O29" s="22"/>
      <c r="P29" s="22"/>
      <c r="Q29" s="48"/>
      <c r="R29" s="55"/>
    </row>
    <row r="30" spans="1:19" ht="18" thickBot="1" x14ac:dyDescent="0.45">
      <c r="A30" s="12" t="s">
        <v>40</v>
      </c>
      <c r="B30" s="23"/>
      <c r="C30" s="11"/>
      <c r="D30" s="11">
        <v>31028400</v>
      </c>
      <c r="E30" s="21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48">
        <v>0</v>
      </c>
      <c r="N30" s="11">
        <v>0</v>
      </c>
      <c r="O30" s="22">
        <v>0</v>
      </c>
      <c r="P30" s="22">
        <v>0</v>
      </c>
      <c r="Q30" s="48">
        <v>0</v>
      </c>
      <c r="R30" s="55">
        <v>0</v>
      </c>
    </row>
    <row r="31" spans="1:19" ht="18" thickBot="1" x14ac:dyDescent="0.45">
      <c r="A31" s="12" t="s">
        <v>41</v>
      </c>
      <c r="C31" s="11">
        <v>0</v>
      </c>
      <c r="D31" s="11">
        <v>-1595290</v>
      </c>
      <c r="E31" s="11">
        <v>-1595290</v>
      </c>
      <c r="F31" s="11">
        <v>-1595290</v>
      </c>
      <c r="G31" s="11">
        <v>-1595290</v>
      </c>
      <c r="H31" s="11">
        <v>-1595290</v>
      </c>
      <c r="I31" s="11">
        <v>-1595290</v>
      </c>
      <c r="J31" s="11">
        <v>-1595290</v>
      </c>
      <c r="K31" s="11">
        <v>-1595290</v>
      </c>
      <c r="L31" s="11">
        <v>-1595290</v>
      </c>
      <c r="M31" s="11">
        <v>-1595290</v>
      </c>
      <c r="N31" s="11">
        <v>-1595290</v>
      </c>
      <c r="O31" s="11">
        <v>-1595290</v>
      </c>
      <c r="P31" s="11">
        <v>-1595290</v>
      </c>
      <c r="Q31" s="11">
        <v>-1595290</v>
      </c>
      <c r="R31" s="55">
        <v>-1595290</v>
      </c>
    </row>
    <row r="32" spans="1:19" ht="27" customHeight="1" thickBot="1" x14ac:dyDescent="0.45">
      <c r="A32" s="25" t="s">
        <v>42</v>
      </c>
      <c r="B32" s="26"/>
      <c r="C32" s="27">
        <f>SUM(C14:C31)</f>
        <v>-56580000</v>
      </c>
      <c r="D32" s="28">
        <f t="shared" ref="C32:R32" si="15">SUM(D14:D31)</f>
        <v>17439232.137038846</v>
      </c>
      <c r="E32" s="27">
        <f t="shared" si="15"/>
        <v>-10579057.933799423</v>
      </c>
      <c r="F32" s="27">
        <f t="shared" si="15"/>
        <v>-7817457.9768563192</v>
      </c>
      <c r="G32" s="27">
        <f t="shared" si="15"/>
        <v>-8656918.2255860865</v>
      </c>
      <c r="H32" s="27">
        <f t="shared" si="15"/>
        <v>8676126.2719768882</v>
      </c>
      <c r="I32" s="49">
        <f t="shared" si="15"/>
        <v>24097191.230926655</v>
      </c>
      <c r="J32" s="49">
        <f t="shared" si="15"/>
        <v>55886180.058533438</v>
      </c>
      <c r="K32" s="49">
        <f t="shared" si="15"/>
        <v>41903533.199878529</v>
      </c>
      <c r="L32" s="49">
        <f t="shared" si="15"/>
        <v>40494641.438735075</v>
      </c>
      <c r="M32" s="50">
        <f t="shared" si="15"/>
        <v>40570686.387355484</v>
      </c>
      <c r="N32" s="51">
        <f t="shared" si="15"/>
        <v>42832196.12682569</v>
      </c>
      <c r="O32" s="51">
        <f t="shared" si="15"/>
        <v>38909096.904502451</v>
      </c>
      <c r="P32" s="51">
        <f t="shared" si="15"/>
        <v>47626358.765367702</v>
      </c>
      <c r="Q32" s="51">
        <f t="shared" si="15"/>
        <v>50161682.862652324</v>
      </c>
      <c r="R32" s="60">
        <f t="shared" si="15"/>
        <v>52792403.382015862</v>
      </c>
    </row>
    <row r="33" spans="1:46" ht="15.75" x14ac:dyDescent="0.4">
      <c r="A33" s="29"/>
    </row>
    <row r="34" spans="1:46" ht="17.649999999999999" x14ac:dyDescent="0.4">
      <c r="A34" s="30" t="s">
        <v>43</v>
      </c>
      <c r="C34" s="11">
        <f>C32</f>
        <v>-56580000</v>
      </c>
      <c r="D34" s="11">
        <f>D32+C34</f>
        <v>-39140767.862961158</v>
      </c>
      <c r="E34" s="11">
        <f t="shared" ref="E34:J34" si="16">D34+E32</f>
        <v>-49719825.796760581</v>
      </c>
      <c r="F34" s="11">
        <f t="shared" si="16"/>
        <v>-57537283.773616903</v>
      </c>
      <c r="G34" s="11">
        <f t="shared" si="16"/>
        <v>-66194201.999202989</v>
      </c>
      <c r="H34" s="11">
        <f t="shared" si="16"/>
        <v>-57518075.727226101</v>
      </c>
      <c r="I34" s="11">
        <f t="shared" si="16"/>
        <v>-33420884.496299446</v>
      </c>
      <c r="J34" s="11">
        <f t="shared" si="16"/>
        <v>22465295.562233992</v>
      </c>
      <c r="K34" s="11">
        <f>K32+J34</f>
        <v>64368828.762112521</v>
      </c>
      <c r="L34" s="11">
        <f>L32+K34</f>
        <v>104863470.2008476</v>
      </c>
      <c r="M34" s="11">
        <f t="shared" ref="M34:R34" si="17">L34+M32</f>
        <v>145434156.58820307</v>
      </c>
      <c r="N34" s="11">
        <f t="shared" si="17"/>
        <v>188266352.71502876</v>
      </c>
      <c r="O34" s="11">
        <f t="shared" si="17"/>
        <v>227175449.61953121</v>
      </c>
      <c r="P34" s="11">
        <f t="shared" si="17"/>
        <v>274801808.3848989</v>
      </c>
      <c r="Q34" s="11">
        <f t="shared" si="17"/>
        <v>324963491.2475512</v>
      </c>
      <c r="R34" s="11">
        <f t="shared" si="17"/>
        <v>377755894.62956709</v>
      </c>
    </row>
    <row r="35" spans="1:46" ht="17.649999999999999" x14ac:dyDescent="0.4">
      <c r="A35" s="30" t="s">
        <v>44</v>
      </c>
      <c r="C35" s="11">
        <f>C32</f>
        <v>-56580000</v>
      </c>
      <c r="D35" s="11">
        <f t="shared" ref="D35:R35" si="18">PV($B$40,D4,,-D32)</f>
        <v>15926239.394556023</v>
      </c>
      <c r="E35" s="11">
        <f t="shared" si="18"/>
        <v>-8823050.3399006892</v>
      </c>
      <c r="F35" s="11">
        <f t="shared" si="18"/>
        <v>-5954196.9759534029</v>
      </c>
      <c r="G35" s="11">
        <f t="shared" si="18"/>
        <v>-6021529.7785076732</v>
      </c>
      <c r="H35" s="11">
        <f t="shared" si="18"/>
        <v>5511315.4354384979</v>
      </c>
      <c r="I35" s="11">
        <f t="shared" si="18"/>
        <v>13979180.388558978</v>
      </c>
      <c r="J35" s="11">
        <f t="shared" si="18"/>
        <v>29607762.707286265</v>
      </c>
      <c r="K35" s="11">
        <f t="shared" si="18"/>
        <v>20273918.191422313</v>
      </c>
      <c r="L35" s="11">
        <f t="shared" si="18"/>
        <v>17892477.726664968</v>
      </c>
      <c r="M35" s="11">
        <f t="shared" si="18"/>
        <v>16370847.523054797</v>
      </c>
      <c r="N35" s="11">
        <f t="shared" si="18"/>
        <v>15783925.832310915</v>
      </c>
      <c r="O35" s="11">
        <f t="shared" si="18"/>
        <v>13094282.933372149</v>
      </c>
      <c r="P35" s="11">
        <f t="shared" si="18"/>
        <v>14637396.251705928</v>
      </c>
      <c r="Q35" s="11">
        <f t="shared" si="18"/>
        <v>14079084.958804544</v>
      </c>
      <c r="R35" s="11">
        <f t="shared" si="18"/>
        <v>13531926.996073628</v>
      </c>
    </row>
    <row r="36" spans="1:46" ht="17.649999999999999" x14ac:dyDescent="0.4">
      <c r="A36" s="30" t="s">
        <v>45</v>
      </c>
      <c r="C36" s="11">
        <f>C32</f>
        <v>-56580000</v>
      </c>
      <c r="D36" s="11">
        <f t="shared" ref="D36:R36" si="19">C36+D35</f>
        <v>-40653760.605443977</v>
      </c>
      <c r="E36" s="11">
        <f t="shared" si="19"/>
        <v>-49476810.945344664</v>
      </c>
      <c r="F36" s="11">
        <f t="shared" si="19"/>
        <v>-55431007.921298064</v>
      </c>
      <c r="G36" s="11">
        <f t="shared" si="19"/>
        <v>-61452537.699805737</v>
      </c>
      <c r="H36" s="11">
        <f t="shared" si="19"/>
        <v>-55941222.264367238</v>
      </c>
      <c r="I36" s="11">
        <f t="shared" si="19"/>
        <v>-41962041.875808261</v>
      </c>
      <c r="J36" s="11">
        <f t="shared" si="19"/>
        <v>-12354279.168521997</v>
      </c>
      <c r="K36" s="11">
        <f t="shared" si="19"/>
        <v>7919639.0229003169</v>
      </c>
      <c r="L36" s="11">
        <f t="shared" si="19"/>
        <v>25812116.749565285</v>
      </c>
      <c r="M36" s="11">
        <f t="shared" si="19"/>
        <v>42182964.272620082</v>
      </c>
      <c r="N36" s="11">
        <f t="shared" si="19"/>
        <v>57966890.104930997</v>
      </c>
      <c r="O36" s="11">
        <f t="shared" si="19"/>
        <v>71061173.038303152</v>
      </c>
      <c r="P36" s="11">
        <f t="shared" si="19"/>
        <v>85698569.290009081</v>
      </c>
      <c r="Q36" s="11">
        <f t="shared" si="19"/>
        <v>99777654.248813629</v>
      </c>
      <c r="R36" s="11">
        <f t="shared" si="19"/>
        <v>113309581.24488726</v>
      </c>
    </row>
    <row r="37" spans="1:46" ht="17.649999999999999" x14ac:dyDescent="0.4">
      <c r="A37" s="30" t="s">
        <v>2</v>
      </c>
      <c r="C37" s="11">
        <f>C32</f>
        <v>-56580000</v>
      </c>
      <c r="D37" s="11">
        <f t="shared" ref="D37:R37" si="20">-SUMIF(D14:D31,"&lt;0")</f>
        <v>54559690</v>
      </c>
      <c r="E37" s="11">
        <f t="shared" si="20"/>
        <v>60567080</v>
      </c>
      <c r="F37" s="11">
        <f t="shared" si="20"/>
        <v>73015820</v>
      </c>
      <c r="G37" s="11">
        <f t="shared" si="20"/>
        <v>93081140.650000006</v>
      </c>
      <c r="H37" s="11">
        <f t="shared" si="20"/>
        <v>111914061.65574999</v>
      </c>
      <c r="I37" s="11">
        <f t="shared" si="20"/>
        <v>135769760.47121626</v>
      </c>
      <c r="J37" s="11">
        <f t="shared" si="20"/>
        <v>154231507.76902112</v>
      </c>
      <c r="K37" s="11">
        <f t="shared" si="20"/>
        <v>174752866.69188941</v>
      </c>
      <c r="L37" s="11">
        <f t="shared" si="20"/>
        <v>180329598.77693924</v>
      </c>
      <c r="M37" s="11">
        <f t="shared" si="20"/>
        <v>186118831.42227486</v>
      </c>
      <c r="N37" s="11">
        <f t="shared" si="20"/>
        <v>192138384.69340301</v>
      </c>
      <c r="O37" s="11">
        <f t="shared" si="20"/>
        <v>198395341.60094145</v>
      </c>
      <c r="P37" s="11">
        <f t="shared" si="20"/>
        <v>204902880.49758762</v>
      </c>
      <c r="Q37" s="11">
        <f t="shared" si="20"/>
        <v>211671909.74269062</v>
      </c>
      <c r="R37" s="11">
        <f t="shared" si="20"/>
        <v>218709704.7931563</v>
      </c>
    </row>
    <row r="38" spans="1:46" ht="17.649999999999999" x14ac:dyDescent="0.4">
      <c r="A38" s="30" t="s">
        <v>46</v>
      </c>
      <c r="C38" s="11">
        <v>0</v>
      </c>
      <c r="D38" s="11">
        <f t="shared" ref="D38:R38" si="21">SUMIF(D14:D31,"&gt;0")</f>
        <v>71998922.137038842</v>
      </c>
      <c r="E38" s="11">
        <f t="shared" si="21"/>
        <v>49988022.066200577</v>
      </c>
      <c r="F38" s="11">
        <f t="shared" si="21"/>
        <v>65198362.023143679</v>
      </c>
      <c r="G38" s="11">
        <f t="shared" si="21"/>
        <v>84424222.424413905</v>
      </c>
      <c r="H38" s="11">
        <f t="shared" si="21"/>
        <v>120590187.92772689</v>
      </c>
      <c r="I38" s="11">
        <f t="shared" si="21"/>
        <v>159866951.70214289</v>
      </c>
      <c r="J38" s="11">
        <f t="shared" si="21"/>
        <v>210117687.82755455</v>
      </c>
      <c r="K38" s="11">
        <f t="shared" si="21"/>
        <v>216656399.89176795</v>
      </c>
      <c r="L38" s="11">
        <f t="shared" si="21"/>
        <v>220824240.21567431</v>
      </c>
      <c r="M38" s="11">
        <f t="shared" si="21"/>
        <v>226689517.80963033</v>
      </c>
      <c r="N38" s="11">
        <f t="shared" si="21"/>
        <v>234970580.82022867</v>
      </c>
      <c r="O38" s="11">
        <f t="shared" si="21"/>
        <v>237304438.5054439</v>
      </c>
      <c r="P38" s="11">
        <f t="shared" si="21"/>
        <v>252529239.26295534</v>
      </c>
      <c r="Q38" s="11">
        <f t="shared" si="21"/>
        <v>261833592.60534295</v>
      </c>
      <c r="R38" s="11">
        <f t="shared" si="21"/>
        <v>271502108.17517215</v>
      </c>
    </row>
    <row r="39" spans="1:46" ht="15.4" thickBot="1" x14ac:dyDescent="0.45"/>
    <row r="40" spans="1:46" ht="18" thickBot="1" x14ac:dyDescent="0.55000000000000004">
      <c r="A40" s="31" t="s">
        <v>3</v>
      </c>
      <c r="B40" s="94">
        <f>0.095*Y72/Y62</f>
        <v>9.5000000000000001E-2</v>
      </c>
    </row>
    <row r="41" spans="1:46" ht="18" thickBot="1" x14ac:dyDescent="0.55000000000000004">
      <c r="A41" s="31" t="s">
        <v>47</v>
      </c>
      <c r="B41" s="32" t="s">
        <v>1</v>
      </c>
      <c r="C41" s="33" t="s">
        <v>48</v>
      </c>
      <c r="D41" s="34"/>
    </row>
    <row r="42" spans="1:46" ht="77.25" x14ac:dyDescent="0.5">
      <c r="A42" s="31" t="s">
        <v>49</v>
      </c>
      <c r="B42" s="35">
        <v>7</v>
      </c>
      <c r="C42" s="36" t="s">
        <v>50</v>
      </c>
      <c r="D42" s="100"/>
    </row>
    <row r="43" spans="1:46" ht="93" thickBot="1" x14ac:dyDescent="0.55000000000000004">
      <c r="A43" s="37" t="s">
        <v>51</v>
      </c>
      <c r="B43" s="38">
        <f>NPV(B40,D32:R32)+C32</f>
        <v>113309581.24488729</v>
      </c>
      <c r="C43" s="36" t="s">
        <v>52</v>
      </c>
      <c r="D43" s="100"/>
    </row>
    <row r="44" spans="1:46" ht="17.649999999999999" x14ac:dyDescent="0.5">
      <c r="A44" s="37" t="s">
        <v>53</v>
      </c>
      <c r="B44" s="39">
        <f>NPV(B40,D38:R38)</f>
        <v>1177496365.9901395</v>
      </c>
      <c r="C44" s="40"/>
      <c r="D44" s="100"/>
      <c r="X44" s="91" t="s">
        <v>79</v>
      </c>
      <c r="Y44" s="61"/>
      <c r="Z44" s="61"/>
      <c r="AA44" s="61"/>
      <c r="AB44" s="61"/>
      <c r="AC44" s="61"/>
      <c r="AD44" s="61"/>
      <c r="AE44" s="61"/>
      <c r="AF44" s="61"/>
      <c r="AG44" s="61"/>
      <c r="AH44" s="68"/>
      <c r="AJ44" s="91" t="s">
        <v>80</v>
      </c>
      <c r="AK44" s="61"/>
      <c r="AL44" s="61"/>
      <c r="AM44" s="61"/>
      <c r="AN44" s="61"/>
      <c r="AO44" s="61"/>
      <c r="AP44" s="61"/>
      <c r="AQ44" s="61"/>
      <c r="AR44" s="61"/>
      <c r="AS44" s="61"/>
      <c r="AT44" s="88"/>
    </row>
    <row r="45" spans="1:46" ht="17.649999999999999" x14ac:dyDescent="0.5">
      <c r="A45" s="37" t="s">
        <v>54</v>
      </c>
      <c r="B45" s="39">
        <f>NPV(B40,D37:R37)</f>
        <v>1007606784.7452524</v>
      </c>
      <c r="C45" s="40"/>
      <c r="D45" s="100"/>
      <c r="X45" s="57"/>
      <c r="Y45" s="84" t="s">
        <v>68</v>
      </c>
      <c r="AH45" s="69"/>
      <c r="AJ45" s="57"/>
      <c r="AK45" s="85" t="s">
        <v>69</v>
      </c>
      <c r="AT45" s="69"/>
    </row>
    <row r="46" spans="1:46" ht="21.4" customHeight="1" thickBot="1" x14ac:dyDescent="0.55000000000000004">
      <c r="A46" s="41" t="s">
        <v>55</v>
      </c>
      <c r="B46" s="42">
        <f>B44/B45</f>
        <v>1.1686070239074853</v>
      </c>
      <c r="C46" s="43" t="s">
        <v>56</v>
      </c>
      <c r="D46" s="100"/>
      <c r="E46" s="44"/>
      <c r="F46" s="44"/>
      <c r="G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X46" s="57" t="s">
        <v>33</v>
      </c>
      <c r="Y46" s="97"/>
      <c r="Z46" s="97"/>
      <c r="AA46" s="97"/>
      <c r="AB46" s="97"/>
      <c r="AC46" s="97"/>
      <c r="AD46" s="99"/>
      <c r="AE46" s="97"/>
      <c r="AF46" s="97"/>
      <c r="AG46" s="97"/>
      <c r="AH46" s="98"/>
      <c r="AJ46" s="57" t="s">
        <v>33</v>
      </c>
      <c r="AK46" s="62"/>
      <c r="AL46" s="62"/>
      <c r="AM46" s="62"/>
      <c r="AN46" s="62"/>
      <c r="AO46" s="62"/>
      <c r="AP46" s="62"/>
      <c r="AQ46" s="62"/>
      <c r="AR46" s="62"/>
      <c r="AS46" s="62"/>
      <c r="AT46" s="86"/>
    </row>
    <row r="47" spans="1:46" x14ac:dyDescent="0.4">
      <c r="C47" s="45"/>
      <c r="D47" s="44"/>
      <c r="E47" s="44"/>
      <c r="F47" s="44"/>
      <c r="G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X47" s="57" t="s">
        <v>35</v>
      </c>
      <c r="Y47" s="63">
        <v>-0.2</v>
      </c>
      <c r="Z47" s="63">
        <v>-0.15</v>
      </c>
      <c r="AA47" s="63">
        <v>-0.1</v>
      </c>
      <c r="AB47" s="63">
        <v>-0.05</v>
      </c>
      <c r="AC47" s="63" t="s">
        <v>36</v>
      </c>
      <c r="AD47" s="63">
        <v>0.05</v>
      </c>
      <c r="AE47" s="63">
        <v>0.1</v>
      </c>
      <c r="AF47" s="63">
        <v>0.15</v>
      </c>
      <c r="AG47" s="63">
        <v>0.2</v>
      </c>
      <c r="AH47" s="87" t="s">
        <v>67</v>
      </c>
      <c r="AJ47" s="57" t="s">
        <v>35</v>
      </c>
      <c r="AK47" s="63">
        <v>-0.2</v>
      </c>
      <c r="AL47" s="63">
        <v>-0.15</v>
      </c>
      <c r="AM47" s="63">
        <v>-0.1</v>
      </c>
      <c r="AN47" s="63">
        <v>-0.05</v>
      </c>
      <c r="AO47" s="63" t="s">
        <v>36</v>
      </c>
      <c r="AP47" s="63">
        <v>0.05</v>
      </c>
      <c r="AQ47" s="63">
        <v>0.1</v>
      </c>
      <c r="AR47" s="63">
        <v>0.15</v>
      </c>
      <c r="AS47" s="63">
        <v>0.2</v>
      </c>
      <c r="AT47" s="87" t="s">
        <v>67</v>
      </c>
    </row>
    <row r="48" spans="1:46" ht="15.4" thickBot="1" x14ac:dyDescent="0.45">
      <c r="D48" s="44"/>
      <c r="E48" s="44"/>
      <c r="F48" s="44"/>
      <c r="G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X48" s="58"/>
      <c r="Y48" s="62"/>
      <c r="Z48" s="62"/>
      <c r="AA48" s="62"/>
      <c r="AB48" s="62"/>
      <c r="AC48" s="62"/>
      <c r="AD48" s="62"/>
      <c r="AE48" s="62"/>
      <c r="AF48" s="62"/>
      <c r="AG48" s="62"/>
      <c r="AH48" s="86"/>
      <c r="AJ48" s="58"/>
      <c r="AK48" s="62"/>
      <c r="AL48" s="62"/>
      <c r="AM48" s="62"/>
      <c r="AN48" s="62"/>
      <c r="AO48" s="62"/>
      <c r="AP48" s="62"/>
      <c r="AQ48" s="62"/>
      <c r="AR48" s="62"/>
      <c r="AS48" s="62"/>
      <c r="AT48" s="86"/>
    </row>
    <row r="49" spans="1:46" ht="18" thickBot="1" x14ac:dyDescent="0.5"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X49" s="96" t="s">
        <v>19</v>
      </c>
      <c r="Y49" s="64">
        <v>16263169.406667158</v>
      </c>
      <c r="Z49" s="64">
        <v>40524772.366222143</v>
      </c>
      <c r="AA49" s="80">
        <v>64786375.325777188</v>
      </c>
      <c r="AB49" s="64">
        <v>89047978.285332292</v>
      </c>
      <c r="AC49" s="64">
        <v>113309581.24488729</v>
      </c>
      <c r="AD49" s="64">
        <v>137571184.20444232</v>
      </c>
      <c r="AE49" s="64">
        <v>161832787.16399738</v>
      </c>
      <c r="AF49" s="64">
        <v>186094390.12355238</v>
      </c>
      <c r="AG49" s="64">
        <v>210355993.08310741</v>
      </c>
      <c r="AH49" s="89" t="s">
        <v>70</v>
      </c>
      <c r="AJ49" s="59" t="s">
        <v>19</v>
      </c>
      <c r="AK49" s="83">
        <v>-12292420.918061968</v>
      </c>
      <c r="AL49" s="64">
        <v>2118831.1548116133</v>
      </c>
      <c r="AM49" s="64">
        <v>16530083.227685157</v>
      </c>
      <c r="AN49" s="64">
        <v>30941335.300558738</v>
      </c>
      <c r="AO49" s="64">
        <v>45352587.373432301</v>
      </c>
      <c r="AP49" s="64">
        <v>59763839.446305871</v>
      </c>
      <c r="AQ49" s="64">
        <v>74175091.519179419</v>
      </c>
      <c r="AR49" s="64">
        <v>88586343.592052996</v>
      </c>
      <c r="AS49" s="64">
        <v>102997595.66492659</v>
      </c>
      <c r="AT49" s="89" t="s">
        <v>72</v>
      </c>
    </row>
    <row r="50" spans="1:46" ht="35.65" thickBot="1" x14ac:dyDescent="0.55000000000000004">
      <c r="A50" s="4" t="s">
        <v>57</v>
      </c>
      <c r="B50" s="5"/>
      <c r="C50" s="6"/>
      <c r="S50" s="44"/>
      <c r="T50" s="44"/>
      <c r="U50" s="44"/>
      <c r="V50" s="44"/>
      <c r="X50" s="59" t="s">
        <v>20</v>
      </c>
      <c r="Y50" s="64">
        <v>103650701.08132017</v>
      </c>
      <c r="Z50" s="64">
        <v>106065421.12221196</v>
      </c>
      <c r="AA50" s="64">
        <v>108480141.16310376</v>
      </c>
      <c r="AB50" s="64">
        <v>110894861.20399553</v>
      </c>
      <c r="AC50" s="64">
        <v>113309581.24488729</v>
      </c>
      <c r="AD50" s="64">
        <v>115724301.28577906</v>
      </c>
      <c r="AE50" s="64">
        <v>118139021.3266708</v>
      </c>
      <c r="AF50" s="64">
        <v>120553741.36756259</v>
      </c>
      <c r="AG50" s="64">
        <v>122968461.40845439</v>
      </c>
      <c r="AH50" s="89" t="s">
        <v>71</v>
      </c>
      <c r="AJ50" s="59" t="s">
        <v>20</v>
      </c>
      <c r="AK50" s="64">
        <v>35827951.051113367</v>
      </c>
      <c r="AL50" s="64">
        <v>38209110.131693102</v>
      </c>
      <c r="AM50" s="64">
        <v>40590269.21227283</v>
      </c>
      <c r="AN50" s="64">
        <v>42971428.292852558</v>
      </c>
      <c r="AO50" s="64">
        <v>45352587.373432301</v>
      </c>
      <c r="AP50" s="64">
        <v>47733746.454012044</v>
      </c>
      <c r="AQ50" s="64">
        <v>50114905.534591772</v>
      </c>
      <c r="AR50" s="64">
        <v>52496064.615171507</v>
      </c>
      <c r="AS50" s="64">
        <v>54877223.695751235</v>
      </c>
      <c r="AT50" s="89" t="s">
        <v>70</v>
      </c>
    </row>
    <row r="51" spans="1:46" ht="35.65" thickBot="1" x14ac:dyDescent="0.55000000000000004">
      <c r="A51" s="7" t="s">
        <v>6</v>
      </c>
      <c r="B51" s="46" t="s">
        <v>58</v>
      </c>
      <c r="C51" s="9">
        <v>0</v>
      </c>
      <c r="D51" s="9">
        <v>1</v>
      </c>
      <c r="E51" s="9">
        <v>2</v>
      </c>
      <c r="F51" s="9">
        <v>3</v>
      </c>
      <c r="G51" s="9">
        <v>4</v>
      </c>
      <c r="H51" s="9">
        <v>5</v>
      </c>
      <c r="I51" s="9">
        <v>6</v>
      </c>
      <c r="J51" s="9">
        <v>7</v>
      </c>
      <c r="K51" s="9">
        <v>8</v>
      </c>
      <c r="L51" s="9">
        <v>9</v>
      </c>
      <c r="M51" s="9">
        <v>10</v>
      </c>
      <c r="N51" s="9">
        <v>11</v>
      </c>
      <c r="O51" s="9">
        <v>12</v>
      </c>
      <c r="P51" s="9">
        <v>13</v>
      </c>
      <c r="Q51" s="9">
        <v>14</v>
      </c>
      <c r="R51" s="9">
        <v>15</v>
      </c>
      <c r="S51" s="44"/>
      <c r="T51" s="44"/>
      <c r="U51" s="44"/>
      <c r="V51" s="44"/>
      <c r="X51" s="59" t="s">
        <v>22</v>
      </c>
      <c r="Y51" s="83">
        <v>-33376547.22279257</v>
      </c>
      <c r="Z51" s="64">
        <v>239023.88438407332</v>
      </c>
      <c r="AA51" s="64">
        <v>35891902.331389576</v>
      </c>
      <c r="AB51" s="64">
        <v>73582088.11822401</v>
      </c>
      <c r="AC51" s="64">
        <v>113309581.24488729</v>
      </c>
      <c r="AD51" s="64">
        <v>155074381.71137941</v>
      </c>
      <c r="AE51" s="64">
        <v>198876489.51770052</v>
      </c>
      <c r="AF51" s="64">
        <v>244715904.66385049</v>
      </c>
      <c r="AG51" s="64">
        <v>292592627.14982927</v>
      </c>
      <c r="AH51" s="89" t="s">
        <v>72</v>
      </c>
      <c r="AJ51" s="59" t="s">
        <v>22</v>
      </c>
      <c r="AK51" s="83">
        <v>-20215350.24141629</v>
      </c>
      <c r="AL51" s="83">
        <v>-3823365.8377041426</v>
      </c>
      <c r="AM51" s="64">
        <v>12568618.566008002</v>
      </c>
      <c r="AN51" s="64">
        <v>28960602.969720148</v>
      </c>
      <c r="AO51" s="64">
        <v>45352587.373432301</v>
      </c>
      <c r="AP51" s="64">
        <v>61744571.777144447</v>
      </c>
      <c r="AQ51" s="64">
        <v>78136556.1808566</v>
      </c>
      <c r="AR51" s="64">
        <v>94528540.584568739</v>
      </c>
      <c r="AS51" s="64">
        <v>110920524.98828091</v>
      </c>
      <c r="AT51" s="89" t="s">
        <v>73</v>
      </c>
    </row>
    <row r="52" spans="1:46" ht="35.65" thickBot="1" x14ac:dyDescent="0.5">
      <c r="A52" s="10" t="s">
        <v>8</v>
      </c>
      <c r="B52" s="15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44"/>
      <c r="T52" s="44"/>
      <c r="U52" s="44"/>
      <c r="V52" s="44"/>
      <c r="X52" s="59" t="s">
        <v>24</v>
      </c>
      <c r="Y52" s="64">
        <v>241535118.37222242</v>
      </c>
      <c r="Z52" s="64">
        <v>209478734.09038901</v>
      </c>
      <c r="AA52" s="64">
        <v>177422349.80855486</v>
      </c>
      <c r="AB52" s="64">
        <v>145365965.52672109</v>
      </c>
      <c r="AC52" s="64">
        <v>113309581.24488729</v>
      </c>
      <c r="AD52" s="64">
        <v>81253196.963053524</v>
      </c>
      <c r="AE52" s="64">
        <v>49196812.681219712</v>
      </c>
      <c r="AF52" s="64">
        <v>17140428.399385914</v>
      </c>
      <c r="AG52" s="64">
        <v>-14915955.882447876</v>
      </c>
      <c r="AH52" s="89" t="s">
        <v>73</v>
      </c>
      <c r="AJ52" s="59" t="s">
        <v>24</v>
      </c>
      <c r="AK52" s="64">
        <v>146519746.48904535</v>
      </c>
      <c r="AL52" s="64">
        <v>121227956.71014209</v>
      </c>
      <c r="AM52" s="64">
        <v>95936166.93123883</v>
      </c>
      <c r="AN52" s="64">
        <v>70644377.152335569</v>
      </c>
      <c r="AO52" s="64">
        <v>45352587.373432301</v>
      </c>
      <c r="AP52" s="64">
        <v>20060797.594529036</v>
      </c>
      <c r="AQ52" s="83">
        <v>-5230992.1843742281</v>
      </c>
      <c r="AR52" s="83">
        <v>-30522781.963277489</v>
      </c>
      <c r="AS52" s="64">
        <v>-55814571.742180757</v>
      </c>
      <c r="AT52" s="89" t="s">
        <v>76</v>
      </c>
    </row>
    <row r="53" spans="1:46" ht="35.65" thickBot="1" x14ac:dyDescent="0.5">
      <c r="A53" s="12" t="s">
        <v>9</v>
      </c>
      <c r="B53" s="15"/>
      <c r="C53" s="11">
        <v>0</v>
      </c>
      <c r="D53" s="11">
        <v>22680000</v>
      </c>
      <c r="E53" s="11">
        <v>32410000</v>
      </c>
      <c r="F53" s="11">
        <v>46300000</v>
      </c>
      <c r="G53" s="11">
        <v>69700000</v>
      </c>
      <c r="H53" s="11">
        <v>91500000</v>
      </c>
      <c r="I53" s="11">
        <v>118950000</v>
      </c>
      <c r="J53" s="11">
        <v>154630000</v>
      </c>
      <c r="K53" s="11">
        <v>159270000</v>
      </c>
      <c r="L53" s="11">
        <v>164050000</v>
      </c>
      <c r="M53" s="11">
        <v>168970000</v>
      </c>
      <c r="N53" s="11">
        <v>174040000</v>
      </c>
      <c r="O53" s="11">
        <v>179260000</v>
      </c>
      <c r="P53" s="11">
        <v>184640000</v>
      </c>
      <c r="Q53" s="11">
        <v>190180000</v>
      </c>
      <c r="R53" s="11">
        <v>195880000</v>
      </c>
      <c r="S53" s="44"/>
      <c r="T53" s="44"/>
      <c r="U53" s="44"/>
      <c r="V53" s="44"/>
      <c r="X53" s="59" t="s">
        <v>25</v>
      </c>
      <c r="Y53" s="64">
        <v>161868395.7211256</v>
      </c>
      <c r="Z53" s="64">
        <v>150740334.07032102</v>
      </c>
      <c r="AA53" s="64">
        <v>138937844.44067973</v>
      </c>
      <c r="AB53" s="64">
        <v>126460926.83220184</v>
      </c>
      <c r="AC53" s="64">
        <v>113309581.24488729</v>
      </c>
      <c r="AD53" s="64">
        <v>99483807.678736061</v>
      </c>
      <c r="AE53" s="64">
        <v>84983606.133748233</v>
      </c>
      <c r="AF53" s="64">
        <v>69808976.60992375</v>
      </c>
      <c r="AG53" s="64">
        <v>53959919.107262641</v>
      </c>
      <c r="AH53" s="89" t="s">
        <v>74</v>
      </c>
      <c r="AJ53" s="59" t="s">
        <v>25</v>
      </c>
      <c r="AK53" s="64">
        <v>64621958.197336391</v>
      </c>
      <c r="AL53" s="64">
        <v>59804615.491360366</v>
      </c>
      <c r="AM53" s="64">
        <v>54987272.78538435</v>
      </c>
      <c r="AN53" s="64">
        <v>50169930.079408325</v>
      </c>
      <c r="AO53" s="64">
        <v>45352587.373432301</v>
      </c>
      <c r="AP53" s="64">
        <v>40535244.667456277</v>
      </c>
      <c r="AQ53" s="64">
        <v>35717901.961480245</v>
      </c>
      <c r="AR53" s="64">
        <v>30900559.255504221</v>
      </c>
      <c r="AS53" s="64">
        <v>26083216.549528196</v>
      </c>
      <c r="AT53" s="89" t="s">
        <v>74</v>
      </c>
    </row>
    <row r="54" spans="1:46" ht="18" thickBot="1" x14ac:dyDescent="0.5">
      <c r="A54" s="12" t="s">
        <v>10</v>
      </c>
      <c r="B54" s="14" t="s">
        <v>11</v>
      </c>
      <c r="C54" s="11">
        <f t="shared" ref="C54:J54" si="22">C53*(-0.5)</f>
        <v>0</v>
      </c>
      <c r="D54" s="11">
        <f t="shared" si="22"/>
        <v>-11340000</v>
      </c>
      <c r="E54" s="11">
        <f t="shared" si="22"/>
        <v>-16205000</v>
      </c>
      <c r="F54" s="11">
        <f t="shared" si="22"/>
        <v>-23150000</v>
      </c>
      <c r="G54" s="11">
        <f t="shared" si="22"/>
        <v>-34850000</v>
      </c>
      <c r="H54" s="11">
        <f t="shared" si="22"/>
        <v>-45750000</v>
      </c>
      <c r="I54" s="11">
        <f t="shared" si="22"/>
        <v>-59475000</v>
      </c>
      <c r="J54" s="11">
        <f t="shared" si="22"/>
        <v>-77315000</v>
      </c>
      <c r="K54" s="11">
        <f t="shared" ref="K54:R54" si="23">K53*(-0.25)</f>
        <v>-39817500</v>
      </c>
      <c r="L54" s="11">
        <f t="shared" si="23"/>
        <v>-41012500</v>
      </c>
      <c r="M54" s="11">
        <f t="shared" si="23"/>
        <v>-42242500</v>
      </c>
      <c r="N54" s="11">
        <f t="shared" si="23"/>
        <v>-43510000</v>
      </c>
      <c r="O54" s="11">
        <f t="shared" si="23"/>
        <v>-44815000</v>
      </c>
      <c r="P54" s="11">
        <f t="shared" si="23"/>
        <v>-46160000</v>
      </c>
      <c r="Q54" s="11">
        <f t="shared" si="23"/>
        <v>-47545000</v>
      </c>
      <c r="R54" s="11">
        <f t="shared" si="23"/>
        <v>-48970000</v>
      </c>
      <c r="S54" s="44"/>
      <c r="T54" s="44"/>
      <c r="U54" s="44"/>
      <c r="V54" s="44"/>
      <c r="X54" s="59" t="s">
        <v>26</v>
      </c>
      <c r="Y54" s="64">
        <v>81136113.178870857</v>
      </c>
      <c r="Z54" s="64">
        <v>89179480.195374995</v>
      </c>
      <c r="AA54" s="64">
        <v>97222847.211879075</v>
      </c>
      <c r="AB54" s="64">
        <v>105266214.22838318</v>
      </c>
      <c r="AC54" s="64">
        <v>113309581.24488729</v>
      </c>
      <c r="AD54" s="64">
        <v>121352948.2613914</v>
      </c>
      <c r="AE54" s="64">
        <v>129396315.27789548</v>
      </c>
      <c r="AF54" s="64">
        <v>137439682.29439965</v>
      </c>
      <c r="AG54" s="64">
        <v>145483049.3109037</v>
      </c>
      <c r="AH54" s="89" t="s">
        <v>75</v>
      </c>
      <c r="AJ54" s="59" t="s">
        <v>26</v>
      </c>
      <c r="AK54" s="64">
        <v>19312160.617073495</v>
      </c>
      <c r="AL54" s="64">
        <v>25822267.306163207</v>
      </c>
      <c r="AM54" s="64">
        <v>32332373.9952529</v>
      </c>
      <c r="AN54" s="64">
        <v>38842480.684342608</v>
      </c>
      <c r="AO54" s="64">
        <v>45352587.373432301</v>
      </c>
      <c r="AP54" s="64">
        <v>51862694.062522002</v>
      </c>
      <c r="AQ54" s="64">
        <v>58372800.75161171</v>
      </c>
      <c r="AR54" s="64">
        <v>64882907.44070141</v>
      </c>
      <c r="AS54" s="64">
        <v>71393014.129791111</v>
      </c>
      <c r="AT54" s="89" t="s">
        <v>75</v>
      </c>
    </row>
    <row r="55" spans="1:46" ht="35.65" thickBot="1" x14ac:dyDescent="0.5">
      <c r="A55" s="12" t="s">
        <v>12</v>
      </c>
      <c r="B55" s="15"/>
      <c r="C55" s="11">
        <v>0</v>
      </c>
      <c r="D55" s="11">
        <f>-D53*0.15*1.0296</f>
        <v>-3502699.2</v>
      </c>
      <c r="E55" s="11">
        <f t="shared" ref="E55:R55" si="24">-E53*0.15*1.0296</f>
        <v>-5005400.4000000004</v>
      </c>
      <c r="F55" s="11">
        <f t="shared" si="24"/>
        <v>-7150572.0000000009</v>
      </c>
      <c r="G55" s="11">
        <f t="shared" si="24"/>
        <v>-10764468</v>
      </c>
      <c r="H55" s="11">
        <f t="shared" si="24"/>
        <v>-14131260.000000002</v>
      </c>
      <c r="I55" s="11">
        <f t="shared" si="24"/>
        <v>-18370638</v>
      </c>
      <c r="J55" s="11">
        <f t="shared" si="24"/>
        <v>-23881057.200000003</v>
      </c>
      <c r="K55" s="11">
        <f t="shared" si="24"/>
        <v>-24597658.800000001</v>
      </c>
      <c r="L55" s="11">
        <f t="shared" si="24"/>
        <v>-25335882</v>
      </c>
      <c r="M55" s="11">
        <f t="shared" si="24"/>
        <v>-26095726.800000001</v>
      </c>
      <c r="N55" s="11">
        <f t="shared" si="24"/>
        <v>-26878737.600000001</v>
      </c>
      <c r="O55" s="11">
        <f t="shared" si="24"/>
        <v>-27684914.400000002</v>
      </c>
      <c r="P55" s="11">
        <f t="shared" si="24"/>
        <v>-28515801.600000001</v>
      </c>
      <c r="Q55" s="11">
        <f t="shared" si="24"/>
        <v>-29371399.200000003</v>
      </c>
      <c r="R55" s="11">
        <f t="shared" si="24"/>
        <v>-30251707.200000003</v>
      </c>
      <c r="S55" s="44"/>
      <c r="T55" s="44"/>
      <c r="U55" s="44"/>
      <c r="V55" s="44"/>
      <c r="X55" s="59" t="s">
        <v>28</v>
      </c>
      <c r="Y55" s="64">
        <v>215530880.46945661</v>
      </c>
      <c r="Z55" s="64">
        <v>202957121.45309466</v>
      </c>
      <c r="AA55" s="64">
        <v>184453761.90903372</v>
      </c>
      <c r="AB55" s="64">
        <v>156487191.2259126</v>
      </c>
      <c r="AC55" s="64">
        <v>113309581.24488729</v>
      </c>
      <c r="AD55" s="64">
        <v>45628461.721423417</v>
      </c>
      <c r="AE55" s="83">
        <v>-61453787.011626735</v>
      </c>
      <c r="AF55" s="83">
        <v>-231585517.21946239</v>
      </c>
      <c r="AG55" s="83">
        <v>-501900932.08883184</v>
      </c>
      <c r="AH55" s="89" t="s">
        <v>76</v>
      </c>
      <c r="AJ55" s="59" t="s">
        <v>28</v>
      </c>
      <c r="AK55" s="64">
        <v>65507619.468718082</v>
      </c>
      <c r="AL55" s="64">
        <v>60468861.444896623</v>
      </c>
      <c r="AM55" s="64">
        <v>55430103.421075188</v>
      </c>
      <c r="AN55" s="64">
        <v>50391345.397253737</v>
      </c>
      <c r="AO55" s="64">
        <v>45352587.373432301</v>
      </c>
      <c r="AP55" s="64">
        <v>40313829.349610858</v>
      </c>
      <c r="AQ55" s="64">
        <v>35275071.325789414</v>
      </c>
      <c r="AR55" s="64">
        <v>30236313.301967964</v>
      </c>
      <c r="AS55" s="83">
        <v>25197555.278146528</v>
      </c>
      <c r="AT55" s="89" t="s">
        <v>77</v>
      </c>
    </row>
    <row r="56" spans="1:46" ht="18" thickBot="1" x14ac:dyDescent="0.5">
      <c r="A56" s="12" t="s">
        <v>59</v>
      </c>
      <c r="B56" s="15" t="s">
        <v>14</v>
      </c>
      <c r="C56" s="11">
        <f t="shared" ref="C56:R56" si="25">C55*0.04</f>
        <v>0</v>
      </c>
      <c r="D56" s="11">
        <f t="shared" si="25"/>
        <v>-140107.96800000002</v>
      </c>
      <c r="E56" s="11">
        <f t="shared" si="25"/>
        <v>-200216.01600000003</v>
      </c>
      <c r="F56" s="11">
        <f t="shared" si="25"/>
        <v>-286022.88000000006</v>
      </c>
      <c r="G56" s="11">
        <f t="shared" si="25"/>
        <v>-430578.72000000003</v>
      </c>
      <c r="H56" s="11">
        <f t="shared" si="25"/>
        <v>-565250.40000000014</v>
      </c>
      <c r="I56" s="11">
        <f t="shared" si="25"/>
        <v>-734825.52</v>
      </c>
      <c r="J56" s="11">
        <f t="shared" si="25"/>
        <v>-955242.28800000018</v>
      </c>
      <c r="K56" s="11">
        <f t="shared" si="25"/>
        <v>-983906.35200000007</v>
      </c>
      <c r="L56" s="11">
        <f t="shared" si="25"/>
        <v>-1013435.28</v>
      </c>
      <c r="M56" s="11">
        <f t="shared" si="25"/>
        <v>-1043829.072</v>
      </c>
      <c r="N56" s="11">
        <f t="shared" si="25"/>
        <v>-1075149.5040000002</v>
      </c>
      <c r="O56" s="11">
        <f t="shared" si="25"/>
        <v>-1107396.5760000001</v>
      </c>
      <c r="P56" s="11">
        <f t="shared" si="25"/>
        <v>-1140632.064</v>
      </c>
      <c r="Q56" s="11">
        <f t="shared" si="25"/>
        <v>-1174855.9680000001</v>
      </c>
      <c r="R56" s="11">
        <f t="shared" si="25"/>
        <v>-1210068.2880000002</v>
      </c>
      <c r="S56" s="44"/>
      <c r="T56" s="44"/>
      <c r="U56" s="44"/>
      <c r="V56" s="44"/>
      <c r="X56" s="59" t="s">
        <v>30</v>
      </c>
      <c r="Y56" s="64">
        <v>108565352.90011296</v>
      </c>
      <c r="Z56" s="64">
        <v>109652571.89579043</v>
      </c>
      <c r="AA56" s="64">
        <v>110805682.95181197</v>
      </c>
      <c r="AB56" s="64">
        <v>112024686.06817758</v>
      </c>
      <c r="AC56" s="64">
        <v>113309581.24488729</v>
      </c>
      <c r="AD56" s="64">
        <v>114660368.48194107</v>
      </c>
      <c r="AE56" s="64">
        <v>116077047.77933896</v>
      </c>
      <c r="AF56" s="64">
        <v>117559619.13708091</v>
      </c>
      <c r="AG56" s="64">
        <v>119108082.55516696</v>
      </c>
      <c r="AH56" s="89" t="s">
        <v>77</v>
      </c>
      <c r="AJ56" s="59" t="s">
        <v>30</v>
      </c>
      <c r="AK56" s="64">
        <v>43325139.362844989</v>
      </c>
      <c r="AL56" s="64">
        <v>43832001.365491807</v>
      </c>
      <c r="AM56" s="64">
        <v>44338863.368138649</v>
      </c>
      <c r="AN56" s="64">
        <v>44845725.370785475</v>
      </c>
      <c r="AO56" s="64">
        <v>45352587.373432301</v>
      </c>
      <c r="AP56" s="64">
        <v>45859449.37607912</v>
      </c>
      <c r="AQ56" s="64">
        <v>46366311.378725953</v>
      </c>
      <c r="AR56" s="64">
        <v>46873173.38137278</v>
      </c>
      <c r="AS56" s="64">
        <v>47380035.384019613</v>
      </c>
      <c r="AT56" s="89" t="s">
        <v>71</v>
      </c>
    </row>
    <row r="57" spans="1:46" ht="18" thickBot="1" x14ac:dyDescent="0.5">
      <c r="A57" s="17" t="s">
        <v>15</v>
      </c>
      <c r="B57" s="15"/>
      <c r="C57" s="11">
        <v>0</v>
      </c>
      <c r="D57" s="11">
        <f t="shared" ref="D57:R57" si="26">SUM(D53:D56)</f>
        <v>7697192.8319999995</v>
      </c>
      <c r="E57" s="11">
        <f t="shared" si="26"/>
        <v>10999383.583999999</v>
      </c>
      <c r="F57" s="11">
        <f t="shared" si="26"/>
        <v>15713405.119999999</v>
      </c>
      <c r="G57" s="11">
        <f t="shared" si="26"/>
        <v>23654953.280000001</v>
      </c>
      <c r="H57" s="11">
        <f t="shared" si="26"/>
        <v>31053489.600000001</v>
      </c>
      <c r="I57" s="11">
        <f t="shared" si="26"/>
        <v>40369536.479999997</v>
      </c>
      <c r="J57" s="11">
        <f t="shared" si="26"/>
        <v>52478700.511999995</v>
      </c>
      <c r="K57" s="11">
        <f t="shared" si="26"/>
        <v>93870934.848000005</v>
      </c>
      <c r="L57" s="11">
        <f t="shared" si="26"/>
        <v>96688182.719999999</v>
      </c>
      <c r="M57" s="11">
        <f t="shared" si="26"/>
        <v>99587944.128000006</v>
      </c>
      <c r="N57" s="11">
        <f t="shared" si="26"/>
        <v>102576112.89600001</v>
      </c>
      <c r="O57" s="11">
        <f t="shared" si="26"/>
        <v>105652689.02399999</v>
      </c>
      <c r="P57" s="11">
        <f t="shared" si="26"/>
        <v>108823566.33600001</v>
      </c>
      <c r="Q57" s="11">
        <f t="shared" si="26"/>
        <v>112088744.832</v>
      </c>
      <c r="R57" s="11">
        <f t="shared" si="26"/>
        <v>115448224.51199999</v>
      </c>
      <c r="S57" s="44"/>
      <c r="T57" s="44"/>
      <c r="U57" s="44"/>
      <c r="V57" s="44"/>
      <c r="X57" s="59" t="s">
        <v>31</v>
      </c>
      <c r="Y57" s="64">
        <v>117169398.28406104</v>
      </c>
      <c r="Z57" s="64">
        <v>116284856.87925041</v>
      </c>
      <c r="AA57" s="64">
        <v>115346706.90445122</v>
      </c>
      <c r="AB57" s="64">
        <v>114354948.35966352</v>
      </c>
      <c r="AC57" s="64">
        <v>113309581.24488729</v>
      </c>
      <c r="AD57" s="64">
        <v>112210605.56012252</v>
      </c>
      <c r="AE57" s="83">
        <v>111058021.30536926</v>
      </c>
      <c r="AF57" s="83">
        <v>109851828.48062742</v>
      </c>
      <c r="AG57" s="83">
        <v>108592027.08589706</v>
      </c>
      <c r="AH57" s="89" t="s">
        <v>78</v>
      </c>
      <c r="AJ57" s="59" t="s">
        <v>31</v>
      </c>
      <c r="AK57" s="64">
        <v>47002081.834617674</v>
      </c>
      <c r="AL57" s="64">
        <v>46589708.219321333</v>
      </c>
      <c r="AM57" s="64">
        <v>46177334.604024999</v>
      </c>
      <c r="AN57" s="64">
        <v>45764960.988728642</v>
      </c>
      <c r="AO57" s="64">
        <v>45352587.373432301</v>
      </c>
      <c r="AP57" s="64">
        <v>44940213.75813596</v>
      </c>
      <c r="AQ57" s="83">
        <v>44527840.142839611</v>
      </c>
      <c r="AR57" s="83">
        <v>44115466.527543269</v>
      </c>
      <c r="AS57" s="83">
        <v>43703092.91224692</v>
      </c>
      <c r="AT57" s="89" t="s">
        <v>78</v>
      </c>
    </row>
    <row r="58" spans="1:46" ht="19.899999999999999" thickBot="1" x14ac:dyDescent="0.65">
      <c r="A58" s="12" t="s">
        <v>60</v>
      </c>
      <c r="B58" s="15"/>
      <c r="C58" s="11">
        <v>0</v>
      </c>
      <c r="D58" s="11">
        <f t="shared" ref="D58:R58" si="27">-D57*0.3</f>
        <v>-2309157.8495999998</v>
      </c>
      <c r="E58" s="11">
        <f t="shared" si="27"/>
        <v>-3299815.0751999994</v>
      </c>
      <c r="F58" s="11">
        <f t="shared" si="27"/>
        <v>-4714021.5359999994</v>
      </c>
      <c r="G58" s="11">
        <f t="shared" si="27"/>
        <v>-7096485.9840000002</v>
      </c>
      <c r="H58" s="11">
        <f t="shared" si="27"/>
        <v>-9316046.8800000008</v>
      </c>
      <c r="I58" s="11">
        <f t="shared" si="27"/>
        <v>-12110860.943999998</v>
      </c>
      <c r="J58" s="11">
        <f t="shared" si="27"/>
        <v>-15743610.153599998</v>
      </c>
      <c r="K58" s="11">
        <f t="shared" si="27"/>
        <v>-28161280.454399999</v>
      </c>
      <c r="L58" s="11">
        <f t="shared" si="27"/>
        <v>-29006454.816</v>
      </c>
      <c r="M58" s="11">
        <f t="shared" si="27"/>
        <v>-29876383.238400001</v>
      </c>
      <c r="N58" s="11">
        <f t="shared" si="27"/>
        <v>-30772833.868800003</v>
      </c>
      <c r="O58" s="11">
        <f t="shared" si="27"/>
        <v>-31695806.707199994</v>
      </c>
      <c r="P58" s="11">
        <f t="shared" si="27"/>
        <v>-32647069.900800001</v>
      </c>
      <c r="Q58" s="11">
        <f t="shared" si="27"/>
        <v>-33626623.449599996</v>
      </c>
      <c r="R58" s="11">
        <f t="shared" si="27"/>
        <v>-34634467.353599995</v>
      </c>
      <c r="S58" s="44"/>
      <c r="T58" s="44"/>
      <c r="U58" s="44"/>
      <c r="V58" s="44"/>
      <c r="X58" s="96" t="s">
        <v>84</v>
      </c>
      <c r="Y58" s="65">
        <v>145786808.09946051</v>
      </c>
      <c r="Z58" s="65">
        <v>137016410.87634161</v>
      </c>
      <c r="AA58" s="65">
        <v>128697234.50808835</v>
      </c>
      <c r="AB58" s="65">
        <v>120803119.47771084</v>
      </c>
      <c r="AC58" s="65">
        <v>113309581.24488729</v>
      </c>
      <c r="AD58" s="65">
        <v>106193693.61453727</v>
      </c>
      <c r="AE58" s="65">
        <v>99433980.834467024</v>
      </c>
      <c r="AF58" s="65">
        <v>93010317.726035446</v>
      </c>
      <c r="AG58" s="65">
        <v>86903837.21052739</v>
      </c>
      <c r="AH58" s="95" t="s">
        <v>83</v>
      </c>
      <c r="AJ58" s="96" t="s">
        <v>84</v>
      </c>
      <c r="AK58" s="65">
        <v>56404198.145617485</v>
      </c>
      <c r="AL58" s="65">
        <v>53403901.391158268</v>
      </c>
      <c r="AM58" s="65">
        <v>50568456.877627008</v>
      </c>
      <c r="AN58" s="65">
        <v>47887813.79791221</v>
      </c>
      <c r="AO58" s="65">
        <v>45352587.373432301</v>
      </c>
      <c r="AP58" s="65">
        <v>42954011.404579848</v>
      </c>
      <c r="AQ58" s="65">
        <v>40683894.427016824</v>
      </c>
      <c r="AR58" s="65">
        <v>38534579.183322079</v>
      </c>
      <c r="AS58" s="65">
        <v>36498905.144179776</v>
      </c>
      <c r="AT58" s="90" t="s">
        <v>83</v>
      </c>
    </row>
    <row r="59" spans="1:46" ht="18" thickBot="1" x14ac:dyDescent="0.45">
      <c r="A59" s="17" t="s">
        <v>0</v>
      </c>
      <c r="B59" s="15"/>
      <c r="C59" s="11">
        <v>0</v>
      </c>
      <c r="D59" s="11">
        <f t="shared" ref="D59:R59" si="28">D57+D58</f>
        <v>5388034.9824000001</v>
      </c>
      <c r="E59" s="11">
        <f t="shared" si="28"/>
        <v>7699568.5088</v>
      </c>
      <c r="F59" s="11">
        <f t="shared" si="28"/>
        <v>10999383.583999999</v>
      </c>
      <c r="G59" s="11">
        <f t="shared" si="28"/>
        <v>16558467.296</v>
      </c>
      <c r="H59" s="11">
        <f t="shared" si="28"/>
        <v>21737442.719999999</v>
      </c>
      <c r="I59" s="11">
        <f t="shared" si="28"/>
        <v>28258675.535999998</v>
      </c>
      <c r="J59" s="11">
        <f t="shared" si="28"/>
        <v>36735090.358399995</v>
      </c>
      <c r="K59" s="11">
        <f t="shared" si="28"/>
        <v>65709654.393600002</v>
      </c>
      <c r="L59" s="11">
        <f t="shared" si="28"/>
        <v>67681727.903999999</v>
      </c>
      <c r="M59" s="11">
        <f t="shared" si="28"/>
        <v>69711560.889600009</v>
      </c>
      <c r="N59" s="11">
        <f t="shared" si="28"/>
        <v>71803279.027200013</v>
      </c>
      <c r="O59" s="11">
        <f t="shared" si="28"/>
        <v>73956882.316799998</v>
      </c>
      <c r="P59" s="11">
        <f t="shared" si="28"/>
        <v>76176496.435200006</v>
      </c>
      <c r="Q59" s="11">
        <f t="shared" si="28"/>
        <v>78462121.382400006</v>
      </c>
      <c r="R59" s="11">
        <f t="shared" si="28"/>
        <v>80813757.158399999</v>
      </c>
      <c r="S59" s="44"/>
      <c r="T59" s="44"/>
      <c r="U59" s="44"/>
      <c r="V59" s="44"/>
    </row>
    <row r="60" spans="1:46" ht="18" thickBot="1" x14ac:dyDescent="0.45">
      <c r="A60" s="20" t="s">
        <v>17</v>
      </c>
      <c r="B60" s="15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44"/>
      <c r="T60" s="44"/>
      <c r="U60" s="44"/>
      <c r="V60" s="44"/>
    </row>
    <row r="61" spans="1:46" ht="18" thickBot="1" x14ac:dyDescent="0.45">
      <c r="A61" s="10" t="s">
        <v>18</v>
      </c>
      <c r="B61" s="15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44"/>
      <c r="T61" s="44"/>
      <c r="U61" s="44"/>
      <c r="V61" s="44"/>
    </row>
    <row r="62" spans="1:46" ht="25.15" thickBot="1" x14ac:dyDescent="0.7">
      <c r="A62" s="12" t="s">
        <v>19</v>
      </c>
      <c r="B62" s="15"/>
      <c r="C62" s="11">
        <v>0</v>
      </c>
      <c r="D62" s="11">
        <f>D59*Y63/Y62</f>
        <v>5388034.9824000001</v>
      </c>
      <c r="E62" s="11">
        <f>E59*Y63/Y62</f>
        <v>7699568.5088</v>
      </c>
      <c r="F62" s="11">
        <f>F59*Y63/Y62</f>
        <v>10999383.583999999</v>
      </c>
      <c r="G62" s="11">
        <f>G59*Y63/Y62</f>
        <v>16558467.295999998</v>
      </c>
      <c r="H62" s="11">
        <f>H59*Y63/Y62</f>
        <v>21737442.719999999</v>
      </c>
      <c r="I62" s="11">
        <f>I59*Y63/Y62</f>
        <v>28258675.535999998</v>
      </c>
      <c r="J62" s="11">
        <f>J59*Y63/Y62</f>
        <v>36735090.358399995</v>
      </c>
      <c r="K62" s="47">
        <f>(K59)*Y63/Y62</f>
        <v>65709654.393600009</v>
      </c>
      <c r="L62" s="11">
        <f>L59*Y63/Y62</f>
        <v>67681727.903999999</v>
      </c>
      <c r="M62" s="11">
        <f>M59*Y63/Y62</f>
        <v>69711560.889600009</v>
      </c>
      <c r="N62" s="11">
        <f>N59*Y63/Y62</f>
        <v>71803279.027200013</v>
      </c>
      <c r="O62" s="11">
        <f>O59*Y63/Y62</f>
        <v>73956882.316799998</v>
      </c>
      <c r="P62" s="11">
        <f>P59*Y63/Y62</f>
        <v>76176496.435200006</v>
      </c>
      <c r="Q62" s="11">
        <f>Q59*Y63/Y62</f>
        <v>78462121.382400006</v>
      </c>
      <c r="R62" s="11">
        <f>R59*Y63/Y62</f>
        <v>80813757.158399999</v>
      </c>
      <c r="S62" s="44"/>
      <c r="T62" s="44"/>
      <c r="U62" s="44"/>
      <c r="V62" s="44"/>
      <c r="X62" s="47" t="s">
        <v>61</v>
      </c>
      <c r="Y62" s="79">
        <v>100</v>
      </c>
      <c r="Z62" s="47"/>
      <c r="AB62" s="81" t="s">
        <v>66</v>
      </c>
      <c r="AC62" s="47">
        <v>1</v>
      </c>
      <c r="AD62" s="82">
        <f>B43</f>
        <v>113309581.24488729</v>
      </c>
    </row>
    <row r="63" spans="1:46" ht="32.25" thickBot="1" x14ac:dyDescent="0.7">
      <c r="A63" s="12" t="s">
        <v>20</v>
      </c>
      <c r="B63" s="16" t="s">
        <v>21</v>
      </c>
      <c r="C63" s="11">
        <f>C53*0.1</f>
        <v>0</v>
      </c>
      <c r="D63" s="11">
        <f>D53*0.1*Y64/Y62</f>
        <v>2268000</v>
      </c>
      <c r="E63" s="11">
        <f>E53*0.1*Y64/Y62</f>
        <v>3241000</v>
      </c>
      <c r="F63" s="11">
        <f>F53*0.1*Y64/Y62</f>
        <v>4630000</v>
      </c>
      <c r="G63" s="11">
        <f>G53*0.1*Y64/Y62</f>
        <v>6970000</v>
      </c>
      <c r="H63" s="11">
        <f>H53*0.1*Y64/Y62</f>
        <v>9150000</v>
      </c>
      <c r="I63" s="11">
        <f>I53*0.1*Y64/Y62</f>
        <v>11895000</v>
      </c>
      <c r="J63" s="11">
        <f>J53*0.1*Y64/Y62</f>
        <v>15463000</v>
      </c>
      <c r="K63" s="11">
        <f>K53*0.03*Y64/Y62</f>
        <v>4778100</v>
      </c>
      <c r="L63" s="11">
        <f>L53*0.03*Y64/Y62</f>
        <v>4921500</v>
      </c>
      <c r="M63" s="11">
        <f>M53*0.03*Y64/Y62</f>
        <v>5069100</v>
      </c>
      <c r="N63" s="11">
        <f>N53*0.03*Y64/Y62</f>
        <v>5221200</v>
      </c>
      <c r="O63" s="11">
        <f>O53*0.03*Y64/Y62</f>
        <v>5377800</v>
      </c>
      <c r="P63" s="11">
        <f>P53*0.03*Y64/Y62</f>
        <v>5539200</v>
      </c>
      <c r="Q63" s="11">
        <f>Q53*0.03*Y64/Y62</f>
        <v>5705400</v>
      </c>
      <c r="R63" s="11">
        <f t="shared" ref="R63" si="29">R53*0.03</f>
        <v>5876400</v>
      </c>
      <c r="S63" s="44"/>
      <c r="T63" s="44"/>
      <c r="U63" s="44"/>
      <c r="V63" s="44"/>
      <c r="X63" s="59" t="s">
        <v>19</v>
      </c>
      <c r="Y63" s="79">
        <v>100</v>
      </c>
      <c r="Z63" s="66"/>
      <c r="AA63" s="67"/>
      <c r="AB63" s="66"/>
      <c r="AC63" s="47">
        <v>2</v>
      </c>
      <c r="AD63" s="82">
        <f>B90</f>
        <v>45352587.373432301</v>
      </c>
      <c r="AE63" s="67"/>
      <c r="AF63" s="67"/>
      <c r="AG63" s="67"/>
      <c r="AH63" s="67"/>
    </row>
    <row r="64" spans="1:46" ht="35.65" thickBot="1" x14ac:dyDescent="0.7">
      <c r="A64" s="12" t="s">
        <v>22</v>
      </c>
      <c r="B64" s="16" t="s">
        <v>23</v>
      </c>
      <c r="C64" s="11">
        <v>0</v>
      </c>
      <c r="D64" s="11">
        <f>25114000*Y65/Y62</f>
        <v>25114000</v>
      </c>
      <c r="E64" s="11">
        <f>27905000*Y65/Y62</f>
        <v>27905000</v>
      </c>
      <c r="F64" s="11">
        <f>31005000*Y65/Y62</f>
        <v>31005000</v>
      </c>
      <c r="G64" s="11">
        <f>34451000*Y65/Y62</f>
        <v>34451000</v>
      </c>
      <c r="H64" s="11">
        <f>37874000*Y65/Y62</f>
        <v>37874000</v>
      </c>
      <c r="I64" s="11">
        <f>41661000*Y65/Y62</f>
        <v>41661000</v>
      </c>
      <c r="J64" s="11">
        <f>45827000*Y65/Y62</f>
        <v>45827000</v>
      </c>
      <c r="K64" s="11">
        <f>48118000*Y65/Y62</f>
        <v>48118000</v>
      </c>
      <c r="L64" s="11">
        <f>50524000*Y65/Y62</f>
        <v>50524000</v>
      </c>
      <c r="M64" s="11">
        <f>53050000*Y65/Y62</f>
        <v>53050000</v>
      </c>
      <c r="N64" s="11">
        <f>55702000*Y65/Y62</f>
        <v>55702000</v>
      </c>
      <c r="O64" s="11">
        <f>58487000*Y65/Y62</f>
        <v>58487000</v>
      </c>
      <c r="P64" s="11">
        <f>61412000*Y65/Y62</f>
        <v>61412000</v>
      </c>
      <c r="Q64" s="11">
        <f>64482000*Y65/Y62</f>
        <v>64482000</v>
      </c>
      <c r="R64" s="11">
        <f>67706000*Y65/Y62</f>
        <v>67706000</v>
      </c>
      <c r="S64" s="44"/>
      <c r="T64" s="44"/>
      <c r="U64" s="44"/>
      <c r="V64" s="44"/>
      <c r="X64" s="59" t="s">
        <v>20</v>
      </c>
      <c r="Y64" s="79">
        <v>100</v>
      </c>
      <c r="Z64" s="66"/>
    </row>
    <row r="65" spans="1:26" ht="32.25" customHeight="1" thickBot="1" x14ac:dyDescent="0.7">
      <c r="A65" s="12" t="s">
        <v>24</v>
      </c>
      <c r="B65" s="15"/>
      <c r="C65" s="11">
        <f t="shared" ref="C65" si="30">C53*(-0.6)</f>
        <v>0</v>
      </c>
      <c r="D65" s="11">
        <f>D53*(-0.6)*Y66/Y62</f>
        <v>-13608000</v>
      </c>
      <c r="E65" s="11">
        <f>E53*(-0.6)*Y66/Y62</f>
        <v>-19446000</v>
      </c>
      <c r="F65" s="11">
        <f>F53*(-0.6)*Y66/Y62</f>
        <v>-27780000</v>
      </c>
      <c r="G65" s="11">
        <f>G53*(-0.6)*Y66/Y62</f>
        <v>-41820000</v>
      </c>
      <c r="H65" s="11">
        <f>H53*(-0.6)*Y66/Y62</f>
        <v>-54900000</v>
      </c>
      <c r="I65" s="11">
        <f>I53*(-0.6)*Y66/Y62</f>
        <v>-71370000</v>
      </c>
      <c r="J65" s="11">
        <f>J53*(-0.6)*Y66/Y62</f>
        <v>-92778000</v>
      </c>
      <c r="K65" s="11">
        <f>K53*(-0.6)*Y66/Y62</f>
        <v>-95562000</v>
      </c>
      <c r="L65" s="11">
        <f>L53*(-0.6)*Y66/Y62</f>
        <v>-98430000</v>
      </c>
      <c r="M65" s="11">
        <f>M53*(-0.6)*Y66/Y62</f>
        <v>-101382000</v>
      </c>
      <c r="N65" s="11">
        <f>N53*(-0.6)*Y66/Y62</f>
        <v>-104424000</v>
      </c>
      <c r="O65" s="11">
        <f>O53*(-0.6)*Y66/Y62</f>
        <v>-107556000</v>
      </c>
      <c r="P65" s="11">
        <f>P53*(-0.6)*Y66/Y62</f>
        <v>-110784000</v>
      </c>
      <c r="Q65" s="11">
        <f>Q53*(-0.6)*Y66/Y62</f>
        <v>-114108000</v>
      </c>
      <c r="R65" s="11">
        <f>R53*(-0.6)*Y66/Y62</f>
        <v>-117528000</v>
      </c>
      <c r="S65" s="44"/>
      <c r="T65" s="44"/>
      <c r="U65" s="44"/>
      <c r="V65" s="44"/>
      <c r="X65" s="59" t="s">
        <v>22</v>
      </c>
      <c r="Y65" s="79">
        <v>100</v>
      </c>
      <c r="Z65" s="66"/>
    </row>
    <row r="66" spans="1:26" ht="31.9" customHeight="1" thickBot="1" x14ac:dyDescent="0.7">
      <c r="A66" s="12" t="s">
        <v>25</v>
      </c>
      <c r="B66" s="15"/>
      <c r="C66" s="11">
        <v>0</v>
      </c>
      <c r="D66" s="11">
        <f>-11692000*Y67/Y62</f>
        <v>-11692000</v>
      </c>
      <c r="E66" s="11">
        <f>-11790000*Y67/Y62</f>
        <v>-11790000</v>
      </c>
      <c r="F66" s="11">
        <f>-11853000*Y67/Y62</f>
        <v>-11853000</v>
      </c>
      <c r="G66" s="11">
        <f>-11901000*Y67/Y62</f>
        <v>-11901000</v>
      </c>
      <c r="H66" s="11">
        <f>-11973000*Y67/Y62</f>
        <v>-11973000</v>
      </c>
      <c r="I66" s="11">
        <f>-12294000*Y67/Y62</f>
        <v>-12294000</v>
      </c>
      <c r="J66" s="11">
        <f>-12417000*Y67/Y62</f>
        <v>-12417000</v>
      </c>
      <c r="K66" s="11">
        <f>-12541000*Y67/Y62</f>
        <v>-12541000</v>
      </c>
      <c r="L66" s="11">
        <f>-12667000*Y67/Y62</f>
        <v>-12667000</v>
      </c>
      <c r="M66" s="11">
        <f>-12793000*Y67/Y62</f>
        <v>-12793000</v>
      </c>
      <c r="N66" s="11">
        <f>-12921000*Y67/Y62</f>
        <v>-12921000</v>
      </c>
      <c r="O66" s="11">
        <f>-13051000*Y67/Y62</f>
        <v>-13051000</v>
      </c>
      <c r="P66" s="11">
        <f>-13181000*Y67/Y62</f>
        <v>-13181000</v>
      </c>
      <c r="Q66" s="11">
        <f>-13313000*Y67/Y62</f>
        <v>-13313000</v>
      </c>
      <c r="R66" s="11">
        <f>-13446000*Y67/Y62</f>
        <v>-13446000</v>
      </c>
      <c r="S66" s="44"/>
      <c r="T66" s="44"/>
      <c r="U66" s="44"/>
      <c r="V66" s="44"/>
      <c r="X66" s="59" t="s">
        <v>24</v>
      </c>
      <c r="Y66" s="79">
        <v>100</v>
      </c>
      <c r="Z66" s="66"/>
    </row>
    <row r="67" spans="1:26" ht="29.75" customHeight="1" thickBot="1" x14ac:dyDescent="0.7">
      <c r="A67" s="12" t="s">
        <v>26</v>
      </c>
      <c r="B67" s="15"/>
      <c r="C67" s="11">
        <f t="shared" ref="C67" si="31">C55*(-1)</f>
        <v>0</v>
      </c>
      <c r="D67" s="11">
        <f>D55*(-1)*Y68/Y62</f>
        <v>3502699.2</v>
      </c>
      <c r="E67" s="11">
        <f>E55*(-1)*Y68/Y62</f>
        <v>5005400.4000000004</v>
      </c>
      <c r="F67" s="11">
        <f>F55*(-1)*Y68/Y62</f>
        <v>7150572.0000000009</v>
      </c>
      <c r="G67" s="11">
        <f>G55*(-1)*Y68/Y62</f>
        <v>10764468</v>
      </c>
      <c r="H67" s="11">
        <f>H55*(-1)*Y68/Y62</f>
        <v>14131260.000000002</v>
      </c>
      <c r="I67" s="11">
        <f>I55*(-1)*Y68/Y62</f>
        <v>18370638</v>
      </c>
      <c r="J67" s="11">
        <f>J55*(-1)*Y68/Y62</f>
        <v>23881057.200000003</v>
      </c>
      <c r="K67" s="11">
        <f>K55*(-1)*Y68/Y62</f>
        <v>24597658.800000001</v>
      </c>
      <c r="L67" s="11">
        <f>L55*(-1)*Y68/Y62</f>
        <v>25335882</v>
      </c>
      <c r="M67" s="11">
        <f>M55*(-1)*Y68/Y62</f>
        <v>26095726.800000001</v>
      </c>
      <c r="N67" s="11">
        <f>N55*(-1)*Y68/Y62</f>
        <v>26878737.600000001</v>
      </c>
      <c r="O67" s="11">
        <f>O55*(-1)*Y68/Y62</f>
        <v>27684914.399999999</v>
      </c>
      <c r="P67" s="11">
        <f>P55*(-1)*Y68/Y62</f>
        <v>28515801.600000001</v>
      </c>
      <c r="Q67" s="11">
        <f>Q55*(-1)*Y68/Y62</f>
        <v>29371399.200000003</v>
      </c>
      <c r="R67" s="11">
        <f>R55*(-1)*Y68/Y62</f>
        <v>30251707.200000003</v>
      </c>
      <c r="S67" s="44"/>
      <c r="T67" s="44"/>
      <c r="U67" s="44"/>
      <c r="V67" s="44"/>
      <c r="X67" s="59" t="s">
        <v>25</v>
      </c>
      <c r="Y67" s="79">
        <v>100</v>
      </c>
      <c r="Z67" s="66"/>
    </row>
    <row r="68" spans="1:26" ht="31.5" customHeight="1" thickBot="1" x14ac:dyDescent="0.7">
      <c r="A68" s="10" t="s">
        <v>27</v>
      </c>
      <c r="B68" s="15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44"/>
      <c r="T68" s="44"/>
      <c r="U68" s="44"/>
      <c r="V68" s="44"/>
      <c r="X68" s="59" t="s">
        <v>26</v>
      </c>
      <c r="Y68" s="79">
        <v>100</v>
      </c>
      <c r="Z68" s="66"/>
    </row>
    <row r="69" spans="1:26" ht="28.9" customHeight="1" thickBot="1" x14ac:dyDescent="0.7">
      <c r="A69" s="12" t="s">
        <v>28</v>
      </c>
      <c r="B69" s="16" t="s">
        <v>29</v>
      </c>
      <c r="C69" s="11">
        <f>-9540000*Y69/Y62</f>
        <v>-9540000</v>
      </c>
      <c r="D69" s="11">
        <f>-10260000*Y69/Y62</f>
        <v>-10260000</v>
      </c>
      <c r="E69" s="11">
        <f>-11030000*Y69/Y62</f>
        <v>-11030000</v>
      </c>
      <c r="F69" s="11">
        <f>-11860000*Y69/Y62</f>
        <v>-11860000</v>
      </c>
      <c r="G69" s="11">
        <f>-12760000*Y69/Y62</f>
        <v>-12760000</v>
      </c>
      <c r="H69" s="11">
        <f>-10400000*Y69/Y62</f>
        <v>-10400000</v>
      </c>
      <c r="I69" s="11">
        <f>-11120000*Y69/Y62</f>
        <v>-11120000</v>
      </c>
      <c r="J69" s="11">
        <f>-11900000*Y69/Y62</f>
        <v>-11900000</v>
      </c>
      <c r="K69" s="11">
        <f>-12740000*Y69/Y62</f>
        <v>-12740000</v>
      </c>
      <c r="L69" s="11">
        <f>-13630000*Y69/Y62</f>
        <v>-13630000</v>
      </c>
      <c r="M69" s="11">
        <f>-14580000*Y69/Y62</f>
        <v>-14580000</v>
      </c>
      <c r="N69" s="11">
        <f>-15600000*Y69/Y62</f>
        <v>-15600000</v>
      </c>
      <c r="O69" s="11">
        <f>-16700000*Y69/Y62</f>
        <v>-16700000</v>
      </c>
      <c r="P69" s="11">
        <f>-17860000*Y69/Y62</f>
        <v>-17860000</v>
      </c>
      <c r="Q69" s="11">
        <f>-19110000*Y69/Y62</f>
        <v>-19110000</v>
      </c>
      <c r="R69" s="11">
        <f>-20450000*Y69/Y62</f>
        <v>-20450000</v>
      </c>
      <c r="S69" s="44"/>
      <c r="T69" s="44"/>
      <c r="U69" s="44"/>
      <c r="V69" s="44"/>
      <c r="X69" s="59" t="s">
        <v>28</v>
      </c>
      <c r="Y69" s="79">
        <v>100</v>
      </c>
      <c r="Z69" s="66"/>
    </row>
    <row r="70" spans="1:26" ht="27.85" customHeight="1" thickBot="1" x14ac:dyDescent="0.7">
      <c r="A70" s="12" t="s">
        <v>30</v>
      </c>
      <c r="B70" s="23"/>
      <c r="C70" s="11">
        <v>0</v>
      </c>
      <c r="D70" s="11">
        <f>D69*(-0.1)*Y70/Y62</f>
        <v>1026000</v>
      </c>
      <c r="E70" s="11">
        <f>E69*(-0.1)*Y70/Y62</f>
        <v>1103000</v>
      </c>
      <c r="F70" s="11">
        <f>F69*(-0.1)*Y70/Y62</f>
        <v>1186000</v>
      </c>
      <c r="G70" s="11">
        <f>G69*(-0.1)*Y70/Y62</f>
        <v>1276000</v>
      </c>
      <c r="H70" s="11">
        <f>H69*(-0.1)*Y70/Y62</f>
        <v>1040000</v>
      </c>
      <c r="I70" s="11">
        <f>I69*(-0.1)*Y70/Y62</f>
        <v>1112000</v>
      </c>
      <c r="J70" s="11">
        <f>J69*(-0.1)*Y70/Y62</f>
        <v>1190000</v>
      </c>
      <c r="K70" s="11">
        <f>K69*(-0.1)*Y70/Y62</f>
        <v>1274000</v>
      </c>
      <c r="L70" s="11">
        <f>L69*(-0.1)*Y70/Y62</f>
        <v>1363000</v>
      </c>
      <c r="M70" s="11">
        <f>M69*(-0.1)*Y70/Y62</f>
        <v>1458000</v>
      </c>
      <c r="N70" s="11">
        <f>N69*(-0.1)*Y70/Y62</f>
        <v>1560000</v>
      </c>
      <c r="O70" s="11">
        <f>O69*(-0.1)*Y70/Y62</f>
        <v>1670000</v>
      </c>
      <c r="P70" s="11">
        <f>P69*(-0.1)*Y70/Y62</f>
        <v>1786000</v>
      </c>
      <c r="Q70" s="11">
        <f>Q69*(-0.1)*Y70/Y62</f>
        <v>1911000</v>
      </c>
      <c r="R70" s="11">
        <f>R69*(-0.1)*Y70/Y62</f>
        <v>2045000</v>
      </c>
      <c r="S70" s="44"/>
      <c r="T70" s="44"/>
      <c r="U70" s="44"/>
      <c r="V70" s="44"/>
      <c r="X70" s="59" t="s">
        <v>30</v>
      </c>
      <c r="Y70" s="79">
        <v>100</v>
      </c>
      <c r="Z70" s="66"/>
    </row>
    <row r="71" spans="1:26" ht="30.4" customHeight="1" thickBot="1" x14ac:dyDescent="0.7">
      <c r="A71" s="12" t="s">
        <v>31</v>
      </c>
      <c r="B71" s="23"/>
      <c r="C71" s="11">
        <v>0</v>
      </c>
      <c r="D71" s="11">
        <f>-1000000*Y71/Y62</f>
        <v>-1000000</v>
      </c>
      <c r="E71" s="11">
        <f>-1010000*Y71/Y62</f>
        <v>-1010000</v>
      </c>
      <c r="F71" s="11">
        <f>-1020000*Y71/Y62</f>
        <v>-1020000</v>
      </c>
      <c r="G71" s="11">
        <f>-1030000*Y71/Y62</f>
        <v>-1030000</v>
      </c>
      <c r="H71" s="11">
        <f>-1040000*Y71/Y62</f>
        <v>-1040000</v>
      </c>
      <c r="I71" s="11">
        <f>-1050000*Y71/Y62</f>
        <v>-1050000</v>
      </c>
      <c r="J71" s="11">
        <f>-1060000*Y71/Y62</f>
        <v>-1060000</v>
      </c>
      <c r="K71" s="11">
        <f>-1070000*Y71/Y62</f>
        <v>-1070000</v>
      </c>
      <c r="L71" s="11">
        <f>-1080000*Y71/Y62</f>
        <v>-1080000</v>
      </c>
      <c r="M71" s="11">
        <f>-1090000*Y71/Y62</f>
        <v>-1090000</v>
      </c>
      <c r="N71" s="11">
        <f>-1100000*Y71/Y62</f>
        <v>-1100000</v>
      </c>
      <c r="O71" s="11">
        <f>-1110000*Y71/Y62</f>
        <v>-1110000</v>
      </c>
      <c r="P71" s="11">
        <f>-1120000*Y71/Y62</f>
        <v>-1120000</v>
      </c>
      <c r="Q71" s="11">
        <f>-1130000*Y71/Y62</f>
        <v>-1130000</v>
      </c>
      <c r="R71" s="11">
        <f>-1140000*Y71/Y62</f>
        <v>-1140000</v>
      </c>
      <c r="S71" s="44"/>
      <c r="T71" s="44"/>
      <c r="U71" s="44"/>
      <c r="V71" s="44"/>
      <c r="X71" s="59" t="s">
        <v>31</v>
      </c>
      <c r="Y71" s="79">
        <v>100</v>
      </c>
      <c r="Z71" s="66"/>
    </row>
    <row r="72" spans="1:26" ht="30.4" customHeight="1" thickBot="1" x14ac:dyDescent="0.7">
      <c r="A72" s="24" t="s">
        <v>32</v>
      </c>
      <c r="B72" s="23"/>
      <c r="C72" s="11">
        <v>0</v>
      </c>
      <c r="D72" s="11">
        <v>1000000</v>
      </c>
      <c r="E72" s="11">
        <v>1010000</v>
      </c>
      <c r="F72" s="11">
        <v>1020000</v>
      </c>
      <c r="G72" s="11">
        <v>1030000</v>
      </c>
      <c r="H72" s="11">
        <v>1040000</v>
      </c>
      <c r="I72" s="11">
        <v>1050000</v>
      </c>
      <c r="J72" s="11">
        <v>1060000</v>
      </c>
      <c r="K72" s="11">
        <v>1070000</v>
      </c>
      <c r="L72" s="11">
        <v>1080000</v>
      </c>
      <c r="M72" s="11">
        <v>1090000</v>
      </c>
      <c r="N72" s="11">
        <v>1100000</v>
      </c>
      <c r="O72" s="11">
        <v>1110000</v>
      </c>
      <c r="P72" s="11">
        <v>1120000</v>
      </c>
      <c r="Q72" s="11">
        <v>1130000</v>
      </c>
      <c r="R72" s="11">
        <v>1140000</v>
      </c>
      <c r="S72" s="44"/>
      <c r="T72" s="44"/>
      <c r="U72" s="44"/>
      <c r="V72" s="44"/>
      <c r="X72" s="92" t="s">
        <v>81</v>
      </c>
      <c r="Y72" s="93">
        <v>100</v>
      </c>
    </row>
    <row r="73" spans="1:26" ht="18" thickBot="1" x14ac:dyDescent="0.45">
      <c r="A73" s="24" t="s">
        <v>34</v>
      </c>
      <c r="B73" s="23"/>
      <c r="C73" s="11">
        <v>0</v>
      </c>
      <c r="D73" s="11">
        <v>21000</v>
      </c>
      <c r="E73" s="11">
        <v>-34000</v>
      </c>
      <c r="F73" s="11">
        <v>83000</v>
      </c>
      <c r="G73" s="11">
        <v>67000</v>
      </c>
      <c r="H73" s="11">
        <v>-145000</v>
      </c>
      <c r="I73" s="11">
        <v>62000</v>
      </c>
      <c r="J73" s="11">
        <v>-123000</v>
      </c>
      <c r="K73" s="11">
        <v>76000</v>
      </c>
      <c r="L73" s="11">
        <v>-87000</v>
      </c>
      <c r="M73" s="11">
        <v>63000</v>
      </c>
      <c r="N73" s="11">
        <v>82000</v>
      </c>
      <c r="O73" s="11">
        <v>74000</v>
      </c>
      <c r="P73" s="11">
        <v>36000</v>
      </c>
      <c r="Q73" s="11">
        <v>-122000</v>
      </c>
      <c r="R73" s="11">
        <v>43000</v>
      </c>
      <c r="S73" s="44"/>
      <c r="T73" s="44"/>
      <c r="U73" s="44"/>
      <c r="V73" s="44"/>
      <c r="X73" s="92" t="s">
        <v>82</v>
      </c>
      <c r="Y73">
        <v>85</v>
      </c>
    </row>
    <row r="74" spans="1:26" ht="18" thickBot="1" x14ac:dyDescent="0.45">
      <c r="A74" s="12" t="s">
        <v>62</v>
      </c>
      <c r="B74" s="23"/>
      <c r="C74" s="11">
        <v>-1257000</v>
      </c>
      <c r="D74" s="11">
        <f t="shared" ref="D74:R74" si="32">D53*(-0.07)</f>
        <v>-1587600.0000000002</v>
      </c>
      <c r="E74" s="11">
        <f t="shared" si="32"/>
        <v>-2268700</v>
      </c>
      <c r="F74" s="11">
        <f t="shared" si="32"/>
        <v>-3241000.0000000005</v>
      </c>
      <c r="G74" s="11">
        <f t="shared" si="32"/>
        <v>-4879000</v>
      </c>
      <c r="H74" s="11">
        <f t="shared" si="32"/>
        <v>-6405000.0000000009</v>
      </c>
      <c r="I74" s="11">
        <f t="shared" si="32"/>
        <v>-8326500.0000000009</v>
      </c>
      <c r="J74" s="11">
        <f t="shared" si="32"/>
        <v>-10824100.000000002</v>
      </c>
      <c r="K74" s="11">
        <f t="shared" si="32"/>
        <v>-11148900.000000002</v>
      </c>
      <c r="L74" s="11">
        <f t="shared" si="32"/>
        <v>-11483500.000000002</v>
      </c>
      <c r="M74" s="11">
        <f t="shared" si="32"/>
        <v>-11827900.000000002</v>
      </c>
      <c r="N74" s="11">
        <f t="shared" si="32"/>
        <v>-12182800.000000002</v>
      </c>
      <c r="O74" s="11">
        <f t="shared" si="32"/>
        <v>-12548200.000000002</v>
      </c>
      <c r="P74" s="11">
        <f t="shared" si="32"/>
        <v>-12924800.000000002</v>
      </c>
      <c r="Q74" s="11">
        <f t="shared" si="32"/>
        <v>-13312600.000000002</v>
      </c>
      <c r="R74" s="11">
        <f t="shared" si="32"/>
        <v>-13711600.000000002</v>
      </c>
      <c r="S74" s="44"/>
      <c r="T74" s="44"/>
      <c r="U74" s="44"/>
      <c r="V74" s="44"/>
    </row>
    <row r="75" spans="1:26" ht="18" thickBot="1" x14ac:dyDescent="0.45">
      <c r="A75" s="24" t="s">
        <v>38</v>
      </c>
      <c r="B75" s="23"/>
      <c r="C75" s="11">
        <v>0</v>
      </c>
      <c r="D75" s="11">
        <v>2000000</v>
      </c>
      <c r="E75" s="11">
        <v>2010000</v>
      </c>
      <c r="F75" s="11">
        <v>2020000</v>
      </c>
      <c r="G75" s="11">
        <v>2030000</v>
      </c>
      <c r="H75" s="11">
        <v>2040000</v>
      </c>
      <c r="I75" s="11">
        <v>2050000</v>
      </c>
      <c r="J75" s="11">
        <v>2060000</v>
      </c>
      <c r="K75" s="11">
        <v>2070000</v>
      </c>
      <c r="L75" s="11">
        <v>2080000</v>
      </c>
      <c r="M75" s="11">
        <v>2090000</v>
      </c>
      <c r="N75" s="11">
        <v>2100000</v>
      </c>
      <c r="O75" s="11">
        <v>2110000</v>
      </c>
      <c r="P75" s="11">
        <v>2120000</v>
      </c>
      <c r="Q75" s="11">
        <v>2130000</v>
      </c>
      <c r="R75" s="11">
        <v>2140000</v>
      </c>
      <c r="S75" s="44"/>
      <c r="T75" s="44"/>
      <c r="U75" s="44"/>
      <c r="V75" s="44"/>
    </row>
    <row r="76" spans="1:26" ht="18" thickBot="1" x14ac:dyDescent="0.45">
      <c r="A76" s="10" t="s">
        <v>39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44"/>
      <c r="T76" s="44"/>
      <c r="U76" s="44"/>
      <c r="V76" s="44"/>
    </row>
    <row r="77" spans="1:26" ht="18" thickBot="1" x14ac:dyDescent="0.45">
      <c r="A77" s="12" t="s">
        <v>40</v>
      </c>
      <c r="B77" s="23"/>
      <c r="C77" s="11">
        <v>0</v>
      </c>
      <c r="D77" s="11">
        <v>5000000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44"/>
      <c r="T77" s="44"/>
      <c r="U77" s="44"/>
      <c r="V77" s="44"/>
    </row>
    <row r="78" spans="1:26" ht="18" thickBot="1" x14ac:dyDescent="0.45">
      <c r="A78" s="12" t="s">
        <v>41</v>
      </c>
      <c r="C78" s="11">
        <v>0</v>
      </c>
      <c r="D78" s="11">
        <v>-927000</v>
      </c>
      <c r="E78" s="11">
        <v>-984000</v>
      </c>
      <c r="F78" s="11">
        <v>-952000</v>
      </c>
      <c r="G78" s="11">
        <v>-930000</v>
      </c>
      <c r="H78" s="11">
        <v>-976000</v>
      </c>
      <c r="I78" s="11">
        <v>-974000</v>
      </c>
      <c r="J78" s="11">
        <v>-965000</v>
      </c>
      <c r="K78" s="11">
        <v>-932000</v>
      </c>
      <c r="L78" s="11">
        <v>-974000</v>
      </c>
      <c r="M78" s="11">
        <v>-962000</v>
      </c>
      <c r="N78" s="11">
        <v>-963000</v>
      </c>
      <c r="O78" s="11">
        <v>-942000</v>
      </c>
      <c r="P78" s="11">
        <v>-989000</v>
      </c>
      <c r="Q78" s="11">
        <v>-978000</v>
      </c>
      <c r="R78" s="11">
        <v>-965000</v>
      </c>
      <c r="S78" s="44"/>
      <c r="T78" s="44"/>
      <c r="U78" s="44"/>
      <c r="V78" s="44"/>
    </row>
    <row r="79" spans="1:26" ht="18" thickBot="1" x14ac:dyDescent="0.45">
      <c r="A79" s="70" t="s">
        <v>42</v>
      </c>
      <c r="B79" s="26"/>
      <c r="C79" s="27">
        <f t="shared" ref="C79:R79" si="33">SUM(C61:C78)</f>
        <v>-10797000</v>
      </c>
      <c r="D79" s="27">
        <f t="shared" si="33"/>
        <v>6245134.1823999994</v>
      </c>
      <c r="E79" s="27">
        <f t="shared" si="33"/>
        <v>1411268.9088000003</v>
      </c>
      <c r="F79" s="27">
        <f t="shared" si="33"/>
        <v>1387955.5839999984</v>
      </c>
      <c r="G79" s="27">
        <f t="shared" si="33"/>
        <v>-173064.70400000364</v>
      </c>
      <c r="H79" s="27">
        <f t="shared" si="33"/>
        <v>1173702.7199999997</v>
      </c>
      <c r="I79" s="27">
        <f t="shared" si="33"/>
        <v>-675186.46400000248</v>
      </c>
      <c r="J79" s="27">
        <f t="shared" si="33"/>
        <v>-3850952.4416000117</v>
      </c>
      <c r="K79" s="27">
        <f t="shared" si="33"/>
        <v>13699513.193600012</v>
      </c>
      <c r="L79" s="27">
        <f t="shared" si="33"/>
        <v>14634609.903999997</v>
      </c>
      <c r="M79" s="27">
        <f t="shared" si="33"/>
        <v>15992487.689600006</v>
      </c>
      <c r="N79" s="27">
        <f t="shared" si="33"/>
        <v>17256416.627200015</v>
      </c>
      <c r="O79" s="27">
        <f t="shared" si="33"/>
        <v>18563396.716799997</v>
      </c>
      <c r="P79" s="27">
        <f t="shared" si="33"/>
        <v>19846698.035200007</v>
      </c>
      <c r="Q79" s="27">
        <f t="shared" si="33"/>
        <v>21118320.582400009</v>
      </c>
      <c r="R79" s="27">
        <f t="shared" si="33"/>
        <v>22775264.358400002</v>
      </c>
      <c r="S79" s="44"/>
      <c r="T79" s="44"/>
      <c r="U79" s="44"/>
      <c r="V79" s="44"/>
    </row>
    <row r="80" spans="1:26" ht="17.649999999999999" x14ac:dyDescent="0.4">
      <c r="A80" s="71"/>
      <c r="S80" s="44"/>
      <c r="T80" s="44"/>
      <c r="U80" s="44"/>
      <c r="V80" s="44"/>
    </row>
    <row r="81" spans="1:22" ht="17.649999999999999" x14ac:dyDescent="0.4">
      <c r="A81" s="72" t="s">
        <v>43</v>
      </c>
      <c r="C81" s="11">
        <f>C79</f>
        <v>-10797000</v>
      </c>
      <c r="D81" s="11">
        <f t="shared" ref="D81:R81" si="34">D79+C81</f>
        <v>-4551865.8176000006</v>
      </c>
      <c r="E81" s="11">
        <f t="shared" si="34"/>
        <v>-3140596.9088000003</v>
      </c>
      <c r="F81" s="11">
        <f t="shared" si="34"/>
        <v>-1752641.3248000019</v>
      </c>
      <c r="G81" s="11">
        <f t="shared" si="34"/>
        <v>-1925706.0288000056</v>
      </c>
      <c r="H81" s="11">
        <f t="shared" si="34"/>
        <v>-752003.30880000582</v>
      </c>
      <c r="I81" s="11">
        <f t="shared" si="34"/>
        <v>-1427189.7728000083</v>
      </c>
      <c r="J81" s="11">
        <f t="shared" si="34"/>
        <v>-5278142.2144000195</v>
      </c>
      <c r="K81" s="11">
        <f t="shared" si="34"/>
        <v>8421370.9791999925</v>
      </c>
      <c r="L81" s="11">
        <f t="shared" si="34"/>
        <v>23055980.88319999</v>
      </c>
      <c r="M81" s="11">
        <f t="shared" si="34"/>
        <v>39048468.572799996</v>
      </c>
      <c r="N81" s="11">
        <f t="shared" si="34"/>
        <v>56304885.20000001</v>
      </c>
      <c r="O81" s="11">
        <f t="shared" si="34"/>
        <v>74868281.916800007</v>
      </c>
      <c r="P81" s="11">
        <f t="shared" si="34"/>
        <v>94714979.952000022</v>
      </c>
      <c r="Q81" s="11">
        <f t="shared" si="34"/>
        <v>115833300.53440003</v>
      </c>
      <c r="R81" s="11">
        <f t="shared" si="34"/>
        <v>138608564.89280003</v>
      </c>
      <c r="S81" s="44"/>
      <c r="T81" s="44"/>
      <c r="U81" s="44"/>
      <c r="V81" s="44"/>
    </row>
    <row r="82" spans="1:22" ht="17.649999999999999" x14ac:dyDescent="0.4">
      <c r="A82" s="72" t="s">
        <v>44</v>
      </c>
      <c r="C82" s="11">
        <f>C79</f>
        <v>-10797000</v>
      </c>
      <c r="D82" s="11">
        <f>PV($B$87,D51,,-D79)</f>
        <v>5703318.8880365295</v>
      </c>
      <c r="E82" s="11">
        <f>PV($B$87,E51,,-E79)</f>
        <v>1177013.747669982</v>
      </c>
      <c r="F82" s="11">
        <f t="shared" ref="F82:R82" si="35">PV($B$87,F51,,-F79)</f>
        <v>1057141.7160765789</v>
      </c>
      <c r="G82" s="11">
        <f t="shared" si="35"/>
        <v>-120379.3592117575</v>
      </c>
      <c r="H82" s="11">
        <f t="shared" si="35"/>
        <v>745568.43856057012</v>
      </c>
      <c r="I82" s="11">
        <f t="shared" si="35"/>
        <v>-391686.86863619828</v>
      </c>
      <c r="J82" s="11">
        <f t="shared" si="35"/>
        <v>-2040183.9232618662</v>
      </c>
      <c r="K82" s="11">
        <f t="shared" si="35"/>
        <v>6628147.7608232424</v>
      </c>
      <c r="L82" s="11">
        <f t="shared" si="35"/>
        <v>6466273.6214594292</v>
      </c>
      <c r="M82" s="11">
        <f t="shared" si="35"/>
        <v>6453195.6640095226</v>
      </c>
      <c r="N82" s="11">
        <f t="shared" si="35"/>
        <v>6359094.9053530972</v>
      </c>
      <c r="O82" s="11">
        <f t="shared" si="35"/>
        <v>6247237.4882101901</v>
      </c>
      <c r="P82" s="11">
        <f t="shared" si="35"/>
        <v>6099647.1483438443</v>
      </c>
      <c r="Q82" s="11">
        <f t="shared" si="35"/>
        <v>5927365.524816826</v>
      </c>
      <c r="R82" s="11">
        <f t="shared" si="35"/>
        <v>5837832.6211822908</v>
      </c>
      <c r="S82" s="44"/>
      <c r="T82" s="44"/>
      <c r="U82" s="44"/>
      <c r="V82" s="44"/>
    </row>
    <row r="83" spans="1:22" ht="17.649999999999999" x14ac:dyDescent="0.4">
      <c r="A83" s="72" t="s">
        <v>45</v>
      </c>
      <c r="C83" s="11">
        <f>C79</f>
        <v>-10797000</v>
      </c>
      <c r="D83" s="11">
        <f t="shared" ref="D83:R83" si="36">C83+D82</f>
        <v>-5093681.1119634705</v>
      </c>
      <c r="E83" s="11">
        <f t="shared" si="36"/>
        <v>-3916667.3642934887</v>
      </c>
      <c r="F83" s="11">
        <f t="shared" si="36"/>
        <v>-2859525.6482169097</v>
      </c>
      <c r="G83" s="11">
        <f t="shared" si="36"/>
        <v>-2979905.007428667</v>
      </c>
      <c r="H83" s="11">
        <f t="shared" si="36"/>
        <v>-2234336.5688680969</v>
      </c>
      <c r="I83" s="11">
        <f t="shared" si="36"/>
        <v>-2626023.4375042953</v>
      </c>
      <c r="J83" s="11">
        <f t="shared" si="36"/>
        <v>-4666207.3607661612</v>
      </c>
      <c r="K83" s="11">
        <f t="shared" si="36"/>
        <v>1961940.4000570811</v>
      </c>
      <c r="L83" s="11">
        <f t="shared" si="36"/>
        <v>8428214.0215165094</v>
      </c>
      <c r="M83" s="11">
        <f t="shared" si="36"/>
        <v>14881409.685526032</v>
      </c>
      <c r="N83" s="11">
        <f t="shared" si="36"/>
        <v>21240504.590879127</v>
      </c>
      <c r="O83" s="11">
        <f t="shared" si="36"/>
        <v>27487742.079089317</v>
      </c>
      <c r="P83" s="11">
        <f t="shared" si="36"/>
        <v>33587389.22743316</v>
      </c>
      <c r="Q83" s="11">
        <f t="shared" si="36"/>
        <v>39514754.752249986</v>
      </c>
      <c r="R83" s="11">
        <f t="shared" si="36"/>
        <v>45352587.373432279</v>
      </c>
      <c r="S83" s="44"/>
      <c r="T83" s="44"/>
      <c r="U83" s="44"/>
      <c r="V83" s="44"/>
    </row>
    <row r="84" spans="1:22" ht="17.649999999999999" x14ac:dyDescent="0.4">
      <c r="A84" s="72" t="s">
        <v>2</v>
      </c>
      <c r="C84" s="11"/>
      <c r="D84" s="11">
        <f t="shared" ref="D84:R84" si="37">-SUMIF(D61:D78,"&lt;0")</f>
        <v>39074600</v>
      </c>
      <c r="E84" s="11">
        <f t="shared" si="37"/>
        <v>46562700</v>
      </c>
      <c r="F84" s="11">
        <f t="shared" si="37"/>
        <v>56706000</v>
      </c>
      <c r="G84" s="11">
        <f t="shared" si="37"/>
        <v>73320000</v>
      </c>
      <c r="H84" s="11">
        <f t="shared" si="37"/>
        <v>85839000</v>
      </c>
      <c r="I84" s="11">
        <f t="shared" si="37"/>
        <v>105134500</v>
      </c>
      <c r="J84" s="11">
        <f t="shared" si="37"/>
        <v>130067100</v>
      </c>
      <c r="K84" s="11">
        <f t="shared" si="37"/>
        <v>133993900</v>
      </c>
      <c r="L84" s="11">
        <f t="shared" si="37"/>
        <v>138351500</v>
      </c>
      <c r="M84" s="11">
        <f t="shared" si="37"/>
        <v>142634900</v>
      </c>
      <c r="N84" s="11">
        <f t="shared" si="37"/>
        <v>147190800</v>
      </c>
      <c r="O84" s="11">
        <f t="shared" si="37"/>
        <v>151907200</v>
      </c>
      <c r="P84" s="11">
        <f t="shared" si="37"/>
        <v>156858800</v>
      </c>
      <c r="Q84" s="11">
        <f t="shared" si="37"/>
        <v>162073600</v>
      </c>
      <c r="R84" s="11">
        <f t="shared" si="37"/>
        <v>167240600</v>
      </c>
      <c r="S84" s="44"/>
      <c r="T84" s="44"/>
      <c r="U84" s="44"/>
      <c r="V84" s="44"/>
    </row>
    <row r="85" spans="1:22" ht="17.649999999999999" x14ac:dyDescent="0.4">
      <c r="A85" s="72" t="s">
        <v>46</v>
      </c>
      <c r="B85" s="73"/>
      <c r="C85" s="11"/>
      <c r="D85" s="11">
        <f t="shared" ref="D85:R85" si="38">SUMIF(D61:D78,"&gt;0")</f>
        <v>45319734.182400003</v>
      </c>
      <c r="E85" s="11">
        <f t="shared" si="38"/>
        <v>47973968.908799998</v>
      </c>
      <c r="F85" s="11">
        <f t="shared" si="38"/>
        <v>58093955.583999999</v>
      </c>
      <c r="G85" s="11">
        <f t="shared" si="38"/>
        <v>73146935.296000004</v>
      </c>
      <c r="H85" s="11">
        <f t="shared" si="38"/>
        <v>87012702.719999999</v>
      </c>
      <c r="I85" s="11">
        <f t="shared" si="38"/>
        <v>104459313.536</v>
      </c>
      <c r="J85" s="11">
        <f t="shared" si="38"/>
        <v>126216147.55839999</v>
      </c>
      <c r="K85" s="11">
        <f t="shared" si="38"/>
        <v>147693413.19360003</v>
      </c>
      <c r="L85" s="11">
        <f t="shared" si="38"/>
        <v>152986109.90399998</v>
      </c>
      <c r="M85" s="11">
        <f t="shared" si="38"/>
        <v>158627387.68960002</v>
      </c>
      <c r="N85" s="11">
        <f t="shared" si="38"/>
        <v>164447216.62720001</v>
      </c>
      <c r="O85" s="11">
        <f t="shared" si="38"/>
        <v>170470596.7168</v>
      </c>
      <c r="P85" s="11">
        <f t="shared" si="38"/>
        <v>176705498.0352</v>
      </c>
      <c r="Q85" s="11">
        <f t="shared" si="38"/>
        <v>183191920.58240002</v>
      </c>
      <c r="R85" s="11">
        <f t="shared" si="38"/>
        <v>190015864.35839999</v>
      </c>
    </row>
    <row r="86" spans="1:22" ht="18" thickBot="1" x14ac:dyDescent="0.45">
      <c r="A86" s="71"/>
      <c r="B86" s="73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1:22" ht="18" thickBot="1" x14ac:dyDescent="0.55000000000000004">
      <c r="A87" s="31" t="s">
        <v>3</v>
      </c>
      <c r="B87" s="31">
        <f>0.095*Y72/Y62</f>
        <v>9.5000000000000001E-2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</row>
    <row r="88" spans="1:22" ht="18" thickBot="1" x14ac:dyDescent="0.55000000000000004">
      <c r="A88" s="31" t="s">
        <v>47</v>
      </c>
      <c r="B88" s="32" t="s">
        <v>1</v>
      </c>
      <c r="C88" s="33" t="s">
        <v>48</v>
      </c>
      <c r="D88" s="34"/>
    </row>
    <row r="89" spans="1:22" ht="92.65" x14ac:dyDescent="0.5">
      <c r="A89" s="31" t="s">
        <v>49</v>
      </c>
      <c r="B89" s="35">
        <v>8</v>
      </c>
      <c r="C89" s="36" t="s">
        <v>63</v>
      </c>
      <c r="D89" s="100"/>
    </row>
    <row r="90" spans="1:22" ht="65.650000000000006" x14ac:dyDescent="0.5">
      <c r="A90" s="37" t="s">
        <v>51</v>
      </c>
      <c r="B90" s="38">
        <f>NPV(B87,D79:R79)+C79</f>
        <v>45352587.373432301</v>
      </c>
      <c r="C90" s="75" t="s">
        <v>64</v>
      </c>
      <c r="D90" s="100"/>
    </row>
    <row r="91" spans="1:22" ht="17.649999999999999" x14ac:dyDescent="0.5">
      <c r="A91" s="37" t="s">
        <v>53</v>
      </c>
      <c r="B91" s="39">
        <f>NPV(B87,D85:R85)</f>
        <v>834727238.55054045</v>
      </c>
      <c r="C91" s="40"/>
      <c r="D91" s="100"/>
    </row>
    <row r="92" spans="1:22" ht="17.649999999999999" x14ac:dyDescent="0.5">
      <c r="A92" s="37" t="s">
        <v>54</v>
      </c>
      <c r="B92" s="39">
        <f>NPV(B87,D84:R84)</f>
        <v>778577651.17710805</v>
      </c>
      <c r="C92" s="40"/>
      <c r="D92" s="100"/>
    </row>
    <row r="93" spans="1:22" ht="93" thickBot="1" x14ac:dyDescent="0.55000000000000004">
      <c r="A93" s="41" t="s">
        <v>55</v>
      </c>
      <c r="B93" s="42">
        <f>B91/B92</f>
        <v>1.0721181596832912</v>
      </c>
      <c r="C93" s="76" t="s">
        <v>65</v>
      </c>
      <c r="D93" s="100"/>
    </row>
  </sheetData>
  <sheetProtection formatCells="0" formatColumns="0" formatRows="0" insertColumns="0" insertRows="0" insertHyperlinks="0" deleteColumns="0" deleteRows="0" sort="0" autoFilter="0" pivotTables="0"/>
  <mergeCells count="2">
    <mergeCell ref="D42:D46"/>
    <mergeCell ref="D89:D93"/>
  </mergeCells>
  <phoneticPr fontId="23" type="noConversion"/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25</xdr:col>
                    <xdr:colOff>19050</xdr:colOff>
                    <xdr:row>62</xdr:row>
                    <xdr:rowOff>9525</xdr:rowOff>
                  </from>
                  <to>
                    <xdr:col>25</xdr:col>
                    <xdr:colOff>1000125</xdr:colOff>
                    <xdr:row>62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Scroll Bar 4">
              <controlPr defaultSize="0" autoPict="0">
                <anchor moveWithCells="1">
                  <from>
                    <xdr:col>25</xdr:col>
                    <xdr:colOff>19050</xdr:colOff>
                    <xdr:row>63</xdr:row>
                    <xdr:rowOff>9525</xdr:rowOff>
                  </from>
                  <to>
                    <xdr:col>25</xdr:col>
                    <xdr:colOff>1000125</xdr:colOff>
                    <xdr:row>63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croll Bar 5">
              <controlPr defaultSize="0" autoPict="0">
                <anchor moveWithCells="1">
                  <from>
                    <xdr:col>25</xdr:col>
                    <xdr:colOff>19050</xdr:colOff>
                    <xdr:row>64</xdr:row>
                    <xdr:rowOff>9525</xdr:rowOff>
                  </from>
                  <to>
                    <xdr:col>25</xdr:col>
                    <xdr:colOff>995363</xdr:colOff>
                    <xdr:row>64</xdr:row>
                    <xdr:rowOff>366713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Scroll Bar 6">
              <controlPr defaultSize="0" autoPict="0">
                <anchor moveWithCells="1">
                  <from>
                    <xdr:col>25</xdr:col>
                    <xdr:colOff>19050</xdr:colOff>
                    <xdr:row>65</xdr:row>
                    <xdr:rowOff>9525</xdr:rowOff>
                  </from>
                  <to>
                    <xdr:col>25</xdr:col>
                    <xdr:colOff>995363</xdr:colOff>
                    <xdr:row>65</xdr:row>
                    <xdr:rowOff>366713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Scroll Bar 7">
              <controlPr defaultSize="0" autoPict="0">
                <anchor moveWithCells="1">
                  <from>
                    <xdr:col>25</xdr:col>
                    <xdr:colOff>19050</xdr:colOff>
                    <xdr:row>66</xdr:row>
                    <xdr:rowOff>9525</xdr:rowOff>
                  </from>
                  <to>
                    <xdr:col>25</xdr:col>
                    <xdr:colOff>995363</xdr:colOff>
                    <xdr:row>66</xdr:row>
                    <xdr:rowOff>366713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Scroll Bar 8">
              <controlPr defaultSize="0" autoPict="0">
                <anchor moveWithCells="1">
                  <from>
                    <xdr:col>25</xdr:col>
                    <xdr:colOff>19050</xdr:colOff>
                    <xdr:row>67</xdr:row>
                    <xdr:rowOff>9525</xdr:rowOff>
                  </from>
                  <to>
                    <xdr:col>25</xdr:col>
                    <xdr:colOff>995363</xdr:colOff>
                    <xdr:row>67</xdr:row>
                    <xdr:rowOff>366713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Scroll Bar 9">
              <controlPr defaultSize="0" autoPict="0">
                <anchor moveWithCells="1">
                  <from>
                    <xdr:col>25</xdr:col>
                    <xdr:colOff>19050</xdr:colOff>
                    <xdr:row>68</xdr:row>
                    <xdr:rowOff>9525</xdr:rowOff>
                  </from>
                  <to>
                    <xdr:col>25</xdr:col>
                    <xdr:colOff>995363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Scroll Bar 10">
              <controlPr defaultSize="0" autoPict="0">
                <anchor moveWithCells="1">
                  <from>
                    <xdr:col>25</xdr:col>
                    <xdr:colOff>19050</xdr:colOff>
                    <xdr:row>69</xdr:row>
                    <xdr:rowOff>9525</xdr:rowOff>
                  </from>
                  <to>
                    <xdr:col>25</xdr:col>
                    <xdr:colOff>995363</xdr:colOff>
                    <xdr:row>70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Scroll Bar 11">
              <controlPr defaultSize="0" autoPict="0">
                <anchor moveWithCells="1">
                  <from>
                    <xdr:col>25</xdr:col>
                    <xdr:colOff>19050</xdr:colOff>
                    <xdr:row>70</xdr:row>
                    <xdr:rowOff>9525</xdr:rowOff>
                  </from>
                  <to>
                    <xdr:col>25</xdr:col>
                    <xdr:colOff>995363</xdr:colOff>
                    <xdr:row>70</xdr:row>
                    <xdr:rowOff>366713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Scroll Bar 12">
              <controlPr defaultSize="0" autoPict="0">
                <anchor moveWithCells="1">
                  <from>
                    <xdr:col>25</xdr:col>
                    <xdr:colOff>14288</xdr:colOff>
                    <xdr:row>71</xdr:row>
                    <xdr:rowOff>4763</xdr:rowOff>
                  </from>
                  <to>
                    <xdr:col>26</xdr:col>
                    <xdr:colOff>19050</xdr:colOff>
                    <xdr:row>71</xdr:row>
                    <xdr:rowOff>319088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Scroll Bar 13">
              <controlPr defaultSize="0" autoPict="0">
                <anchor moveWithCells="1">
                  <from>
                    <xdr:col>25</xdr:col>
                    <xdr:colOff>28575</xdr:colOff>
                    <xdr:row>72</xdr:row>
                    <xdr:rowOff>33338</xdr:rowOff>
                  </from>
                  <to>
                    <xdr:col>25</xdr:col>
                    <xdr:colOff>985838</xdr:colOff>
                    <xdr:row>72</xdr:row>
                    <xdr:rowOff>195263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hyperlinks>
        <hyperlink ref="C10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1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2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3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5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6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7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9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22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4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18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21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  <hyperlink ref="C20">
          <hypersublink pos="57" length="114" display="https://investor.audinate.com/FormBuilder/_Resource/_module/U31UphySGkWm4tEdvC_Xbw/file/AD8-2024-Annual-Report.pdf" address="https://investor.audinate.com/FormBuilder/_Resource/_module/U31UphySGkWm4tEdvC_Xbw/file/AD8-2024-Annual-Report.pdf" subaddress="" screenTip="" linkrunstype="LRTNone"/>
        </hyperlink>
      </hyperlinks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4"/>
  <pixelatorList sheetStid="6"/>
  <pixelatorList sheetStid="1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小媛颖 况</cp:lastModifiedBy>
  <dcterms:created xsi:type="dcterms:W3CDTF">2023-05-09T07:03:00Z</dcterms:created>
  <dcterms:modified xsi:type="dcterms:W3CDTF">2024-12-15T14:56:30Z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2023-07-20T05:24:33Z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d4532b21-53af-4ea7-897d-745d86b19de6</vt:lpwstr>
  </property>
  <property fmtid="{D5CDD505-2E9C-101B-9397-08002B2CF9AE}" pid="8" name="MSIP_Label_51a6c3db-1667-4f49-995a-8b9973972958_ContentBits">
    <vt:lpwstr>0</vt:lpwstr>
  </property>
  <property fmtid="{D5CDD505-2E9C-101B-9397-08002B2CF9AE}" pid="9" name="KSOProductBuildVer">
    <vt:lpwstr>2052-12.1.0.18608</vt:lpwstr>
  </property>
  <property fmtid="{D5CDD505-2E9C-101B-9397-08002B2CF9AE}" pid="10" name="ICV">
    <vt:lpwstr>57DCC45457DA4135B4E870BF2EDD5377_13</vt:lpwstr>
  </property>
</Properties>
</file>