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9555" activeTab="4"/>
  </bookViews>
  <sheets>
    <sheet name="Project Plan" sheetId="5" r:id="rId1"/>
    <sheet name="Project info" sheetId="4" r:id="rId2"/>
    <sheet name="Financial status of the Company" sheetId="6" r:id="rId3"/>
    <sheet name="Assumption" sheetId="1" r:id="rId4"/>
    <sheet name="CBA"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<sst xmlns="http://schemas.openxmlformats.org/spreadsheetml/2006/main" count="340" uniqueCount="206">
  <si>
    <t>Group Number: 6</t>
  </si>
  <si>
    <r>
      <rPr>
        <sz val="14"/>
        <color rgb="FF000000"/>
        <rFont val="等线"/>
        <charset val="134"/>
      </rPr>
      <t>Dante AV</t>
    </r>
    <r>
      <rPr>
        <sz val="14"/>
        <color rgb="FF000000"/>
        <rFont val="等线"/>
        <charset val="134"/>
      </rPr>
      <t xml:space="preserve"> </t>
    </r>
  </si>
  <si>
    <t>Student ID- Name</t>
  </si>
  <si>
    <t>Allocated task for data collection</t>
  </si>
  <si>
    <t>Allocated task for calculation or settin the CBA and assumption tables</t>
  </si>
  <si>
    <t>202219102-Xiaoyuanying Kuang</t>
  </si>
  <si>
    <t>Company's financial statements</t>
  </si>
  <si>
    <t>Develop assumption tables and Project cash-flow statementsfor both alternatives.</t>
  </si>
  <si>
    <t>202219077-Jiayi Li</t>
  </si>
  <si>
    <t>Project cost for any alternatives (initial investment, variable and fixed costs data)</t>
  </si>
  <si>
    <t>Calculating salvage value, depreciation, loan repayment and working capital for any alternatives</t>
  </si>
  <si>
    <t>202219015-Jun Qi</t>
  </si>
  <si>
    <t>Project benefits for any alternatives (revenue and any otherbenefits data)</t>
  </si>
  <si>
    <t>Calculating viability indicators for both alternatives</t>
  </si>
  <si>
    <t>202219072-Fanghua Dai</t>
  </si>
  <si>
    <t>Calculating and interpreting the company's financial indicators</t>
  </si>
  <si>
    <t>202219044-Yueheng Wang</t>
  </si>
  <si>
    <t>This sheet is about your project</t>
  </si>
  <si>
    <t>Person Resposible</t>
  </si>
  <si>
    <t>Title of the project</t>
  </si>
  <si>
    <t xml:space="preserve"> Dante AV
https://www.audinate.com/</t>
  </si>
  <si>
    <t>202219102-Xiaoyuanying Kuang
202219077-Jiayi Li
202219015-Jun Qi
202219072-Fanghua Dai
202219044-Yueheng Wang</t>
  </si>
  <si>
    <t>Project Description</t>
  </si>
  <si>
    <r>
      <rPr>
        <b/>
        <sz val="12"/>
        <color rgb="FF000000"/>
        <rFont val="Times New Roman"/>
        <charset val="134"/>
      </rPr>
      <t xml:space="preserve"> Dante AV </t>
    </r>
    <r>
      <rPr>
        <sz val="12"/>
        <color rgb="FF000000"/>
        <rFont val="Times New Roman"/>
        <charset val="134"/>
      </rPr>
      <t xml:space="preserve">by Audinate is a pioneering, industry-leading integrated engineering project for digital audio and video (AV) networking, encompassing the entire lifecycle of technology development, hardware production, market promotion, and service implementation. This project enables high-quality, low-latency transmission of audio and video over Ethernet networks, revolutionizing traditional analog cabling and marking a significant technological breakthrough in the field of AV transmission. The core strengths of Dante AV lie in its software-based centralized management and modular design, which make system setup, expansion, and optimization highly efficient and flexible, while significantly reducing overall deployment and maintenance costs. It is designed to meet diverse demands, from small conference rooms to large stadiums.
Launched in </t>
    </r>
    <r>
      <rPr>
        <b/>
        <sz val="12"/>
        <color rgb="FF000000"/>
        <rFont val="Times New Roman"/>
        <charset val="134"/>
      </rPr>
      <t>2019</t>
    </r>
    <r>
      <rPr>
        <sz val="12"/>
        <color rgb="FF000000"/>
        <rFont val="Times New Roman"/>
        <charset val="134"/>
      </rPr>
      <t xml:space="preserve"> with a planned development cycle of </t>
    </r>
    <r>
      <rPr>
        <b/>
        <sz val="12"/>
        <color rgb="FF000000"/>
        <rFont val="Times New Roman"/>
        <charset val="134"/>
      </rPr>
      <t>15 years</t>
    </r>
    <r>
      <rPr>
        <sz val="12"/>
        <color rgb="FF000000"/>
        <rFont val="Times New Roman"/>
        <charset val="134"/>
      </rPr>
      <t>, this engineering project aims to build a fully integrated ecosystem of hardware and software. It not only drives the digital transformation of the AV industry but also delivers sustainable and efficient solutions for users worldwide.</t>
    </r>
  </si>
  <si>
    <t>Alternative A</t>
  </si>
  <si>
    <r>
      <rPr>
        <b/>
        <sz val="12"/>
        <color rgb="FF000000"/>
        <rFont val="Times New Roman"/>
        <charset val="134"/>
      </rPr>
      <t>Enhanced Technology Adoption</t>
    </r>
    <r>
      <rPr>
        <sz val="12"/>
        <color rgb="FF000000"/>
        <rFont val="Times New Roman"/>
        <charset val="134"/>
      </rPr>
      <t xml:space="preserve">
    This alternative includes accelerating Dante AV's technological expansion, particularly in terms of voice separation and enhanced video capabilities. By advancing new features such as real-time voice separation technology and low-latency video transmission optimization, audiate can position itself as a leader in high-quality video networks. This approach targets fast-growing, high-demand markets such as large educational campuses and corporate offices, emphasizing Dante AV's advanced video integration capabilities. Increased R&amp;D and strategic marketing efforts will prioritize driving adoption, capturing new opportunities and expanding the impact of Dante AV.</t>
    </r>
  </si>
  <si>
    <t>202219102-Xiaoyuanying Kuang
202219044-Yueheng Wang</t>
  </si>
  <si>
    <t>Alternative B</t>
  </si>
  <si>
    <r>
      <rPr>
        <b/>
        <sz val="12"/>
        <color rgb="FF000000"/>
        <rFont val="Times New Roman"/>
        <charset val="134"/>
      </rPr>
      <t>Business as Usual</t>
    </r>
    <r>
      <rPr>
        <sz val="12"/>
        <color rgb="FF000000"/>
        <rFont val="Times New Roman"/>
        <charset val="134"/>
      </rPr>
      <t xml:space="preserve">
    Under this alternative, Audinate would continue with the current development strategy for Dante AV, focusing on gradual updates and incremental improvements. This approach aims to enhance Dante AV’s existing audio and video functionalities, such as compatibility, reliability, and user experience, to retain and grow its established customer base. By building on its reputation without significant new investments, Audinate would target steady growth, leveraging Dante AV’s market acceptance to increase adoption and expand into additional sectors.</t>
    </r>
  </si>
  <si>
    <t>The purpose of this sheet is to provide information about the company that owns the project</t>
  </si>
  <si>
    <t>General information</t>
  </si>
  <si>
    <t>Explanation</t>
  </si>
  <si>
    <t>Name of company</t>
  </si>
  <si>
    <t>Audinate</t>
  </si>
  <si>
    <t>Short description of the company</t>
  </si>
  <si>
    <r>
      <rPr>
        <sz val="12"/>
        <color rgb="FF000000"/>
        <rFont val="Times New Roman"/>
        <charset val="134"/>
      </rPr>
      <t xml:space="preserve">     </t>
    </r>
    <r>
      <rPr>
        <sz val="12"/>
        <color rgb="FF000000"/>
        <rFont val="Times New Roman"/>
        <charset val="134"/>
      </rPr>
      <t xml:space="preserve">
</t>
    </r>
    <r>
      <rPr>
        <sz val="12"/>
        <color rgb="FF000000"/>
        <rFont val="Times New Roman"/>
        <charset val="134"/>
      </rPr>
      <t xml:space="preserve"> </t>
    </r>
    <r>
      <rPr>
        <sz val="12"/>
        <color rgb="FF000000"/>
        <rFont val="Times New Roman"/>
        <charset val="134"/>
      </rPr>
      <t>Audinate Group Limited is a global leader in digital audio and video networking technology, specializing in the Dante® platform, which transmits high-quality digital media signals over computer networks.</t>
    </r>
    <r>
      <rPr>
        <sz val="12"/>
        <color rgb="FF000000"/>
        <rFont val="Times New Roman"/>
        <charset val="134"/>
      </rPr>
      <t xml:space="preserve">  </t>
    </r>
    <r>
      <rPr>
        <sz val="12"/>
        <color rgb="FF000000"/>
        <rFont val="Times New Roman"/>
        <charset val="134"/>
      </rPr>
      <t>Serving the Professional AV industry, Audinate's technology supports thousands of products across diverse applications, including corporate campuses, universities, stadiums, and conference rooms.</t>
    </r>
    <r>
      <rPr>
        <sz val="12"/>
        <color rgb="FF000000"/>
        <rFont val="Times New Roman"/>
        <charset val="134"/>
      </rPr>
      <t xml:space="preserve">  </t>
    </r>
    <r>
      <rPr>
        <sz val="12"/>
        <color rgb="FF000000"/>
        <rFont val="Times New Roman"/>
        <charset val="134"/>
      </rPr>
      <t>By replacing traditional cabling with software-managed networks, Dante enables efficient, scalable, and reliable AV connectivity, revolutionizing audio and video system design and operation for a wide range of clients.</t>
    </r>
    <r>
      <rPr>
        <sz val="12"/>
        <color rgb="FF000000"/>
        <rFont val="Times New Roman"/>
        <charset val="134"/>
      </rPr>
      <t xml:space="preserve">
</t>
    </r>
  </si>
  <si>
    <t>Data requirement (You might need to add more information)</t>
  </si>
  <si>
    <r>
      <rPr>
        <sz val="14"/>
        <color rgb="FF000000"/>
        <rFont val="等线"/>
        <charset val="134"/>
        <scheme val="minor"/>
      </rPr>
      <t>Value</t>
    </r>
    <r>
      <rPr>
        <sz val="14"/>
        <color rgb="FF000000"/>
        <rFont val="等线"/>
        <charset val="134"/>
      </rPr>
      <t xml:space="preserve"> </t>
    </r>
  </si>
  <si>
    <t>Source of data (Provide us with page number if you used the financial statements of the company)</t>
  </si>
  <si>
    <t>Total debt</t>
  </si>
  <si>
    <t>Audinate Investor Centre. (2024). Annual Report (p. 39).
https://investor.audinate.com/FormBuilder/_Resource/_module/U31UphySGkWm4tEdvC_Xbw/file/AD8-2024-Annual-Report.pdf</t>
  </si>
  <si>
    <t>Total assets</t>
  </si>
  <si>
    <t>Current assets</t>
  </si>
  <si>
    <t>Current liabilities</t>
  </si>
  <si>
    <t>Sales</t>
  </si>
  <si>
    <t>Audinate Investor Centre. (2024). Annual Report (p. 43).
https://investor.audinate.com/FormBuilder/_Resource/_module/U31UphySGkWm4tEdvC_Xbw/file/AD8-2024-Annual-Report.pdf</t>
  </si>
  <si>
    <t>Net income</t>
  </si>
  <si>
    <r>
      <rPr>
        <sz val="14"/>
        <color rgb="FF000000"/>
        <rFont val="等线"/>
        <charset val="134"/>
        <scheme val="minor"/>
      </rPr>
      <t>Average equity</t>
    </r>
    <r>
      <rPr>
        <sz val="14"/>
        <color rgb="FF000000"/>
        <rFont val="等线"/>
        <charset val="134"/>
      </rPr>
      <t xml:space="preserve"> </t>
    </r>
  </si>
  <si>
    <t>Price per share</t>
  </si>
  <si>
    <t>Earnings per share</t>
  </si>
  <si>
    <t>Audinate Investor Centre. (2024). Annual Report (p. 38).
https://investor.audinate.com/FormBuilder/_Resource/_module/U31UphySGkWm4tEdvC_Xbw/file/AD8-2024-Annual-Report.pdf</t>
  </si>
  <si>
    <t>Net Assets</t>
  </si>
  <si>
    <t>Gross Profit</t>
  </si>
  <si>
    <t>Operating Profit</t>
  </si>
  <si>
    <t>Non-Current Liabilities</t>
  </si>
  <si>
    <t>Indicators</t>
  </si>
  <si>
    <r>
      <rPr>
        <sz val="14"/>
        <color rgb="FF000000"/>
        <rFont val="等线"/>
        <charset val="134"/>
        <scheme val="minor"/>
      </rPr>
      <t>What data are included in this calculation</t>
    </r>
    <r>
      <rPr>
        <sz val="14"/>
        <color rgb="FF000000"/>
        <rFont val="等线"/>
        <charset val="134"/>
      </rPr>
      <t xml:space="preserve"> </t>
    </r>
  </si>
  <si>
    <t>Values</t>
  </si>
  <si>
    <t>Interpretation of results</t>
  </si>
  <si>
    <t>Debt Ratio</t>
  </si>
  <si>
    <t>Total Assets, Total Debt</t>
  </si>
  <si>
    <t>Debt Ratio =18,988,000/189,474,000
​≈0.1002≈10.02%</t>
  </si>
  <si>
    <t>Current Ratio</t>
  </si>
  <si>
    <t>Current Liabilities, Current Assets</t>
  </si>
  <si>
    <t>Current Ratio =135,388,000/15,249,000
​≈8.88</t>
  </si>
  <si>
    <t>Total Assets Turnover</t>
  </si>
  <si>
    <t>Total Assets, Sales</t>
  </si>
  <si>
    <t>Total Assets Turnover =91,483,000/189,474,000
​≈0.4827≈0.48</t>
  </si>
  <si>
    <t>Return on Equity</t>
  </si>
  <si>
    <t>Average Equity, Net Income</t>
  </si>
  <si>
    <t>Return on Equity =10,236,000/170,486,000
​≈0.0600≈6.00%</t>
  </si>
  <si>
    <t>Price-to-Earnings Ratio</t>
  </si>
  <si>
    <t>Earnings per Share, Price per Share</t>
  </si>
  <si>
    <t>Price-to-Earnings Ratio =12.50/8.99
​≈0.7192≈0.72</t>
  </si>
  <si>
    <t xml:space="preserve">This sheet is about assumptions that you will use for the CBA analysis (Provide the detail) for both Alternatives </t>
  </si>
  <si>
    <t>The following template is an indicative one, and it can be modified as needed</t>
  </si>
  <si>
    <t>Assumptions- Alternative A</t>
  </si>
  <si>
    <t>What elements are included in this calculation</t>
  </si>
  <si>
    <t>Source of dataset</t>
  </si>
  <si>
    <t>Cost</t>
  </si>
  <si>
    <t>Capital Cost</t>
  </si>
  <si>
    <t>Ordinary Capital  Cost</t>
  </si>
  <si>
    <t>Cost of investing activities; Cost of property, plant and equipment; Cost of acquiring a business</t>
  </si>
  <si>
    <t>Consolidated statement of cash flows.(2024).Annual Report(p.41). https://investor.audinate.comFormBuilder/Resource/module/U31UphySGkWm4tEdvCXbw/file/AD8-2024-Annual-Report.pdf</t>
  </si>
  <si>
    <t xml:space="preserve">
202219044-Yueheng Wang
202219072-Fanghua Dai
</t>
  </si>
  <si>
    <t>New technology development cost</t>
  </si>
  <si>
    <t xml:space="preserve">Cost of Real-time speech separation system development and the development of low latency transmission technology </t>
  </si>
  <si>
    <t>Consolidated statement of profit or loss and 
other comprehensive income.(2024).Annual Report(p.38). https://investor.audinate.comFormBuilder/Resource/module/U31UphySGkWm4tEdvCXbw/file/AD8-2024-Annual-Report.pdf</t>
  </si>
  <si>
    <t>Operating cost</t>
  </si>
  <si>
    <t>Cost of goods sold; Employee expenses; Selling and marketing expenses; Other operating expenses</t>
  </si>
  <si>
    <t>Maintanace cost</t>
  </si>
  <si>
    <t>Cost of depreciation and amortisation; Depreciation of property, plant and equipment; Depreciation of office leases – right-of-use; Amortisation of intangibles</t>
  </si>
  <si>
    <t>Additional maintenance costs</t>
  </si>
  <si>
    <t>Update the speech separation model regularly to ensure the accuracy and compatibility of speech recognition; Due to the change of network conditions, the low-latency protocol is periodically optimized and adjusted; Cost of equipment wear and tear and system renewal requirements</t>
  </si>
  <si>
    <t>Tax cost</t>
  </si>
  <si>
    <t>Income tax expense</t>
  </si>
  <si>
    <t>Note8.Income tax.(2024).Annual Report(p.54). https://investor.audinate.comFormBuilder/Resource/module/U31UphySGkWm4tEdvCXbw/file/AD8-2024-Annual-Report.pdf</t>
  </si>
  <si>
    <t>Finance cost</t>
  </si>
  <si>
    <t>Interest and finance charges paid/payable on lease liabilities; Interest paid/payable on liabilities at amortised cost; Unwinding of discount on contingent consideration</t>
  </si>
  <si>
    <t>Net foreign exchange cost</t>
  </si>
  <si>
    <t>Net foreign exchange loss</t>
  </si>
  <si>
    <t>Benefits</t>
  </si>
  <si>
    <t>Increased Revenue</t>
  </si>
  <si>
    <t>Expected 400 new customers x Higherrevenue per customer due to premiumfeatures ($3,000)</t>
  </si>
  <si>
    <t>Note5.Revenue.(2024).Annual Report(p.52). https://investor.audinate.comFormBuilder/Resource/module/U31UphySGkWm4tEdvCXbw/file/AD8-2024-Annual-Report.pdf</t>
  </si>
  <si>
    <t>Cost Savings</t>
  </si>
  <si>
    <t>Increased R&amp;D and marketing expensesfor new features, short-term cost increase</t>
  </si>
  <si>
    <t>Note6.Expenses.(2024).Annual Report(p.53). https://investor.audinate.comFormBuilder/Resource/module/U31UphySGkWm4tEdvCXbw/file/AD8-2024-Annual-Report.pdf</t>
  </si>
  <si>
    <t>Improved Efficiency</t>
  </si>
  <si>
    <t>Efficiency gain from new technology andstreamlined integration x Hourlyproduction value ($15.000)</t>
  </si>
  <si>
    <t>Reconciliations.(2024).Annual Report(p.60). https://investor.audinate.comFormBuilder/Resource/module/U31UphySGkWm4tEdvCXbw/file/AD8-2024-Annual-Report.pdf</t>
  </si>
  <si>
    <t>Customer Retention</t>
  </si>
  <si>
    <t>Enhanced features improve retention rateto 90% x Revenue per retained customer($3,000)x Repeat frequency (2 times/year)</t>
  </si>
  <si>
    <t>Geographical information.(2024).Annual Report(p.52). https://investor.audinate.comFormBuilder/Resource/module/U31UphySGkWm4tEdvCXbw/file/AD8-2024-Annual-Report.pdf</t>
  </si>
  <si>
    <t>Brand Value Increase</t>
  </si>
  <si>
    <t>Significant growth based on techleadership, higher brand recognition dueto advanced features</t>
  </si>
  <si>
    <t>Financial Results.(2024).Annual Report(p.8). https://investor.audinate.comFormBuilder/Resource/module/U31UphySGkWm4tEdvCXbw/file/AD8-2024-Annual-Report.pdf</t>
  </si>
  <si>
    <t>Market Expansion</t>
  </si>
  <si>
    <t>Expansion into high-demand new markets(e.g., corporate offices) x New customeracquisition rate and market entry</t>
  </si>
  <si>
    <t>Salvage value</t>
  </si>
  <si>
    <t>Residual value from technologyinvestments at the end of project life.</t>
  </si>
  <si>
    <t>Outlook.(2024).Annual Report(p.9). https://investor.audinate.comFormBuilder/Resource/module/U31UphySGkWm4tEdvCXbw/file/AD8-2024-Annual-Report.pdf</t>
  </si>
  <si>
    <t>Discount rate</t>
  </si>
  <si>
    <t>Discount rate accounting for the higherrisk and technology-driven investments.</t>
  </si>
  <si>
    <t>Project life</t>
  </si>
  <si>
    <t>15 years</t>
  </si>
  <si>
    <t>As a cycle, five years can cover the research and development, promotion and maturity of the technology, but also leave room for subsequent upgrades and iterations.</t>
  </si>
  <si>
    <t>Ongoing strength in core business metrics.Annual Report(p.12). https://investor.audinate.comFormBuilder/Resource/module/U31UphySGkWm4tEdvCXbw/file/AD8-2024-Annual-Report.pdf</t>
  </si>
  <si>
    <t>Assumptions- Alternative B</t>
  </si>
  <si>
    <t>Audinate Investor Centre. (2024). Annual Report (p. 41).
https://investor.audinate.com/FormBuilder/_Resource/_module/U31UphySGkWm4tEdvC_Xbw/file/AD8-2024-Annual-Report.pdf</t>
  </si>
  <si>
    <t xml:space="preserve">202219077-Jiayi Li
202219015-Jun Qi
</t>
  </si>
  <si>
    <t>Number of new customers x Average revenue per customer</t>
  </si>
  <si>
    <t>Audinate Investor Centre. (2024). Annual Report (p. 4).
https://investor.audinate.com/FormBuilder/_Resource/_module/U31UphySGkWm4tEdvC_Xbw/file/AD8-2024-Annual-Report.pdf</t>
  </si>
  <si>
    <t>Difference between optimized operating costs and original costs</t>
  </si>
  <si>
    <t>Audinate Investor Centre. (2024). Annual Report (p. 11).
https://investor.audinate.com/FormBuilder/_Resource/_module/U31UphySGkWm4tEdvC_Xbw/file/AD8-2024-Annual-Report.pdf</t>
  </si>
  <si>
    <t>Percentage increase in production efficiency x Hourly production value</t>
  </si>
  <si>
    <t>Increased retention rate x Average revenue per customer x Repeat purchase frequency</t>
  </si>
  <si>
    <t>Audinate Investor Centre. (2024). Annual Report (p. 2 &amp; p.7).
https://investor.audinate.com/FormBuilder/_Resource/_module/U31UphySGkWm4tEdvC_Xbw/file/AD8-2024-Annual-Report.pdf</t>
  </si>
  <si>
    <t>Brand assessment company reports or customer satisfaction surveys</t>
  </si>
  <si>
    <t>Audinate Investor Centre. (2024). Annual Report (p. 1 &amp; p.4).
https://investor.audinate.com/FormBuilder/_Resource/_module/U31UphySGkWm4tEdvC_Xbw/file/AD8-2024-Annual-Report.pdf</t>
  </si>
  <si>
    <t>Revenue generated from entering new markets or increasing market share</t>
  </si>
  <si>
    <t>Audinate Investor Centre. (2024). Annual Report (p. 1).
https://investor.audinate.com/FormBuilder/_Resource/_module/U31UphySGkWm4tEdvC_Xbw/file/AD8-2024-Annual-Report.pdf</t>
  </si>
  <si>
    <t>The estimated residual value or recovery amount of an asset at the end of its useful life.</t>
  </si>
  <si>
    <t>Audinate Investor Centre. (2024). Annual Report (p.4).
https://investor.audinate.com/FormBuilder/_Resource/_module/U31UphySGkWm4tEdvC_Xbw/file/AD8-2024-Annual-Report.pdf</t>
  </si>
  <si>
    <t>The rate used to discount future cash flows to present value, accounting for the time value of money and risks.</t>
  </si>
  <si>
    <t>Audinate Investor Centre. (2024). Annual Report (p. 12).
https://investor.audinate.com/FormBuilder/_Resource/_module/U31UphySGkWm4tEdvC_Xbw/file/AD8-2024-Annual-Report.pdf</t>
  </si>
  <si>
    <t>The expected duration of the project, determining the time period over which cash flows and asset use are evaluated.</t>
  </si>
  <si>
    <t>This sheet is about the cash-flow and the calculation of the financial indicators for both Alternatives</t>
  </si>
  <si>
    <t>CBA- Alternative A</t>
  </si>
  <si>
    <t>202219044-Yueheng Wang
202219015-Jun Qi
202219102-Xiaoyuanying Kuang</t>
  </si>
  <si>
    <t>Year</t>
  </si>
  <si>
    <r>
      <rPr>
        <b/>
        <i/>
        <sz val="12"/>
        <color rgb="FF000000"/>
        <rFont val="等线"/>
        <charset val="134"/>
      </rPr>
      <t xml:space="preserve">Remarks </t>
    </r>
    <r>
      <rPr>
        <i/>
        <sz val="12"/>
        <color rgb="FF000000"/>
        <rFont val="等线"/>
        <charset val="134"/>
      </rPr>
      <t>(corresponding to assumption)</t>
    </r>
  </si>
  <si>
    <t>Income statement</t>
  </si>
  <si>
    <t>+Revenue</t>
  </si>
  <si>
    <t>-manufacturing and O&amp;M cost</t>
  </si>
  <si>
    <t>(Operating, Maintenance, Capital Cost)</t>
  </si>
  <si>
    <t>-Depreciation</t>
  </si>
  <si>
    <t>-Finance Costs</t>
  </si>
  <si>
    <t>(Debt Interest, Finance Cost)</t>
  </si>
  <si>
    <t>Taxable income</t>
  </si>
  <si>
    <t>-income tax</t>
  </si>
  <si>
    <t>Cash flow statement</t>
  </si>
  <si>
    <t>Operating activities</t>
  </si>
  <si>
    <t>+Net income</t>
  </si>
  <si>
    <t>+ Additional Benefits</t>
  </si>
  <si>
    <t>(Increased Revenue, Cost Savings, Improved Efficiency)</t>
  </si>
  <si>
    <t>+ Intangible Benefits</t>
  </si>
  <si>
    <t>(Customer Retention, Brand Value Increase, Market Expansion)</t>
  </si>
  <si>
    <t>- Operating Costs</t>
  </si>
  <si>
    <t>- Maintenance Costs</t>
  </si>
  <si>
    <t>+Depreciation</t>
  </si>
  <si>
    <t>Investing activities</t>
  </si>
  <si>
    <t>-Capital investment</t>
  </si>
  <si>
    <t>(Capital Cost)</t>
  </si>
  <si>
    <t>+Salvage value</t>
  </si>
  <si>
    <t>-Gains tax</t>
  </si>
  <si>
    <t>+Losses (on Depreciable Assets)</t>
  </si>
  <si>
    <t>- Net Foreign Exchange Costs</t>
  </si>
  <si>
    <t>-investment in working Capital</t>
  </si>
  <si>
    <t>+Working capital recovery</t>
  </si>
  <si>
    <t>Financing activities</t>
  </si>
  <si>
    <t>+Borrowed Funds</t>
  </si>
  <si>
    <t>-Repayment of principal</t>
  </si>
  <si>
    <t>Net cash flow</t>
  </si>
  <si>
    <t>Cumulative</t>
  </si>
  <si>
    <t>Discounted NetCash Flow</t>
  </si>
  <si>
    <t>Cummulative Discounted Values</t>
  </si>
  <si>
    <t>Benifit</t>
  </si>
  <si>
    <t>Financial Evaluation</t>
  </si>
  <si>
    <t>PB</t>
  </si>
  <si>
    <t>The project recovers its initial investment within 7 years, indicating rapid capital recovery. This minimizes financial risk and allows reinvestment in other opportunities quickly.</t>
  </si>
  <si>
    <t>NPV</t>
  </si>
  <si>
    <t>A positive NPV of $88 million shows that the project generates substantial net value over its lifetime, making it highly profitable even after accounting for all costs and the time value of money.</t>
  </si>
  <si>
    <t>NPB</t>
  </si>
  <si>
    <t>NPC(LCC)</t>
  </si>
  <si>
    <t>BCR</t>
  </si>
  <si>
    <r>
      <rPr>
        <sz val="11"/>
        <color rgb="FF000000"/>
        <rFont val="Times New Roman"/>
        <charset val="134"/>
      </rPr>
      <t xml:space="preserve">With a </t>
    </r>
    <r>
      <rPr>
        <b/>
        <sz val="11"/>
        <color rgb="FF000000"/>
        <rFont val="Times New Roman"/>
        <charset val="134"/>
      </rPr>
      <t>BCR of 1.1</t>
    </r>
    <r>
      <rPr>
        <sz val="11"/>
        <color rgb="FF000000"/>
        <rFont val="Times New Roman"/>
        <charset val="134"/>
      </rPr>
      <t>, the project provides $1.1</t>
    </r>
    <r>
      <rPr>
        <b/>
        <sz val="11"/>
        <color rgb="FF000000"/>
        <rFont val="Times New Roman"/>
        <charset val="134"/>
      </rPr>
      <t xml:space="preserve"> of benefits for every $1 invested</t>
    </r>
    <r>
      <rPr>
        <sz val="11"/>
        <color rgb="FF000000"/>
        <rFont val="Times New Roman"/>
        <charset val="134"/>
      </rPr>
      <t>. This demonstrates exceptional cost efficiency and high profitability.</t>
    </r>
  </si>
  <si>
    <t>CBA- Alternative B</t>
  </si>
  <si>
    <t>202219077-Jiayi Li
202219015-Jun Qi
202219102-Xiaoyuanying Kuang</t>
  </si>
  <si>
    <r>
      <rPr>
        <b/>
        <i/>
        <sz val="12"/>
        <color rgb="FF000000"/>
        <rFont val="等线"/>
        <charset val="134"/>
      </rPr>
      <t xml:space="preserve">Remarks
 </t>
    </r>
    <r>
      <rPr>
        <i/>
        <sz val="12"/>
        <color rgb="FF000000"/>
        <rFont val="等线"/>
        <charset val="134"/>
      </rPr>
      <t>(corresponding to assumption)</t>
    </r>
  </si>
  <si>
    <t>- Finance Costs</t>
  </si>
  <si>
    <t>-Income tax</t>
  </si>
  <si>
    <t xml:space="preserve"> -investment in working Capital</t>
  </si>
  <si>
    <t>It takes 9 years for Alternative A to recover the initial investment. This relatively long payback period ties up working capital for an extended time, potentially delaying other opportunities for investment.</t>
  </si>
  <si>
    <r>
      <rPr>
        <sz val="10"/>
        <color rgb="FF000000"/>
        <rFont val="Times New Roman"/>
        <charset val="134"/>
      </rPr>
      <t xml:space="preserve">Alternative A generates a </t>
    </r>
    <r>
      <rPr>
        <b/>
        <sz val="10"/>
        <color rgb="FF000000"/>
        <rFont val="Times New Roman"/>
        <charset val="134"/>
      </rPr>
      <t>positive NPV of $24 million</t>
    </r>
    <r>
      <rPr>
        <sz val="10"/>
        <color rgb="FF000000"/>
        <rFont val="Times New Roman"/>
        <charset val="134"/>
      </rPr>
      <t>, indicating that the project adds value over its lifecycle, even after accounting for all costs and the time value of money. This confirms the project’s profitability.</t>
    </r>
  </si>
  <si>
    <t>With a BCR of 1.0, Alternative A provides $1.0 of benefits for every $1 invested. This demonstrates good cost efficiency, although it is slightly lower than the ideal ratio for maximizing returns.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</si>
</sst>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176" formatCode="_(&quot;$&quot;* #,##0.00_);_(&quot;$&quot;* \(#,##0.00\);_(&quot;$&quot;* &quot;-&quot;??_);_(@_)"/>
    <numFmt numFmtId="177" formatCode="&quot;$&quot;#,##0;[Red]\-&quot;$&quot;#,##0"/>
    <numFmt numFmtId="178" formatCode="_-&quot;$&quot;* #,##0_-;\-&quot;$&quot;* #,##0_-;_-&quot;$&quot;* &quot;-&quot;??_-;_-@_-"/>
    <numFmt numFmtId="179" formatCode="\$#,##0.00;[Red]\$\-#,##0.00"/>
  </numFmts>
  <fonts count="51">
    <font>
      <sz val="12"/>
      <color theme="1"/>
      <name val="等线"/>
      <charset val="134"/>
      <scheme val="minor"/>
    </font>
    <font>
      <b/>
      <sz val="18"/>
      <color theme="1"/>
      <name val="等线"/>
      <charset val="134"/>
      <scheme val="minor"/>
    </font>
    <font>
      <sz val="14"/>
      <color theme="1"/>
      <name val="等线"/>
      <charset val="134"/>
      <scheme val="minor"/>
    </font>
    <font>
      <b/>
      <sz val="14"/>
      <color theme="1"/>
      <name val="等线"/>
      <charset val="134"/>
      <scheme val="minor"/>
    </font>
    <font>
      <b/>
      <i/>
      <sz val="12"/>
      <color rgb="FF000000"/>
      <name val="等线"/>
      <charset val="134"/>
    </font>
    <font>
      <sz val="12"/>
      <color rgb="FF000000"/>
      <name val="宋体"/>
      <charset val="134"/>
    </font>
    <font>
      <i/>
      <sz val="12"/>
      <color rgb="FF000000"/>
      <name val="等线"/>
      <charset val="134"/>
    </font>
    <font>
      <i/>
      <sz val="12"/>
      <color theme="1"/>
      <name val="等线"/>
      <charset val="134"/>
      <scheme val="minor"/>
    </font>
    <font>
      <sz val="14"/>
      <color rgb="FF000000"/>
      <name val="宋体"/>
      <charset val="134"/>
    </font>
    <font>
      <i/>
      <sz val="12"/>
      <color rgb="FF000000"/>
      <name val="宋体"/>
      <charset val="134"/>
    </font>
    <font>
      <b/>
      <sz val="14"/>
      <color rgb="FF000000"/>
      <name val="宋体"/>
      <charset val="134"/>
    </font>
    <font>
      <sz val="14"/>
      <color rgb="FF000000"/>
      <name val="等线"/>
      <charset val="134"/>
    </font>
    <font>
      <sz val="12"/>
      <color rgb="FF000000"/>
      <name val="等线"/>
      <charset val="134"/>
    </font>
    <font>
      <sz val="12"/>
      <color rgb="FF000000"/>
      <name val="Times New Roman"/>
      <charset val="134"/>
    </font>
    <font>
      <sz val="11"/>
      <color rgb="FF000000"/>
      <name val="Times New Roman"/>
      <charset val="134"/>
    </font>
    <font>
      <sz val="11"/>
      <color theme="1"/>
      <name val="等线"/>
      <charset val="134"/>
      <scheme val="minor"/>
    </font>
    <font>
      <sz val="11"/>
      <color rgb="FF000000"/>
      <name val="宋体"/>
      <charset val="134"/>
    </font>
    <font>
      <sz val="10"/>
      <color rgb="FF000000"/>
      <name val="Times New Roman"/>
      <charset val="134"/>
    </font>
    <font>
      <b/>
      <sz val="14"/>
      <color rgb="FFFF0000"/>
      <name val="等线"/>
      <charset val="134"/>
      <scheme val="minor"/>
    </font>
    <font>
      <sz val="12"/>
      <color rgb="FF000000"/>
      <name val="Calibri"/>
      <charset val="134"/>
    </font>
    <font>
      <b/>
      <sz val="18"/>
      <color rgb="FF000000"/>
      <name val="等线"/>
      <charset val="134"/>
      <scheme val="minor"/>
    </font>
    <font>
      <sz val="12"/>
      <color rgb="FF000000"/>
      <name val="等线"/>
      <charset val="134"/>
      <scheme val="minor"/>
    </font>
    <font>
      <sz val="14"/>
      <color rgb="FF000000"/>
      <name val="等线"/>
      <charset val="134"/>
      <scheme val="minor"/>
    </font>
    <font>
      <b/>
      <sz val="12"/>
      <color rgb="FF000000"/>
      <name val="等线"/>
      <charset val="134"/>
      <scheme val="minor"/>
    </font>
    <font>
      <sz val="10.5"/>
      <color rgb="FF060607"/>
      <name val="Times New Roman"/>
      <charset val="134"/>
    </font>
    <font>
      <sz val="10.5"/>
      <color rgb="FF060607"/>
      <name val="helvetica"/>
      <charset val="134"/>
    </font>
    <font>
      <sz val="14"/>
      <color rgb="FF000000"/>
      <name val="Times New Roman"/>
      <charset val="134"/>
    </font>
    <font>
      <sz val="14"/>
      <color rgb="FF05073B"/>
      <name val="Times New Roman"/>
      <charset val="134"/>
    </font>
    <font>
      <b/>
      <sz val="12"/>
      <color rgb="FF000000"/>
      <name val="Times New Roman"/>
      <charset val="134"/>
    </font>
    <font>
      <sz val="12"/>
      <color rgb="FFFF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rgb="FF000000"/>
      <name val="Times New Roman"/>
      <charset val="134"/>
    </font>
    <font>
      <b/>
      <sz val="10"/>
      <color rgb="FF000000"/>
      <name val="Times New Roman"/>
      <charset val="134"/>
    </font>
  </fonts>
  <fills count="44">
    <fill>
      <patternFill patternType="none"/>
    </fill>
    <fill>
      <patternFill patternType="gray125"/>
    </fill>
    <fill>
      <patternFill patternType="solid">
        <fgColor theme="7" tint="0.599993896298105"/>
        <bgColor indexed="64"/>
      </patternFill>
    </fill>
    <fill>
      <patternFill patternType="solid">
        <fgColor rgb="FF92D050"/>
        <bgColor indexed="64"/>
      </patternFill>
    </fill>
    <fill>
      <patternFill patternType="solid">
        <fgColor theme="5" tint="0.399914548173467"/>
        <bgColor indexed="64"/>
      </patternFill>
    </fill>
    <fill>
      <patternFill patternType="solid">
        <fgColor rgb="FFE7E6E6"/>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F4B084"/>
        <bgColor indexed="64"/>
      </patternFill>
    </fill>
    <fill>
      <patternFill patternType="solid">
        <fgColor theme="5" tint="0.399975585192419"/>
        <bgColor indexed="64"/>
      </patternFill>
    </fill>
    <fill>
      <patternFill patternType="solid">
        <fgColor rgb="FFFFE699"/>
        <bgColor indexed="64"/>
      </patternFill>
    </fill>
    <fill>
      <patternFill patternType="solid">
        <fgColor rgb="FFFFFFFF"/>
        <bgColor indexed="64"/>
      </patternFill>
    </fill>
    <fill>
      <patternFill patternType="solid">
        <fgColor rgb="FFC6E0B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A3A3A3"/>
      </left>
      <right/>
      <top style="medium">
        <color rgb="FFA3A3A3"/>
      </top>
      <bottom style="medium">
        <color rgb="FFA3A3A3"/>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right/>
      <top style="medium">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rgb="FF000000"/>
      </left>
      <right/>
      <top/>
      <bottom style="medium">
        <color rgb="FF000000"/>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auto="1"/>
      </left>
      <right style="medium">
        <color rgb="FF000000"/>
      </right>
      <top/>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5" fillId="0" borderId="0" applyFont="0" applyFill="0" applyBorder="0" applyAlignment="0" applyProtection="0">
      <alignment vertical="center"/>
    </xf>
    <xf numFmtId="176" fontId="0" fillId="0" borderId="0" applyFont="0" applyFill="0" applyBorder="0" applyAlignment="0" applyProtection="0"/>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15" borderId="35"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6" applyNumberFormat="0" applyFill="0" applyAlignment="0" applyProtection="0">
      <alignment vertical="center"/>
    </xf>
    <xf numFmtId="0" fontId="36" fillId="0" borderId="36" applyNumberFormat="0" applyFill="0" applyAlignment="0" applyProtection="0">
      <alignment vertical="center"/>
    </xf>
    <xf numFmtId="0" fontId="37" fillId="0" borderId="37" applyNumberFormat="0" applyFill="0" applyAlignment="0" applyProtection="0">
      <alignment vertical="center"/>
    </xf>
    <xf numFmtId="0" fontId="37" fillId="0" borderId="0" applyNumberFormat="0" applyFill="0" applyBorder="0" applyAlignment="0" applyProtection="0">
      <alignment vertical="center"/>
    </xf>
    <xf numFmtId="0" fontId="38" fillId="16" borderId="38" applyNumberFormat="0" applyAlignment="0" applyProtection="0">
      <alignment vertical="center"/>
    </xf>
    <xf numFmtId="0" fontId="39" fillId="17" borderId="39" applyNumberFormat="0" applyAlignment="0" applyProtection="0">
      <alignment vertical="center"/>
    </xf>
    <xf numFmtId="0" fontId="40" fillId="17" borderId="38" applyNumberFormat="0" applyAlignment="0" applyProtection="0">
      <alignment vertical="center"/>
    </xf>
    <xf numFmtId="0" fontId="41" fillId="18" borderId="40" applyNumberFormat="0" applyAlignment="0" applyProtection="0">
      <alignment vertical="center"/>
    </xf>
    <xf numFmtId="0" fontId="42" fillId="0" borderId="41" applyNumberFormat="0" applyFill="0" applyAlignment="0" applyProtection="0">
      <alignment vertical="center"/>
    </xf>
    <xf numFmtId="0" fontId="43" fillId="0" borderId="42" applyNumberFormat="0" applyFill="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10"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2"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8" fillId="37" borderId="0" applyNumberFormat="0" applyBorder="0" applyAlignment="0" applyProtection="0">
      <alignment vertical="center"/>
    </xf>
    <xf numFmtId="0" fontId="48" fillId="38" borderId="0" applyNumberFormat="0" applyBorder="0" applyAlignment="0" applyProtection="0">
      <alignment vertical="center"/>
    </xf>
    <xf numFmtId="0" fontId="47" fillId="39" borderId="0" applyNumberFormat="0" applyBorder="0" applyAlignment="0" applyProtection="0">
      <alignment vertical="center"/>
    </xf>
    <xf numFmtId="0" fontId="47" fillId="40" borderId="0" applyNumberFormat="0" applyBorder="0" applyAlignment="0" applyProtection="0">
      <alignment vertical="center"/>
    </xf>
    <xf numFmtId="0" fontId="48" fillId="41" borderId="0" applyNumberFormat="0" applyBorder="0" applyAlignment="0" applyProtection="0">
      <alignment vertical="center"/>
    </xf>
    <xf numFmtId="0" fontId="48" fillId="42" borderId="0" applyNumberFormat="0" applyBorder="0" applyAlignment="0" applyProtection="0">
      <alignment vertical="center"/>
    </xf>
    <xf numFmtId="0" fontId="47" fillId="43" borderId="0" applyNumberFormat="0" applyBorder="0" applyAlignment="0" applyProtection="0">
      <alignment vertical="center"/>
    </xf>
  </cellStyleXfs>
  <cellXfs count="172">
    <xf numFmtId="0" fontId="0" fillId="0" borderId="0" xfId="0"/>
    <xf numFmtId="0" fontId="0" fillId="0" borderId="0" xfId="0" applyFont="1" applyFill="1" applyAlignment="1"/>
    <xf numFmtId="0" fontId="0" fillId="0" borderId="0" xfId="0" applyFont="1" applyFill="1" applyAlignment="1">
      <alignment horizontal="center"/>
    </xf>
    <xf numFmtId="0" fontId="1" fillId="2" borderId="0" xfId="0" applyFont="1" applyFill="1" applyAlignment="1"/>
    <xf numFmtId="0" fontId="0" fillId="0" borderId="0" xfId="0" applyAlignment="1">
      <alignment horizontal="center"/>
    </xf>
    <xf numFmtId="0" fontId="1" fillId="0" borderId="0" xfId="0" applyFont="1" applyFill="1" applyAlignment="1"/>
    <xf numFmtId="0" fontId="2" fillId="3" borderId="0" xfId="0" applyFont="1" applyFill="1" applyAlignment="1"/>
    <xf numFmtId="0" fontId="3" fillId="3" borderId="1" xfId="0" applyFont="1" applyFill="1" applyBorder="1" applyAlignment="1">
      <alignment horizontal="left" vertical="center"/>
    </xf>
    <xf numFmtId="0" fontId="0" fillId="0" borderId="0" xfId="0" applyAlignment="1">
      <alignment wrapText="1"/>
    </xf>
    <xf numFmtId="0" fontId="2" fillId="4" borderId="0" xfId="0" applyFont="1" applyFill="1" applyAlignment="1"/>
    <xf numFmtId="0" fontId="4" fillId="5" borderId="0" xfId="0" applyFont="1" applyFill="1" applyBorder="1" applyAlignment="1">
      <alignment horizontal="center"/>
    </xf>
    <xf numFmtId="0" fontId="0" fillId="0" borderId="2" xfId="0" applyFont="1" applyFill="1" applyBorder="1" applyAlignment="1"/>
    <xf numFmtId="0" fontId="3" fillId="6" borderId="3" xfId="0" applyFont="1" applyFill="1" applyBorder="1" applyAlignment="1">
      <alignment vertical="center" wrapText="1"/>
    </xf>
    <xf numFmtId="0" fontId="0" fillId="0" borderId="0" xfId="0" applyFont="1" applyFill="1" applyBorder="1" applyAlignment="1">
      <alignment horizontal="center"/>
    </xf>
    <xf numFmtId="177" fontId="0" fillId="0" borderId="2" xfId="0" applyNumberFormat="1" applyFont="1" applyFill="1" applyBorder="1" applyAlignment="1"/>
    <xf numFmtId="0" fontId="2" fillId="0" borderId="3" xfId="0" applyFont="1" applyFill="1" applyBorder="1" applyAlignment="1">
      <alignment vertical="center" wrapText="1"/>
    </xf>
    <xf numFmtId="177" fontId="5" fillId="0" borderId="2" xfId="0" applyNumberFormat="1" applyFont="1" applyFill="1" applyBorder="1" applyAlignment="1"/>
    <xf numFmtId="0" fontId="6" fillId="0" borderId="0" xfId="0" applyFont="1" applyFill="1" applyBorder="1" applyAlignment="1">
      <alignment horizontal="center" wrapText="1"/>
    </xf>
    <xf numFmtId="0" fontId="7" fillId="0" borderId="0" xfId="0" applyFont="1" applyFill="1" applyBorder="1" applyAlignment="1">
      <alignment horizontal="center"/>
    </xf>
    <xf numFmtId="0" fontId="7" fillId="0" borderId="0" xfId="0" applyFont="1" applyFill="1" applyBorder="1" applyAlignment="1">
      <alignment horizontal="center" wrapText="1"/>
    </xf>
    <xf numFmtId="0" fontId="3" fillId="0" borderId="3" xfId="0" applyFont="1" applyFill="1" applyBorder="1" applyAlignment="1">
      <alignment vertical="center" wrapText="1"/>
    </xf>
    <xf numFmtId="0" fontId="8" fillId="0" borderId="3" xfId="0" applyFont="1" applyFill="1" applyBorder="1" applyAlignment="1">
      <alignment vertical="center" wrapText="1"/>
    </xf>
    <xf numFmtId="0" fontId="9" fillId="0" borderId="0" xfId="0" applyFont="1" applyFill="1" applyBorder="1" applyAlignment="1">
      <alignment horizontal="center"/>
    </xf>
    <xf numFmtId="0" fontId="10" fillId="0" borderId="3" xfId="0" applyFont="1" applyFill="1" applyBorder="1" applyAlignment="1">
      <alignment vertical="center" wrapText="1"/>
    </xf>
    <xf numFmtId="0" fontId="3" fillId="7" borderId="3" xfId="0" applyFont="1" applyFill="1" applyBorder="1" applyAlignment="1">
      <alignment vertical="center" wrapText="1"/>
    </xf>
    <xf numFmtId="177" fontId="0" fillId="0" borderId="4" xfId="0" applyNumberFormat="1" applyFont="1" applyFill="1" applyBorder="1" applyAlignment="1"/>
    <xf numFmtId="177" fontId="0" fillId="0" borderId="1" xfId="0" applyNumberFormat="1" applyFont="1" applyFill="1" applyBorder="1" applyAlignment="1"/>
    <xf numFmtId="177" fontId="0" fillId="0" borderId="0" xfId="0" applyNumberFormat="1" applyFont="1" applyFill="1" applyBorder="1" applyAlignment="1">
      <alignment horizontal="center"/>
    </xf>
    <xf numFmtId="49" fontId="2" fillId="0" borderId="3" xfId="0" applyNumberFormat="1" applyFont="1" applyFill="1" applyBorder="1" applyAlignment="1">
      <alignment vertical="center" wrapText="1"/>
    </xf>
    <xf numFmtId="0" fontId="8" fillId="7" borderId="3" xfId="0" applyFont="1" applyFill="1" applyBorder="1" applyAlignment="1">
      <alignment vertical="center" wrapText="1"/>
    </xf>
    <xf numFmtId="178" fontId="0" fillId="0" borderId="0" xfId="2" applyNumberFormat="1" applyFont="1" applyFill="1" applyBorder="1" applyAlignment="1">
      <alignment horizontal="center"/>
    </xf>
    <xf numFmtId="177" fontId="0" fillId="8" borderId="2" xfId="0" applyNumberFormat="1" applyFont="1" applyFill="1" applyBorder="1" applyAlignment="1">
      <alignment wrapText="1"/>
    </xf>
    <xf numFmtId="178" fontId="0" fillId="8" borderId="2" xfId="2" applyNumberFormat="1" applyFont="1" applyFill="1" applyBorder="1" applyAlignment="1">
      <alignment horizontal="left"/>
    </xf>
    <xf numFmtId="0" fontId="5" fillId="0" borderId="0" xfId="0" applyFont="1" applyFill="1" applyAlignment="1"/>
    <xf numFmtId="0" fontId="2" fillId="0" borderId="2" xfId="0" applyFont="1" applyFill="1" applyBorder="1" applyAlignment="1">
      <alignment vertical="center" wrapText="1"/>
    </xf>
    <xf numFmtId="0" fontId="11" fillId="9" borderId="5" xfId="0" applyFont="1" applyFill="1" applyBorder="1" applyAlignment="1"/>
    <xf numFmtId="0" fontId="11" fillId="9" borderId="6" xfId="0" applyFont="1" applyFill="1" applyBorder="1" applyAlignment="1">
      <alignment horizontal="center"/>
    </xf>
    <xf numFmtId="0" fontId="11" fillId="9" borderId="6" xfId="0" applyFont="1" applyFill="1" applyBorder="1" applyAlignment="1"/>
    <xf numFmtId="0" fontId="12" fillId="8" borderId="7" xfId="0" applyFont="1" applyFill="1" applyBorder="1" applyAlignment="1">
      <alignment horizontal="center"/>
    </xf>
    <xf numFmtId="0" fontId="13" fillId="0" borderId="8" xfId="0" applyFont="1" applyFill="1" applyBorder="1" applyAlignment="1">
      <alignment wrapText="1"/>
    </xf>
    <xf numFmtId="0" fontId="0" fillId="0" borderId="1" xfId="0" applyBorder="1" applyAlignment="1">
      <alignment horizontal="center" vertical="center"/>
    </xf>
    <xf numFmtId="0" fontId="11" fillId="9" borderId="7" xfId="0" applyFont="1" applyFill="1" applyBorder="1" applyAlignment="1"/>
    <xf numFmtId="26" fontId="12" fillId="8" borderId="7" xfId="0" applyNumberFormat="1" applyFont="1" applyFill="1" applyBorder="1" applyAlignment="1">
      <alignment horizontal="center"/>
    </xf>
    <xf numFmtId="179" fontId="12" fillId="8" borderId="7" xfId="0" applyNumberFormat="1" applyFont="1" applyFill="1" applyBorder="1" applyAlignment="1">
      <alignment horizontal="center"/>
    </xf>
    <xf numFmtId="0" fontId="12" fillId="0" borderId="8" xfId="0" applyFont="1" applyFill="1" applyBorder="1" applyAlignment="1"/>
    <xf numFmtId="0" fontId="11" fillId="9" borderId="9" xfId="0" applyFont="1" applyFill="1" applyBorder="1" applyAlignment="1"/>
    <xf numFmtId="0" fontId="12" fillId="8" borderId="9" xfId="0" applyFont="1" applyFill="1" applyBorder="1" applyAlignment="1">
      <alignment horizontal="center"/>
    </xf>
    <xf numFmtId="0" fontId="14" fillId="0" borderId="0" xfId="0" applyFont="1" applyFill="1" applyBorder="1" applyAlignment="1">
      <alignment vertical="center" wrapText="1"/>
    </xf>
    <xf numFmtId="0" fontId="15" fillId="0" borderId="0" xfId="0" applyFont="1" applyFill="1" applyAlignment="1">
      <alignment vertical="center"/>
    </xf>
    <xf numFmtId="0" fontId="0" fillId="0" borderId="10" xfId="0" applyBorder="1"/>
    <xf numFmtId="0" fontId="4" fillId="5" borderId="0" xfId="0" applyFont="1" applyFill="1" applyBorder="1" applyAlignment="1">
      <alignment horizontal="center" wrapText="1"/>
    </xf>
    <xf numFmtId="0" fontId="0" fillId="0" borderId="1" xfId="0" applyFont="1" applyFill="1" applyBorder="1" applyAlignment="1"/>
    <xf numFmtId="177" fontId="0" fillId="0" borderId="11" xfId="0" applyNumberFormat="1" applyFont="1" applyFill="1" applyBorder="1" applyAlignment="1"/>
    <xf numFmtId="178" fontId="0" fillId="8" borderId="1" xfId="2" applyNumberFormat="1" applyFont="1" applyFill="1" applyBorder="1" applyAlignment="1">
      <alignment horizontal="left"/>
    </xf>
    <xf numFmtId="178" fontId="0" fillId="8" borderId="11" xfId="2" applyNumberFormat="1" applyFont="1" applyFill="1" applyBorder="1" applyAlignment="1">
      <alignment horizontal="left"/>
    </xf>
    <xf numFmtId="177" fontId="0" fillId="8" borderId="2" xfId="0" applyNumberFormat="1" applyFont="1" applyFill="1" applyBorder="1" applyAlignment="1"/>
    <xf numFmtId="0" fontId="0" fillId="0" borderId="0" xfId="0" applyFont="1" applyFill="1" applyBorder="1" applyAlignment="1"/>
    <xf numFmtId="0" fontId="0" fillId="0" borderId="12" xfId="0" applyFont="1" applyFill="1" applyBorder="1" applyAlignment="1"/>
    <xf numFmtId="0" fontId="0" fillId="0" borderId="1" xfId="0" applyBorder="1" applyAlignment="1">
      <alignment horizontal="center" vertical="center" wrapText="1"/>
    </xf>
    <xf numFmtId="0" fontId="0" fillId="0" borderId="11" xfId="0" applyFont="1" applyFill="1" applyBorder="1" applyAlignment="1"/>
    <xf numFmtId="177" fontId="5" fillId="0" borderId="12" xfId="0" applyNumberFormat="1" applyFont="1" applyFill="1" applyBorder="1" applyAlignment="1"/>
    <xf numFmtId="177" fontId="0" fillId="0" borderId="12" xfId="0" applyNumberFormat="1" applyFont="1" applyFill="1" applyBorder="1" applyAlignment="1"/>
    <xf numFmtId="177" fontId="0" fillId="0" borderId="13" xfId="0" applyNumberFormat="1" applyFont="1" applyFill="1" applyBorder="1" applyAlignment="1"/>
    <xf numFmtId="177" fontId="0" fillId="8" borderId="12" xfId="0" applyNumberFormat="1" applyFont="1" applyFill="1" applyBorder="1" applyAlignment="1"/>
    <xf numFmtId="0" fontId="0" fillId="0" borderId="14" xfId="0" applyBorder="1" applyAlignment="1">
      <alignment horizontal="center" vertical="center"/>
    </xf>
    <xf numFmtId="0" fontId="0" fillId="0" borderId="14" xfId="0" applyBorder="1" applyAlignment="1">
      <alignment horizontal="center" vertical="center" wrapText="1"/>
    </xf>
    <xf numFmtId="0" fontId="2" fillId="7" borderId="3" xfId="0" applyFont="1" applyFill="1" applyBorder="1" applyAlignment="1">
      <alignment vertical="center" wrapText="1"/>
    </xf>
    <xf numFmtId="0" fontId="8" fillId="0" borderId="0" xfId="0" applyFont="1" applyFill="1" applyAlignment="1"/>
    <xf numFmtId="0" fontId="8" fillId="0" borderId="2" xfId="0" applyFont="1" applyFill="1" applyBorder="1" applyAlignment="1"/>
    <xf numFmtId="0" fontId="16" fillId="0" borderId="0" xfId="0" applyFont="1" applyFill="1" applyAlignment="1">
      <alignment horizontal="center" vertical="center"/>
    </xf>
    <xf numFmtId="177" fontId="0" fillId="0" borderId="0" xfId="0" applyNumberFormat="1" applyFont="1" applyFill="1" applyAlignment="1"/>
    <xf numFmtId="0" fontId="17" fillId="0" borderId="8" xfId="0" applyFont="1" applyFill="1" applyBorder="1" applyAlignment="1">
      <alignment vertical="center" wrapText="1"/>
    </xf>
    <xf numFmtId="0" fontId="13" fillId="0" borderId="15" xfId="0" applyFont="1" applyFill="1" applyBorder="1" applyAlignment="1">
      <alignment wrapText="1"/>
    </xf>
    <xf numFmtId="0" fontId="18" fillId="0" borderId="0" xfId="0" applyFont="1" applyFill="1" applyAlignment="1"/>
    <xf numFmtId="0" fontId="2" fillId="3" borderId="10"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16" xfId="0" applyFont="1" applyFill="1" applyBorder="1" applyAlignment="1">
      <alignment horizontal="left" vertical="center" wrapText="1"/>
    </xf>
    <xf numFmtId="0" fontId="2" fillId="10" borderId="17" xfId="0" applyFont="1" applyFill="1" applyBorder="1" applyAlignment="1">
      <alignment horizontal="center" vertical="center" wrapText="1"/>
    </xf>
    <xf numFmtId="0" fontId="2" fillId="10" borderId="18" xfId="0" applyFont="1" applyFill="1" applyBorder="1" applyAlignment="1">
      <alignment horizontal="left" vertical="center" wrapText="1"/>
    </xf>
    <xf numFmtId="0" fontId="2" fillId="10" borderId="17" xfId="0" applyFont="1" applyFill="1" applyBorder="1" applyAlignment="1">
      <alignment horizontal="left" vertical="center" wrapText="1"/>
    </xf>
    <xf numFmtId="24" fontId="19" fillId="0" borderId="19" xfId="0" applyNumberFormat="1" applyFont="1" applyFill="1" applyBorder="1" applyAlignment="1">
      <alignment horizontal="center" vertical="center" wrapText="1"/>
    </xf>
    <xf numFmtId="0" fontId="13" fillId="0" borderId="16" xfId="0" applyFont="1" applyFill="1" applyBorder="1" applyAlignment="1">
      <alignment horizontal="center" vertical="center" wrapText="1"/>
    </xf>
    <xf numFmtId="0" fontId="0" fillId="0" borderId="0" xfId="0" applyFont="1" applyFill="1" applyAlignment="1">
      <alignment wrapText="1"/>
    </xf>
    <xf numFmtId="0" fontId="2" fillId="10" borderId="20" xfId="0" applyFont="1" applyFill="1" applyBorder="1" applyAlignment="1">
      <alignment horizontal="center" vertical="center" wrapText="1"/>
    </xf>
    <xf numFmtId="0" fontId="11" fillId="10" borderId="20" xfId="0" applyFont="1" applyFill="1" applyBorder="1" applyAlignment="1">
      <alignment horizontal="left" vertical="center" wrapText="1"/>
    </xf>
    <xf numFmtId="24" fontId="19" fillId="0" borderId="21" xfId="0" applyNumberFormat="1" applyFont="1" applyFill="1" applyBorder="1" applyAlignment="1">
      <alignment horizontal="center" vertical="center" wrapText="1"/>
    </xf>
    <xf numFmtId="0" fontId="2" fillId="10" borderId="20"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2" fillId="10" borderId="22" xfId="0" applyFont="1" applyFill="1" applyBorder="1" applyAlignment="1">
      <alignment horizontal="center" vertical="center" wrapText="1"/>
    </xf>
    <xf numFmtId="0" fontId="11" fillId="10" borderId="22" xfId="0" applyFont="1" applyFill="1" applyBorder="1" applyAlignment="1">
      <alignment horizontal="left" vertical="center" wrapText="1"/>
    </xf>
    <xf numFmtId="24" fontId="19" fillId="0" borderId="23" xfId="0" applyNumberFormat="1" applyFont="1" applyFill="1" applyBorder="1" applyAlignment="1">
      <alignment horizontal="center" vertical="center" wrapText="1"/>
    </xf>
    <xf numFmtId="0" fontId="2" fillId="10" borderId="24" xfId="0" applyFont="1" applyFill="1" applyBorder="1" applyAlignment="1">
      <alignment horizontal="center" vertical="center"/>
    </xf>
    <xf numFmtId="0" fontId="2" fillId="10" borderId="0" xfId="0" applyFont="1" applyFill="1" applyBorder="1" applyAlignment="1">
      <alignment horizontal="left" vertical="center"/>
    </xf>
    <xf numFmtId="0" fontId="2" fillId="10" borderId="25" xfId="0" applyFont="1" applyFill="1" applyBorder="1" applyAlignment="1">
      <alignment horizontal="left" vertical="center"/>
    </xf>
    <xf numFmtId="24" fontId="19" fillId="0" borderId="25" xfId="0" applyNumberFormat="1" applyFont="1" applyFill="1" applyBorder="1" applyAlignment="1">
      <alignment horizontal="center" vertical="center" wrapText="1"/>
    </xf>
    <xf numFmtId="0" fontId="2" fillId="10" borderId="26" xfId="0" applyFont="1" applyFill="1" applyBorder="1" applyAlignment="1">
      <alignment horizontal="left" vertical="center"/>
    </xf>
    <xf numFmtId="0" fontId="2" fillId="10" borderId="24" xfId="0" applyFont="1" applyFill="1" applyBorder="1" applyAlignment="1">
      <alignment horizontal="left" vertical="center"/>
    </xf>
    <xf numFmtId="0" fontId="2" fillId="10" borderId="27" xfId="0" applyFont="1" applyFill="1" applyBorder="1" applyAlignment="1">
      <alignment vertical="center"/>
    </xf>
    <xf numFmtId="0" fontId="2" fillId="10" borderId="28" xfId="0" applyFont="1" applyFill="1" applyBorder="1" applyAlignment="1">
      <alignment vertical="center"/>
    </xf>
    <xf numFmtId="0" fontId="19" fillId="0" borderId="21" xfId="0" applyNumberFormat="1" applyFont="1" applyFill="1" applyBorder="1" applyAlignment="1">
      <alignment horizontal="center" vertical="center" wrapText="1"/>
    </xf>
    <xf numFmtId="0" fontId="2" fillId="10" borderId="18" xfId="0" applyFont="1" applyFill="1" applyBorder="1" applyAlignment="1">
      <alignment horizontal="left" vertical="center"/>
    </xf>
    <xf numFmtId="0" fontId="2" fillId="10" borderId="27" xfId="0" applyFont="1" applyFill="1" applyBorder="1" applyAlignment="1">
      <alignment horizontal="left" vertical="center"/>
    </xf>
    <xf numFmtId="0" fontId="2" fillId="10" borderId="28" xfId="0" applyFont="1" applyFill="1" applyBorder="1" applyAlignment="1">
      <alignment horizontal="left" vertical="center"/>
    </xf>
    <xf numFmtId="0" fontId="13" fillId="0" borderId="28" xfId="0" applyFont="1" applyFill="1" applyBorder="1" applyAlignment="1">
      <alignment horizontal="center" vertical="center" wrapText="1"/>
    </xf>
    <xf numFmtId="0" fontId="0" fillId="0" borderId="10" xfId="0" applyFont="1" applyFill="1" applyBorder="1" applyAlignment="1"/>
    <xf numFmtId="0" fontId="2" fillId="3" borderId="27" xfId="0" applyFont="1" applyFill="1" applyBorder="1" applyAlignment="1">
      <alignment horizontal="center" vertical="center"/>
    </xf>
    <xf numFmtId="0" fontId="2" fillId="3" borderId="28" xfId="0" applyFont="1" applyFill="1" applyBorder="1" applyAlignment="1">
      <alignment horizontal="center" vertical="center"/>
    </xf>
    <xf numFmtId="0" fontId="2" fillId="10" borderId="23" xfId="0" applyFont="1" applyFill="1" applyBorder="1" applyAlignment="1">
      <alignment horizontal="center" vertical="center" wrapText="1"/>
    </xf>
    <xf numFmtId="0" fontId="2" fillId="10" borderId="0" xfId="0" applyFont="1" applyFill="1" applyAlignment="1">
      <alignment vertical="center" wrapText="1"/>
    </xf>
    <xf numFmtId="0" fontId="2" fillId="10" borderId="24" xfId="0" applyFont="1" applyFill="1" applyBorder="1" applyAlignment="1">
      <alignment horizontal="center" vertical="center" wrapText="1"/>
    </xf>
    <xf numFmtId="0" fontId="11" fillId="10" borderId="0" xfId="0" applyFont="1" applyFill="1" applyAlignment="1">
      <alignment vertical="center" wrapText="1"/>
    </xf>
    <xf numFmtId="0" fontId="11" fillId="10" borderId="29" xfId="0" applyFont="1" applyFill="1" applyBorder="1" applyAlignment="1">
      <alignment vertical="center" wrapText="1"/>
    </xf>
    <xf numFmtId="0" fontId="2" fillId="10" borderId="19" xfId="0" applyFont="1" applyFill="1" applyBorder="1" applyAlignment="1">
      <alignment horizontal="center" vertical="center"/>
    </xf>
    <xf numFmtId="0" fontId="2" fillId="10" borderId="19" xfId="0" applyFont="1" applyFill="1" applyBorder="1" applyAlignment="1">
      <alignment horizontal="left" vertical="center"/>
    </xf>
    <xf numFmtId="0" fontId="2" fillId="10" borderId="22" xfId="0" applyFont="1" applyFill="1" applyBorder="1" applyAlignment="1">
      <alignment horizontal="left" vertical="center"/>
    </xf>
    <xf numFmtId="0" fontId="20" fillId="11" borderId="0" xfId="0" applyFont="1" applyFill="1" applyAlignment="1">
      <alignment wrapText="1"/>
    </xf>
    <xf numFmtId="0" fontId="21" fillId="0" borderId="0" xfId="0" applyFont="1" applyFill="1" applyAlignment="1"/>
    <xf numFmtId="0" fontId="20" fillId="0" borderId="0" xfId="0" applyFont="1" applyFill="1" applyAlignment="1">
      <alignment wrapText="1"/>
    </xf>
    <xf numFmtId="0" fontId="22" fillId="3" borderId="5" xfId="0" applyFont="1" applyFill="1" applyBorder="1" applyAlignment="1">
      <alignment horizontal="left" vertical="center" wrapText="1"/>
    </xf>
    <xf numFmtId="0" fontId="22" fillId="3" borderId="8" xfId="0" applyFont="1" applyFill="1" applyBorder="1" applyAlignment="1">
      <alignment horizontal="center" vertical="center" wrapText="1"/>
    </xf>
    <xf numFmtId="0" fontId="22" fillId="9" borderId="5" xfId="0" applyFont="1" applyFill="1" applyBorder="1" applyAlignment="1"/>
    <xf numFmtId="0" fontId="23" fillId="8" borderId="0" xfId="0" applyFont="1" applyFill="1" applyAlignment="1">
      <alignment horizontal="center"/>
    </xf>
    <xf numFmtId="0" fontId="22" fillId="9" borderId="7" xfId="0" applyFont="1" applyFill="1" applyBorder="1" applyAlignment="1">
      <alignment horizontal="left" vertical="center"/>
    </xf>
    <xf numFmtId="0" fontId="13" fillId="8" borderId="0" xfId="0" applyFont="1" applyFill="1" applyAlignment="1">
      <alignment horizontal="center" wrapText="1"/>
    </xf>
    <xf numFmtId="0" fontId="22" fillId="9" borderId="30" xfId="0" applyFont="1" applyFill="1" applyBorder="1" applyAlignment="1"/>
    <xf numFmtId="24" fontId="24" fillId="0" borderId="6" xfId="0" applyNumberFormat="1" applyFont="1" applyFill="1" applyBorder="1" applyAlignment="1">
      <alignment horizontal="left"/>
    </xf>
    <xf numFmtId="0" fontId="24" fillId="12" borderId="6" xfId="0" applyFont="1" applyFill="1" applyBorder="1" applyAlignment="1">
      <alignment horizontal="left" wrapText="1"/>
    </xf>
    <xf numFmtId="0" fontId="22" fillId="9" borderId="8" xfId="0" applyFont="1" applyFill="1" applyBorder="1" applyAlignment="1"/>
    <xf numFmtId="24" fontId="24" fillId="12" borderId="6" xfId="0" applyNumberFormat="1" applyFont="1" applyFill="1" applyBorder="1" applyAlignment="1">
      <alignment horizontal="left" wrapText="1"/>
    </xf>
    <xf numFmtId="26" fontId="24" fillId="12" borderId="6" xfId="0" applyNumberFormat="1" applyFont="1" applyFill="1" applyBorder="1" applyAlignment="1">
      <alignment horizontal="left" wrapText="1"/>
    </xf>
    <xf numFmtId="0" fontId="22" fillId="9" borderId="0" xfId="0" applyFont="1" applyFill="1" applyAlignment="1"/>
    <xf numFmtId="0" fontId="25" fillId="0" borderId="0" xfId="0" applyFont="1" applyFill="1" applyAlignment="1"/>
    <xf numFmtId="3" fontId="25" fillId="0" borderId="0" xfId="0" applyNumberFormat="1" applyFont="1" applyFill="1" applyAlignment="1"/>
    <xf numFmtId="0" fontId="22" fillId="3" borderId="5" xfId="0" applyFont="1" applyFill="1" applyBorder="1" applyAlignment="1">
      <alignment horizontal="left" vertical="center"/>
    </xf>
    <xf numFmtId="0" fontId="26" fillId="0" borderId="2" xfId="0" applyFont="1" applyFill="1" applyBorder="1" applyAlignment="1">
      <alignment horizontal="left"/>
    </xf>
    <xf numFmtId="10" fontId="26" fillId="0" borderId="2" xfId="0" applyNumberFormat="1" applyFont="1" applyFill="1" applyBorder="1" applyAlignment="1">
      <alignment horizontal="left"/>
    </xf>
    <xf numFmtId="0" fontId="13" fillId="0" borderId="2" xfId="0" applyFont="1" applyFill="1" applyBorder="1" applyAlignment="1">
      <alignment horizontal="left" wrapText="1"/>
    </xf>
    <xf numFmtId="0" fontId="27" fillId="0" borderId="2" xfId="0" applyFont="1" applyFill="1" applyBorder="1" applyAlignment="1">
      <alignment horizontal="left" wrapText="1"/>
    </xf>
    <xf numFmtId="0" fontId="22" fillId="9" borderId="15" xfId="0" applyFont="1" applyFill="1" applyBorder="1" applyAlignment="1"/>
    <xf numFmtId="0" fontId="3" fillId="3" borderId="17" xfId="0" applyFont="1" applyFill="1" applyBorder="1" applyAlignment="1">
      <alignment horizontal="left" vertical="center"/>
    </xf>
    <xf numFmtId="0" fontId="28" fillId="8" borderId="2" xfId="0" applyFont="1" applyFill="1" applyBorder="1" applyAlignment="1">
      <alignment wrapText="1"/>
    </xf>
    <xf numFmtId="0" fontId="0" fillId="0" borderId="14" xfId="0" applyFont="1" applyFill="1" applyBorder="1" applyAlignment="1">
      <alignment wrapText="1"/>
    </xf>
    <xf numFmtId="0" fontId="2" fillId="10" borderId="17" xfId="0" applyFont="1" applyFill="1" applyBorder="1" applyAlignment="1">
      <alignment horizontal="left"/>
    </xf>
    <xf numFmtId="0" fontId="2" fillId="10" borderId="20" xfId="0" applyFont="1" applyFill="1" applyBorder="1" applyAlignment="1"/>
    <xf numFmtId="0" fontId="2" fillId="10" borderId="22" xfId="0" applyFont="1" applyFill="1" applyBorder="1" applyAlignment="1"/>
    <xf numFmtId="0" fontId="0" fillId="0" borderId="14" xfId="0" applyFont="1" applyFill="1" applyBorder="1" applyAlignment="1"/>
    <xf numFmtId="0" fontId="21" fillId="12" borderId="0" xfId="0" applyFont="1" applyFill="1" applyAlignment="1"/>
    <xf numFmtId="0" fontId="11" fillId="13" borderId="6" xfId="0" applyFont="1" applyFill="1" applyBorder="1" applyAlignment="1"/>
    <xf numFmtId="0" fontId="11" fillId="13" borderId="31" xfId="0" applyFont="1" applyFill="1" applyBorder="1" applyAlignment="1">
      <alignment horizontal="center"/>
    </xf>
    <xf numFmtId="0" fontId="29" fillId="14" borderId="0" xfId="0" applyFont="1" applyFill="1" applyAlignment="1"/>
    <xf numFmtId="0" fontId="11" fillId="9" borderId="31" xfId="0" applyFont="1" applyFill="1" applyBorder="1" applyAlignment="1">
      <alignment wrapText="1"/>
    </xf>
    <xf numFmtId="0" fontId="12" fillId="12" borderId="7" xfId="0" applyFont="1" applyFill="1" applyBorder="1" applyAlignment="1"/>
    <xf numFmtId="0" fontId="12" fillId="12" borderId="32" xfId="0" applyFont="1" applyFill="1" applyBorder="1" applyAlignment="1">
      <alignment wrapText="1"/>
    </xf>
    <xf numFmtId="0" fontId="21" fillId="12" borderId="7" xfId="0" applyFont="1" applyFill="1" applyBorder="1" applyAlignment="1">
      <alignment vertical="center" wrapText="1"/>
    </xf>
    <xf numFmtId="0" fontId="21" fillId="12" borderId="32" xfId="0" applyFont="1" applyFill="1" applyBorder="1" applyAlignment="1">
      <alignment vertical="center" wrapText="1"/>
    </xf>
    <xf numFmtId="0" fontId="12" fillId="12" borderId="7" xfId="0" applyFont="1" applyFill="1" applyBorder="1" applyAlignment="1">
      <alignment vertical="center" wrapText="1"/>
    </xf>
    <xf numFmtId="0" fontId="12" fillId="12" borderId="32" xfId="0" applyFont="1" applyFill="1" applyBorder="1" applyAlignment="1">
      <alignment vertical="center" wrapText="1"/>
    </xf>
    <xf numFmtId="0" fontId="21" fillId="12" borderId="7" xfId="0" applyFont="1" applyFill="1" applyBorder="1" applyAlignment="1"/>
    <xf numFmtId="0" fontId="21" fillId="12" borderId="32" xfId="0" applyFont="1" applyFill="1" applyBorder="1" applyAlignment="1"/>
    <xf numFmtId="0" fontId="12" fillId="12" borderId="32" xfId="0" applyFont="1" applyFill="1" applyBorder="1" applyAlignment="1"/>
    <xf numFmtId="0" fontId="21" fillId="12" borderId="0" xfId="0" applyFont="1" applyFill="1" applyAlignment="1">
      <alignment horizontal="left" vertical="center" wrapText="1"/>
    </xf>
    <xf numFmtId="0" fontId="21" fillId="12" borderId="33" xfId="0" applyFont="1" applyFill="1" applyBorder="1" applyAlignment="1">
      <alignment horizontal="left" vertical="center" wrapText="1"/>
    </xf>
    <xf numFmtId="0" fontId="12" fillId="12" borderId="0" xfId="0" applyFont="1" applyFill="1" applyAlignment="1">
      <alignment horizontal="left" vertical="center" wrapText="1"/>
    </xf>
    <xf numFmtId="0" fontId="12" fillId="12" borderId="33" xfId="0" applyFont="1" applyFill="1" applyBorder="1" applyAlignment="1">
      <alignment horizontal="left" vertical="center" wrapText="1"/>
    </xf>
    <xf numFmtId="0" fontId="21" fillId="12" borderId="0" xfId="0" applyFont="1" applyFill="1" applyAlignment="1">
      <alignment horizontal="right" vertical="top"/>
    </xf>
    <xf numFmtId="0" fontId="21" fillId="12" borderId="25" xfId="0" applyFont="1" applyFill="1" applyBorder="1" applyAlignment="1">
      <alignment wrapText="1"/>
    </xf>
    <xf numFmtId="0" fontId="21" fillId="12" borderId="32" xfId="0" applyFont="1" applyFill="1" applyBorder="1" applyAlignment="1">
      <alignment wrapText="1"/>
    </xf>
    <xf numFmtId="0" fontId="12" fillId="12" borderId="7" xfId="0" applyFont="1" applyFill="1" applyBorder="1" applyAlignment="1">
      <alignment wrapText="1"/>
    </xf>
    <xf numFmtId="0" fontId="21" fillId="12" borderId="0" xfId="0" applyFont="1" applyFill="1" applyAlignment="1">
      <alignment horizontal="right"/>
    </xf>
    <xf numFmtId="0" fontId="21" fillId="12" borderId="9" xfId="0" applyFont="1" applyFill="1" applyBorder="1" applyAlignment="1"/>
    <xf numFmtId="0" fontId="21" fillId="12" borderId="34" xfId="0" applyFont="1" applyFill="1" applyBorder="1" applyAlignment="1"/>
    <xf numFmtId="0" fontId="2" fillId="0" borderId="3" xfId="0" applyFont="1" applyFill="1" applyBorder="1" applyAlignment="1" quotePrefix="1">
      <alignment vertical="center" wrapText="1"/>
    </xf>
    <xf numFmtId="0" fontId="8" fillId="0" borderId="3" xfId="0" applyFont="1" applyFill="1" applyBorder="1" applyAlignment="1" quotePrefix="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workbookViewId="0">
      <selection activeCell="B18" sqref="B18"/>
    </sheetView>
  </sheetViews>
  <sheetFormatPr defaultColWidth="10.8359375" defaultRowHeight="15" outlineLevelCol="4"/>
  <cols>
    <col min="1" max="1" width="13.3359375" style="1" customWidth="1"/>
    <col min="2" max="2" width="27.5859375" style="1" customWidth="1"/>
    <col min="3" max="3" width="32.5" style="1" customWidth="1"/>
    <col min="4" max="4" width="67.5" style="1" customWidth="1"/>
    <col min="5" max="5" width="11.0859375" style="1" customWidth="1"/>
    <col min="6" max="16384" width="10.8359375" style="1"/>
  </cols>
  <sheetData>
    <row r="1" s="1" customFormat="1" spans="1:4">
      <c r="A1" s="147"/>
      <c r="B1" s="147"/>
      <c r="C1" s="147"/>
      <c r="D1" s="147"/>
    </row>
    <row r="2" s="1" customFormat="1" ht="15.75" spans="1:4">
      <c r="A2" s="147"/>
      <c r="B2" s="147"/>
      <c r="C2" s="147"/>
      <c r="D2" s="147"/>
    </row>
    <row r="3" s="1" customFormat="1" ht="19.5" customHeight="1" spans="1:5">
      <c r="A3" s="147"/>
      <c r="B3" s="148" t="s">
        <v>0</v>
      </c>
      <c r="C3" s="149" t="s">
        <v>1</v>
      </c>
      <c r="D3" s="149"/>
      <c r="E3" s="150"/>
    </row>
    <row r="4" s="1" customFormat="1" ht="18.4" spans="1:4">
      <c r="A4" s="147"/>
      <c r="B4" s="37" t="s">
        <v>2</v>
      </c>
      <c r="C4" s="37" t="s">
        <v>3</v>
      </c>
      <c r="D4" s="151" t="s">
        <v>4</v>
      </c>
    </row>
    <row r="5" s="1" customFormat="1" spans="1:4">
      <c r="A5" s="147"/>
      <c r="B5" s="152" t="s">
        <v>5</v>
      </c>
      <c r="C5" s="152" t="s">
        <v>6</v>
      </c>
      <c r="D5" s="153" t="s">
        <v>7</v>
      </c>
    </row>
    <row r="6" s="1" customFormat="1" spans="1:4">
      <c r="A6" s="147"/>
      <c r="B6" s="154"/>
      <c r="C6" s="154"/>
      <c r="D6" s="155"/>
    </row>
    <row r="7" s="1" customFormat="1" ht="45" spans="1:4">
      <c r="A7" s="147"/>
      <c r="B7" s="156" t="s">
        <v>8</v>
      </c>
      <c r="C7" s="156" t="s">
        <v>9</v>
      </c>
      <c r="D7" s="157" t="s">
        <v>10</v>
      </c>
    </row>
    <row r="8" s="1" customFormat="1" spans="1:4">
      <c r="A8" s="147"/>
      <c r="B8" s="158"/>
      <c r="C8" s="154"/>
      <c r="D8" s="159"/>
    </row>
    <row r="9" s="1" customFormat="1" ht="30" spans="1:4">
      <c r="A9" s="147"/>
      <c r="B9" s="152" t="s">
        <v>11</v>
      </c>
      <c r="C9" s="156" t="s">
        <v>12</v>
      </c>
      <c r="D9" s="160" t="s">
        <v>13</v>
      </c>
    </row>
    <row r="10" s="1" customFormat="1" spans="1:4">
      <c r="A10" s="147"/>
      <c r="B10" s="158"/>
      <c r="C10" s="161"/>
      <c r="D10" s="162"/>
    </row>
    <row r="11" s="1" customFormat="1" ht="15.75" customHeight="1" spans="1:4">
      <c r="A11" s="147"/>
      <c r="B11" s="152" t="s">
        <v>14</v>
      </c>
      <c r="C11" s="163" t="s">
        <v>12</v>
      </c>
      <c r="D11" s="164" t="s">
        <v>15</v>
      </c>
    </row>
    <row r="12" s="1" customFormat="1" spans="1:4">
      <c r="A12" s="165"/>
      <c r="B12" s="158"/>
      <c r="C12" s="163"/>
      <c r="D12" s="164"/>
    </row>
    <row r="13" s="1" customFormat="1" spans="1:4">
      <c r="A13" s="165"/>
      <c r="B13" s="158"/>
      <c r="C13" s="166"/>
      <c r="D13" s="167"/>
    </row>
    <row r="14" s="1" customFormat="1" ht="45" spans="1:4">
      <c r="A14" s="165"/>
      <c r="B14" s="152" t="s">
        <v>16</v>
      </c>
      <c r="C14" s="168" t="s">
        <v>9</v>
      </c>
      <c r="D14" s="153" t="s">
        <v>10</v>
      </c>
    </row>
    <row r="15" s="1" customFormat="1" spans="1:4">
      <c r="A15" s="165"/>
      <c r="B15" s="158"/>
      <c r="C15" s="158"/>
      <c r="D15" s="159"/>
    </row>
    <row r="16" s="1" customFormat="1" spans="1:4">
      <c r="A16" s="147"/>
      <c r="B16" s="158"/>
      <c r="C16" s="158"/>
      <c r="D16" s="159"/>
    </row>
    <row r="17" s="1" customFormat="1" spans="1:4">
      <c r="A17" s="169"/>
      <c r="B17" s="158"/>
      <c r="C17" s="158"/>
      <c r="D17" s="159"/>
    </row>
    <row r="18" s="1" customFormat="1" ht="15.75" spans="1:4">
      <c r="A18" s="169"/>
      <c r="B18" s="170"/>
      <c r="C18" s="170"/>
      <c r="D18" s="171"/>
    </row>
    <row r="19" s="1" customFormat="1" spans="1:4">
      <c r="A19" s="169"/>
      <c r="B19" s="147"/>
      <c r="C19" s="147"/>
      <c r="D19" s="147"/>
    </row>
    <row r="20" s="1" customFormat="1" spans="1:4">
      <c r="A20" s="169"/>
      <c r="B20" s="147"/>
      <c r="C20" s="147"/>
      <c r="D20" s="147"/>
    </row>
  </sheetData>
  <sheetProtection formatCells="0" formatColumns="0" formatRows="0" insertRows="0" insertColumns="0" insertHyperlinks="0" deleteColumns="0" deleteRows="0" sort="0" autoFilter="0" pivotTables="0"/>
  <mergeCells count="3">
    <mergeCell ref="C3:D3"/>
    <mergeCell ref="C11:C12"/>
    <mergeCell ref="D11:D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zoomScale="55" zoomScaleNormal="55" workbookViewId="0">
      <selection activeCell="C5" sqref="C5"/>
    </sheetView>
  </sheetViews>
  <sheetFormatPr defaultColWidth="10.8359375" defaultRowHeight="15" outlineLevelRow="7" outlineLevelCol="2"/>
  <cols>
    <col min="1" max="1" width="74.5" style="1" customWidth="1"/>
    <col min="2" max="2" width="110.8359375" style="1" customWidth="1"/>
    <col min="3" max="3" width="75.3359375" style="1" customWidth="1"/>
    <col min="4" max="16384" width="10.8359375" style="1"/>
  </cols>
  <sheetData>
    <row r="1" s="1" customFormat="1" ht="22.5" spans="1:1">
      <c r="A1" s="3" t="s">
        <v>17</v>
      </c>
    </row>
    <row r="4" s="1" customFormat="1" ht="18.35" spans="3:3">
      <c r="C4" s="7" t="s">
        <v>18</v>
      </c>
    </row>
    <row r="5" s="1" customFormat="1" ht="75.75" spans="1:3">
      <c r="A5" s="140" t="s">
        <v>19</v>
      </c>
      <c r="B5" s="141" t="s">
        <v>20</v>
      </c>
      <c r="C5" s="142" t="s">
        <v>21</v>
      </c>
    </row>
    <row r="6" s="1" customFormat="1" ht="220.1" customHeight="1" spans="1:3">
      <c r="A6" s="143" t="s">
        <v>22</v>
      </c>
      <c r="B6" s="141" t="s">
        <v>23</v>
      </c>
      <c r="C6" s="142" t="s">
        <v>21</v>
      </c>
    </row>
    <row r="7" s="1" customFormat="1" ht="92.25" spans="1:3">
      <c r="A7" s="144" t="s">
        <v>24</v>
      </c>
      <c r="B7" s="141" t="s">
        <v>25</v>
      </c>
      <c r="C7" s="142" t="s">
        <v>26</v>
      </c>
    </row>
    <row r="8" s="1" customFormat="1" ht="93" customHeight="1" spans="1:3">
      <c r="A8" s="145" t="s">
        <v>27</v>
      </c>
      <c r="B8" s="141" t="s">
        <v>28</v>
      </c>
      <c r="C8" s="146" t="s">
        <v>5</v>
      </c>
    </row>
  </sheetData>
  <sheetProtection formatCells="0" formatColumns="0" formatRows="0" insertRows="0" insertColumns="0" insertHyperlinks="0" deleteColumns="0" deleteRows="0" sort="0" autoFilter="0" pivotTables="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zoomScale="50" zoomScaleNormal="50" workbookViewId="0">
      <selection activeCell="D5" sqref="D5"/>
    </sheetView>
  </sheetViews>
  <sheetFormatPr defaultColWidth="11" defaultRowHeight="15" outlineLevelCol="4"/>
  <cols>
    <col min="1" max="1" width="83.0859375" style="1" customWidth="1"/>
    <col min="2" max="2" width="35" style="1" customWidth="1"/>
    <col min="3" max="3" width="51.640625" style="1" customWidth="1"/>
    <col min="4" max="4" width="32.3359375" style="1" customWidth="1"/>
    <col min="5" max="5" width="22.2734375" style="1" customWidth="1"/>
    <col min="6" max="16384" width="11" style="1"/>
  </cols>
  <sheetData>
    <row r="1" s="1" customFormat="1" ht="45" spans="1:4">
      <c r="A1" s="116" t="s">
        <v>29</v>
      </c>
      <c r="B1" s="117"/>
      <c r="C1" s="117"/>
      <c r="D1" s="117"/>
    </row>
    <row r="2" s="1" customFormat="1" ht="22.5" spans="1:4">
      <c r="A2" s="118"/>
      <c r="B2" s="117"/>
      <c r="C2" s="117"/>
      <c r="D2" s="117"/>
    </row>
    <row r="3" s="1" customFormat="1" ht="23.25" spans="1:3">
      <c r="A3" s="118"/>
      <c r="B3" s="117"/>
      <c r="C3" s="117"/>
    </row>
    <row r="4" s="1" customFormat="1" ht="19.5" customHeight="1" spans="1:4">
      <c r="A4" s="119" t="s">
        <v>30</v>
      </c>
      <c r="B4" s="120" t="s">
        <v>31</v>
      </c>
      <c r="C4" s="120"/>
      <c r="D4" s="7" t="s">
        <v>18</v>
      </c>
    </row>
    <row r="5" s="1" customFormat="1" ht="18" customHeight="1" spans="1:4">
      <c r="A5" s="121" t="s">
        <v>32</v>
      </c>
      <c r="B5" s="122" t="s">
        <v>33</v>
      </c>
      <c r="C5" s="122"/>
      <c r="D5" s="1" t="s">
        <v>5</v>
      </c>
    </row>
    <row r="6" s="1" customFormat="1" ht="141.75" customHeight="1" spans="1:3">
      <c r="A6" s="123" t="s">
        <v>34</v>
      </c>
      <c r="B6" s="124" t="s">
        <v>35</v>
      </c>
      <c r="C6" s="124"/>
    </row>
    <row r="7" s="1" customFormat="1" spans="1:3">
      <c r="A7" s="117"/>
      <c r="B7" s="117"/>
      <c r="C7" s="117"/>
    </row>
    <row r="8" s="1" customFormat="1" ht="15.75" spans="1:3">
      <c r="A8" s="117"/>
      <c r="B8" s="117"/>
      <c r="C8" s="117"/>
    </row>
    <row r="9" s="1" customFormat="1" ht="67" customHeight="1" spans="1:4">
      <c r="A9" s="119" t="s">
        <v>36</v>
      </c>
      <c r="B9" s="119" t="s">
        <v>37</v>
      </c>
      <c r="C9" s="119" t="s">
        <v>38</v>
      </c>
      <c r="D9" s="7" t="s">
        <v>18</v>
      </c>
    </row>
    <row r="10" s="1" customFormat="1" ht="41.25" spans="1:4">
      <c r="A10" s="125" t="s">
        <v>39</v>
      </c>
      <c r="B10" s="126">
        <v>18988000</v>
      </c>
      <c r="C10" s="127" t="s">
        <v>40</v>
      </c>
      <c r="D10" s="1" t="s">
        <v>5</v>
      </c>
    </row>
    <row r="11" s="1" customFormat="1" ht="41.25" spans="1:4">
      <c r="A11" s="128" t="s">
        <v>41</v>
      </c>
      <c r="B11" s="129">
        <v>189474000</v>
      </c>
      <c r="C11" s="127" t="s">
        <v>40</v>
      </c>
      <c r="D11" s="117"/>
    </row>
    <row r="12" s="1" customFormat="1" ht="41.25" spans="1:4">
      <c r="A12" s="128" t="s">
        <v>42</v>
      </c>
      <c r="B12" s="129">
        <v>135388000</v>
      </c>
      <c r="C12" s="127" t="s">
        <v>40</v>
      </c>
      <c r="D12" s="117"/>
    </row>
    <row r="13" s="1" customFormat="1" ht="41.25" spans="1:4">
      <c r="A13" s="128" t="s">
        <v>43</v>
      </c>
      <c r="B13" s="129">
        <v>15249000</v>
      </c>
      <c r="C13" s="127" t="s">
        <v>40</v>
      </c>
      <c r="D13" s="117"/>
    </row>
    <row r="14" s="1" customFormat="1" ht="41.25" spans="1:4">
      <c r="A14" s="128" t="s">
        <v>44</v>
      </c>
      <c r="B14" s="129">
        <v>91483000</v>
      </c>
      <c r="C14" s="127" t="s">
        <v>45</v>
      </c>
      <c r="D14" s="117"/>
    </row>
    <row r="15" s="1" customFormat="1" ht="41.25" spans="1:4">
      <c r="A15" s="128" t="s">
        <v>46</v>
      </c>
      <c r="B15" s="129">
        <v>10236000</v>
      </c>
      <c r="C15" s="127" t="s">
        <v>40</v>
      </c>
      <c r="D15" s="117"/>
    </row>
    <row r="16" s="1" customFormat="1" ht="41.25" spans="1:4">
      <c r="A16" s="128" t="s">
        <v>47</v>
      </c>
      <c r="B16" s="129">
        <v>170486000</v>
      </c>
      <c r="C16" s="127" t="s">
        <v>40</v>
      </c>
      <c r="D16" s="117"/>
    </row>
    <row r="17" s="1" customFormat="1" ht="41.25" spans="1:4">
      <c r="A17" s="128" t="s">
        <v>48</v>
      </c>
      <c r="B17" s="130">
        <v>8.99</v>
      </c>
      <c r="C17" s="127" t="s">
        <v>40</v>
      </c>
      <c r="D17" s="117"/>
    </row>
    <row r="18" s="1" customFormat="1" ht="41.25" spans="1:4">
      <c r="A18" s="128" t="s">
        <v>49</v>
      </c>
      <c r="B18" s="130">
        <v>12.5</v>
      </c>
      <c r="C18" s="127" t="s">
        <v>50</v>
      </c>
      <c r="D18" s="117"/>
    </row>
    <row r="19" s="1" customFormat="1" ht="41.25" spans="1:4">
      <c r="A19" s="131" t="s">
        <v>51</v>
      </c>
      <c r="B19" s="129">
        <v>170486000</v>
      </c>
      <c r="C19" s="127" t="s">
        <v>40</v>
      </c>
      <c r="D19" s="117"/>
    </row>
    <row r="20" s="1" customFormat="1" ht="41.25" spans="1:4">
      <c r="A20" s="131" t="s">
        <v>52</v>
      </c>
      <c r="B20" s="129">
        <v>67959000</v>
      </c>
      <c r="C20" s="127" t="s">
        <v>50</v>
      </c>
      <c r="D20" s="117"/>
    </row>
    <row r="21" s="1" customFormat="1" ht="41.25" spans="1:4">
      <c r="A21" s="131" t="s">
        <v>53</v>
      </c>
      <c r="B21" s="129">
        <v>8252000</v>
      </c>
      <c r="C21" s="127" t="s">
        <v>50</v>
      </c>
      <c r="D21" s="117"/>
    </row>
    <row r="22" s="1" customFormat="1" ht="41.25" spans="1:4">
      <c r="A22" s="131" t="s">
        <v>54</v>
      </c>
      <c r="B22" s="129">
        <v>3739000</v>
      </c>
      <c r="C22" s="127" t="s">
        <v>40</v>
      </c>
      <c r="D22" s="117"/>
    </row>
    <row r="23" s="1" customFormat="1" spans="1:4">
      <c r="A23" s="132"/>
      <c r="B23" s="133"/>
      <c r="C23" s="117"/>
      <c r="D23" s="117"/>
    </row>
    <row r="24" s="1" customFormat="1" ht="15.75" spans="1:4">
      <c r="A24" s="132"/>
      <c r="B24" s="133"/>
      <c r="C24" s="117"/>
      <c r="D24" s="117"/>
    </row>
    <row r="25" s="1" customFormat="1" ht="36" spans="1:5">
      <c r="A25" s="119" t="s">
        <v>55</v>
      </c>
      <c r="B25" s="119" t="s">
        <v>56</v>
      </c>
      <c r="C25" s="134" t="s">
        <v>57</v>
      </c>
      <c r="D25" s="119" t="s">
        <v>58</v>
      </c>
      <c r="E25" s="7" t="s">
        <v>18</v>
      </c>
    </row>
    <row r="26" s="1" customFormat="1" ht="30.75" spans="1:5">
      <c r="A26" s="125" t="s">
        <v>59</v>
      </c>
      <c r="B26" s="135" t="s">
        <v>60</v>
      </c>
      <c r="C26" s="136">
        <v>0.1002</v>
      </c>
      <c r="D26" s="137" t="s">
        <v>61</v>
      </c>
      <c r="E26" s="1" t="s">
        <v>14</v>
      </c>
    </row>
    <row r="27" s="1" customFormat="1" ht="30.75" spans="1:4">
      <c r="A27" s="128" t="s">
        <v>62</v>
      </c>
      <c r="B27" s="138" t="s">
        <v>63</v>
      </c>
      <c r="C27" s="135">
        <v>8.88</v>
      </c>
      <c r="D27" s="137" t="s">
        <v>64</v>
      </c>
    </row>
    <row r="28" s="1" customFormat="1" ht="46.15" spans="1:4">
      <c r="A28" s="128" t="s">
        <v>65</v>
      </c>
      <c r="B28" s="135" t="s">
        <v>66</v>
      </c>
      <c r="C28" s="135">
        <v>0.48</v>
      </c>
      <c r="D28" s="137" t="s">
        <v>67</v>
      </c>
    </row>
    <row r="29" s="1" customFormat="1" ht="46.15" spans="1:4">
      <c r="A29" s="128" t="s">
        <v>68</v>
      </c>
      <c r="B29" s="135" t="s">
        <v>69</v>
      </c>
      <c r="C29" s="136">
        <v>0.06</v>
      </c>
      <c r="D29" s="137" t="s">
        <v>70</v>
      </c>
    </row>
    <row r="30" s="1" customFormat="1" ht="31.5" spans="1:4">
      <c r="A30" s="139" t="s">
        <v>71</v>
      </c>
      <c r="B30" s="135" t="s">
        <v>72</v>
      </c>
      <c r="C30" s="135">
        <v>0.72</v>
      </c>
      <c r="D30" s="137" t="s">
        <v>73</v>
      </c>
    </row>
  </sheetData>
  <sheetProtection formatCells="0" formatColumns="0" formatRows="0" insertRows="0" insertColumns="0" insertHyperlinks="0" deleteColumns="0" deleteRows="0" sort="0" autoFilter="0" pivotTables="0"/>
  <mergeCells count="3">
    <mergeCell ref="B4:C4"/>
    <mergeCell ref="B5:C5"/>
    <mergeCell ref="B6:C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zoomScale="40" zoomScaleNormal="40" workbookViewId="0">
      <selection activeCell="B5" sqref="B5:C12"/>
    </sheetView>
  </sheetViews>
  <sheetFormatPr defaultColWidth="11" defaultRowHeight="15" outlineLevelCol="6"/>
  <cols>
    <col min="1" max="1" width="13.3359375" style="1" customWidth="1"/>
    <col min="2" max="2" width="25.1953125" style="1" customWidth="1"/>
    <col min="3" max="3" width="49.6953125" style="1" customWidth="1"/>
    <col min="4" max="4" width="25.3203125" style="1" customWidth="1"/>
    <col min="5" max="5" width="43.6015625" style="1" customWidth="1"/>
    <col min="6" max="6" width="61.1796875" style="1" customWidth="1"/>
    <col min="7" max="7" width="30.25" style="1" customWidth="1"/>
    <col min="8" max="9" width="12.125" style="1"/>
    <col min="10" max="16384" width="11" style="1"/>
  </cols>
  <sheetData>
    <row r="1" s="1" customFormat="1" ht="22.5" spans="1:6">
      <c r="A1" s="3" t="s">
        <v>74</v>
      </c>
      <c r="F1" s="7" t="s">
        <v>18</v>
      </c>
    </row>
    <row r="2" s="1" customFormat="1" ht="17.6" spans="1:6">
      <c r="A2" s="73" t="s">
        <v>75</v>
      </c>
      <c r="F2" s="1" t="s">
        <v>5</v>
      </c>
    </row>
    <row r="3" s="1" customFormat="1" ht="15.75"/>
    <row r="4" s="1" customFormat="1" ht="18.4" spans="1:7">
      <c r="A4" s="74" t="s">
        <v>76</v>
      </c>
      <c r="B4" s="74"/>
      <c r="C4" s="75"/>
      <c r="D4" s="76" t="s">
        <v>57</v>
      </c>
      <c r="E4" s="77" t="s">
        <v>77</v>
      </c>
      <c r="F4" s="76" t="s">
        <v>78</v>
      </c>
      <c r="G4" s="7" t="s">
        <v>18</v>
      </c>
    </row>
    <row r="5" s="1" customFormat="1" ht="60.75" spans="1:7">
      <c r="A5" s="78" t="s">
        <v>79</v>
      </c>
      <c r="B5" s="79" t="s">
        <v>80</v>
      </c>
      <c r="C5" s="80" t="s">
        <v>81</v>
      </c>
      <c r="D5" s="81">
        <v>16805000</v>
      </c>
      <c r="E5" s="82" t="s">
        <v>82</v>
      </c>
      <c r="F5" s="82" t="s">
        <v>83</v>
      </c>
      <c r="G5" s="83" t="s">
        <v>84</v>
      </c>
    </row>
    <row r="6" s="1" customFormat="1" ht="62.25" spans="1:6">
      <c r="A6" s="84"/>
      <c r="B6" s="79"/>
      <c r="C6" s="85" t="s">
        <v>85</v>
      </c>
      <c r="D6" s="86">
        <v>7528109</v>
      </c>
      <c r="E6" s="82" t="s">
        <v>86</v>
      </c>
      <c r="F6" s="82" t="s">
        <v>87</v>
      </c>
    </row>
    <row r="7" s="1" customFormat="1" ht="62.25" spans="1:6">
      <c r="A7" s="84"/>
      <c r="B7" s="87" t="s">
        <v>88</v>
      </c>
      <c r="C7" s="87" t="s">
        <v>88</v>
      </c>
      <c r="D7" s="86">
        <v>65880000</v>
      </c>
      <c r="E7" s="82" t="s">
        <v>89</v>
      </c>
      <c r="F7" s="82" t="s">
        <v>87</v>
      </c>
    </row>
    <row r="8" s="1" customFormat="1" ht="62.25" spans="1:6">
      <c r="A8" s="84"/>
      <c r="B8" s="79" t="s">
        <v>90</v>
      </c>
      <c r="C8" s="87" t="s">
        <v>90</v>
      </c>
      <c r="D8" s="86">
        <v>11973000</v>
      </c>
      <c r="E8" s="82" t="s">
        <v>91</v>
      </c>
      <c r="F8" s="82" t="s">
        <v>87</v>
      </c>
    </row>
    <row r="9" s="1" customFormat="1" ht="77.65" spans="1:6">
      <c r="A9" s="84"/>
      <c r="B9" s="79"/>
      <c r="C9" s="87" t="s">
        <v>92</v>
      </c>
      <c r="D9" s="86">
        <v>4789200</v>
      </c>
      <c r="E9" s="82" t="s">
        <v>93</v>
      </c>
      <c r="F9" s="82" t="s">
        <v>87</v>
      </c>
    </row>
    <row r="10" s="1" customFormat="1" ht="46.9" spans="1:6">
      <c r="A10" s="84"/>
      <c r="B10" s="85" t="s">
        <v>94</v>
      </c>
      <c r="C10" s="85" t="s">
        <v>94</v>
      </c>
      <c r="D10" s="86">
        <v>13044240</v>
      </c>
      <c r="E10" s="82" t="s">
        <v>95</v>
      </c>
      <c r="F10" s="82" t="s">
        <v>96</v>
      </c>
    </row>
    <row r="11" s="1" customFormat="1" ht="62.25" spans="1:6">
      <c r="A11" s="84"/>
      <c r="B11" s="88" t="s">
        <v>97</v>
      </c>
      <c r="C11" s="85" t="s">
        <v>97</v>
      </c>
      <c r="D11" s="86">
        <v>439200</v>
      </c>
      <c r="E11" s="82" t="s">
        <v>98</v>
      </c>
      <c r="F11" s="82" t="s">
        <v>87</v>
      </c>
    </row>
    <row r="12" s="1" customFormat="1" ht="62.25" spans="1:6">
      <c r="A12" s="89"/>
      <c r="B12" s="88" t="s">
        <v>99</v>
      </c>
      <c r="C12" s="90" t="s">
        <v>99</v>
      </c>
      <c r="D12" s="91">
        <v>1082432</v>
      </c>
      <c r="E12" s="82" t="s">
        <v>100</v>
      </c>
      <c r="F12" s="82" t="s">
        <v>87</v>
      </c>
    </row>
    <row r="13" s="1" customFormat="1" ht="46.9" spans="1:6">
      <c r="A13" s="92" t="s">
        <v>101</v>
      </c>
      <c r="B13" s="92"/>
      <c r="C13" s="93" t="s">
        <v>102</v>
      </c>
      <c r="D13" s="86">
        <v>2300000</v>
      </c>
      <c r="E13" s="82" t="s">
        <v>103</v>
      </c>
      <c r="F13" s="82" t="s">
        <v>104</v>
      </c>
    </row>
    <row r="14" s="1" customFormat="1" ht="46.9" spans="1:6">
      <c r="A14" s="92"/>
      <c r="B14" s="92"/>
      <c r="C14" s="94" t="s">
        <v>105</v>
      </c>
      <c r="D14" s="95">
        <v>-1000000</v>
      </c>
      <c r="E14" s="82" t="s">
        <v>106</v>
      </c>
      <c r="F14" s="82" t="s">
        <v>107</v>
      </c>
    </row>
    <row r="15" s="1" customFormat="1" ht="46.9" spans="1:6">
      <c r="A15" s="92"/>
      <c r="B15" s="92"/>
      <c r="C15" s="94" t="s">
        <v>108</v>
      </c>
      <c r="D15" s="95">
        <v>900000</v>
      </c>
      <c r="E15" s="82" t="s">
        <v>109</v>
      </c>
      <c r="F15" s="82" t="s">
        <v>110</v>
      </c>
    </row>
    <row r="16" s="1" customFormat="1" ht="46.9" spans="1:6">
      <c r="A16" s="92"/>
      <c r="B16" s="92"/>
      <c r="C16" s="94" t="s">
        <v>111</v>
      </c>
      <c r="D16" s="95">
        <v>1200000</v>
      </c>
      <c r="E16" s="82" t="s">
        <v>112</v>
      </c>
      <c r="F16" s="82" t="s">
        <v>113</v>
      </c>
    </row>
    <row r="17" s="1" customFormat="1" ht="46.9" spans="1:6">
      <c r="A17" s="92"/>
      <c r="B17" s="92"/>
      <c r="C17" s="94" t="s">
        <v>114</v>
      </c>
      <c r="D17" s="95">
        <v>3000000</v>
      </c>
      <c r="E17" s="82" t="s">
        <v>115</v>
      </c>
      <c r="F17" s="82" t="s">
        <v>116</v>
      </c>
    </row>
    <row r="18" s="1" customFormat="1" ht="46.9" spans="1:6">
      <c r="A18" s="92"/>
      <c r="B18" s="92"/>
      <c r="C18" s="96" t="s">
        <v>117</v>
      </c>
      <c r="D18" s="86">
        <v>6500000</v>
      </c>
      <c r="E18" s="82" t="s">
        <v>118</v>
      </c>
      <c r="F18" s="82" t="s">
        <v>116</v>
      </c>
    </row>
    <row r="19" s="1" customFormat="1" ht="46.9" spans="1:6">
      <c r="A19" s="97" t="s">
        <v>119</v>
      </c>
      <c r="B19" s="97"/>
      <c r="C19" s="97"/>
      <c r="D19" s="86">
        <v>1000000</v>
      </c>
      <c r="E19" s="82" t="s">
        <v>120</v>
      </c>
      <c r="F19" s="82" t="s">
        <v>121</v>
      </c>
    </row>
    <row r="20" s="1" customFormat="1" ht="46.9" spans="1:6">
      <c r="A20" s="98" t="s">
        <v>122</v>
      </c>
      <c r="B20" s="98"/>
      <c r="C20" s="99"/>
      <c r="D20" s="100">
        <v>0.095</v>
      </c>
      <c r="E20" s="82" t="s">
        <v>123</v>
      </c>
      <c r="F20" s="82" t="s">
        <v>116</v>
      </c>
    </row>
    <row r="21" s="1" customFormat="1" ht="62.25" spans="1:6">
      <c r="A21" s="101" t="s">
        <v>124</v>
      </c>
      <c r="B21" s="102"/>
      <c r="C21" s="103"/>
      <c r="D21" s="86" t="s">
        <v>125</v>
      </c>
      <c r="E21" s="82" t="s">
        <v>126</v>
      </c>
      <c r="F21" s="104" t="s">
        <v>127</v>
      </c>
    </row>
    <row r="22" s="1" customFormat="1" spans="4:5">
      <c r="D22" s="105"/>
      <c r="E22" s="105"/>
    </row>
    <row r="24" s="1" customFormat="1" ht="15.75"/>
    <row r="25" s="1" customFormat="1" ht="18.4" spans="1:7">
      <c r="A25" s="106" t="s">
        <v>128</v>
      </c>
      <c r="B25" s="106"/>
      <c r="C25" s="107"/>
      <c r="D25" s="76" t="s">
        <v>57</v>
      </c>
      <c r="E25" s="77" t="s">
        <v>77</v>
      </c>
      <c r="F25" s="76" t="s">
        <v>78</v>
      </c>
      <c r="G25" s="7" t="s">
        <v>18</v>
      </c>
    </row>
    <row r="26" s="1" customFormat="1" ht="46.9" spans="1:7">
      <c r="A26" s="108" t="s">
        <v>79</v>
      </c>
      <c r="B26" s="108"/>
      <c r="C26" s="109" t="s">
        <v>80</v>
      </c>
      <c r="D26" s="81">
        <v>16805000</v>
      </c>
      <c r="E26" s="82" t="s">
        <v>82</v>
      </c>
      <c r="F26" s="82" t="s">
        <v>129</v>
      </c>
      <c r="G26" s="83" t="s">
        <v>130</v>
      </c>
    </row>
    <row r="27" s="1" customFormat="1" ht="46.9" spans="1:6">
      <c r="A27" s="110"/>
      <c r="B27" s="110"/>
      <c r="C27" s="109" t="s">
        <v>88</v>
      </c>
      <c r="D27" s="86">
        <v>54900000</v>
      </c>
      <c r="E27" s="82" t="s">
        <v>89</v>
      </c>
      <c r="F27" s="82" t="s">
        <v>50</v>
      </c>
    </row>
    <row r="28" s="1" customFormat="1" ht="46.9" spans="1:6">
      <c r="A28" s="110"/>
      <c r="B28" s="110"/>
      <c r="C28" s="109" t="s">
        <v>90</v>
      </c>
      <c r="D28" s="86">
        <v>11973000</v>
      </c>
      <c r="E28" s="82" t="s">
        <v>91</v>
      </c>
      <c r="F28" s="82" t="s">
        <v>50</v>
      </c>
    </row>
    <row r="29" s="1" customFormat="1" ht="46.9" spans="1:6">
      <c r="A29" s="110"/>
      <c r="B29" s="110"/>
      <c r="C29" s="111" t="s">
        <v>94</v>
      </c>
      <c r="D29" s="86">
        <v>10870200</v>
      </c>
      <c r="E29" s="82" t="s">
        <v>95</v>
      </c>
      <c r="F29" s="82" t="s">
        <v>50</v>
      </c>
    </row>
    <row r="30" s="1" customFormat="1" ht="46.9" spans="1:6">
      <c r="A30" s="110"/>
      <c r="B30" s="110"/>
      <c r="C30" s="111" t="s">
        <v>97</v>
      </c>
      <c r="D30" s="86">
        <v>366000</v>
      </c>
      <c r="E30" s="82" t="s">
        <v>98</v>
      </c>
      <c r="F30" s="82" t="s">
        <v>50</v>
      </c>
    </row>
    <row r="31" s="1" customFormat="1" ht="46.9" spans="1:6">
      <c r="A31" s="110"/>
      <c r="B31" s="110"/>
      <c r="C31" s="112" t="s">
        <v>99</v>
      </c>
      <c r="D31" s="86">
        <v>145000</v>
      </c>
      <c r="E31" s="82" t="s">
        <v>100</v>
      </c>
      <c r="F31" s="82" t="s">
        <v>50</v>
      </c>
    </row>
    <row r="32" s="1" customFormat="1" ht="46.9" spans="1:6">
      <c r="A32" s="92" t="s">
        <v>101</v>
      </c>
      <c r="B32" s="92"/>
      <c r="C32" s="93" t="s">
        <v>102</v>
      </c>
      <c r="D32" s="86">
        <v>500000</v>
      </c>
      <c r="E32" s="82" t="s">
        <v>131</v>
      </c>
      <c r="F32" s="82" t="s">
        <v>132</v>
      </c>
    </row>
    <row r="33" s="1" customFormat="1" ht="46.9" spans="1:6">
      <c r="A33" s="92"/>
      <c r="B33" s="92"/>
      <c r="C33" s="94" t="s">
        <v>105</v>
      </c>
      <c r="D33" s="86">
        <v>4750000</v>
      </c>
      <c r="E33" s="82" t="s">
        <v>133</v>
      </c>
      <c r="F33" s="82" t="s">
        <v>134</v>
      </c>
    </row>
    <row r="34" s="1" customFormat="1" ht="46.9" spans="1:6">
      <c r="A34" s="92"/>
      <c r="B34" s="92"/>
      <c r="C34" s="94" t="s">
        <v>108</v>
      </c>
      <c r="D34" s="86">
        <v>300000</v>
      </c>
      <c r="E34" s="82" t="s">
        <v>135</v>
      </c>
      <c r="F34" s="82" t="s">
        <v>132</v>
      </c>
    </row>
    <row r="35" s="1" customFormat="1" ht="46.9" spans="1:6">
      <c r="A35" s="92"/>
      <c r="B35" s="92"/>
      <c r="C35" s="94" t="s">
        <v>111</v>
      </c>
      <c r="D35" s="86">
        <v>1000000</v>
      </c>
      <c r="E35" s="82" t="s">
        <v>136</v>
      </c>
      <c r="F35" s="82" t="s">
        <v>137</v>
      </c>
    </row>
    <row r="36" s="1" customFormat="1" ht="46.9" spans="1:6">
      <c r="A36" s="92"/>
      <c r="B36" s="92"/>
      <c r="C36" s="94" t="s">
        <v>114</v>
      </c>
      <c r="D36" s="86">
        <v>18830000</v>
      </c>
      <c r="E36" s="82" t="s">
        <v>138</v>
      </c>
      <c r="F36" s="82" t="s">
        <v>139</v>
      </c>
    </row>
    <row r="37" s="1" customFormat="1" ht="46.9" spans="1:6">
      <c r="A37" s="113"/>
      <c r="B37" s="113"/>
      <c r="C37" s="94" t="s">
        <v>117</v>
      </c>
      <c r="D37" s="86">
        <v>14575000</v>
      </c>
      <c r="E37" s="82" t="s">
        <v>140</v>
      </c>
      <c r="F37" s="82" t="s">
        <v>141</v>
      </c>
    </row>
    <row r="38" s="1" customFormat="1" ht="46.9" spans="1:6">
      <c r="A38" s="114" t="s">
        <v>119</v>
      </c>
      <c r="B38" s="97"/>
      <c r="C38" s="97"/>
      <c r="D38" s="86">
        <v>500000</v>
      </c>
      <c r="E38" s="82" t="s">
        <v>142</v>
      </c>
      <c r="F38" s="82" t="s">
        <v>143</v>
      </c>
    </row>
    <row r="39" s="1" customFormat="1" ht="46.9" spans="1:6">
      <c r="A39" s="98" t="s">
        <v>122</v>
      </c>
      <c r="B39" s="98"/>
      <c r="C39" s="99"/>
      <c r="D39" s="100">
        <v>0.095</v>
      </c>
      <c r="E39" s="82" t="s">
        <v>144</v>
      </c>
      <c r="F39" s="82" t="s">
        <v>145</v>
      </c>
    </row>
    <row r="40" s="1" customFormat="1" ht="46.9" spans="1:6">
      <c r="A40" s="115" t="s">
        <v>124</v>
      </c>
      <c r="B40" s="102"/>
      <c r="C40" s="103"/>
      <c r="D40" s="91" t="s">
        <v>125</v>
      </c>
      <c r="E40" s="82" t="s">
        <v>146</v>
      </c>
      <c r="F40" s="104" t="s">
        <v>145</v>
      </c>
    </row>
    <row r="41" s="1" customFormat="1" spans="5:5">
      <c r="E41" s="105"/>
    </row>
  </sheetData>
  <sheetProtection formatCells="0" formatColumns="0" formatRows="0" insertRows="0" insertColumns="0" insertHyperlinks="0" deleteColumns="0" deleteRows="0" sort="0" autoFilter="0" pivotTables="0"/>
  <mergeCells count="12">
    <mergeCell ref="A4:C4"/>
    <mergeCell ref="A19:C19"/>
    <mergeCell ref="A21:C21"/>
    <mergeCell ref="A25:C25"/>
    <mergeCell ref="A38:C38"/>
    <mergeCell ref="A40:C40"/>
    <mergeCell ref="A5:A12"/>
    <mergeCell ref="B5:B6"/>
    <mergeCell ref="B8:B9"/>
    <mergeCell ref="A13:B18"/>
    <mergeCell ref="A26:B31"/>
    <mergeCell ref="A32:B37"/>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3"/>
  <sheetViews>
    <sheetView tabSelected="1" zoomScale="23" zoomScaleNormal="23" topLeftCell="A17" workbookViewId="0">
      <selection activeCell="B90" sqref="B90"/>
    </sheetView>
  </sheetViews>
  <sheetFormatPr defaultColWidth="11" defaultRowHeight="15"/>
  <cols>
    <col min="1" max="1" width="69" style="1" customWidth="1"/>
    <col min="2" max="2" width="34.671875" style="2" customWidth="1"/>
    <col min="3" max="3" width="29.90625" style="1" customWidth="1"/>
    <col min="4" max="18" width="20.6328125" style="1" customWidth="1"/>
    <col min="19" max="19" width="32.21875" customWidth="1"/>
    <col min="20" max="16383" width="12.4609375" style="1"/>
    <col min="16384" max="16384" width="12.4609375"/>
  </cols>
  <sheetData>
    <row r="1" customFormat="1" ht="22.5" spans="1:2">
      <c r="A1" s="3" t="s">
        <v>147</v>
      </c>
      <c r="B1" s="4"/>
    </row>
    <row r="2" customFormat="1" ht="22.5" spans="1:2">
      <c r="A2" s="5"/>
      <c r="B2" s="4"/>
    </row>
    <row r="3" customFormat="1" ht="45" spans="1:24">
      <c r="A3" s="6" t="s">
        <v>148</v>
      </c>
      <c r="B3" s="7" t="s">
        <v>18</v>
      </c>
      <c r="C3" s="8" t="s">
        <v>149</v>
      </c>
      <c r="S3" s="7" t="s">
        <v>18</v>
      </c>
      <c r="T3" s="48"/>
      <c r="U3" s="48"/>
      <c r="V3" s="48"/>
      <c r="W3" s="48"/>
      <c r="X3" s="48"/>
    </row>
    <row r="4" customFormat="1" ht="18.35" spans="1:24">
      <c r="A4" s="9" t="s">
        <v>150</v>
      </c>
      <c r="B4" s="10" t="s">
        <v>151</v>
      </c>
      <c r="C4" s="11">
        <v>0</v>
      </c>
      <c r="D4" s="11">
        <v>1</v>
      </c>
      <c r="E4" s="11">
        <v>2</v>
      </c>
      <c r="F4" s="11">
        <v>3</v>
      </c>
      <c r="G4" s="11">
        <v>4</v>
      </c>
      <c r="H4" s="11">
        <v>5</v>
      </c>
      <c r="I4" s="11">
        <v>6</v>
      </c>
      <c r="J4" s="11">
        <v>7</v>
      </c>
      <c r="K4" s="11">
        <v>8</v>
      </c>
      <c r="L4" s="11">
        <v>9</v>
      </c>
      <c r="M4" s="11">
        <v>10</v>
      </c>
      <c r="N4" s="11">
        <v>11</v>
      </c>
      <c r="O4" s="11">
        <v>12</v>
      </c>
      <c r="P4" s="11">
        <v>13</v>
      </c>
      <c r="Q4" s="11">
        <v>14</v>
      </c>
      <c r="R4" s="57">
        <v>15</v>
      </c>
      <c r="S4" s="58" t="s">
        <v>16</v>
      </c>
      <c r="T4" s="48"/>
      <c r="U4" s="48"/>
      <c r="V4" s="48"/>
      <c r="W4" s="48"/>
      <c r="X4" s="48"/>
    </row>
    <row r="5" customFormat="1" ht="18.4" spans="1:24">
      <c r="A5" s="12" t="s">
        <v>152</v>
      </c>
      <c r="B5" s="13"/>
      <c r="C5" s="14"/>
      <c r="D5" s="11"/>
      <c r="O5" s="51"/>
      <c r="P5" s="51"/>
      <c r="Q5" s="59"/>
      <c r="R5" s="57"/>
      <c r="S5" s="58"/>
      <c r="T5" s="48"/>
      <c r="U5" s="48"/>
      <c r="V5" s="48"/>
      <c r="W5" s="48"/>
      <c r="X5" s="48"/>
    </row>
    <row r="6" customFormat="1" ht="17" customHeight="1" spans="1:24">
      <c r="A6" s="15" t="s">
        <v>153</v>
      </c>
      <c r="B6" s="13"/>
      <c r="C6" s="14">
        <v>0</v>
      </c>
      <c r="D6" s="16">
        <f>D53*1.4</f>
        <v>31752000</v>
      </c>
      <c r="E6" s="16">
        <f>E53*1.4</f>
        <v>45374000</v>
      </c>
      <c r="F6" s="16">
        <f t="shared" ref="F6:K6" si="0">F53*1.4</f>
        <v>64820000</v>
      </c>
      <c r="G6" s="16">
        <f t="shared" si="0"/>
        <v>97580000</v>
      </c>
      <c r="H6" s="16">
        <f t="shared" si="0"/>
        <v>128100000</v>
      </c>
      <c r="I6" s="16">
        <f t="shared" si="0"/>
        <v>166530000</v>
      </c>
      <c r="J6" s="16">
        <f t="shared" si="0"/>
        <v>216482000</v>
      </c>
      <c r="K6" s="16">
        <f t="shared" si="0"/>
        <v>222978000</v>
      </c>
      <c r="L6" s="16">
        <f t="shared" ref="F6:R6" si="1">L53*1.4</f>
        <v>229670000</v>
      </c>
      <c r="M6" s="16">
        <f t="shared" si="1"/>
        <v>236558000</v>
      </c>
      <c r="N6" s="16">
        <f t="shared" si="1"/>
        <v>243656000</v>
      </c>
      <c r="O6" s="16">
        <f t="shared" si="1"/>
        <v>250964000</v>
      </c>
      <c r="P6" s="16">
        <f t="shared" si="1"/>
        <v>258496000</v>
      </c>
      <c r="Q6" s="16">
        <f t="shared" si="1"/>
        <v>266252000</v>
      </c>
      <c r="R6" s="60">
        <f t="shared" si="1"/>
        <v>274232000</v>
      </c>
      <c r="S6" s="58"/>
      <c r="T6" s="48"/>
      <c r="U6" s="48"/>
      <c r="V6" s="48"/>
      <c r="W6" s="48"/>
      <c r="X6" s="48"/>
    </row>
    <row r="7" customFormat="1" ht="18.4" spans="1:24">
      <c r="A7" s="15" t="s">
        <v>154</v>
      </c>
      <c r="B7" s="17" t="s">
        <v>155</v>
      </c>
      <c r="C7" s="14">
        <f t="shared" ref="C7:G7" si="2">-C6*0.5</f>
        <v>0</v>
      </c>
      <c r="D7" s="14">
        <f t="shared" si="2"/>
        <v>-15876000</v>
      </c>
      <c r="E7" s="14">
        <f t="shared" si="2"/>
        <v>-22687000</v>
      </c>
      <c r="F7" s="14">
        <f t="shared" si="2"/>
        <v>-32410000</v>
      </c>
      <c r="G7" s="14">
        <f t="shared" si="2"/>
        <v>-48790000</v>
      </c>
      <c r="H7" s="14">
        <v>-51900000</v>
      </c>
      <c r="I7" s="14">
        <v>-45685000</v>
      </c>
      <c r="J7" s="14">
        <v>-37189000</v>
      </c>
      <c r="K7" s="14">
        <v>-39781000</v>
      </c>
      <c r="L7" s="14">
        <v>-46215000</v>
      </c>
      <c r="M7" s="14">
        <v>-50691000</v>
      </c>
      <c r="N7" s="14">
        <v>-52212000</v>
      </c>
      <c r="O7" s="14">
        <f>-O6*0.25</f>
        <v>-62741000</v>
      </c>
      <c r="P7" s="14">
        <v>-55392000</v>
      </c>
      <c r="Q7" s="14">
        <v>-57054000</v>
      </c>
      <c r="R7" s="61">
        <v>-58767000</v>
      </c>
      <c r="S7" s="58"/>
      <c r="T7" s="48"/>
      <c r="U7" s="48"/>
      <c r="V7" s="48"/>
      <c r="W7" s="48"/>
      <c r="X7" s="48"/>
    </row>
    <row r="8" customFormat="1" ht="18.4" spans="1:24">
      <c r="A8" s="15" t="s">
        <v>156</v>
      </c>
      <c r="B8" s="18"/>
      <c r="C8" s="14">
        <v>0</v>
      </c>
      <c r="D8" s="14">
        <f>D55*1.2</f>
        <v>-4082400</v>
      </c>
      <c r="E8" s="14">
        <f>E55*1.2</f>
        <v>-5833800</v>
      </c>
      <c r="F8" s="14">
        <f t="shared" ref="F8:R8" si="3">F55*1.2</f>
        <v>-5556000</v>
      </c>
      <c r="G8" s="14">
        <f t="shared" si="3"/>
        <v>-8364000</v>
      </c>
      <c r="H8" s="14">
        <f t="shared" si="3"/>
        <v>-10980000</v>
      </c>
      <c r="I8" s="14">
        <f t="shared" si="3"/>
        <v>-11419200</v>
      </c>
      <c r="J8" s="14">
        <f t="shared" si="3"/>
        <v>-12988920</v>
      </c>
      <c r="K8" s="14">
        <f t="shared" si="3"/>
        <v>-13378680</v>
      </c>
      <c r="L8" s="14">
        <f t="shared" si="3"/>
        <v>-11811600</v>
      </c>
      <c r="M8" s="14">
        <f t="shared" si="3"/>
        <v>-10138200</v>
      </c>
      <c r="N8" s="14">
        <f t="shared" si="3"/>
        <v>-6265440</v>
      </c>
      <c r="O8" s="14">
        <f t="shared" si="3"/>
        <v>-6453360</v>
      </c>
      <c r="P8" s="14">
        <f t="shared" si="3"/>
        <v>-6647040</v>
      </c>
      <c r="Q8" s="14">
        <f t="shared" si="3"/>
        <v>-6846480</v>
      </c>
      <c r="R8" s="61">
        <f t="shared" si="3"/>
        <v>-7051680</v>
      </c>
      <c r="S8" s="58"/>
      <c r="T8" s="48"/>
      <c r="U8" s="48"/>
      <c r="V8" s="48"/>
      <c r="W8" s="48"/>
      <c r="X8" s="48"/>
    </row>
    <row r="9" customFormat="1" ht="18.4" spans="1:24">
      <c r="A9" s="172" t="s">
        <v>157</v>
      </c>
      <c r="B9" s="19" t="s">
        <v>158</v>
      </c>
      <c r="C9" s="14">
        <f t="shared" ref="C9:R9" si="4">C8*0.04</f>
        <v>0</v>
      </c>
      <c r="D9" s="14">
        <f t="shared" si="4"/>
        <v>-163296</v>
      </c>
      <c r="E9" s="14">
        <f t="shared" si="4"/>
        <v>-233352</v>
      </c>
      <c r="F9" s="14">
        <f t="shared" si="4"/>
        <v>-222240</v>
      </c>
      <c r="G9" s="14">
        <f t="shared" si="4"/>
        <v>-334560</v>
      </c>
      <c r="H9" s="14">
        <f t="shared" si="4"/>
        <v>-439200</v>
      </c>
      <c r="I9" s="14">
        <f t="shared" si="4"/>
        <v>-456768</v>
      </c>
      <c r="J9" s="14">
        <f t="shared" si="4"/>
        <v>-519556.8</v>
      </c>
      <c r="K9" s="14">
        <f t="shared" si="4"/>
        <v>-535147.2</v>
      </c>
      <c r="L9" s="14">
        <f t="shared" si="4"/>
        <v>-472464</v>
      </c>
      <c r="M9" s="14">
        <f t="shared" si="4"/>
        <v>-405528</v>
      </c>
      <c r="N9" s="14">
        <f t="shared" si="4"/>
        <v>-250617.6</v>
      </c>
      <c r="O9" s="14">
        <f t="shared" si="4"/>
        <v>-258134.4</v>
      </c>
      <c r="P9" s="14">
        <f t="shared" si="4"/>
        <v>-265881.6</v>
      </c>
      <c r="Q9" s="14">
        <f t="shared" si="4"/>
        <v>-273859.2</v>
      </c>
      <c r="R9" s="61">
        <f t="shared" si="4"/>
        <v>-282067.2</v>
      </c>
      <c r="S9" s="58"/>
      <c r="T9" s="48"/>
      <c r="U9" s="48"/>
      <c r="V9" s="48"/>
      <c r="W9" s="48"/>
      <c r="X9" s="48"/>
    </row>
    <row r="10" customFormat="1" ht="26" customHeight="1" spans="1:19">
      <c r="A10" s="20" t="s">
        <v>159</v>
      </c>
      <c r="B10" s="18"/>
      <c r="C10" s="14">
        <v>0</v>
      </c>
      <c r="D10" s="14">
        <f t="shared" ref="D10:R10" si="5">SUM(D6:D9)</f>
        <v>11630304</v>
      </c>
      <c r="E10" s="14">
        <f t="shared" si="5"/>
        <v>16619848</v>
      </c>
      <c r="F10" s="14">
        <f t="shared" si="5"/>
        <v>26631760</v>
      </c>
      <c r="G10" s="14">
        <f t="shared" si="5"/>
        <v>40091440</v>
      </c>
      <c r="H10" s="14">
        <f t="shared" si="5"/>
        <v>64780800</v>
      </c>
      <c r="I10" s="14">
        <f t="shared" si="5"/>
        <v>108969032</v>
      </c>
      <c r="J10" s="14">
        <f t="shared" si="5"/>
        <v>165784523.2</v>
      </c>
      <c r="K10" s="14">
        <f t="shared" si="5"/>
        <v>169283172.8</v>
      </c>
      <c r="L10" s="14">
        <f t="shared" si="5"/>
        <v>171170936</v>
      </c>
      <c r="M10" s="14">
        <f t="shared" si="5"/>
        <v>175323272</v>
      </c>
      <c r="N10" s="14">
        <f t="shared" si="5"/>
        <v>184927942.4</v>
      </c>
      <c r="O10" s="14">
        <f t="shared" si="5"/>
        <v>181511505.6</v>
      </c>
      <c r="P10" s="14">
        <f t="shared" si="5"/>
        <v>196191078.4</v>
      </c>
      <c r="Q10" s="14">
        <f t="shared" si="5"/>
        <v>202077660.8</v>
      </c>
      <c r="R10" s="61">
        <f t="shared" si="5"/>
        <v>208131252.8</v>
      </c>
      <c r="S10" s="58"/>
    </row>
    <row r="11" customFormat="1" ht="18.4" spans="1:19">
      <c r="A11" s="173" t="s">
        <v>160</v>
      </c>
      <c r="B11" s="22"/>
      <c r="C11" s="14">
        <v>0</v>
      </c>
      <c r="D11" s="14">
        <f t="shared" ref="D11:R11" si="6">-D10*0.3</f>
        <v>-3489091.2</v>
      </c>
      <c r="E11" s="14">
        <f t="shared" si="6"/>
        <v>-4985954.4</v>
      </c>
      <c r="F11" s="14">
        <f t="shared" si="6"/>
        <v>-7989528</v>
      </c>
      <c r="G11" s="14">
        <f t="shared" si="6"/>
        <v>-12027432</v>
      </c>
      <c r="H11" s="14">
        <f t="shared" si="6"/>
        <v>-19434240</v>
      </c>
      <c r="I11" s="14">
        <f t="shared" si="6"/>
        <v>-32690709.6</v>
      </c>
      <c r="J11" s="14">
        <f t="shared" si="6"/>
        <v>-49735356.96</v>
      </c>
      <c r="K11" s="14">
        <f t="shared" si="6"/>
        <v>-50784951.84</v>
      </c>
      <c r="L11" s="14">
        <f t="shared" si="6"/>
        <v>-51351280.8</v>
      </c>
      <c r="M11" s="14">
        <f t="shared" si="6"/>
        <v>-52596981.6</v>
      </c>
      <c r="N11" s="14">
        <f t="shared" si="6"/>
        <v>-55478382.72</v>
      </c>
      <c r="O11" s="14">
        <f t="shared" si="6"/>
        <v>-54453451.68</v>
      </c>
      <c r="P11" s="14">
        <f t="shared" si="6"/>
        <v>-58857323.52</v>
      </c>
      <c r="Q11" s="14">
        <f t="shared" si="6"/>
        <v>-60623298.24</v>
      </c>
      <c r="R11" s="61">
        <f t="shared" si="6"/>
        <v>-62439375.84</v>
      </c>
      <c r="S11" s="58"/>
    </row>
    <row r="12" customFormat="1" ht="18.4" spans="1:19">
      <c r="A12" s="23" t="s">
        <v>46</v>
      </c>
      <c r="B12" s="18"/>
      <c r="C12" s="14">
        <f>C10-C11</f>
        <v>0</v>
      </c>
      <c r="D12" s="14">
        <f t="shared" ref="D12:R12" si="7">D10+D11</f>
        <v>8141212.8</v>
      </c>
      <c r="E12" s="14">
        <f t="shared" si="7"/>
        <v>11633893.6</v>
      </c>
      <c r="F12" s="14">
        <f t="shared" si="7"/>
        <v>18642232</v>
      </c>
      <c r="G12" s="14">
        <f t="shared" si="7"/>
        <v>28064008</v>
      </c>
      <c r="H12" s="14">
        <f t="shared" si="7"/>
        <v>45346560</v>
      </c>
      <c r="I12" s="14">
        <f t="shared" si="7"/>
        <v>76278322.4</v>
      </c>
      <c r="J12" s="14">
        <f t="shared" si="7"/>
        <v>116049166.24</v>
      </c>
      <c r="K12" s="14">
        <f t="shared" si="7"/>
        <v>118498220.96</v>
      </c>
      <c r="L12" s="14">
        <f t="shared" si="7"/>
        <v>119819655.2</v>
      </c>
      <c r="M12" s="14">
        <f t="shared" si="7"/>
        <v>122726290.4</v>
      </c>
      <c r="N12" s="14">
        <f t="shared" si="7"/>
        <v>129449559.68</v>
      </c>
      <c r="O12" s="14">
        <f t="shared" si="7"/>
        <v>127058053.92</v>
      </c>
      <c r="P12" s="14">
        <f t="shared" si="7"/>
        <v>137333754.88</v>
      </c>
      <c r="Q12" s="14">
        <f t="shared" si="7"/>
        <v>141454362.56</v>
      </c>
      <c r="R12" s="61">
        <f t="shared" si="7"/>
        <v>145691876.96</v>
      </c>
      <c r="S12" s="58"/>
    </row>
    <row r="13" customFormat="1" ht="18.4" spans="1:19">
      <c r="A13" s="24" t="s">
        <v>161</v>
      </c>
      <c r="B13" s="18"/>
      <c r="C13" s="14"/>
      <c r="D13" s="14"/>
      <c r="E13" s="25"/>
      <c r="F13" s="26"/>
      <c r="G13" s="26"/>
      <c r="H13" s="26"/>
      <c r="I13" s="26"/>
      <c r="J13" s="26"/>
      <c r="K13" s="26"/>
      <c r="L13" s="26"/>
      <c r="M13" s="52"/>
      <c r="N13" s="14"/>
      <c r="O13" s="26"/>
      <c r="P13" s="26"/>
      <c r="Q13" s="52"/>
      <c r="R13" s="61"/>
      <c r="S13" s="58"/>
    </row>
    <row r="14" customFormat="1" ht="18.4" spans="1:19">
      <c r="A14" s="12" t="s">
        <v>162</v>
      </c>
      <c r="B14" s="18"/>
      <c r="C14" s="14"/>
      <c r="D14" s="14"/>
      <c r="E14" s="25"/>
      <c r="F14" s="26"/>
      <c r="G14" s="26"/>
      <c r="H14" s="26"/>
      <c r="I14" s="26"/>
      <c r="J14" s="26"/>
      <c r="K14" s="26"/>
      <c r="L14" s="26"/>
      <c r="M14" s="52"/>
      <c r="N14" s="14"/>
      <c r="O14" s="26"/>
      <c r="P14" s="26"/>
      <c r="Q14" s="52"/>
      <c r="R14" s="61"/>
      <c r="S14" s="58"/>
    </row>
    <row r="15" customFormat="1" ht="18.4" spans="1:19">
      <c r="A15" s="15" t="s">
        <v>163</v>
      </c>
      <c r="B15" s="18"/>
      <c r="C15" s="14">
        <v>0</v>
      </c>
      <c r="D15" s="14">
        <f t="shared" ref="D15:R15" si="8">D12</f>
        <v>8141212.8</v>
      </c>
      <c r="E15" s="14">
        <f t="shared" si="8"/>
        <v>11633893.6</v>
      </c>
      <c r="F15" s="14">
        <f t="shared" si="8"/>
        <v>18642232</v>
      </c>
      <c r="G15" s="14">
        <f t="shared" si="8"/>
        <v>28064008</v>
      </c>
      <c r="H15" s="14">
        <f t="shared" si="8"/>
        <v>45346560</v>
      </c>
      <c r="I15" s="14">
        <f t="shared" si="8"/>
        <v>76278322.4</v>
      </c>
      <c r="J15" s="14">
        <f t="shared" si="8"/>
        <v>116049166.24</v>
      </c>
      <c r="K15" s="14">
        <f t="shared" si="8"/>
        <v>118498220.96</v>
      </c>
      <c r="L15" s="14">
        <f t="shared" si="8"/>
        <v>119819655.2</v>
      </c>
      <c r="M15" s="14">
        <f t="shared" si="8"/>
        <v>122726290.4</v>
      </c>
      <c r="N15" s="14">
        <f t="shared" si="8"/>
        <v>129449559.68</v>
      </c>
      <c r="O15" s="14">
        <f t="shared" si="8"/>
        <v>127058053.92</v>
      </c>
      <c r="P15" s="14">
        <f t="shared" si="8"/>
        <v>137333754.88</v>
      </c>
      <c r="Q15" s="14">
        <f t="shared" si="8"/>
        <v>141454362.56</v>
      </c>
      <c r="R15" s="61">
        <f t="shared" si="8"/>
        <v>145691876.96</v>
      </c>
      <c r="S15" s="58"/>
    </row>
    <row r="16" customFormat="1" ht="30.75" spans="1:20">
      <c r="A16" s="15" t="s">
        <v>164</v>
      </c>
      <c r="B16" s="19" t="s">
        <v>165</v>
      </c>
      <c r="C16" s="14">
        <f t="shared" ref="C16:G16" si="9">C6*0.1</f>
        <v>0</v>
      </c>
      <c r="D16" s="14">
        <f t="shared" si="9"/>
        <v>3175200</v>
      </c>
      <c r="E16" s="14">
        <f t="shared" si="9"/>
        <v>4537400</v>
      </c>
      <c r="F16" s="14">
        <f t="shared" si="9"/>
        <v>6482000</v>
      </c>
      <c r="G16" s="14">
        <f t="shared" si="9"/>
        <v>9758000</v>
      </c>
      <c r="H16" s="14">
        <f t="shared" ref="H16:R16" si="10">H6*0.03</f>
        <v>3843000</v>
      </c>
      <c r="I16" s="14">
        <f t="shared" si="10"/>
        <v>4995900</v>
      </c>
      <c r="J16" s="14">
        <f t="shared" si="10"/>
        <v>6494460</v>
      </c>
      <c r="K16" s="14">
        <f t="shared" si="10"/>
        <v>6689340</v>
      </c>
      <c r="L16" s="14">
        <f t="shared" si="10"/>
        <v>6890100</v>
      </c>
      <c r="M16" s="14">
        <f t="shared" si="10"/>
        <v>7096740</v>
      </c>
      <c r="N16" s="14">
        <f t="shared" si="10"/>
        <v>7309680</v>
      </c>
      <c r="O16" s="14">
        <f t="shared" si="10"/>
        <v>7528920</v>
      </c>
      <c r="P16" s="14">
        <f t="shared" si="10"/>
        <v>7754880</v>
      </c>
      <c r="Q16" s="14">
        <f t="shared" si="10"/>
        <v>7987560</v>
      </c>
      <c r="R16" s="61">
        <f t="shared" si="10"/>
        <v>8226960</v>
      </c>
      <c r="S16" s="58"/>
      <c r="T16" s="48"/>
    </row>
    <row r="17" customFormat="1" ht="30.75" spans="1:20">
      <c r="A17" s="15" t="s">
        <v>166</v>
      </c>
      <c r="B17" s="19" t="s">
        <v>167</v>
      </c>
      <c r="C17" s="14">
        <v>0</v>
      </c>
      <c r="D17" s="14">
        <f>D64*0.8</f>
        <v>20091200</v>
      </c>
      <c r="E17" s="14">
        <f>E64*0.8</f>
        <v>22324000</v>
      </c>
      <c r="F17" s="14">
        <f>F64*0.9</f>
        <v>27904500</v>
      </c>
      <c r="G17" s="14">
        <f>G64*0.9</f>
        <v>31005900</v>
      </c>
      <c r="H17" s="14">
        <f t="shared" ref="H17:R17" si="11">H64*1.4</f>
        <v>53023600</v>
      </c>
      <c r="I17" s="14">
        <f t="shared" si="11"/>
        <v>58325400</v>
      </c>
      <c r="J17" s="14">
        <f t="shared" si="11"/>
        <v>64157800</v>
      </c>
      <c r="K17" s="14">
        <f t="shared" si="11"/>
        <v>67365200</v>
      </c>
      <c r="L17" s="14">
        <f t="shared" si="11"/>
        <v>70733600</v>
      </c>
      <c r="M17" s="14">
        <f t="shared" si="11"/>
        <v>74270000</v>
      </c>
      <c r="N17" s="14">
        <f t="shared" si="11"/>
        <v>77982800</v>
      </c>
      <c r="O17" s="14">
        <f t="shared" si="11"/>
        <v>81881800</v>
      </c>
      <c r="P17" s="14">
        <f t="shared" si="11"/>
        <v>85976800</v>
      </c>
      <c r="Q17" s="14">
        <f t="shared" si="11"/>
        <v>90274800</v>
      </c>
      <c r="R17" s="61">
        <f t="shared" si="11"/>
        <v>94788400</v>
      </c>
      <c r="S17" s="58"/>
      <c r="T17" s="48"/>
    </row>
    <row r="18" customFormat="1" ht="18.4" spans="1:20">
      <c r="A18" s="15" t="s">
        <v>168</v>
      </c>
      <c r="B18" s="18"/>
      <c r="C18" s="14">
        <f>C6*0.6</f>
        <v>0</v>
      </c>
      <c r="D18" s="14">
        <f t="shared" ref="D18:I18" si="12">-D6*0.55</f>
        <v>-17463600</v>
      </c>
      <c r="E18" s="14">
        <f t="shared" si="12"/>
        <v>-24955700</v>
      </c>
      <c r="F18" s="14">
        <f t="shared" si="12"/>
        <v>-35651000</v>
      </c>
      <c r="G18" s="14">
        <f t="shared" si="12"/>
        <v>-53669000</v>
      </c>
      <c r="H18" s="14">
        <f t="shared" si="12"/>
        <v>-70455000</v>
      </c>
      <c r="I18" s="14">
        <f t="shared" si="12"/>
        <v>-91591500</v>
      </c>
      <c r="J18" s="14">
        <f>-J6*0.48</f>
        <v>-103911360</v>
      </c>
      <c r="K18" s="14">
        <f t="shared" ref="K18:R18" si="13">-K6*0.55</f>
        <v>-122637900</v>
      </c>
      <c r="L18" s="14">
        <f t="shared" si="13"/>
        <v>-126318500</v>
      </c>
      <c r="M18" s="14">
        <f t="shared" si="13"/>
        <v>-130106900</v>
      </c>
      <c r="N18" s="14">
        <f t="shared" si="13"/>
        <v>-134010800</v>
      </c>
      <c r="O18" s="14">
        <f t="shared" si="13"/>
        <v>-138030200</v>
      </c>
      <c r="P18" s="14">
        <f t="shared" si="13"/>
        <v>-142172800</v>
      </c>
      <c r="Q18" s="14">
        <f t="shared" si="13"/>
        <v>-146438600</v>
      </c>
      <c r="R18" s="61">
        <f t="shared" si="13"/>
        <v>-150827600</v>
      </c>
      <c r="S18" s="58"/>
      <c r="T18" s="48"/>
    </row>
    <row r="19" customFormat="1" ht="18.4" spans="1:20">
      <c r="A19" s="15" t="s">
        <v>169</v>
      </c>
      <c r="B19" s="18"/>
      <c r="C19" s="14">
        <v>0</v>
      </c>
      <c r="D19" s="14">
        <f>D66*1.4</f>
        <v>-16368800</v>
      </c>
      <c r="E19" s="14">
        <f>E66*1.4</f>
        <v>-16506000</v>
      </c>
      <c r="F19" s="14">
        <f>F66*1.4</f>
        <v>-16594200</v>
      </c>
      <c r="G19" s="14">
        <f>G66*1.4</f>
        <v>-16661400</v>
      </c>
      <c r="H19" s="14">
        <f t="shared" ref="H19:R19" si="14">H66*1.4</f>
        <v>-16762200</v>
      </c>
      <c r="I19" s="14">
        <f t="shared" si="14"/>
        <v>-17211600</v>
      </c>
      <c r="J19" s="14">
        <f t="shared" si="14"/>
        <v>-17383800</v>
      </c>
      <c r="K19" s="14">
        <f t="shared" si="14"/>
        <v>-17557400</v>
      </c>
      <c r="L19" s="14">
        <f t="shared" si="14"/>
        <v>-17733800</v>
      </c>
      <c r="M19" s="14">
        <f t="shared" si="14"/>
        <v>-17910200</v>
      </c>
      <c r="N19" s="14">
        <f t="shared" si="14"/>
        <v>-18089400</v>
      </c>
      <c r="O19" s="14">
        <f t="shared" si="14"/>
        <v>-18271400</v>
      </c>
      <c r="P19" s="14">
        <f t="shared" si="14"/>
        <v>-18453400</v>
      </c>
      <c r="Q19" s="14">
        <f t="shared" si="14"/>
        <v>-18638200</v>
      </c>
      <c r="R19" s="61">
        <f t="shared" si="14"/>
        <v>-18824400</v>
      </c>
      <c r="S19" s="58"/>
      <c r="T19" s="48"/>
    </row>
    <row r="20" customFormat="1" ht="18.4" spans="1:20">
      <c r="A20" s="15" t="s">
        <v>170</v>
      </c>
      <c r="B20" s="18"/>
      <c r="C20" s="14">
        <f t="shared" ref="C20:R20" si="15">-C8</f>
        <v>0</v>
      </c>
      <c r="D20" s="14">
        <f t="shared" si="15"/>
        <v>4082400</v>
      </c>
      <c r="E20" s="14">
        <f t="shared" si="15"/>
        <v>5833800</v>
      </c>
      <c r="F20" s="14">
        <f t="shared" si="15"/>
        <v>5556000</v>
      </c>
      <c r="G20" s="14">
        <f t="shared" si="15"/>
        <v>8364000</v>
      </c>
      <c r="H20" s="14">
        <f t="shared" si="15"/>
        <v>10980000</v>
      </c>
      <c r="I20" s="14">
        <f t="shared" si="15"/>
        <v>11419200</v>
      </c>
      <c r="J20" s="14">
        <f t="shared" si="15"/>
        <v>12988920</v>
      </c>
      <c r="K20" s="14">
        <f t="shared" si="15"/>
        <v>13378680</v>
      </c>
      <c r="L20" s="14">
        <f t="shared" si="15"/>
        <v>11811600</v>
      </c>
      <c r="M20" s="14">
        <f t="shared" si="15"/>
        <v>10138200</v>
      </c>
      <c r="N20" s="14">
        <f t="shared" si="15"/>
        <v>6265440</v>
      </c>
      <c r="O20" s="14">
        <f t="shared" si="15"/>
        <v>6453360</v>
      </c>
      <c r="P20" s="14">
        <f t="shared" si="15"/>
        <v>6647040</v>
      </c>
      <c r="Q20" s="14">
        <f t="shared" si="15"/>
        <v>6846480</v>
      </c>
      <c r="R20" s="61">
        <f t="shared" si="15"/>
        <v>7051680</v>
      </c>
      <c r="S20" s="58"/>
      <c r="T20" s="48"/>
    </row>
    <row r="21" customFormat="1" ht="18.4" spans="1:20">
      <c r="A21" s="12" t="s">
        <v>171</v>
      </c>
      <c r="B21" s="18"/>
      <c r="C21" s="14"/>
      <c r="D21" s="14"/>
      <c r="E21" s="25"/>
      <c r="F21" s="26"/>
      <c r="G21" s="26"/>
      <c r="H21" s="26"/>
      <c r="I21" s="26"/>
      <c r="J21" s="26"/>
      <c r="K21" s="26"/>
      <c r="L21" s="26"/>
      <c r="M21" s="52"/>
      <c r="N21" s="14"/>
      <c r="O21" s="26"/>
      <c r="P21" s="26"/>
      <c r="Q21" s="52"/>
      <c r="R21" s="61"/>
      <c r="S21" s="58"/>
      <c r="T21" s="48"/>
    </row>
    <row r="22" customFormat="1" ht="18.4" spans="1:19">
      <c r="A22" s="15" t="s">
        <v>172</v>
      </c>
      <c r="B22" s="19" t="s">
        <v>173</v>
      </c>
      <c r="C22" s="14">
        <v>-11280000</v>
      </c>
      <c r="D22" s="14">
        <v>-12700000</v>
      </c>
      <c r="E22" s="25">
        <f>D22*1.07</f>
        <v>-13589000</v>
      </c>
      <c r="F22" s="25">
        <f>E22*1.07</f>
        <v>-14540230</v>
      </c>
      <c r="G22" s="25">
        <f t="shared" ref="G22:J22" si="16">F22*1.055</f>
        <v>-15339942.65</v>
      </c>
      <c r="H22" s="25">
        <f t="shared" si="16"/>
        <v>-16183639.49575</v>
      </c>
      <c r="I22" s="25">
        <f t="shared" si="16"/>
        <v>-17073739.6680162</v>
      </c>
      <c r="J22" s="25">
        <f t="shared" si="16"/>
        <v>-18012795.3497571</v>
      </c>
      <c r="K22" s="25">
        <f t="shared" ref="K22:R22" si="17">J22*1.07</f>
        <v>-19273691.0242401</v>
      </c>
      <c r="L22" s="25">
        <f t="shared" si="17"/>
        <v>-20622849.395937</v>
      </c>
      <c r="M22" s="25">
        <f t="shared" si="17"/>
        <v>-22066448.8536525</v>
      </c>
      <c r="N22" s="25">
        <f t="shared" si="17"/>
        <v>-23611100.2734082</v>
      </c>
      <c r="O22" s="25">
        <f t="shared" si="17"/>
        <v>-25263877.2925468</v>
      </c>
      <c r="P22" s="25">
        <f t="shared" si="17"/>
        <v>-27032348.7030251</v>
      </c>
      <c r="Q22" s="25">
        <f t="shared" si="17"/>
        <v>-28924613.1122368</v>
      </c>
      <c r="R22" s="62">
        <f t="shared" si="17"/>
        <v>-30949336.0300934</v>
      </c>
      <c r="S22" s="58"/>
    </row>
    <row r="23" customFormat="1" ht="18.4" spans="1:19">
      <c r="A23" s="15" t="s">
        <v>174</v>
      </c>
      <c r="B23" s="27"/>
      <c r="C23" s="14">
        <v>0</v>
      </c>
      <c r="D23" s="14">
        <f>D70*1.3</f>
        <v>1333800</v>
      </c>
      <c r="E23" s="14">
        <f>E70*1.3</f>
        <v>1433900</v>
      </c>
      <c r="F23" s="14">
        <f t="shared" ref="F23:R23" si="18">F70*1.3</f>
        <v>1541800</v>
      </c>
      <c r="G23" s="14">
        <f t="shared" si="18"/>
        <v>1658800</v>
      </c>
      <c r="H23" s="14">
        <f t="shared" si="18"/>
        <v>1352000</v>
      </c>
      <c r="I23" s="14">
        <f t="shared" si="18"/>
        <v>1445600</v>
      </c>
      <c r="J23" s="14">
        <f t="shared" si="18"/>
        <v>1547000</v>
      </c>
      <c r="K23" s="14">
        <f t="shared" si="18"/>
        <v>1656200</v>
      </c>
      <c r="L23" s="14">
        <f t="shared" si="18"/>
        <v>1771900</v>
      </c>
      <c r="M23" s="14">
        <f t="shared" si="18"/>
        <v>1895400</v>
      </c>
      <c r="N23" s="14">
        <f t="shared" si="18"/>
        <v>2028000</v>
      </c>
      <c r="O23" s="14">
        <f t="shared" si="18"/>
        <v>2171000</v>
      </c>
      <c r="P23" s="14">
        <f t="shared" si="18"/>
        <v>2321800</v>
      </c>
      <c r="Q23" s="14">
        <f t="shared" si="18"/>
        <v>2484300</v>
      </c>
      <c r="R23" s="61">
        <f t="shared" si="18"/>
        <v>2658500</v>
      </c>
      <c r="S23" s="58"/>
    </row>
    <row r="24" customFormat="1" ht="18.4" spans="1:19">
      <c r="A24" s="15" t="s">
        <v>175</v>
      </c>
      <c r="B24" s="27"/>
      <c r="C24" s="14">
        <v>0</v>
      </c>
      <c r="D24" s="14">
        <f>D71*1.3</f>
        <v>-1300000</v>
      </c>
      <c r="E24" s="14">
        <f>E71*1.3</f>
        <v>-1313000</v>
      </c>
      <c r="F24" s="14">
        <f>F71*1.3</f>
        <v>-1326000</v>
      </c>
      <c r="G24" s="14">
        <f t="shared" ref="G24:Z24" si="19">G71*1.3</f>
        <v>-1339000</v>
      </c>
      <c r="H24" s="14">
        <f t="shared" si="19"/>
        <v>-1352000</v>
      </c>
      <c r="I24" s="14">
        <f t="shared" si="19"/>
        <v>-1365000</v>
      </c>
      <c r="J24" s="14">
        <f t="shared" si="19"/>
        <v>-1378000</v>
      </c>
      <c r="K24" s="14">
        <f t="shared" si="19"/>
        <v>-1391000</v>
      </c>
      <c r="L24" s="14">
        <f t="shared" si="19"/>
        <v>-1404000</v>
      </c>
      <c r="M24" s="14">
        <f t="shared" si="19"/>
        <v>-1417000</v>
      </c>
      <c r="N24" s="14">
        <f t="shared" si="19"/>
        <v>-1430000</v>
      </c>
      <c r="O24" s="14">
        <f t="shared" si="19"/>
        <v>-1443000</v>
      </c>
      <c r="P24" s="14">
        <f t="shared" si="19"/>
        <v>-1456000</v>
      </c>
      <c r="Q24" s="14">
        <f t="shared" si="19"/>
        <v>-1469000</v>
      </c>
      <c r="R24" s="61">
        <f t="shared" si="19"/>
        <v>-1482000</v>
      </c>
      <c r="S24" s="58"/>
    </row>
    <row r="25" customFormat="1" ht="18.4" spans="1:19">
      <c r="A25" s="28" t="s">
        <v>176</v>
      </c>
      <c r="B25" s="27"/>
      <c r="C25" s="14">
        <v>0</v>
      </c>
      <c r="D25" s="14">
        <v>1780000</v>
      </c>
      <c r="E25" s="25">
        <f t="shared" ref="E25:R25" si="20">D25*1.015</f>
        <v>1806700</v>
      </c>
      <c r="F25" s="25">
        <f t="shared" si="20"/>
        <v>1833800.5</v>
      </c>
      <c r="G25" s="25">
        <f t="shared" si="20"/>
        <v>1861307.5075</v>
      </c>
      <c r="H25" s="25">
        <f t="shared" si="20"/>
        <v>1889227.1201125</v>
      </c>
      <c r="I25" s="25">
        <f t="shared" si="20"/>
        <v>1917565.52691419</v>
      </c>
      <c r="J25" s="25">
        <f t="shared" si="20"/>
        <v>1946329.0098179</v>
      </c>
      <c r="K25" s="25">
        <f t="shared" si="20"/>
        <v>1975523.94496517</v>
      </c>
      <c r="L25" s="25">
        <f t="shared" si="20"/>
        <v>2005156.80413964</v>
      </c>
      <c r="M25" s="25">
        <f t="shared" si="20"/>
        <v>2035234.15620174</v>
      </c>
      <c r="N25" s="25">
        <f t="shared" si="20"/>
        <v>2065762.66854477</v>
      </c>
      <c r="O25" s="25">
        <f t="shared" si="20"/>
        <v>2096749.10857294</v>
      </c>
      <c r="P25" s="25">
        <f t="shared" si="20"/>
        <v>2128200.34520153</v>
      </c>
      <c r="Q25" s="25">
        <f t="shared" si="20"/>
        <v>2160123.35037955</v>
      </c>
      <c r="R25" s="62">
        <f t="shared" si="20"/>
        <v>2192525.20063525</v>
      </c>
      <c r="S25" s="58"/>
    </row>
    <row r="26" customFormat="1" ht="18.4" spans="1:19">
      <c r="A26" s="28" t="s">
        <v>177</v>
      </c>
      <c r="B26" s="27"/>
      <c r="C26" s="14">
        <v>0</v>
      </c>
      <c r="D26" s="14">
        <v>-1000000</v>
      </c>
      <c r="E26" s="25">
        <f t="shared" ref="E26:R26" si="21">D26*1.02</f>
        <v>-1020000</v>
      </c>
      <c r="F26" s="25">
        <f t="shared" si="21"/>
        <v>-1040400</v>
      </c>
      <c r="G26" s="25">
        <f t="shared" si="21"/>
        <v>-1061208</v>
      </c>
      <c r="H26" s="25">
        <f t="shared" si="21"/>
        <v>-1082432.16</v>
      </c>
      <c r="I26" s="25">
        <f t="shared" si="21"/>
        <v>-1104080.8032</v>
      </c>
      <c r="J26" s="25">
        <f t="shared" si="21"/>
        <v>-1126162.419264</v>
      </c>
      <c r="K26" s="25">
        <f t="shared" si="21"/>
        <v>-1148685.66764928</v>
      </c>
      <c r="L26" s="25">
        <f t="shared" si="21"/>
        <v>-1171659.38100227</v>
      </c>
      <c r="M26" s="25">
        <f t="shared" si="21"/>
        <v>-1195092.56862231</v>
      </c>
      <c r="N26" s="25">
        <f t="shared" si="21"/>
        <v>-1218994.41999476</v>
      </c>
      <c r="O26" s="25">
        <f t="shared" si="21"/>
        <v>-1243374.30839465</v>
      </c>
      <c r="P26" s="25">
        <f t="shared" si="21"/>
        <v>-1268241.79456255</v>
      </c>
      <c r="Q26" s="25">
        <f t="shared" si="21"/>
        <v>-1293606.6304538</v>
      </c>
      <c r="R26" s="62">
        <f t="shared" si="21"/>
        <v>-1319478.76306287</v>
      </c>
      <c r="S26" s="58"/>
    </row>
    <row r="27" customFormat="1" ht="18.4" spans="1:19">
      <c r="A27" s="172" t="s">
        <v>178</v>
      </c>
      <c r="B27" s="27"/>
      <c r="C27" s="14">
        <v>-45300000</v>
      </c>
      <c r="D27" s="14">
        <f>-4132000</f>
        <v>-4132000</v>
      </c>
      <c r="E27" s="14">
        <f t="shared" ref="E27:I27" si="22">-E6*0.035</f>
        <v>-1588090</v>
      </c>
      <c r="F27" s="14">
        <f t="shared" si="22"/>
        <v>-2268700</v>
      </c>
      <c r="G27" s="14">
        <f t="shared" si="22"/>
        <v>-3415300</v>
      </c>
      <c r="H27" s="14">
        <f t="shared" si="22"/>
        <v>-4483500</v>
      </c>
      <c r="I27" s="14">
        <f t="shared" si="22"/>
        <v>-5828550</v>
      </c>
      <c r="J27" s="14">
        <f t="shared" ref="J27:R27" si="23">-J6*0.05</f>
        <v>-10824100</v>
      </c>
      <c r="K27" s="14">
        <f t="shared" si="23"/>
        <v>-11148900</v>
      </c>
      <c r="L27" s="14">
        <f t="shared" si="23"/>
        <v>-11483500</v>
      </c>
      <c r="M27" s="14">
        <f t="shared" si="23"/>
        <v>-11827900</v>
      </c>
      <c r="N27" s="14">
        <f t="shared" si="23"/>
        <v>-12182800</v>
      </c>
      <c r="O27" s="14">
        <f t="shared" si="23"/>
        <v>-12548200</v>
      </c>
      <c r="P27" s="14">
        <f t="shared" si="23"/>
        <v>-12924800</v>
      </c>
      <c r="Q27" s="14">
        <f t="shared" si="23"/>
        <v>-13312600</v>
      </c>
      <c r="R27" s="61">
        <f t="shared" si="23"/>
        <v>-13711600</v>
      </c>
      <c r="S27" s="58"/>
    </row>
    <row r="28" customFormat="1" ht="18.4" spans="1:19">
      <c r="A28" s="28" t="s">
        <v>179</v>
      </c>
      <c r="B28" s="27"/>
      <c r="C28" s="14">
        <v>0</v>
      </c>
      <c r="D28" s="14">
        <v>2300000</v>
      </c>
      <c r="E28" s="25">
        <f t="shared" ref="E28:R28" si="24">D28*1.01</f>
        <v>2323000</v>
      </c>
      <c r="F28" s="25">
        <f t="shared" si="24"/>
        <v>2346230</v>
      </c>
      <c r="G28" s="25">
        <f t="shared" si="24"/>
        <v>2369692.3</v>
      </c>
      <c r="H28" s="25">
        <f t="shared" si="24"/>
        <v>2393389.223</v>
      </c>
      <c r="I28" s="25">
        <f t="shared" si="24"/>
        <v>2417323.11523</v>
      </c>
      <c r="J28" s="25">
        <f t="shared" si="24"/>
        <v>2441496.3463823</v>
      </c>
      <c r="K28" s="25">
        <f t="shared" si="24"/>
        <v>2465911.30984612</v>
      </c>
      <c r="L28" s="25">
        <f t="shared" si="24"/>
        <v>2490570.42294458</v>
      </c>
      <c r="M28" s="25">
        <f t="shared" si="24"/>
        <v>2515476.12717403</v>
      </c>
      <c r="N28" s="25">
        <f t="shared" si="24"/>
        <v>2540630.88844577</v>
      </c>
      <c r="O28" s="25">
        <f t="shared" si="24"/>
        <v>2566037.19733023</v>
      </c>
      <c r="P28" s="25">
        <f t="shared" si="24"/>
        <v>2591697.56930353</v>
      </c>
      <c r="Q28" s="25">
        <f t="shared" si="24"/>
        <v>2617614.54499656</v>
      </c>
      <c r="R28" s="62">
        <f t="shared" si="24"/>
        <v>2643790.69044653</v>
      </c>
      <c r="S28" s="58"/>
    </row>
    <row r="29" customFormat="1" ht="18.4" spans="1:19">
      <c r="A29" s="12" t="s">
        <v>180</v>
      </c>
      <c r="B29" s="13"/>
      <c r="C29" s="14"/>
      <c r="D29" s="14"/>
      <c r="E29" s="25"/>
      <c r="F29" s="26"/>
      <c r="G29" s="26"/>
      <c r="H29" s="26"/>
      <c r="I29" s="26"/>
      <c r="J29" s="26"/>
      <c r="K29" s="26"/>
      <c r="L29" s="26"/>
      <c r="M29" s="52"/>
      <c r="N29" s="14"/>
      <c r="O29" s="26"/>
      <c r="P29" s="26"/>
      <c r="Q29" s="52"/>
      <c r="R29" s="61"/>
      <c r="S29" s="58"/>
    </row>
    <row r="30" customFormat="1" ht="18.4" spans="1:19">
      <c r="A30" s="15" t="s">
        <v>181</v>
      </c>
      <c r="B30" s="27"/>
      <c r="C30" s="14"/>
      <c r="D30" s="14">
        <v>31028400</v>
      </c>
      <c r="E30" s="25">
        <v>0</v>
      </c>
      <c r="F30" s="26">
        <v>0</v>
      </c>
      <c r="G30" s="26">
        <v>0</v>
      </c>
      <c r="H30" s="26">
        <v>0</v>
      </c>
      <c r="I30" s="26">
        <v>0</v>
      </c>
      <c r="J30" s="26">
        <v>0</v>
      </c>
      <c r="K30" s="26">
        <v>0</v>
      </c>
      <c r="L30" s="26">
        <v>0</v>
      </c>
      <c r="M30" s="52">
        <v>0</v>
      </c>
      <c r="N30" s="14">
        <v>0</v>
      </c>
      <c r="O30" s="26">
        <v>0</v>
      </c>
      <c r="P30" s="26">
        <v>0</v>
      </c>
      <c r="Q30" s="52">
        <v>0</v>
      </c>
      <c r="R30" s="61">
        <v>0</v>
      </c>
      <c r="S30" s="58"/>
    </row>
    <row r="31" customFormat="1" ht="18.4" spans="1:19">
      <c r="A31" s="15" t="s">
        <v>182</v>
      </c>
      <c r="B31" s="13"/>
      <c r="C31" s="14">
        <v>0</v>
      </c>
      <c r="D31" s="14">
        <v>-1595290</v>
      </c>
      <c r="E31" s="14">
        <v>-1595290</v>
      </c>
      <c r="F31" s="14">
        <v>-1595290</v>
      </c>
      <c r="G31" s="14">
        <v>-1595290</v>
      </c>
      <c r="H31" s="14">
        <v>-1595290</v>
      </c>
      <c r="I31" s="14">
        <v>-1595290</v>
      </c>
      <c r="J31" s="14">
        <v>-1595290</v>
      </c>
      <c r="K31" s="14">
        <v>-1595290</v>
      </c>
      <c r="L31" s="14">
        <v>-1595290</v>
      </c>
      <c r="M31" s="14">
        <v>-1595290</v>
      </c>
      <c r="N31" s="14">
        <v>-1595290</v>
      </c>
      <c r="O31" s="14">
        <v>-1595290</v>
      </c>
      <c r="P31" s="14">
        <v>-1595290</v>
      </c>
      <c r="Q31" s="14">
        <v>-1595290</v>
      </c>
      <c r="R31" s="61">
        <v>-1595290</v>
      </c>
      <c r="S31" s="58"/>
    </row>
    <row r="32" customFormat="1" ht="27" customHeight="1" spans="1:19">
      <c r="A32" s="29" t="s">
        <v>183</v>
      </c>
      <c r="B32" s="30"/>
      <c r="C32" s="31">
        <f t="shared" ref="C32:R32" si="25">SUM(C14:C31)</f>
        <v>-56580000</v>
      </c>
      <c r="D32" s="32">
        <f t="shared" si="25"/>
        <v>17372522.8</v>
      </c>
      <c r="E32" s="31">
        <f t="shared" si="25"/>
        <v>-10674386.4</v>
      </c>
      <c r="F32" s="31">
        <f t="shared" si="25"/>
        <v>-8709257.5</v>
      </c>
      <c r="G32" s="31">
        <f t="shared" si="25"/>
        <v>-9999432.8425</v>
      </c>
      <c r="H32" s="31">
        <f t="shared" si="25"/>
        <v>6913714.6873625</v>
      </c>
      <c r="I32" s="53">
        <f t="shared" si="25"/>
        <v>21029550.570928</v>
      </c>
      <c r="J32" s="53">
        <f t="shared" si="25"/>
        <v>51393663.8271791</v>
      </c>
      <c r="K32" s="53">
        <f t="shared" si="25"/>
        <v>37276209.5229219</v>
      </c>
      <c r="L32" s="53">
        <f t="shared" si="25"/>
        <v>35192983.6501449</v>
      </c>
      <c r="M32" s="54">
        <f t="shared" si="25"/>
        <v>34558509.261101</v>
      </c>
      <c r="N32" s="55">
        <f t="shared" si="25"/>
        <v>35503488.5435876</v>
      </c>
      <c r="O32" s="55">
        <f t="shared" si="25"/>
        <v>31360578.6249617</v>
      </c>
      <c r="P32" s="55">
        <f t="shared" si="25"/>
        <v>39851292.2969174</v>
      </c>
      <c r="Q32" s="55">
        <f t="shared" si="25"/>
        <v>42153330.7126855</v>
      </c>
      <c r="R32" s="63">
        <f t="shared" si="25"/>
        <v>44544028.0579255</v>
      </c>
      <c r="S32" s="58"/>
    </row>
    <row r="33" customFormat="1" ht="15.75" spans="1:18">
      <c r="A33" s="33"/>
      <c r="B33" s="4"/>
      <c r="D33" s="1"/>
      <c r="E33" s="1"/>
      <c r="F33" s="1"/>
      <c r="G33" s="1"/>
      <c r="H33" s="1"/>
      <c r="I33" s="1"/>
      <c r="J33" s="1"/>
      <c r="K33" s="1"/>
      <c r="L33" s="1"/>
      <c r="M33" s="1"/>
      <c r="N33" s="1"/>
      <c r="O33" s="1"/>
      <c r="P33" s="1"/>
      <c r="Q33" s="1"/>
      <c r="R33" s="1"/>
    </row>
    <row r="34" customFormat="1" ht="17.65" spans="1:19">
      <c r="A34" s="34" t="s">
        <v>184</v>
      </c>
      <c r="B34" s="4"/>
      <c r="C34" s="14">
        <f>C32</f>
        <v>-56580000</v>
      </c>
      <c r="D34" s="14">
        <f>D32+C34</f>
        <v>-39207477.2</v>
      </c>
      <c r="E34" s="14">
        <f t="shared" ref="E34:J34" si="26">D34+E32</f>
        <v>-49881863.6</v>
      </c>
      <c r="F34" s="14">
        <f t="shared" si="26"/>
        <v>-58591121.1</v>
      </c>
      <c r="G34" s="14">
        <f t="shared" si="26"/>
        <v>-68590553.9425</v>
      </c>
      <c r="H34" s="14">
        <f t="shared" si="26"/>
        <v>-61676839.2551375</v>
      </c>
      <c r="I34" s="14">
        <f t="shared" si="26"/>
        <v>-40647288.6842095</v>
      </c>
      <c r="J34" s="14">
        <f t="shared" si="26"/>
        <v>10746375.1429696</v>
      </c>
      <c r="K34" s="14">
        <f>K32+J34</f>
        <v>48022584.6658915</v>
      </c>
      <c r="L34" s="14">
        <f>L32+K34</f>
        <v>83215568.3160365</v>
      </c>
      <c r="M34" s="14">
        <f t="shared" ref="M34:R34" si="27">L34+M32</f>
        <v>117774077.577137</v>
      </c>
      <c r="N34" s="14">
        <f t="shared" si="27"/>
        <v>153277566.120725</v>
      </c>
      <c r="O34" s="14">
        <f t="shared" si="27"/>
        <v>184638144.745687</v>
      </c>
      <c r="P34" s="14">
        <f t="shared" si="27"/>
        <v>224489437.042604</v>
      </c>
      <c r="Q34" s="14">
        <f t="shared" si="27"/>
        <v>266642767.75529</v>
      </c>
      <c r="R34" s="14">
        <f t="shared" si="27"/>
        <v>311186795.813215</v>
      </c>
      <c r="S34" s="64" t="s">
        <v>5</v>
      </c>
    </row>
    <row r="35" customFormat="1" ht="17.65" spans="1:19">
      <c r="A35" s="34" t="s">
        <v>185</v>
      </c>
      <c r="B35" s="4"/>
      <c r="C35" s="14">
        <f>C32</f>
        <v>-56580000</v>
      </c>
      <c r="D35" s="14">
        <f>PV($B$40,D4,,-D32)</f>
        <v>15865317.6255708</v>
      </c>
      <c r="E35" s="14">
        <f>PV($B$40,E4,,-E32)</f>
        <v>-8902555.32620254</v>
      </c>
      <c r="F35" s="14">
        <f>PV($B$40,F4,,-F32)</f>
        <v>-6633439.51740089</v>
      </c>
      <c r="G35" s="14">
        <f>PV($B$40,G4,,-G32)</f>
        <v>-6955348.43465903</v>
      </c>
      <c r="H35" s="14">
        <f>PV($B$40,H4,,-H32)</f>
        <v>4391782.8392782</v>
      </c>
      <c r="I35" s="14">
        <f>PV($B$40,I4,,-I32)</f>
        <v>12199591.1516871</v>
      </c>
      <c r="J35" s="14">
        <f>PV($B$40,J4,,-J32)</f>
        <v>27227686.7314859</v>
      </c>
      <c r="K35" s="14">
        <f>PV($B$40,K4,,-K32)</f>
        <v>18035109.8020591</v>
      </c>
      <c r="L35" s="14">
        <f>PV($B$40,L4,,-L32)</f>
        <v>15549950.6532925</v>
      </c>
      <c r="M35" s="14">
        <f>PV($B$40,M4,,-M32)</f>
        <v>13944848.7594207</v>
      </c>
      <c r="N35" s="14">
        <f>PV($B$40,N4,,-N32)</f>
        <v>13083252.3343187</v>
      </c>
      <c r="O35" s="14">
        <f>PV($B$40,O4,,-O32)</f>
        <v>10553940.392844</v>
      </c>
      <c r="P35" s="14">
        <f>PV($B$40,P4,,-P32)</f>
        <v>12247821.828376</v>
      </c>
      <c r="Q35" s="14">
        <f>PV($B$40,Q4,,-Q32)</f>
        <v>11831347.9638531</v>
      </c>
      <c r="R35" s="14">
        <f>PV($B$40,R4,,-R32)</f>
        <v>11417675.5967932</v>
      </c>
      <c r="S35" s="64"/>
    </row>
    <row r="36" customFormat="1" ht="17.65" spans="1:19">
      <c r="A36" s="34" t="s">
        <v>186</v>
      </c>
      <c r="B36" s="4"/>
      <c r="C36" s="14">
        <f>C32</f>
        <v>-56580000</v>
      </c>
      <c r="D36" s="14">
        <f t="shared" ref="D36:R36" si="28">C36+D35</f>
        <v>-40714682.3744292</v>
      </c>
      <c r="E36" s="14">
        <f t="shared" si="28"/>
        <v>-49617237.7006318</v>
      </c>
      <c r="F36" s="14">
        <f t="shared" si="28"/>
        <v>-56250677.2180327</v>
      </c>
      <c r="G36" s="14">
        <f t="shared" si="28"/>
        <v>-63206025.6526917</v>
      </c>
      <c r="H36" s="14">
        <f t="shared" si="28"/>
        <v>-58814242.8134135</v>
      </c>
      <c r="I36" s="14">
        <f t="shared" si="28"/>
        <v>-46614651.6617263</v>
      </c>
      <c r="J36" s="14">
        <f t="shared" si="28"/>
        <v>-19386964.9302405</v>
      </c>
      <c r="K36" s="14">
        <f t="shared" si="28"/>
        <v>-1351855.12818142</v>
      </c>
      <c r="L36" s="14">
        <f t="shared" si="28"/>
        <v>14198095.5251111</v>
      </c>
      <c r="M36" s="14">
        <f t="shared" si="28"/>
        <v>28142944.2845318</v>
      </c>
      <c r="N36" s="14">
        <f t="shared" si="28"/>
        <v>41226196.6188504</v>
      </c>
      <c r="O36" s="14">
        <f t="shared" si="28"/>
        <v>51780137.0116945</v>
      </c>
      <c r="P36" s="14">
        <f t="shared" si="28"/>
        <v>64027958.8400705</v>
      </c>
      <c r="Q36" s="14">
        <f t="shared" si="28"/>
        <v>75859306.8039235</v>
      </c>
      <c r="R36" s="14">
        <f t="shared" si="28"/>
        <v>87276982.4007167</v>
      </c>
      <c r="S36" s="64"/>
    </row>
    <row r="37" customFormat="1" ht="17.65" spans="1:19">
      <c r="A37" s="34" t="s">
        <v>79</v>
      </c>
      <c r="B37" s="4"/>
      <c r="C37" s="14">
        <f>C32</f>
        <v>-56580000</v>
      </c>
      <c r="D37" s="14">
        <f t="shared" ref="D37:R37" si="29">-SUMIF(D14:D31,"&lt;0")</f>
        <v>54559690</v>
      </c>
      <c r="E37" s="14">
        <f t="shared" si="29"/>
        <v>60567080</v>
      </c>
      <c r="F37" s="14">
        <f t="shared" si="29"/>
        <v>73015820</v>
      </c>
      <c r="G37" s="14">
        <f t="shared" si="29"/>
        <v>93081140.65</v>
      </c>
      <c r="H37" s="14">
        <f t="shared" si="29"/>
        <v>111914061.65575</v>
      </c>
      <c r="I37" s="14">
        <f t="shared" si="29"/>
        <v>135769760.471216</v>
      </c>
      <c r="J37" s="14">
        <f t="shared" si="29"/>
        <v>154231507.769021</v>
      </c>
      <c r="K37" s="14">
        <f t="shared" si="29"/>
        <v>174752866.691889</v>
      </c>
      <c r="L37" s="14">
        <f t="shared" si="29"/>
        <v>180329598.776939</v>
      </c>
      <c r="M37" s="14">
        <f t="shared" si="29"/>
        <v>186118831.422275</v>
      </c>
      <c r="N37" s="14">
        <f t="shared" si="29"/>
        <v>192138384.693403</v>
      </c>
      <c r="O37" s="14">
        <f t="shared" si="29"/>
        <v>198395341.600941</v>
      </c>
      <c r="P37" s="14">
        <f t="shared" si="29"/>
        <v>204902880.497588</v>
      </c>
      <c r="Q37" s="14">
        <f t="shared" si="29"/>
        <v>211671909.742691</v>
      </c>
      <c r="R37" s="14">
        <f t="shared" si="29"/>
        <v>218709704.793156</v>
      </c>
      <c r="S37" s="64"/>
    </row>
    <row r="38" customFormat="1" ht="17.65" spans="1:19">
      <c r="A38" s="34" t="s">
        <v>187</v>
      </c>
      <c r="B38" s="4"/>
      <c r="C38" s="14">
        <v>0</v>
      </c>
      <c r="D38" s="14">
        <f t="shared" ref="D38:R38" si="30">SUMIF(D14:D31,"&gt;0")</f>
        <v>71932212.8</v>
      </c>
      <c r="E38" s="14">
        <f t="shared" si="30"/>
        <v>49892693.6</v>
      </c>
      <c r="F38" s="14">
        <f t="shared" si="30"/>
        <v>64306562.5</v>
      </c>
      <c r="G38" s="14">
        <f t="shared" si="30"/>
        <v>83081707.8075</v>
      </c>
      <c r="H38" s="14">
        <f t="shared" si="30"/>
        <v>118827776.343112</v>
      </c>
      <c r="I38" s="14">
        <f t="shared" si="30"/>
        <v>156799311.042144</v>
      </c>
      <c r="J38" s="14">
        <f t="shared" si="30"/>
        <v>205625171.5962</v>
      </c>
      <c r="K38" s="14">
        <f t="shared" si="30"/>
        <v>212029076.214811</v>
      </c>
      <c r="L38" s="14">
        <f t="shared" si="30"/>
        <v>215522582.427084</v>
      </c>
      <c r="M38" s="14">
        <f t="shared" si="30"/>
        <v>220677340.683376</v>
      </c>
      <c r="N38" s="14">
        <f t="shared" si="30"/>
        <v>227641873.236991</v>
      </c>
      <c r="O38" s="14">
        <f t="shared" si="30"/>
        <v>229755920.225903</v>
      </c>
      <c r="P38" s="14">
        <f t="shared" si="30"/>
        <v>244754172.794505</v>
      </c>
      <c r="Q38" s="14">
        <f t="shared" si="30"/>
        <v>253825240.455376</v>
      </c>
      <c r="R38" s="14">
        <f t="shared" si="30"/>
        <v>263253732.851082</v>
      </c>
      <c r="S38" s="64"/>
    </row>
    <row r="39" customFormat="1" ht="15.75" spans="2:2">
      <c r="B39" s="4"/>
    </row>
    <row r="40" customFormat="1" ht="18.35" spans="1:2">
      <c r="A40" s="35" t="s">
        <v>122</v>
      </c>
      <c r="B40" s="35">
        <v>0.095</v>
      </c>
    </row>
    <row r="41" customFormat="1" ht="18.35" spans="1:4">
      <c r="A41" s="35" t="s">
        <v>188</v>
      </c>
      <c r="B41" s="36" t="s">
        <v>57</v>
      </c>
      <c r="C41" s="37" t="s">
        <v>58</v>
      </c>
      <c r="D41" s="7" t="s">
        <v>18</v>
      </c>
    </row>
    <row r="42" customFormat="1" ht="76.9" spans="1:4">
      <c r="A42" s="35" t="s">
        <v>189</v>
      </c>
      <c r="B42" s="38">
        <v>7</v>
      </c>
      <c r="C42" s="39" t="s">
        <v>190</v>
      </c>
      <c r="D42" s="40" t="s">
        <v>11</v>
      </c>
    </row>
    <row r="43" customFormat="1" ht="92.25" spans="1:4">
      <c r="A43" s="41" t="s">
        <v>191</v>
      </c>
      <c r="B43" s="42">
        <f>NPV(B40,D32:R32)+C32</f>
        <v>87276982.4007167</v>
      </c>
      <c r="C43" s="39" t="s">
        <v>192</v>
      </c>
      <c r="D43" s="40"/>
    </row>
    <row r="44" customFormat="1" ht="17.6" spans="1:4">
      <c r="A44" s="41" t="s">
        <v>193</v>
      </c>
      <c r="B44" s="43">
        <f>NPV(B40,D38:R38)</f>
        <v>1151463767.14597</v>
      </c>
      <c r="C44" s="44"/>
      <c r="D44" s="40"/>
    </row>
    <row r="45" customFormat="1" ht="17.6" spans="1:4">
      <c r="A45" s="41" t="s">
        <v>194</v>
      </c>
      <c r="B45" s="43">
        <f>NPV(B40,D37:R37)</f>
        <v>1007606784.74525</v>
      </c>
      <c r="C45" s="44"/>
      <c r="D45" s="40"/>
    </row>
    <row r="46" customFormat="1" ht="56.25" spans="1:23">
      <c r="A46" s="45" t="s">
        <v>195</v>
      </c>
      <c r="B46" s="46">
        <f>B44/B45</f>
        <v>1.1427709544821</v>
      </c>
      <c r="C46" s="47" t="s">
        <v>196</v>
      </c>
      <c r="D46" s="40"/>
      <c r="E46" s="48"/>
      <c r="F46" s="48"/>
      <c r="G46" s="48"/>
      <c r="L46" s="48"/>
      <c r="M46" s="48"/>
      <c r="N46" s="48"/>
      <c r="O46" s="48"/>
      <c r="P46" s="48"/>
      <c r="Q46" s="48"/>
      <c r="R46" s="48"/>
      <c r="T46" s="48"/>
      <c r="U46" s="48"/>
      <c r="V46" s="48"/>
      <c r="W46" s="48"/>
    </row>
    <row r="47" customFormat="1" spans="2:23">
      <c r="B47" s="4"/>
      <c r="C47" s="49"/>
      <c r="D47" s="48"/>
      <c r="E47" s="48"/>
      <c r="F47" s="48"/>
      <c r="G47" s="48"/>
      <c r="L47" s="48"/>
      <c r="M47" s="48"/>
      <c r="N47" s="48"/>
      <c r="O47" s="48"/>
      <c r="P47" s="48"/>
      <c r="Q47" s="48"/>
      <c r="R47" s="48"/>
      <c r="T47" s="48"/>
      <c r="U47" s="48"/>
      <c r="V47" s="48"/>
      <c r="W47" s="48"/>
    </row>
    <row r="48" customFormat="1" spans="2:23">
      <c r="B48" s="4"/>
      <c r="D48" s="48"/>
      <c r="E48" s="48"/>
      <c r="F48" s="48"/>
      <c r="G48" s="48"/>
      <c r="L48" s="48"/>
      <c r="M48" s="48"/>
      <c r="N48" s="48"/>
      <c r="O48" s="48"/>
      <c r="P48" s="48"/>
      <c r="Q48" s="48"/>
      <c r="R48" s="48"/>
      <c r="T48" s="48"/>
      <c r="U48" s="48"/>
      <c r="V48" s="48"/>
      <c r="W48" s="48"/>
    </row>
    <row r="49" customFormat="1" spans="2:23">
      <c r="B49" s="4"/>
      <c r="D49" s="48"/>
      <c r="E49" s="48"/>
      <c r="F49" s="48"/>
      <c r="G49" s="48"/>
      <c r="H49" s="48"/>
      <c r="I49" s="48"/>
      <c r="J49" s="48"/>
      <c r="K49" s="48"/>
      <c r="L49" s="48"/>
      <c r="M49" s="48"/>
      <c r="N49" s="48"/>
      <c r="O49" s="48"/>
      <c r="P49" s="48"/>
      <c r="Q49" s="48"/>
      <c r="R49" s="48"/>
      <c r="T49" s="48"/>
      <c r="U49" s="48"/>
      <c r="V49" s="48"/>
      <c r="W49" s="48"/>
    </row>
    <row r="50" customFormat="1" ht="45" spans="1:23">
      <c r="A50" s="6" t="s">
        <v>197</v>
      </c>
      <c r="B50" s="7" t="s">
        <v>18</v>
      </c>
      <c r="C50" s="8" t="s">
        <v>198</v>
      </c>
      <c r="L50" s="56"/>
      <c r="S50" s="7" t="s">
        <v>18</v>
      </c>
      <c r="T50" s="48"/>
      <c r="U50" s="48"/>
      <c r="V50" s="48"/>
      <c r="W50" s="48"/>
    </row>
    <row r="51" customFormat="1" ht="30.75" spans="1:23">
      <c r="A51" s="9" t="s">
        <v>150</v>
      </c>
      <c r="B51" s="50" t="s">
        <v>199</v>
      </c>
      <c r="C51" s="11">
        <v>0</v>
      </c>
      <c r="D51" s="11">
        <v>1</v>
      </c>
      <c r="E51" s="11">
        <v>2</v>
      </c>
      <c r="F51" s="11">
        <v>3</v>
      </c>
      <c r="G51" s="11">
        <v>4</v>
      </c>
      <c r="H51" s="11">
        <v>5</v>
      </c>
      <c r="I51" s="11">
        <v>6</v>
      </c>
      <c r="J51" s="11">
        <v>7</v>
      </c>
      <c r="K51" s="11">
        <v>8</v>
      </c>
      <c r="L51" s="11">
        <v>9</v>
      </c>
      <c r="M51" s="11">
        <v>10</v>
      </c>
      <c r="N51" s="11">
        <v>11</v>
      </c>
      <c r="O51" s="11">
        <v>12</v>
      </c>
      <c r="P51" s="11">
        <v>13</v>
      </c>
      <c r="Q51" s="11">
        <v>14</v>
      </c>
      <c r="R51" s="11">
        <v>15</v>
      </c>
      <c r="S51" s="65" t="s">
        <v>8</v>
      </c>
      <c r="T51" s="48"/>
      <c r="U51" s="48"/>
      <c r="V51" s="48"/>
      <c r="W51" s="48"/>
    </row>
    <row r="52" customFormat="1" ht="18.4" spans="1:23">
      <c r="A52" s="12" t="s">
        <v>152</v>
      </c>
      <c r="B52" s="18"/>
      <c r="C52" s="14"/>
      <c r="D52" s="14"/>
      <c r="E52" s="14"/>
      <c r="F52" s="14"/>
      <c r="G52" s="14"/>
      <c r="H52" s="14"/>
      <c r="I52" s="14"/>
      <c r="J52" s="14"/>
      <c r="K52" s="14"/>
      <c r="L52" s="14"/>
      <c r="M52" s="14"/>
      <c r="N52" s="14"/>
      <c r="O52" s="14"/>
      <c r="P52" s="14"/>
      <c r="Q52" s="14"/>
      <c r="R52" s="14"/>
      <c r="S52" s="65"/>
      <c r="T52" s="48"/>
      <c r="U52" s="48"/>
      <c r="V52" s="48"/>
      <c r="W52" s="48"/>
    </row>
    <row r="53" customFormat="1" ht="18.4" spans="1:23">
      <c r="A53" s="15" t="s">
        <v>153</v>
      </c>
      <c r="B53" s="18"/>
      <c r="C53" s="14">
        <v>0</v>
      </c>
      <c r="D53" s="14">
        <v>22680000</v>
      </c>
      <c r="E53" s="14">
        <v>32410000</v>
      </c>
      <c r="F53" s="14">
        <v>46300000</v>
      </c>
      <c r="G53" s="14">
        <v>69700000</v>
      </c>
      <c r="H53" s="14">
        <v>91500000</v>
      </c>
      <c r="I53" s="14">
        <v>118950000</v>
      </c>
      <c r="J53" s="14">
        <v>154630000</v>
      </c>
      <c r="K53" s="14">
        <v>159270000</v>
      </c>
      <c r="L53" s="14">
        <v>164050000</v>
      </c>
      <c r="M53" s="14">
        <v>168970000</v>
      </c>
      <c r="N53" s="14">
        <v>174040000</v>
      </c>
      <c r="O53" s="14">
        <v>179260000</v>
      </c>
      <c r="P53" s="14">
        <v>184640000</v>
      </c>
      <c r="Q53" s="14">
        <v>190180000</v>
      </c>
      <c r="R53" s="14">
        <v>195880000</v>
      </c>
      <c r="S53" s="65"/>
      <c r="T53" s="48"/>
      <c r="U53" s="48"/>
      <c r="V53" s="48"/>
      <c r="W53" s="48"/>
    </row>
    <row r="54" customFormat="1" ht="18.4" spans="1:23">
      <c r="A54" s="15" t="s">
        <v>154</v>
      </c>
      <c r="B54" s="17" t="s">
        <v>155</v>
      </c>
      <c r="C54" s="14">
        <f t="shared" ref="C54:J54" si="31">C53*(-0.5)</f>
        <v>0</v>
      </c>
      <c r="D54" s="14">
        <f t="shared" si="31"/>
        <v>-11340000</v>
      </c>
      <c r="E54" s="14">
        <f t="shared" si="31"/>
        <v>-16205000</v>
      </c>
      <c r="F54" s="14">
        <f t="shared" si="31"/>
        <v>-23150000</v>
      </c>
      <c r="G54" s="14">
        <f t="shared" si="31"/>
        <v>-34850000</v>
      </c>
      <c r="H54" s="14">
        <f t="shared" si="31"/>
        <v>-45750000</v>
      </c>
      <c r="I54" s="14">
        <f t="shared" si="31"/>
        <v>-59475000</v>
      </c>
      <c r="J54" s="14">
        <f t="shared" si="31"/>
        <v>-77315000</v>
      </c>
      <c r="K54" s="14">
        <f t="shared" ref="K54:R54" si="32">K53*(-0.25)</f>
        <v>-39817500</v>
      </c>
      <c r="L54" s="14">
        <f t="shared" si="32"/>
        <v>-41012500</v>
      </c>
      <c r="M54" s="14">
        <f t="shared" si="32"/>
        <v>-42242500</v>
      </c>
      <c r="N54" s="14">
        <f t="shared" si="32"/>
        <v>-43510000</v>
      </c>
      <c r="O54" s="14">
        <f t="shared" si="32"/>
        <v>-44815000</v>
      </c>
      <c r="P54" s="14">
        <f t="shared" si="32"/>
        <v>-46160000</v>
      </c>
      <c r="Q54" s="14">
        <f t="shared" si="32"/>
        <v>-47545000</v>
      </c>
      <c r="R54" s="14">
        <f t="shared" si="32"/>
        <v>-48970000</v>
      </c>
      <c r="S54" s="65"/>
      <c r="T54" s="48"/>
      <c r="U54" s="48"/>
      <c r="V54" s="48"/>
      <c r="W54" s="48"/>
    </row>
    <row r="55" customFormat="1" ht="18.4" spans="1:23">
      <c r="A55" s="15" t="s">
        <v>156</v>
      </c>
      <c r="B55" s="18"/>
      <c r="C55" s="14">
        <v>0</v>
      </c>
      <c r="D55" s="14">
        <f>-D53*0.15</f>
        <v>-3402000</v>
      </c>
      <c r="E55" s="14">
        <f>-E53*0.15</f>
        <v>-4861500</v>
      </c>
      <c r="F55" s="14">
        <f t="shared" ref="F55:H55" si="33">-F53*0.1</f>
        <v>-4630000</v>
      </c>
      <c r="G55" s="14">
        <f t="shared" si="33"/>
        <v>-6970000</v>
      </c>
      <c r="H55" s="14">
        <f t="shared" si="33"/>
        <v>-9150000</v>
      </c>
      <c r="I55" s="14">
        <f>-I53*0.08</f>
        <v>-9516000</v>
      </c>
      <c r="J55" s="14">
        <f>-J53*0.07</f>
        <v>-10824100</v>
      </c>
      <c r="K55" s="14">
        <f>-K53*0.07</f>
        <v>-11148900</v>
      </c>
      <c r="L55" s="14">
        <f>-L53*0.06</f>
        <v>-9843000</v>
      </c>
      <c r="M55" s="14">
        <f>-M53*0.05</f>
        <v>-8448500</v>
      </c>
      <c r="N55" s="14">
        <f t="shared" ref="N55:R55" si="34">-N53*0.03</f>
        <v>-5221200</v>
      </c>
      <c r="O55" s="14">
        <f t="shared" si="34"/>
        <v>-5377800</v>
      </c>
      <c r="P55" s="14">
        <f t="shared" si="34"/>
        <v>-5539200</v>
      </c>
      <c r="Q55" s="14">
        <f t="shared" si="34"/>
        <v>-5705400</v>
      </c>
      <c r="R55" s="14">
        <f t="shared" si="34"/>
        <v>-5876400</v>
      </c>
      <c r="S55" s="65"/>
      <c r="T55" s="48"/>
      <c r="U55" s="48"/>
      <c r="V55" s="48"/>
      <c r="W55" s="48"/>
    </row>
    <row r="56" customFormat="1" ht="18.4" spans="1:23">
      <c r="A56" s="15" t="s">
        <v>200</v>
      </c>
      <c r="B56" s="18" t="s">
        <v>158</v>
      </c>
      <c r="C56" s="14">
        <f t="shared" ref="C56:R56" si="35">C55*0.04</f>
        <v>0</v>
      </c>
      <c r="D56" s="14">
        <f t="shared" si="35"/>
        <v>-136080</v>
      </c>
      <c r="E56" s="14">
        <f t="shared" si="35"/>
        <v>-194460</v>
      </c>
      <c r="F56" s="14">
        <f t="shared" si="35"/>
        <v>-185200</v>
      </c>
      <c r="G56" s="14">
        <f t="shared" si="35"/>
        <v>-278800</v>
      </c>
      <c r="H56" s="14">
        <f t="shared" si="35"/>
        <v>-366000</v>
      </c>
      <c r="I56" s="14">
        <f t="shared" si="35"/>
        <v>-380640</v>
      </c>
      <c r="J56" s="14">
        <f t="shared" si="35"/>
        <v>-432964</v>
      </c>
      <c r="K56" s="14">
        <f t="shared" si="35"/>
        <v>-445956</v>
      </c>
      <c r="L56" s="14">
        <f t="shared" si="35"/>
        <v>-393720</v>
      </c>
      <c r="M56" s="14">
        <f t="shared" si="35"/>
        <v>-337940</v>
      </c>
      <c r="N56" s="14">
        <f t="shared" si="35"/>
        <v>-208848</v>
      </c>
      <c r="O56" s="14">
        <f t="shared" si="35"/>
        <v>-215112</v>
      </c>
      <c r="P56" s="14">
        <f t="shared" si="35"/>
        <v>-221568</v>
      </c>
      <c r="Q56" s="14">
        <f t="shared" si="35"/>
        <v>-228216</v>
      </c>
      <c r="R56" s="14">
        <f t="shared" si="35"/>
        <v>-235056</v>
      </c>
      <c r="S56" s="65"/>
      <c r="T56" s="48"/>
      <c r="U56" s="48"/>
      <c r="V56" s="48"/>
      <c r="W56" s="48"/>
    </row>
    <row r="57" customFormat="1" ht="18.4" spans="1:23">
      <c r="A57" s="20" t="s">
        <v>159</v>
      </c>
      <c r="B57" s="18"/>
      <c r="C57" s="14">
        <v>0</v>
      </c>
      <c r="D57" s="14">
        <f t="shared" ref="D57:R57" si="36">SUM(D53:D56)</f>
        <v>7801920</v>
      </c>
      <c r="E57" s="14">
        <f t="shared" si="36"/>
        <v>11149040</v>
      </c>
      <c r="F57" s="14">
        <f t="shared" si="36"/>
        <v>18334800</v>
      </c>
      <c r="G57" s="14">
        <f t="shared" si="36"/>
        <v>27601200</v>
      </c>
      <c r="H57" s="14">
        <f t="shared" si="36"/>
        <v>36234000</v>
      </c>
      <c r="I57" s="14">
        <f t="shared" si="36"/>
        <v>49578360</v>
      </c>
      <c r="J57" s="14">
        <f t="shared" si="36"/>
        <v>66057936</v>
      </c>
      <c r="K57" s="14">
        <f t="shared" si="36"/>
        <v>107857644</v>
      </c>
      <c r="L57" s="14">
        <f t="shared" si="36"/>
        <v>112800780</v>
      </c>
      <c r="M57" s="14">
        <f t="shared" si="36"/>
        <v>117941060</v>
      </c>
      <c r="N57" s="14">
        <f t="shared" si="36"/>
        <v>125099952</v>
      </c>
      <c r="O57" s="14">
        <f t="shared" si="36"/>
        <v>128852088</v>
      </c>
      <c r="P57" s="14">
        <f t="shared" si="36"/>
        <v>132719232</v>
      </c>
      <c r="Q57" s="14">
        <f t="shared" si="36"/>
        <v>136701384</v>
      </c>
      <c r="R57" s="14">
        <f t="shared" si="36"/>
        <v>140798544</v>
      </c>
      <c r="S57" s="65"/>
      <c r="T57" s="48"/>
      <c r="U57" s="48"/>
      <c r="V57" s="48"/>
      <c r="W57" s="48"/>
    </row>
    <row r="58" customFormat="1" ht="18.4" spans="1:23">
      <c r="A58" s="15" t="s">
        <v>201</v>
      </c>
      <c r="B58" s="18"/>
      <c r="C58" s="14">
        <v>0</v>
      </c>
      <c r="D58" s="14">
        <f t="shared" ref="D58:R58" si="37">-D57*0.3</f>
        <v>-2340576</v>
      </c>
      <c r="E58" s="14">
        <f t="shared" si="37"/>
        <v>-3344712</v>
      </c>
      <c r="F58" s="14">
        <f t="shared" si="37"/>
        <v>-5500440</v>
      </c>
      <c r="G58" s="14">
        <f t="shared" si="37"/>
        <v>-8280360</v>
      </c>
      <c r="H58" s="14">
        <f t="shared" si="37"/>
        <v>-10870200</v>
      </c>
      <c r="I58" s="14">
        <f t="shared" si="37"/>
        <v>-14873508</v>
      </c>
      <c r="J58" s="14">
        <f t="shared" si="37"/>
        <v>-19817380.8</v>
      </c>
      <c r="K58" s="14">
        <f t="shared" si="37"/>
        <v>-32357293.2</v>
      </c>
      <c r="L58" s="14">
        <f t="shared" si="37"/>
        <v>-33840234</v>
      </c>
      <c r="M58" s="14">
        <f t="shared" si="37"/>
        <v>-35382318</v>
      </c>
      <c r="N58" s="14">
        <f t="shared" si="37"/>
        <v>-37529985.6</v>
      </c>
      <c r="O58" s="14">
        <f t="shared" si="37"/>
        <v>-38655626.4</v>
      </c>
      <c r="P58" s="14">
        <f t="shared" si="37"/>
        <v>-39815769.6</v>
      </c>
      <c r="Q58" s="14">
        <f t="shared" si="37"/>
        <v>-41010415.2</v>
      </c>
      <c r="R58" s="14">
        <f t="shared" si="37"/>
        <v>-42239563.2</v>
      </c>
      <c r="S58" s="65"/>
      <c r="T58" s="48"/>
      <c r="U58" s="48"/>
      <c r="V58" s="48"/>
      <c r="W58" s="48"/>
    </row>
    <row r="59" customFormat="1" ht="18.4" spans="1:23">
      <c r="A59" s="20" t="s">
        <v>46</v>
      </c>
      <c r="B59" s="18"/>
      <c r="C59" s="14">
        <v>0</v>
      </c>
      <c r="D59" s="14">
        <f t="shared" ref="D59:R59" si="38">D57+D58</f>
        <v>5461344</v>
      </c>
      <c r="E59" s="14">
        <f t="shared" si="38"/>
        <v>7804328</v>
      </c>
      <c r="F59" s="14">
        <f t="shared" si="38"/>
        <v>12834360</v>
      </c>
      <c r="G59" s="14">
        <f t="shared" si="38"/>
        <v>19320840</v>
      </c>
      <c r="H59" s="14">
        <f t="shared" si="38"/>
        <v>25363800</v>
      </c>
      <c r="I59" s="14">
        <f t="shared" si="38"/>
        <v>34704852</v>
      </c>
      <c r="J59" s="14">
        <f t="shared" si="38"/>
        <v>46240555.2</v>
      </c>
      <c r="K59" s="14">
        <f t="shared" si="38"/>
        <v>75500350.8</v>
      </c>
      <c r="L59" s="14">
        <f t="shared" si="38"/>
        <v>78960546</v>
      </c>
      <c r="M59" s="14">
        <f t="shared" si="38"/>
        <v>82558742</v>
      </c>
      <c r="N59" s="14">
        <f t="shared" si="38"/>
        <v>87569966.4</v>
      </c>
      <c r="O59" s="14">
        <f t="shared" si="38"/>
        <v>90196461.6</v>
      </c>
      <c r="P59" s="14">
        <f t="shared" si="38"/>
        <v>92903462.4</v>
      </c>
      <c r="Q59" s="14">
        <f t="shared" si="38"/>
        <v>95690968.8</v>
      </c>
      <c r="R59" s="14">
        <f t="shared" si="38"/>
        <v>98558980.8</v>
      </c>
      <c r="S59" s="65"/>
      <c r="T59" s="48"/>
      <c r="U59" s="48"/>
      <c r="V59" s="48"/>
      <c r="W59" s="48"/>
    </row>
    <row r="60" customFormat="1" ht="18.4" spans="1:23">
      <c r="A60" s="24" t="s">
        <v>161</v>
      </c>
      <c r="B60" s="18"/>
      <c r="C60" s="14"/>
      <c r="D60" s="14"/>
      <c r="E60" s="14"/>
      <c r="F60" s="14"/>
      <c r="G60" s="14"/>
      <c r="H60" s="14"/>
      <c r="I60" s="14"/>
      <c r="J60" s="14"/>
      <c r="K60" s="14"/>
      <c r="L60" s="14"/>
      <c r="M60" s="14"/>
      <c r="N60" s="14"/>
      <c r="O60" s="14"/>
      <c r="P60" s="14"/>
      <c r="Q60" s="14"/>
      <c r="R60" s="14"/>
      <c r="S60" s="65"/>
      <c r="T60" s="48"/>
      <c r="U60" s="48"/>
      <c r="V60" s="48"/>
      <c r="W60" s="48"/>
    </row>
    <row r="61" customFormat="1" ht="18.4" spans="1:23">
      <c r="A61" s="12" t="s">
        <v>162</v>
      </c>
      <c r="B61" s="18"/>
      <c r="C61" s="14"/>
      <c r="D61" s="14"/>
      <c r="E61" s="14"/>
      <c r="F61" s="14"/>
      <c r="G61" s="14"/>
      <c r="H61" s="14"/>
      <c r="I61" s="14"/>
      <c r="J61" s="14"/>
      <c r="K61" s="14"/>
      <c r="L61" s="14"/>
      <c r="M61" s="14"/>
      <c r="N61" s="14"/>
      <c r="O61" s="14"/>
      <c r="P61" s="14"/>
      <c r="Q61" s="14"/>
      <c r="R61" s="14"/>
      <c r="S61" s="65"/>
      <c r="T61" s="48"/>
      <c r="U61" s="48"/>
      <c r="V61" s="48"/>
      <c r="W61" s="48"/>
    </row>
    <row r="62" customFormat="1" ht="18.4" spans="1:23">
      <c r="A62" s="15" t="s">
        <v>163</v>
      </c>
      <c r="B62" s="18"/>
      <c r="C62" s="14">
        <v>0</v>
      </c>
      <c r="D62" s="14">
        <f t="shared" ref="D62:R62" si="39">D59</f>
        <v>5461344</v>
      </c>
      <c r="E62" s="14">
        <f t="shared" si="39"/>
        <v>7804328</v>
      </c>
      <c r="F62" s="14">
        <f t="shared" si="39"/>
        <v>12834360</v>
      </c>
      <c r="G62" s="14">
        <f t="shared" si="39"/>
        <v>19320840</v>
      </c>
      <c r="H62" s="14">
        <f t="shared" si="39"/>
        <v>25363800</v>
      </c>
      <c r="I62" s="14">
        <f t="shared" si="39"/>
        <v>34704852</v>
      </c>
      <c r="J62" s="14">
        <f t="shared" si="39"/>
        <v>46240555.2</v>
      </c>
      <c r="K62" s="14">
        <f t="shared" si="39"/>
        <v>75500350.8</v>
      </c>
      <c r="L62" s="14">
        <f t="shared" si="39"/>
        <v>78960546</v>
      </c>
      <c r="M62" s="14">
        <f t="shared" si="39"/>
        <v>82558742</v>
      </c>
      <c r="N62" s="14">
        <f t="shared" si="39"/>
        <v>87569966.4</v>
      </c>
      <c r="O62" s="14">
        <f t="shared" si="39"/>
        <v>90196461.6</v>
      </c>
      <c r="P62" s="14">
        <f t="shared" si="39"/>
        <v>92903462.4</v>
      </c>
      <c r="Q62" s="14">
        <f t="shared" si="39"/>
        <v>95690968.8</v>
      </c>
      <c r="R62" s="14">
        <f t="shared" si="39"/>
        <v>98558980.8</v>
      </c>
      <c r="S62" s="65"/>
      <c r="T62" s="48"/>
      <c r="U62" s="48"/>
      <c r="V62" s="48"/>
      <c r="W62" s="48"/>
    </row>
    <row r="63" customFormat="1" ht="30.75" spans="1:23">
      <c r="A63" s="15" t="s">
        <v>164</v>
      </c>
      <c r="B63" s="19" t="s">
        <v>165</v>
      </c>
      <c r="C63" s="14">
        <f t="shared" ref="C63:J63" si="40">C53*0.1</f>
        <v>0</v>
      </c>
      <c r="D63" s="14">
        <f t="shared" si="40"/>
        <v>2268000</v>
      </c>
      <c r="E63" s="14">
        <f t="shared" si="40"/>
        <v>3241000</v>
      </c>
      <c r="F63" s="14">
        <f t="shared" si="40"/>
        <v>4630000</v>
      </c>
      <c r="G63" s="14">
        <f t="shared" si="40"/>
        <v>6970000</v>
      </c>
      <c r="H63" s="14">
        <f t="shared" si="40"/>
        <v>9150000</v>
      </c>
      <c r="I63" s="14">
        <f t="shared" si="40"/>
        <v>11895000</v>
      </c>
      <c r="J63" s="14">
        <f t="shared" si="40"/>
        <v>15463000</v>
      </c>
      <c r="K63" s="14">
        <f t="shared" ref="K63:R63" si="41">K53*0.03</f>
        <v>4778100</v>
      </c>
      <c r="L63" s="14">
        <f t="shared" si="41"/>
        <v>4921500</v>
      </c>
      <c r="M63" s="14">
        <f t="shared" si="41"/>
        <v>5069100</v>
      </c>
      <c r="N63" s="14">
        <f t="shared" si="41"/>
        <v>5221200</v>
      </c>
      <c r="O63" s="14">
        <f t="shared" si="41"/>
        <v>5377800</v>
      </c>
      <c r="P63" s="14">
        <f t="shared" si="41"/>
        <v>5539200</v>
      </c>
      <c r="Q63" s="14">
        <f t="shared" si="41"/>
        <v>5705400</v>
      </c>
      <c r="R63" s="14">
        <f t="shared" si="41"/>
        <v>5876400</v>
      </c>
      <c r="S63" s="65"/>
      <c r="T63" s="48"/>
      <c r="U63" s="48"/>
      <c r="V63" s="48"/>
      <c r="W63" s="48"/>
    </row>
    <row r="64" customFormat="1" ht="30.75" spans="1:23">
      <c r="A64" s="15" t="s">
        <v>166</v>
      </c>
      <c r="B64" s="19" t="s">
        <v>167</v>
      </c>
      <c r="C64" s="14">
        <v>0</v>
      </c>
      <c r="D64" s="14">
        <v>25114000</v>
      </c>
      <c r="E64" s="14">
        <v>27905000</v>
      </c>
      <c r="F64" s="14">
        <v>31005000</v>
      </c>
      <c r="G64" s="14">
        <v>34451000</v>
      </c>
      <c r="H64" s="14">
        <v>37874000</v>
      </c>
      <c r="I64" s="14">
        <v>41661000</v>
      </c>
      <c r="J64" s="14">
        <v>45827000</v>
      </c>
      <c r="K64" s="14">
        <v>48118000</v>
      </c>
      <c r="L64" s="14">
        <v>50524000</v>
      </c>
      <c r="M64" s="14">
        <v>53050000</v>
      </c>
      <c r="N64" s="14">
        <v>55702000</v>
      </c>
      <c r="O64" s="14">
        <v>58487000</v>
      </c>
      <c r="P64" s="14">
        <v>61412000</v>
      </c>
      <c r="Q64" s="14">
        <v>64482000</v>
      </c>
      <c r="R64" s="14">
        <v>67706000</v>
      </c>
      <c r="S64" s="65"/>
      <c r="T64" s="48"/>
      <c r="U64" s="48"/>
      <c r="V64" s="48"/>
      <c r="W64" s="48"/>
    </row>
    <row r="65" customFormat="1" ht="18.4" spans="1:23">
      <c r="A65" s="15" t="s">
        <v>168</v>
      </c>
      <c r="B65" s="18"/>
      <c r="C65" s="14">
        <f t="shared" ref="C65:R65" si="42">C53*(-0.6)</f>
        <v>0</v>
      </c>
      <c r="D65" s="14">
        <f t="shared" si="42"/>
        <v>-13608000</v>
      </c>
      <c r="E65" s="14">
        <f t="shared" si="42"/>
        <v>-19446000</v>
      </c>
      <c r="F65" s="14">
        <f t="shared" si="42"/>
        <v>-27780000</v>
      </c>
      <c r="G65" s="14">
        <f t="shared" si="42"/>
        <v>-41820000</v>
      </c>
      <c r="H65" s="14">
        <f t="shared" si="42"/>
        <v>-54900000</v>
      </c>
      <c r="I65" s="14">
        <f t="shared" si="42"/>
        <v>-71370000</v>
      </c>
      <c r="J65" s="14">
        <f t="shared" si="42"/>
        <v>-92778000</v>
      </c>
      <c r="K65" s="14">
        <f t="shared" si="42"/>
        <v>-95562000</v>
      </c>
      <c r="L65" s="14">
        <f t="shared" si="42"/>
        <v>-98430000</v>
      </c>
      <c r="M65" s="14">
        <f t="shared" si="42"/>
        <v>-101382000</v>
      </c>
      <c r="N65" s="14">
        <f t="shared" si="42"/>
        <v>-104424000</v>
      </c>
      <c r="O65" s="14">
        <f t="shared" si="42"/>
        <v>-107556000</v>
      </c>
      <c r="P65" s="14">
        <f t="shared" si="42"/>
        <v>-110784000</v>
      </c>
      <c r="Q65" s="14">
        <f t="shared" si="42"/>
        <v>-114108000</v>
      </c>
      <c r="R65" s="14">
        <f t="shared" si="42"/>
        <v>-117528000</v>
      </c>
      <c r="S65" s="65"/>
      <c r="T65" s="48"/>
      <c r="U65" s="48"/>
      <c r="V65" s="48"/>
      <c r="W65" s="48"/>
    </row>
    <row r="66" customFormat="1" ht="18.4" spans="1:23">
      <c r="A66" s="15" t="s">
        <v>169</v>
      </c>
      <c r="B66" s="18"/>
      <c r="C66" s="14">
        <v>0</v>
      </c>
      <c r="D66" s="14">
        <v>-11692000</v>
      </c>
      <c r="E66" s="14">
        <v>-11790000</v>
      </c>
      <c r="F66" s="14">
        <v>-11853000</v>
      </c>
      <c r="G66" s="14">
        <v>-11901000</v>
      </c>
      <c r="H66" s="14">
        <v>-11973000</v>
      </c>
      <c r="I66" s="14">
        <v>-12294000</v>
      </c>
      <c r="J66" s="14">
        <v>-12417000</v>
      </c>
      <c r="K66" s="14">
        <v>-12541000</v>
      </c>
      <c r="L66" s="14">
        <v>-12667000</v>
      </c>
      <c r="M66" s="14">
        <v>-12793000</v>
      </c>
      <c r="N66" s="14">
        <v>-12921000</v>
      </c>
      <c r="O66" s="14">
        <v>-13051000</v>
      </c>
      <c r="P66" s="14">
        <v>-13181000</v>
      </c>
      <c r="Q66" s="14">
        <v>-13313000</v>
      </c>
      <c r="R66" s="14">
        <v>-13446000</v>
      </c>
      <c r="S66" s="65"/>
      <c r="T66" s="48"/>
      <c r="U66" s="48"/>
      <c r="V66" s="48"/>
      <c r="W66" s="48"/>
    </row>
    <row r="67" customFormat="1" ht="18.4" spans="1:23">
      <c r="A67" s="15" t="s">
        <v>170</v>
      </c>
      <c r="B67" s="18"/>
      <c r="C67" s="14">
        <f t="shared" ref="C67:R67" si="43">C55*(-1)</f>
        <v>0</v>
      </c>
      <c r="D67" s="14">
        <f t="shared" si="43"/>
        <v>3402000</v>
      </c>
      <c r="E67" s="14">
        <f t="shared" si="43"/>
        <v>4861500</v>
      </c>
      <c r="F67" s="14">
        <f t="shared" si="43"/>
        <v>4630000</v>
      </c>
      <c r="G67" s="14">
        <f t="shared" si="43"/>
        <v>6970000</v>
      </c>
      <c r="H67" s="14">
        <f t="shared" si="43"/>
        <v>9150000</v>
      </c>
      <c r="I67" s="14">
        <f t="shared" si="43"/>
        <v>9516000</v>
      </c>
      <c r="J67" s="14">
        <f t="shared" si="43"/>
        <v>10824100</v>
      </c>
      <c r="K67" s="14">
        <f t="shared" si="43"/>
        <v>11148900</v>
      </c>
      <c r="L67" s="14">
        <f t="shared" si="43"/>
        <v>9843000</v>
      </c>
      <c r="M67" s="14">
        <f t="shared" si="43"/>
        <v>8448500</v>
      </c>
      <c r="N67" s="14">
        <f t="shared" si="43"/>
        <v>5221200</v>
      </c>
      <c r="O67" s="14">
        <f t="shared" si="43"/>
        <v>5377800</v>
      </c>
      <c r="P67" s="14">
        <f t="shared" si="43"/>
        <v>5539200</v>
      </c>
      <c r="Q67" s="14">
        <f t="shared" si="43"/>
        <v>5705400</v>
      </c>
      <c r="R67" s="14">
        <f t="shared" si="43"/>
        <v>5876400</v>
      </c>
      <c r="S67" s="65"/>
      <c r="T67" s="48"/>
      <c r="U67" s="48"/>
      <c r="V67" s="48"/>
      <c r="W67" s="48"/>
    </row>
    <row r="68" customFormat="1" ht="18.4" spans="1:23">
      <c r="A68" s="12" t="s">
        <v>171</v>
      </c>
      <c r="B68" s="18"/>
      <c r="C68" s="14"/>
      <c r="D68" s="14"/>
      <c r="E68" s="14"/>
      <c r="F68" s="14"/>
      <c r="G68" s="14"/>
      <c r="H68" s="14"/>
      <c r="I68" s="14"/>
      <c r="J68" s="14"/>
      <c r="K68" s="14"/>
      <c r="L68" s="14"/>
      <c r="M68" s="14"/>
      <c r="N68" s="14"/>
      <c r="O68" s="14"/>
      <c r="P68" s="14"/>
      <c r="Q68" s="14"/>
      <c r="R68" s="14"/>
      <c r="S68" s="65"/>
      <c r="T68" s="48"/>
      <c r="U68" s="48"/>
      <c r="V68" s="48"/>
      <c r="W68" s="48"/>
    </row>
    <row r="69" customFormat="1" ht="18.4" spans="1:23">
      <c r="A69" s="15" t="s">
        <v>172</v>
      </c>
      <c r="B69" s="19" t="s">
        <v>173</v>
      </c>
      <c r="C69" s="14">
        <v>-9540000</v>
      </c>
      <c r="D69" s="14">
        <v>-10260000</v>
      </c>
      <c r="E69" s="14">
        <v>-11030000</v>
      </c>
      <c r="F69" s="14">
        <v>-11860000</v>
      </c>
      <c r="G69" s="14">
        <v>-12760000</v>
      </c>
      <c r="H69" s="14">
        <v>-10400000</v>
      </c>
      <c r="I69" s="14">
        <v>-11120000</v>
      </c>
      <c r="J69" s="14">
        <v>-11900000</v>
      </c>
      <c r="K69" s="14">
        <v>-12740000</v>
      </c>
      <c r="L69" s="14">
        <v>-13630000</v>
      </c>
      <c r="M69" s="14">
        <v>-14580000</v>
      </c>
      <c r="N69" s="14">
        <v>-15600000</v>
      </c>
      <c r="O69" s="14">
        <v>-16700000</v>
      </c>
      <c r="P69" s="14">
        <v>-17860000</v>
      </c>
      <c r="Q69" s="14">
        <v>-19110000</v>
      </c>
      <c r="R69" s="14">
        <v>-20450000</v>
      </c>
      <c r="S69" s="65"/>
      <c r="T69" s="48"/>
      <c r="U69" s="48"/>
      <c r="V69" s="48"/>
      <c r="W69" s="48"/>
    </row>
    <row r="70" customFormat="1" ht="18.4" spans="1:23">
      <c r="A70" s="15" t="s">
        <v>174</v>
      </c>
      <c r="B70" s="27"/>
      <c r="C70" s="14">
        <v>0</v>
      </c>
      <c r="D70" s="14">
        <f t="shared" ref="D70:R70" si="44">D69*(-0.1)</f>
        <v>1026000</v>
      </c>
      <c r="E70" s="14">
        <f t="shared" si="44"/>
        <v>1103000</v>
      </c>
      <c r="F70" s="14">
        <f t="shared" si="44"/>
        <v>1186000</v>
      </c>
      <c r="G70" s="14">
        <f t="shared" si="44"/>
        <v>1276000</v>
      </c>
      <c r="H70" s="14">
        <f t="shared" si="44"/>
        <v>1040000</v>
      </c>
      <c r="I70" s="14">
        <f t="shared" si="44"/>
        <v>1112000</v>
      </c>
      <c r="J70" s="14">
        <f t="shared" si="44"/>
        <v>1190000</v>
      </c>
      <c r="K70" s="14">
        <f t="shared" si="44"/>
        <v>1274000</v>
      </c>
      <c r="L70" s="14">
        <f t="shared" si="44"/>
        <v>1363000</v>
      </c>
      <c r="M70" s="14">
        <f t="shared" si="44"/>
        <v>1458000</v>
      </c>
      <c r="N70" s="14">
        <f t="shared" si="44"/>
        <v>1560000</v>
      </c>
      <c r="O70" s="14">
        <f t="shared" si="44"/>
        <v>1670000</v>
      </c>
      <c r="P70" s="14">
        <f t="shared" si="44"/>
        <v>1786000</v>
      </c>
      <c r="Q70" s="14">
        <f t="shared" si="44"/>
        <v>1911000</v>
      </c>
      <c r="R70" s="14">
        <f t="shared" si="44"/>
        <v>2045000</v>
      </c>
      <c r="S70" s="65"/>
      <c r="T70" s="48"/>
      <c r="U70" s="48"/>
      <c r="V70" s="48"/>
      <c r="W70" s="48"/>
    </row>
    <row r="71" customFormat="1" ht="18.4" spans="1:23">
      <c r="A71" s="15" t="s">
        <v>175</v>
      </c>
      <c r="B71" s="27"/>
      <c r="C71" s="14">
        <v>0</v>
      </c>
      <c r="D71" s="14">
        <v>-1000000</v>
      </c>
      <c r="E71" s="14">
        <v>-1010000</v>
      </c>
      <c r="F71" s="14">
        <v>-1020000</v>
      </c>
      <c r="G71" s="14">
        <v>-1030000</v>
      </c>
      <c r="H71" s="14">
        <v>-1040000</v>
      </c>
      <c r="I71" s="14">
        <v>-1050000</v>
      </c>
      <c r="J71" s="14">
        <v>-1060000</v>
      </c>
      <c r="K71" s="14">
        <v>-1070000</v>
      </c>
      <c r="L71" s="14">
        <v>-1080000</v>
      </c>
      <c r="M71" s="14">
        <v>-1090000</v>
      </c>
      <c r="N71" s="14">
        <v>-1100000</v>
      </c>
      <c r="O71" s="14">
        <v>-1110000</v>
      </c>
      <c r="P71" s="14">
        <v>-1120000</v>
      </c>
      <c r="Q71" s="14">
        <v>-1130000</v>
      </c>
      <c r="R71" s="14">
        <v>-1140000</v>
      </c>
      <c r="S71" s="65"/>
      <c r="T71" s="48"/>
      <c r="U71" s="48"/>
      <c r="V71" s="48"/>
      <c r="W71" s="48"/>
    </row>
    <row r="72" customFormat="1" ht="18.4" spans="1:23">
      <c r="A72" s="28" t="s">
        <v>176</v>
      </c>
      <c r="B72" s="27"/>
      <c r="C72" s="14">
        <v>0</v>
      </c>
      <c r="D72" s="14">
        <v>1000000</v>
      </c>
      <c r="E72" s="14">
        <v>1010000</v>
      </c>
      <c r="F72" s="14">
        <v>1020000</v>
      </c>
      <c r="G72" s="14">
        <v>1030000</v>
      </c>
      <c r="H72" s="14">
        <v>1040000</v>
      </c>
      <c r="I72" s="14">
        <v>1050000</v>
      </c>
      <c r="J72" s="14">
        <v>1060000</v>
      </c>
      <c r="K72" s="14">
        <v>1070000</v>
      </c>
      <c r="L72" s="14">
        <v>1080000</v>
      </c>
      <c r="M72" s="14">
        <v>1090000</v>
      </c>
      <c r="N72" s="14">
        <v>1100000</v>
      </c>
      <c r="O72" s="14">
        <v>1110000</v>
      </c>
      <c r="P72" s="14">
        <v>1120000</v>
      </c>
      <c r="Q72" s="14">
        <v>1130000</v>
      </c>
      <c r="R72" s="14">
        <v>1140000</v>
      </c>
      <c r="S72" s="65"/>
      <c r="T72" s="48"/>
      <c r="U72" s="48"/>
      <c r="V72" s="48"/>
      <c r="W72" s="48"/>
    </row>
    <row r="73" customFormat="1" ht="18.4" spans="1:23">
      <c r="A73" s="28" t="s">
        <v>177</v>
      </c>
      <c r="B73" s="27"/>
      <c r="C73" s="14">
        <v>0</v>
      </c>
      <c r="D73" s="14">
        <v>21000</v>
      </c>
      <c r="E73" s="14">
        <v>-34000</v>
      </c>
      <c r="F73" s="14">
        <v>83000</v>
      </c>
      <c r="G73" s="14">
        <v>67000</v>
      </c>
      <c r="H73" s="14">
        <v>-145000</v>
      </c>
      <c r="I73" s="14">
        <v>62000</v>
      </c>
      <c r="J73" s="14">
        <v>-123000</v>
      </c>
      <c r="K73" s="14">
        <v>76000</v>
      </c>
      <c r="L73" s="14">
        <v>-87000</v>
      </c>
      <c r="M73" s="14">
        <v>63000</v>
      </c>
      <c r="N73" s="14">
        <v>82000</v>
      </c>
      <c r="O73" s="14">
        <v>74000</v>
      </c>
      <c r="P73" s="14">
        <v>36000</v>
      </c>
      <c r="Q73" s="14">
        <v>-122000</v>
      </c>
      <c r="R73" s="14">
        <v>43000</v>
      </c>
      <c r="S73" s="65"/>
      <c r="T73" s="48"/>
      <c r="U73" s="48"/>
      <c r="V73" s="48"/>
      <c r="W73" s="48"/>
    </row>
    <row r="74" customFormat="1" ht="18.4" spans="1:23">
      <c r="A74" s="15" t="s">
        <v>202</v>
      </c>
      <c r="B74" s="27"/>
      <c r="C74" s="14">
        <v>-1257000</v>
      </c>
      <c r="D74" s="14">
        <f t="shared" ref="D74:R74" si="45">D53*(-0.07)</f>
        <v>-1587600</v>
      </c>
      <c r="E74" s="14">
        <f t="shared" si="45"/>
        <v>-2268700</v>
      </c>
      <c r="F74" s="14">
        <f t="shared" si="45"/>
        <v>-3241000</v>
      </c>
      <c r="G74" s="14">
        <f t="shared" si="45"/>
        <v>-4879000</v>
      </c>
      <c r="H74" s="14">
        <f t="shared" si="45"/>
        <v>-6405000</v>
      </c>
      <c r="I74" s="14">
        <f t="shared" si="45"/>
        <v>-8326500</v>
      </c>
      <c r="J74" s="14">
        <f t="shared" si="45"/>
        <v>-10824100</v>
      </c>
      <c r="K74" s="14">
        <f t="shared" si="45"/>
        <v>-11148900</v>
      </c>
      <c r="L74" s="14">
        <f t="shared" si="45"/>
        <v>-11483500</v>
      </c>
      <c r="M74" s="14">
        <f t="shared" si="45"/>
        <v>-11827900</v>
      </c>
      <c r="N74" s="14">
        <f t="shared" si="45"/>
        <v>-12182800</v>
      </c>
      <c r="O74" s="14">
        <f t="shared" si="45"/>
        <v>-12548200</v>
      </c>
      <c r="P74" s="14">
        <f t="shared" si="45"/>
        <v>-12924800</v>
      </c>
      <c r="Q74" s="14">
        <f t="shared" si="45"/>
        <v>-13312600</v>
      </c>
      <c r="R74" s="14">
        <f t="shared" si="45"/>
        <v>-13711600</v>
      </c>
      <c r="S74" s="65"/>
      <c r="T74" s="48"/>
      <c r="U74" s="48"/>
      <c r="V74" s="48"/>
      <c r="W74" s="48"/>
    </row>
    <row r="75" customFormat="1" ht="18.4" spans="1:23">
      <c r="A75" s="28" t="s">
        <v>179</v>
      </c>
      <c r="B75" s="27"/>
      <c r="C75" s="14">
        <v>0</v>
      </c>
      <c r="D75" s="14">
        <v>2000000</v>
      </c>
      <c r="E75" s="14">
        <v>2010000</v>
      </c>
      <c r="F75" s="14">
        <v>2020000</v>
      </c>
      <c r="G75" s="14">
        <v>2030000</v>
      </c>
      <c r="H75" s="14">
        <v>2040000</v>
      </c>
      <c r="I75" s="14">
        <v>2050000</v>
      </c>
      <c r="J75" s="14">
        <v>2060000</v>
      </c>
      <c r="K75" s="14">
        <v>2070000</v>
      </c>
      <c r="L75" s="14">
        <v>2080000</v>
      </c>
      <c r="M75" s="14">
        <v>2090000</v>
      </c>
      <c r="N75" s="14">
        <v>2100000</v>
      </c>
      <c r="O75" s="14">
        <v>2110000</v>
      </c>
      <c r="P75" s="14">
        <v>2120000</v>
      </c>
      <c r="Q75" s="14">
        <v>2130000</v>
      </c>
      <c r="R75" s="14">
        <v>2140000</v>
      </c>
      <c r="S75" s="65"/>
      <c r="T75" s="48"/>
      <c r="U75" s="48"/>
      <c r="V75" s="48"/>
      <c r="W75" s="48"/>
    </row>
    <row r="76" customFormat="1" ht="18.4" spans="1:23">
      <c r="A76" s="12" t="s">
        <v>180</v>
      </c>
      <c r="B76" s="13"/>
      <c r="C76" s="14"/>
      <c r="D76" s="14"/>
      <c r="E76" s="14"/>
      <c r="F76" s="14"/>
      <c r="G76" s="14"/>
      <c r="H76" s="14"/>
      <c r="I76" s="14"/>
      <c r="J76" s="14"/>
      <c r="K76" s="14"/>
      <c r="L76" s="14"/>
      <c r="M76" s="14"/>
      <c r="N76" s="14"/>
      <c r="O76" s="14"/>
      <c r="P76" s="14"/>
      <c r="Q76" s="14"/>
      <c r="R76" s="14"/>
      <c r="S76" s="65"/>
      <c r="T76" s="48"/>
      <c r="U76" s="48"/>
      <c r="V76" s="48"/>
      <c r="W76" s="48"/>
    </row>
    <row r="77" customFormat="1" ht="18.4" spans="1:23">
      <c r="A77" s="15" t="s">
        <v>181</v>
      </c>
      <c r="B77" s="27"/>
      <c r="C77" s="14">
        <v>0</v>
      </c>
      <c r="D77" s="14">
        <v>5000000</v>
      </c>
      <c r="E77" s="14">
        <v>0</v>
      </c>
      <c r="F77" s="14">
        <v>0</v>
      </c>
      <c r="G77" s="14">
        <v>0</v>
      </c>
      <c r="H77" s="14">
        <v>0</v>
      </c>
      <c r="I77" s="14">
        <v>0</v>
      </c>
      <c r="J77" s="14">
        <v>0</v>
      </c>
      <c r="K77" s="14">
        <v>0</v>
      </c>
      <c r="L77" s="14">
        <v>0</v>
      </c>
      <c r="M77" s="14">
        <v>0</v>
      </c>
      <c r="N77" s="14">
        <v>0</v>
      </c>
      <c r="O77" s="14">
        <v>0</v>
      </c>
      <c r="P77" s="14">
        <v>0</v>
      </c>
      <c r="Q77" s="14">
        <v>0</v>
      </c>
      <c r="R77" s="14">
        <v>0</v>
      </c>
      <c r="S77" s="65"/>
      <c r="T77" s="48"/>
      <c r="U77" s="48"/>
      <c r="V77" s="48"/>
      <c r="W77" s="48"/>
    </row>
    <row r="78" customFormat="1" ht="18.4" spans="1:23">
      <c r="A78" s="15" t="s">
        <v>182</v>
      </c>
      <c r="B78" s="13"/>
      <c r="C78" s="14">
        <v>0</v>
      </c>
      <c r="D78" s="14">
        <v>-927000</v>
      </c>
      <c r="E78" s="14">
        <v>-984000</v>
      </c>
      <c r="F78" s="14">
        <v>-952000</v>
      </c>
      <c r="G78" s="14">
        <v>-930000</v>
      </c>
      <c r="H78" s="14">
        <v>-976000</v>
      </c>
      <c r="I78" s="14">
        <v>-974000</v>
      </c>
      <c r="J78" s="14">
        <v>-965000</v>
      </c>
      <c r="K78" s="14">
        <v>-932000</v>
      </c>
      <c r="L78" s="14">
        <v>-974000</v>
      </c>
      <c r="M78" s="14">
        <v>-962000</v>
      </c>
      <c r="N78" s="14">
        <v>-963000</v>
      </c>
      <c r="O78" s="14">
        <v>-942000</v>
      </c>
      <c r="P78" s="14">
        <v>-989000</v>
      </c>
      <c r="Q78" s="14">
        <v>-978000</v>
      </c>
      <c r="R78" s="14">
        <v>-965000</v>
      </c>
      <c r="S78" s="65"/>
      <c r="T78" s="48"/>
      <c r="U78" s="48"/>
      <c r="V78" s="48"/>
      <c r="W78" s="48"/>
    </row>
    <row r="79" customFormat="1" ht="18.4" spans="1:23">
      <c r="A79" s="66" t="s">
        <v>183</v>
      </c>
      <c r="B79" s="30"/>
      <c r="C79" s="31">
        <f t="shared" ref="C79:R79" si="46">SUM(C61:C78)</f>
        <v>-10797000</v>
      </c>
      <c r="D79" s="31">
        <f t="shared" si="46"/>
        <v>6217744</v>
      </c>
      <c r="E79" s="31">
        <f t="shared" si="46"/>
        <v>1372128</v>
      </c>
      <c r="F79" s="31">
        <f t="shared" si="46"/>
        <v>702360</v>
      </c>
      <c r="G79" s="31">
        <f t="shared" si="46"/>
        <v>-1205160</v>
      </c>
      <c r="H79" s="31">
        <f t="shared" si="46"/>
        <v>-181200.000000001</v>
      </c>
      <c r="I79" s="31">
        <f t="shared" si="46"/>
        <v>-3083648</v>
      </c>
      <c r="J79" s="31">
        <f t="shared" si="46"/>
        <v>-7402444.8</v>
      </c>
      <c r="K79" s="31">
        <f t="shared" si="46"/>
        <v>10041450.8</v>
      </c>
      <c r="L79" s="31">
        <f t="shared" si="46"/>
        <v>10420546</v>
      </c>
      <c r="M79" s="31">
        <f t="shared" si="46"/>
        <v>11192442</v>
      </c>
      <c r="N79" s="31">
        <f t="shared" si="46"/>
        <v>11365566.4</v>
      </c>
      <c r="O79" s="31">
        <f t="shared" si="46"/>
        <v>12495861.6</v>
      </c>
      <c r="P79" s="31">
        <f t="shared" si="46"/>
        <v>13597062.4</v>
      </c>
      <c r="Q79" s="31">
        <f t="shared" si="46"/>
        <v>14681168.8</v>
      </c>
      <c r="R79" s="31">
        <f t="shared" si="46"/>
        <v>16145180.8</v>
      </c>
      <c r="S79" s="65"/>
      <c r="T79" s="48"/>
      <c r="U79" s="48"/>
      <c r="V79" s="48"/>
      <c r="W79" s="48"/>
    </row>
    <row r="80" customFormat="1" ht="17.6" spans="1:23">
      <c r="A80" s="67"/>
      <c r="B80" s="4"/>
      <c r="D80" s="1"/>
      <c r="E80" s="1"/>
      <c r="F80" s="1"/>
      <c r="G80" s="1"/>
      <c r="H80" s="1"/>
      <c r="I80" s="1"/>
      <c r="J80" s="1"/>
      <c r="K80" s="1"/>
      <c r="L80" s="1"/>
      <c r="M80" s="1"/>
      <c r="N80" s="1"/>
      <c r="O80" s="1"/>
      <c r="P80" s="1"/>
      <c r="Q80" s="1"/>
      <c r="R80" s="1"/>
      <c r="T80" s="48"/>
      <c r="U80" s="48"/>
      <c r="V80" s="48"/>
      <c r="W80" s="48"/>
    </row>
    <row r="81" customFormat="1" ht="17.6" spans="1:23">
      <c r="A81" s="68" t="s">
        <v>184</v>
      </c>
      <c r="B81" s="4"/>
      <c r="C81" s="14">
        <f>C79</f>
        <v>-10797000</v>
      </c>
      <c r="D81" s="14">
        <f t="shared" ref="D81:R81" si="47">D79+C81</f>
        <v>-4579256</v>
      </c>
      <c r="E81" s="14">
        <f t="shared" si="47"/>
        <v>-3207128</v>
      </c>
      <c r="F81" s="14">
        <f t="shared" si="47"/>
        <v>-2504768</v>
      </c>
      <c r="G81" s="14">
        <f t="shared" si="47"/>
        <v>-3709928</v>
      </c>
      <c r="H81" s="14">
        <f t="shared" si="47"/>
        <v>-3891128</v>
      </c>
      <c r="I81" s="14">
        <f t="shared" si="47"/>
        <v>-6974776</v>
      </c>
      <c r="J81" s="14">
        <f t="shared" si="47"/>
        <v>-14377220.8</v>
      </c>
      <c r="K81" s="14">
        <f t="shared" si="47"/>
        <v>-4335770</v>
      </c>
      <c r="L81" s="14">
        <f t="shared" si="47"/>
        <v>6084775.99999999</v>
      </c>
      <c r="M81" s="14">
        <f t="shared" si="47"/>
        <v>17277218</v>
      </c>
      <c r="N81" s="14">
        <f t="shared" si="47"/>
        <v>28642784.4</v>
      </c>
      <c r="O81" s="14">
        <f t="shared" si="47"/>
        <v>41138646</v>
      </c>
      <c r="P81" s="14">
        <f t="shared" si="47"/>
        <v>54735708.4</v>
      </c>
      <c r="Q81" s="14">
        <f t="shared" si="47"/>
        <v>69416877.2</v>
      </c>
      <c r="R81" s="14">
        <f t="shared" si="47"/>
        <v>85562058</v>
      </c>
      <c r="S81" s="64" t="s">
        <v>5</v>
      </c>
      <c r="T81" s="48"/>
      <c r="U81" s="48"/>
      <c r="V81" s="48"/>
      <c r="W81" s="48"/>
    </row>
    <row r="82" customFormat="1" ht="17.6" spans="1:23">
      <c r="A82" s="68" t="s">
        <v>185</v>
      </c>
      <c r="B82" s="4"/>
      <c r="C82" s="14">
        <f>C79</f>
        <v>-10797000</v>
      </c>
      <c r="D82" s="14">
        <f>PV($B$87,D51,,-D79)</f>
        <v>5678305.02283105</v>
      </c>
      <c r="E82" s="14">
        <f>PV($B$87,E51,,-E79)</f>
        <v>1144369.80046288</v>
      </c>
      <c r="F82" s="14">
        <f t="shared" ref="F82:R82" si="48">PV($B$87,F51,,-F79)</f>
        <v>534955.199044429</v>
      </c>
      <c r="G82" s="14">
        <f t="shared" si="48"/>
        <v>-838278.315534741</v>
      </c>
      <c r="H82" s="14">
        <f t="shared" si="48"/>
        <v>-115103.252949074</v>
      </c>
      <c r="I82" s="14">
        <f t="shared" si="48"/>
        <v>-1788875.36035715</v>
      </c>
      <c r="J82" s="14">
        <f t="shared" si="48"/>
        <v>-3921717.8354762</v>
      </c>
      <c r="K82" s="14">
        <f t="shared" si="48"/>
        <v>4858290.85273846</v>
      </c>
      <c r="L82" s="14">
        <f t="shared" si="48"/>
        <v>4604297.76830521</v>
      </c>
      <c r="M82" s="14">
        <f t="shared" si="48"/>
        <v>4516309.1312584</v>
      </c>
      <c r="N82" s="14">
        <f t="shared" si="48"/>
        <v>4188280.62349695</v>
      </c>
      <c r="O82" s="14">
        <f t="shared" si="48"/>
        <v>4205297.9972333</v>
      </c>
      <c r="P82" s="14">
        <f t="shared" si="48"/>
        <v>4178895.79147706</v>
      </c>
      <c r="Q82" s="14">
        <f t="shared" si="48"/>
        <v>4120623.77164875</v>
      </c>
      <c r="R82" s="14">
        <f t="shared" si="48"/>
        <v>4138387.2286147</v>
      </c>
      <c r="S82" s="64"/>
      <c r="T82" s="48"/>
      <c r="U82" s="48"/>
      <c r="V82" s="48"/>
      <c r="W82" s="48"/>
    </row>
    <row r="83" customFormat="1" ht="17.6" spans="1:23">
      <c r="A83" s="68" t="s">
        <v>186</v>
      </c>
      <c r="B83" s="4"/>
      <c r="C83" s="14">
        <f>C79</f>
        <v>-10797000</v>
      </c>
      <c r="D83" s="14">
        <f t="shared" ref="D83:R83" si="49">C83+D82</f>
        <v>-5118694.97716895</v>
      </c>
      <c r="E83" s="14">
        <f t="shared" si="49"/>
        <v>-3974325.17670607</v>
      </c>
      <c r="F83" s="14">
        <f t="shared" si="49"/>
        <v>-3439369.97766164</v>
      </c>
      <c r="G83" s="14">
        <f t="shared" si="49"/>
        <v>-4277648.29319639</v>
      </c>
      <c r="H83" s="14">
        <f t="shared" si="49"/>
        <v>-4392751.54614546</v>
      </c>
      <c r="I83" s="14">
        <f t="shared" si="49"/>
        <v>-6181626.90650261</v>
      </c>
      <c r="J83" s="14">
        <f t="shared" si="49"/>
        <v>-10103344.7419788</v>
      </c>
      <c r="K83" s="14">
        <f t="shared" si="49"/>
        <v>-5245053.88924036</v>
      </c>
      <c r="L83" s="14">
        <f t="shared" si="49"/>
        <v>-640756.120935144</v>
      </c>
      <c r="M83" s="14">
        <f t="shared" si="49"/>
        <v>3875553.01032326</v>
      </c>
      <c r="N83" s="14">
        <f t="shared" si="49"/>
        <v>8063833.63382021</v>
      </c>
      <c r="O83" s="14">
        <f t="shared" si="49"/>
        <v>12269131.6310535</v>
      </c>
      <c r="P83" s="14">
        <f t="shared" si="49"/>
        <v>16448027.4225306</v>
      </c>
      <c r="Q83" s="14">
        <f t="shared" si="49"/>
        <v>20568651.1941793</v>
      </c>
      <c r="R83" s="14">
        <f t="shared" si="49"/>
        <v>24707038.422794</v>
      </c>
      <c r="S83" s="64"/>
      <c r="T83" s="48"/>
      <c r="U83" s="48"/>
      <c r="V83" s="48"/>
      <c r="W83" s="48"/>
    </row>
    <row r="84" customFormat="1" ht="17.6" spans="1:23">
      <c r="A84" s="68" t="s">
        <v>79</v>
      </c>
      <c r="B84" s="4"/>
      <c r="C84" s="14"/>
      <c r="D84" s="14">
        <f t="shared" ref="D84:R84" si="50">-SUMIF(D61:D78,"&lt;0")</f>
        <v>39074600</v>
      </c>
      <c r="E84" s="14">
        <f t="shared" si="50"/>
        <v>46562700</v>
      </c>
      <c r="F84" s="14">
        <f t="shared" si="50"/>
        <v>56706000</v>
      </c>
      <c r="G84" s="14">
        <f t="shared" si="50"/>
        <v>73320000</v>
      </c>
      <c r="H84" s="14">
        <f t="shared" si="50"/>
        <v>85839000</v>
      </c>
      <c r="I84" s="14">
        <f t="shared" si="50"/>
        <v>105134500</v>
      </c>
      <c r="J84" s="14">
        <f t="shared" si="50"/>
        <v>130067100</v>
      </c>
      <c r="K84" s="14">
        <f t="shared" si="50"/>
        <v>133993900</v>
      </c>
      <c r="L84" s="14">
        <f t="shared" si="50"/>
        <v>138351500</v>
      </c>
      <c r="M84" s="14">
        <f t="shared" si="50"/>
        <v>142634900</v>
      </c>
      <c r="N84" s="14">
        <f t="shared" si="50"/>
        <v>147190800</v>
      </c>
      <c r="O84" s="14">
        <f t="shared" si="50"/>
        <v>151907200</v>
      </c>
      <c r="P84" s="14">
        <f t="shared" si="50"/>
        <v>156858800</v>
      </c>
      <c r="Q84" s="14">
        <f t="shared" si="50"/>
        <v>162073600</v>
      </c>
      <c r="R84" s="14">
        <f t="shared" si="50"/>
        <v>167240600</v>
      </c>
      <c r="S84" s="64"/>
      <c r="T84" s="48"/>
      <c r="U84" s="48"/>
      <c r="V84" s="48"/>
      <c r="W84" s="48"/>
    </row>
    <row r="85" s="1" customFormat="1" ht="17.6" spans="1:19">
      <c r="A85" s="68" t="s">
        <v>187</v>
      </c>
      <c r="B85" s="69"/>
      <c r="C85" s="14"/>
      <c r="D85" s="14">
        <f t="shared" ref="D85:R85" si="51">SUMIF(D61:D78,"&gt;0")</f>
        <v>45292344</v>
      </c>
      <c r="E85" s="14">
        <f t="shared" si="51"/>
        <v>47934828</v>
      </c>
      <c r="F85" s="14">
        <f t="shared" si="51"/>
        <v>57408360</v>
      </c>
      <c r="G85" s="14">
        <f t="shared" si="51"/>
        <v>72114840</v>
      </c>
      <c r="H85" s="14">
        <f t="shared" si="51"/>
        <v>85657800</v>
      </c>
      <c r="I85" s="14">
        <f t="shared" si="51"/>
        <v>102050852</v>
      </c>
      <c r="J85" s="14">
        <f t="shared" si="51"/>
        <v>122664655.2</v>
      </c>
      <c r="K85" s="14">
        <f t="shared" si="51"/>
        <v>144035350.8</v>
      </c>
      <c r="L85" s="14">
        <f t="shared" si="51"/>
        <v>148772046</v>
      </c>
      <c r="M85" s="14">
        <f t="shared" si="51"/>
        <v>153827342</v>
      </c>
      <c r="N85" s="14">
        <f t="shared" si="51"/>
        <v>158556366.4</v>
      </c>
      <c r="O85" s="14">
        <f t="shared" si="51"/>
        <v>164403061.6</v>
      </c>
      <c r="P85" s="14">
        <f t="shared" si="51"/>
        <v>170455862.4</v>
      </c>
      <c r="Q85" s="14">
        <f t="shared" si="51"/>
        <v>176754768.8</v>
      </c>
      <c r="R85" s="14">
        <f t="shared" si="51"/>
        <v>183385780.8</v>
      </c>
      <c r="S85" s="64"/>
    </row>
    <row r="86" s="1" customFormat="1" ht="18.35" spans="1:19">
      <c r="A86" s="67"/>
      <c r="B86" s="69"/>
      <c r="C86" s="70"/>
      <c r="D86" s="70"/>
      <c r="E86" s="70"/>
      <c r="F86" s="70"/>
      <c r="G86" s="70"/>
      <c r="H86" s="70"/>
      <c r="I86" s="70"/>
      <c r="J86" s="70"/>
      <c r="K86" s="70"/>
      <c r="L86" s="70"/>
      <c r="M86" s="70"/>
      <c r="N86" s="70"/>
      <c r="O86" s="70"/>
      <c r="P86" s="70"/>
      <c r="Q86" s="70"/>
      <c r="R86" s="70"/>
      <c r="S86"/>
    </row>
    <row r="87" s="1" customFormat="1" ht="18.35" spans="1:19">
      <c r="A87" s="35" t="s">
        <v>122</v>
      </c>
      <c r="B87" s="35">
        <v>0.095</v>
      </c>
      <c r="C87" s="48"/>
      <c r="D87" s="48"/>
      <c r="E87" s="48"/>
      <c r="F87" s="48"/>
      <c r="G87" s="48"/>
      <c r="H87" s="48"/>
      <c r="I87" s="48"/>
      <c r="J87" s="48"/>
      <c r="K87" s="48"/>
      <c r="L87" s="48"/>
      <c r="M87" s="48"/>
      <c r="N87" s="48"/>
      <c r="O87" s="48"/>
      <c r="P87" s="48"/>
      <c r="Q87" s="48"/>
      <c r="R87" s="48"/>
      <c r="S87"/>
    </row>
    <row r="88" s="1" customFormat="1" ht="18.35" spans="1:19">
      <c r="A88" s="35" t="s">
        <v>188</v>
      </c>
      <c r="B88" s="36" t="s">
        <v>57</v>
      </c>
      <c r="C88" s="37" t="s">
        <v>58</v>
      </c>
      <c r="D88" s="7" t="s">
        <v>18</v>
      </c>
      <c r="E88"/>
      <c r="F88"/>
      <c r="G88"/>
      <c r="H88"/>
      <c r="I88"/>
      <c r="J88"/>
      <c r="K88"/>
      <c r="L88"/>
      <c r="M88"/>
      <c r="N88"/>
      <c r="O88"/>
      <c r="P88"/>
      <c r="Q88"/>
      <c r="R88"/>
      <c r="S88"/>
    </row>
    <row r="89" s="1" customFormat="1" ht="92.25" spans="1:19">
      <c r="A89" s="35" t="s">
        <v>189</v>
      </c>
      <c r="B89" s="38">
        <v>9</v>
      </c>
      <c r="C89" s="39" t="s">
        <v>203</v>
      </c>
      <c r="D89" s="40" t="s">
        <v>11</v>
      </c>
      <c r="E89"/>
      <c r="F89"/>
      <c r="G89"/>
      <c r="H89"/>
      <c r="I89"/>
      <c r="J89"/>
      <c r="K89"/>
      <c r="L89"/>
      <c r="M89"/>
      <c r="N89"/>
      <c r="O89"/>
      <c r="P89"/>
      <c r="Q89"/>
      <c r="R89"/>
      <c r="S89"/>
    </row>
    <row r="90" s="1" customFormat="1" ht="65.65" spans="1:19">
      <c r="A90" s="41" t="s">
        <v>191</v>
      </c>
      <c r="B90" s="43">
        <f>NPV(B87,D79:R79)+C79</f>
        <v>24707038.422794</v>
      </c>
      <c r="C90" s="71" t="s">
        <v>204</v>
      </c>
      <c r="D90" s="40"/>
      <c r="E90"/>
      <c r="F90"/>
      <c r="G90"/>
      <c r="H90"/>
      <c r="I90"/>
      <c r="J90"/>
      <c r="K90"/>
      <c r="L90"/>
      <c r="M90"/>
      <c r="N90"/>
      <c r="O90"/>
      <c r="P90"/>
      <c r="Q90"/>
      <c r="R90"/>
      <c r="S90"/>
    </row>
    <row r="91" s="1" customFormat="1" ht="17.6" spans="1:19">
      <c r="A91" s="41" t="s">
        <v>193</v>
      </c>
      <c r="B91" s="43">
        <f>NPV(B87,D85:R85)</f>
        <v>814081689.599902</v>
      </c>
      <c r="C91" s="44"/>
      <c r="D91" s="40"/>
      <c r="E91"/>
      <c r="F91"/>
      <c r="G91"/>
      <c r="H91"/>
      <c r="I91"/>
      <c r="J91"/>
      <c r="K91"/>
      <c r="L91"/>
      <c r="M91"/>
      <c r="N91"/>
      <c r="O91"/>
      <c r="P91"/>
      <c r="Q91"/>
      <c r="R91"/>
      <c r="S91"/>
    </row>
    <row r="92" s="1" customFormat="1" ht="17.6" spans="1:19">
      <c r="A92" s="41" t="s">
        <v>194</v>
      </c>
      <c r="B92" s="43">
        <f>NPV(B87,D84:R84)</f>
        <v>778577651.177108</v>
      </c>
      <c r="C92" s="44"/>
      <c r="D92" s="40"/>
      <c r="E92"/>
      <c r="F92"/>
      <c r="G92"/>
      <c r="H92"/>
      <c r="I92"/>
      <c r="J92"/>
      <c r="K92"/>
      <c r="L92"/>
      <c r="M92"/>
      <c r="N92"/>
      <c r="O92"/>
      <c r="P92"/>
      <c r="Q92"/>
      <c r="R92"/>
      <c r="S92"/>
    </row>
    <row r="93" s="1" customFormat="1" ht="93" spans="1:19">
      <c r="A93" s="45" t="s">
        <v>195</v>
      </c>
      <c r="B93" s="46">
        <f>B91/B92</f>
        <v>1.04560115278048</v>
      </c>
      <c r="C93" s="72" t="s">
        <v>205</v>
      </c>
      <c r="D93" s="40"/>
      <c r="E93"/>
      <c r="F93"/>
      <c r="G93"/>
      <c r="H93"/>
      <c r="I93"/>
      <c r="J93"/>
      <c r="K93"/>
      <c r="L93"/>
      <c r="M93"/>
      <c r="N93"/>
      <c r="O93"/>
      <c r="P93"/>
      <c r="Q93"/>
      <c r="R93"/>
      <c r="S93"/>
    </row>
  </sheetData>
  <mergeCells count="6">
    <mergeCell ref="D42:D46"/>
    <mergeCell ref="D89:D93"/>
    <mergeCell ref="S4:S32"/>
    <mergeCell ref="S34:S38"/>
    <mergeCell ref="S51:S79"/>
    <mergeCell ref="S81:S8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4 " / > < p i x e l a t o r L i s t   s h e e t S t i d = " 6 " / > < p i x e l a t o r L i s t   s h e e t S t i d = " 1 " / > < p i x e l a t o r L i s t   s h e e t S t i d = " 2 " / > < p i x e l a t o r L i s t   s h e e t S t i d = " 7 " / > < / p i x e l a t o r s > 
</file>

<file path=customXml/item2.xml>��< ? x m l   v e r s i o n = " 1 . 0 "   s t a n d a l o n e = " y e s " ? > < w o P r o p s   x m l n s = " h t t p s : / / w e b . w p s . c n / e t / 2 0 1 8 / m a i n "   x m l n s : s = " h t t p : / / s c h e m a s . o p e n x m l f o r m a t s . o r g / s p r e a d s h e e t m l / 2 0 0 6 / m a i n " > < w o S h e e t s P r o p s > < w o S h e e t P r o p s   s h e e t S t i d = " 5 " 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6 "   i n t e r l i n e O n O f f = " 0 "   i n t e r l i n e C o l o r = " 0 "   i s D b S h e e t = " 0 "   i s D a s h B o a r d S h e e t = " 0 "   i s D b D a s h B o a r d S h e e t = " 0 "   i s F l e x P a p e r S h e e t = " 0 " > < h y p e r l i n k s > < h y p e r l i n k   r e f = " C 1 0 " > < 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1 " > < 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2 " > < 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3 " > < 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5 " > < 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6 " > < 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7 " > < 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9 " > < 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2 2 " > < 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4 " > < 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1 8 " > < 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2 1 " > < 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C 2 0 " > < 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s > < c e l l p r o t e c t i o n / > < a p p E t D b R e l a t i o n s / > < / w o S h e e t P r o p s > < w o S h e e t P r o p s   s h e e t S t i d = " 1 "   i n t e r l i n e O n O f f = " 0 "   i n t e r l i n e C o l o r = " 0 "   i s D b S h e e t = " 0 "   i s D a s h B o a r d S h e e t = " 0 "   i s D b D a s h B o a r d S h e e t = " 0 "   i s F l e x P a p e r S h e e t = " 0 " > < h y p e r l i n k s > < h y p e r l i n k   r e f = " F 1 3 " > < h y p e r s u b l i n k   p o s = " 5 6 " 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4 " > < 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5 " > < h y p e r s u b l i n k   p o s = " 5 6 " 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6 " > < h y p e r s u b l i n k   p o s = " 6 2 " 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7 " > < h y p e r s u b l i n k   p o s = " 6 2 " 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8 " > < h y p e r s u b l i n k   p o s = " 5 6 " 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9 " > < h y p e r s u b l i n k   p o s = " 5 5 " 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2 0 " > < 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2 1 " > < 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4 6 " > < h y p e r s u b l i n k   p o s = " 6 3 " 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7 " > < 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6 " > < 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3 " > < 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2 " > < 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0 " > < h y p e r s u b l i n k   p o s = " 6 5 " 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7 " > < 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8 " > < 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9 " > < 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0 " > < 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1 " > < 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1 2 " > < h y p e r s u b l i n k   p o s = " 5 7 "   l e n g t h = " 1 1 4 "   d i s p l a y = " h t t p s : / / i n v e s t o r . a u d i n a t e . c o m / F o r m B u i l d e r / _ R e s o u r c e / _ m o d u l e / U 3 1 U p h y S G k W m 4 t E d v C _ X b w / f i l e / A D 8 - 2 0 2 4 - A n n u a l - R e p o r t . p d f "   a d d r e s s = " h t t p s : / / i n v e s t o r . a u d i n a t e . c o m / F o r m B u i l d e r / _ R e s o u r c e / _ m o d u l e / U 3 1 U p h y S G k W m 4 t E d v C _ X b w / f i l e / A D 8 - 2 0 2 4 - A n n u a l - R e p o r t . p d f "   s u b a d d r e s s = " "   s c r e e n T i p = " "   l i n k r u n s t y p e = " L R T N o n e " / > < / h y p e r l i n k > < h y p e r l i n k   r e f = " F 3 1 " > < 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4 " > < h y p e r s u b l i n k   p o s = " 1 0 1 " 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8 " > < h y p e r s u b l i n k   p o s = " 4 2 " 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9 " > < h y p e r s u b l i n k   p o s = " 4 3 " 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3 5 " > < h y p e r s u b l i n k   p o s = " 4 5 " 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0 " > < h y p e r s u b l i n k   p o s = " 4 4 " 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1 " > < h y p e r s u b l i n k   p o s = " 5 3 " 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2 " > < h y p e r s u b l i n k   p o s = " 4 5 " 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3 " > < h y p e r s u b l i n k   p o s = " 4 5 " 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5 " > < h y p e r s u b l i n k   p o s = " 4 5 "   l e n g t h = " 1 1 0 "   d i s p l a y = " h t t p s : / / i n v e s t o r . a u d i n a t e . c o m F o r m B u i l d e r / R e s o u r c e / m o d u l e / U 3 1 U p h y S G k W m 4 t E d v C X b w / f i l e / A D 8 - 2 0 2 4 - A n n u a l - R e p o r t . p d f "   a d d r e s s = " h t t p s : / / i n v e s t o r . a u d i n a t e . c o m F o r m B u i l d e r / R e s o u r c e / m o d u l e / U 3 1 U p h y S G k W m 4 t E d v C X b w / f i l e / A D 8 - 2 0 2 4 - A n n u a l - R e p o r t . p d f "   s u b a d d r e s s = " "   s c r e e n T i p = " "   l i n k r u n s t y p e = " L R T N o n e " / > < / h y p e r l i n k > < h y p e r l i n k   r e f = " F 4 4 " > < h y p e r s u b l i n k   p o s = " 3 5 "   l e n g t h = " 1 1 0 "   d i s p l a y = " h t t p s : / / i n v e s t o r . a u d i n a t e . c o m F o r m B u i l d e r / R e s o u r c e / m o d u l e / U 3 1 U p h y S G k W m 4 t E d v C X b w / f i l e / A D 8 - 2 0 2 4 - A n n u a l - R e p o r t . p d f "   a d d r e s s = " h t t p s : / / i n v e s t o r . a u d i n a t e . c o m F o r m B u i l d e r / R e s o u r c e / m o d u l e / U 3 1 U p h y S G k W m 4 t E d v C X b w / f i l e / A D 8 - 2 0 2 4 - A n n u a l - R e p o r t . p d f "   s u b a d d r e s s = " "   s c r e e n T i p = " "   l i n k r u n s t y p e = " L R T N o n e " / > < / h y p e r l i n k > < / h y p e r l i n k s > < c e l l p r o t e c t i o n / > < a p p E t D b R e l a t i o n s / > < / w o S h e e t P r o p s > < w o S h e e t P r o p s   s h e e t S t i d = " 2 " 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WWO_wpscloud_20241113211456-55c44f69b6</Application>
  <HeadingPairs>
    <vt:vector size="2" baseType="variant">
      <vt:variant>
        <vt:lpstr>工作表</vt:lpstr>
      </vt:variant>
      <vt:variant>
        <vt:i4>5</vt:i4>
      </vt:variant>
    </vt:vector>
  </HeadingPairs>
  <TitlesOfParts>
    <vt:vector size="5" baseType="lpstr">
      <vt:lpstr>Project Plan</vt:lpstr>
      <vt:lpstr>Project info</vt:lpstr>
      <vt:lpstr>Financial status of the Company</vt:lpstr>
      <vt:lpstr>Assumption</vt:lpstr>
      <vt:lpstr>CBA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kk</cp:lastModifiedBy>
  <dcterms:created xsi:type="dcterms:W3CDTF">2023-05-07T23:03:00Z</dcterms:created>
  <dcterms:modified xsi:type="dcterms:W3CDTF">2024-12-11T01:17:23Z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2023-07-20T05:24:33Z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d4532b21-53af-4ea7-897d-745d86b19de6</vt:lpwstr>
  </property>
  <property fmtid="{D5CDD505-2E9C-101B-9397-08002B2CF9AE}" pid="8" name="MSIP_Label_51a6c3db-1667-4f49-995a-8b9973972958_ContentBits">
    <vt:lpwstr>0</vt:lpwstr>
  </property>
  <property fmtid="{D5CDD505-2E9C-101B-9397-08002B2CF9AE}" pid="9" name="KSOProductBuildVer">
    <vt:lpwstr>2052-12.1.0.18608</vt:lpwstr>
  </property>
  <property fmtid="{D5CDD505-2E9C-101B-9397-08002B2CF9AE}" pid="10" name="ICV">
    <vt:lpwstr>CC5D9FA9924AD94DA6D03D67A8D8027A_42</vt:lpwstr>
  </property>
</Properties>
</file>