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illiam\Downloads\MCD\"/>
    </mc:Choice>
  </mc:AlternateContent>
  <xr:revisionPtr revIDLastSave="0" documentId="13_ncr:1_{1BE27F80-B656-4006-92D5-661D02D194DF}" xr6:coauthVersionLast="45" xr6:coauthVersionMax="45" xr10:uidLastSave="{00000000-0000-0000-0000-000000000000}"/>
  <bookViews>
    <workbookView xWindow="-110" yWindow="-110" windowWidth="18220" windowHeight="11620" tabRatio="826" xr2:uid="{00000000-000D-0000-FFFF-FFFF00000000}"/>
  </bookViews>
  <sheets>
    <sheet name="Dividend Discount Model" sheetId="12" r:id="rId1"/>
    <sheet name="FCFF Valuation" sheetId="13" r:id="rId2"/>
  </sheets>
  <definedNames>
    <definedName name="g_firm">'FCFF Valuation'!$B$23</definedName>
    <definedName name="k_eq">'Dividend Discount Model'!$C$7</definedName>
    <definedName name="rdebt">'FCFF Valuation'!$B$25</definedName>
    <definedName name="tax_rate">'FCFF Valuation'!$B$24</definedName>
    <definedName name="term_g">'Dividend Discount Model'!$C$10</definedName>
    <definedName name="WACC_5">'FCFF Valuation'!$G$32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E3" i="13"/>
  <c r="F3" i="13"/>
  <c r="E4" i="13" l="1"/>
  <c r="F4" i="13"/>
  <c r="F5" i="13"/>
  <c r="E5" i="13"/>
  <c r="D28" i="13"/>
  <c r="C1" i="13"/>
  <c r="D1" i="13" s="1"/>
  <c r="E1" i="13" s="1"/>
  <c r="F1" i="13" s="1"/>
  <c r="G1" i="13" s="1"/>
  <c r="E6" i="13"/>
  <c r="F6" i="13"/>
  <c r="E7" i="13"/>
  <c r="F7" i="13"/>
  <c r="E8" i="13"/>
  <c r="F8" i="13"/>
  <c r="C35" i="12"/>
  <c r="I8" i="12"/>
  <c r="G30" i="12"/>
  <c r="F30" i="12" s="1"/>
  <c r="C30" i="12"/>
  <c r="C32" i="12" s="1"/>
  <c r="I29" i="12"/>
  <c r="C29" i="12"/>
  <c r="I28" i="12"/>
  <c r="I27" i="12"/>
  <c r="E27" i="12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I26" i="12"/>
  <c r="I30" i="12" l="1"/>
  <c r="C15" i="12" l="1"/>
  <c r="C8" i="12" s="1"/>
  <c r="E14" i="13" l="1"/>
  <c r="D13" i="13"/>
  <c r="C28" i="13"/>
  <c r="B22" i="13" s="1"/>
  <c r="C30" i="13" s="1"/>
  <c r="C31" i="13" s="1"/>
  <c r="E11" i="13"/>
  <c r="E28" i="13" s="1"/>
  <c r="G28" i="13"/>
  <c r="G29" i="13" s="1"/>
  <c r="D29" i="13"/>
  <c r="G15" i="13"/>
  <c r="D15" i="13"/>
  <c r="F14" i="13"/>
  <c r="G12" i="13"/>
  <c r="D12" i="13"/>
  <c r="C12" i="13"/>
  <c r="F11" i="13"/>
  <c r="F28" i="13" s="1"/>
  <c r="F29" i="13" s="1"/>
  <c r="G13" i="13"/>
  <c r="E13" i="13"/>
  <c r="E12" i="13"/>
  <c r="C10" i="12"/>
  <c r="G40" i="12" s="1"/>
  <c r="I7" i="12"/>
  <c r="C7" i="12"/>
  <c r="I6" i="12"/>
  <c r="I5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I4" i="12"/>
  <c r="F13" i="13"/>
  <c r="F12" i="13"/>
  <c r="F15" i="13" l="1"/>
  <c r="G17" i="13"/>
  <c r="G18" i="13" s="1"/>
  <c r="C29" i="13"/>
  <c r="C32" i="13" s="1"/>
  <c r="D17" i="13"/>
  <c r="D18" i="13" s="1"/>
  <c r="F17" i="13"/>
  <c r="F18" i="13" s="1"/>
  <c r="G30" i="13"/>
  <c r="G31" i="13" s="1"/>
  <c r="H31" i="13" s="1"/>
  <c r="F30" i="13"/>
  <c r="F31" i="13" s="1"/>
  <c r="F32" i="13" s="1"/>
  <c r="E30" i="13"/>
  <c r="E31" i="13" s="1"/>
  <c r="D30" i="13"/>
  <c r="D31" i="13" s="1"/>
  <c r="D32" i="13" s="1"/>
  <c r="D33" i="13" s="1"/>
  <c r="G19" i="12"/>
  <c r="E29" i="13"/>
  <c r="E15" i="13"/>
  <c r="E17" i="13" s="1"/>
  <c r="D37" i="13" l="1"/>
  <c r="D34" i="13"/>
  <c r="D38" i="13" s="1"/>
  <c r="E32" i="13"/>
  <c r="E33" i="13" s="1"/>
  <c r="F33" i="13" s="1"/>
  <c r="G32" i="13"/>
  <c r="E18" i="13"/>
  <c r="H18" i="13"/>
  <c r="E34" i="13" l="1"/>
  <c r="F34" i="13" s="1"/>
  <c r="G34" i="13" s="1"/>
  <c r="H34" i="13" s="1"/>
  <c r="H38" i="13" s="1"/>
  <c r="H32" i="13"/>
  <c r="H17" i="13"/>
  <c r="G33" i="13"/>
  <c r="F37" i="13"/>
  <c r="E37" i="13"/>
  <c r="E38" i="13"/>
  <c r="F38" i="13" l="1"/>
  <c r="G38" i="13"/>
  <c r="J38" i="13" s="1"/>
  <c r="K38" i="13" s="1"/>
  <c r="L38" i="13" s="1"/>
  <c r="H33" i="13"/>
  <c r="H37" i="13" s="1"/>
  <c r="G37" i="13"/>
  <c r="J37" i="13" s="1"/>
  <c r="K37" i="13" s="1"/>
  <c r="L37" i="13" s="1"/>
  <c r="G10" i="12" l="1"/>
  <c r="G11" i="12" s="1"/>
  <c r="G12" i="12" s="1"/>
  <c r="G13" i="12" s="1"/>
  <c r="G14" i="12" s="1"/>
  <c r="G15" i="12" s="1"/>
  <c r="G16" i="12" s="1"/>
  <c r="G17" i="12" s="1"/>
  <c r="G18" i="12" s="1"/>
  <c r="F9" i="12"/>
  <c r="I9" i="12" s="1"/>
  <c r="G31" i="12"/>
  <c r="F31" i="12" s="1"/>
  <c r="I31" i="12" l="1"/>
  <c r="F10" i="12"/>
  <c r="G32" i="12"/>
  <c r="G33" i="12" s="1"/>
  <c r="G34" i="12" s="1"/>
  <c r="G35" i="12" s="1"/>
  <c r="G36" i="12" s="1"/>
  <c r="G37" i="12" s="1"/>
  <c r="G38" i="12" s="1"/>
  <c r="G39" i="12" s="1"/>
  <c r="F11" i="12" l="1"/>
  <c r="I10" i="12"/>
  <c r="F32" i="12"/>
  <c r="I32" i="12" l="1"/>
  <c r="F33" i="12"/>
  <c r="I11" i="12"/>
  <c r="F12" i="12"/>
  <c r="I33" i="12" l="1"/>
  <c r="F34" i="12"/>
  <c r="F13" i="12"/>
  <c r="I12" i="12"/>
  <c r="I13" i="12" l="1"/>
  <c r="F14" i="12"/>
  <c r="F35" i="12"/>
  <c r="I34" i="12"/>
  <c r="F36" i="12" l="1"/>
  <c r="I35" i="12"/>
  <c r="I14" i="12"/>
  <c r="F15" i="12"/>
  <c r="F16" i="12" l="1"/>
  <c r="I15" i="12"/>
  <c r="I36" i="12"/>
  <c r="F37" i="12"/>
  <c r="I37" i="12" l="1"/>
  <c r="F38" i="12"/>
  <c r="F17" i="12"/>
  <c r="I16" i="12"/>
  <c r="F18" i="12" l="1"/>
  <c r="I17" i="12"/>
  <c r="I38" i="12"/>
  <c r="F39" i="12"/>
  <c r="I39" i="12" l="1"/>
  <c r="F40" i="12"/>
  <c r="I18" i="12"/>
  <c r="F19" i="12"/>
  <c r="H19" i="12" l="1"/>
  <c r="I19" i="12" s="1"/>
  <c r="I21" i="12" s="1"/>
  <c r="H40" i="12"/>
  <c r="I40" i="12" s="1"/>
  <c r="I42" i="12" s="1"/>
</calcChain>
</file>

<file path=xl/sharedStrings.xml><?xml version="1.0" encoding="utf-8"?>
<sst xmlns="http://schemas.openxmlformats.org/spreadsheetml/2006/main" count="74" uniqueCount="57">
  <si>
    <t>EPS</t>
  </si>
  <si>
    <t>Inputs</t>
  </si>
  <si>
    <t>Year</t>
  </si>
  <si>
    <t>Dividend</t>
  </si>
  <si>
    <t>Div growth</t>
  </si>
  <si>
    <t>Investor CF</t>
  </si>
  <si>
    <t>k_equity</t>
  </si>
  <si>
    <t>A. Value Line data</t>
  </si>
  <si>
    <t>P/E</t>
  </si>
  <si>
    <t>Cap spending/shr</t>
  </si>
  <si>
    <t>LT Debt</t>
  </si>
  <si>
    <t>Shares</t>
  </si>
  <si>
    <t xml:space="preserve"> </t>
  </si>
  <si>
    <t>Working Capital</t>
  </si>
  <si>
    <t>Profits (after tax)</t>
  </si>
  <si>
    <t>Interest (after tax)</t>
  </si>
  <si>
    <t>Chg Working Cap</t>
  </si>
  <si>
    <t>Depreciation</t>
  </si>
  <si>
    <t>Cap Spending</t>
  </si>
  <si>
    <t>Terminal value</t>
  </si>
  <si>
    <t>FCFF</t>
  </si>
  <si>
    <t>FCFE</t>
  </si>
  <si>
    <t>assumes fixed debt ratio after 2011</t>
  </si>
  <si>
    <t>Current beta</t>
  </si>
  <si>
    <t>from Value Line</t>
  </si>
  <si>
    <t>Unlevered beta</t>
  </si>
  <si>
    <t>current beta /[1 + (1-tax)*debt/equity)]</t>
  </si>
  <si>
    <t>terminal growth</t>
  </si>
  <si>
    <t>tax_rate</t>
  </si>
  <si>
    <t>r_debt</t>
  </si>
  <si>
    <t>YTM in 2007 on A rated LT debt</t>
  </si>
  <si>
    <t>risk-free rate</t>
  </si>
  <si>
    <t>market risk prem</t>
  </si>
  <si>
    <t>MV equity</t>
  </si>
  <si>
    <t>Debt/Value</t>
  </si>
  <si>
    <t>Levered beta</t>
  </si>
  <si>
    <t>WACC</t>
  </si>
  <si>
    <t>PV factor for FCFF</t>
  </si>
  <si>
    <t>PV factor for FCFE</t>
  </si>
  <si>
    <t>Intrinsic val</t>
  </si>
  <si>
    <t>Equity val</t>
  </si>
  <si>
    <t>Intrin/share</t>
  </si>
  <si>
    <t>PV(FCFF)</t>
  </si>
  <si>
    <t>PV(FCFE)</t>
  </si>
  <si>
    <t>MCD Dividend Discount Model</t>
  </si>
  <si>
    <t>Terminal Value</t>
  </si>
  <si>
    <t>PV of CF=</t>
  </si>
  <si>
    <t>Beta</t>
  </si>
  <si>
    <t>Mkt Premium</t>
  </si>
  <si>
    <t>Risk Free Rate</t>
  </si>
  <si>
    <t xml:space="preserve">K </t>
  </si>
  <si>
    <t>Plowback</t>
  </si>
  <si>
    <t>ROE</t>
  </si>
  <si>
    <t>Terminal Growth</t>
  </si>
  <si>
    <t>D. Present Values</t>
  </si>
  <si>
    <t>C. Discount Rate</t>
  </si>
  <si>
    <t>B.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</si>
</sst>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.000_);_(* \(#,##0.000\);_(* &quot;-&quot;??_);_(@_)"/>
    <numFmt numFmtId="168" formatCode="_(* #,##0.0_);_(* \(#,##0.0\);_(* &quot;-&quot;??_);_(@_)"/>
    <numFmt numFmtId="169" formatCode="_(&quot;$&quot;* #,##0.0_);_(&quot;$&quot;* \(#,##0.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theme="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1">
    <xf numFmtId="0" fontId="0" fillId="0" borderId="0" xfId="0"/>
    <xf numFmtId="0" fontId="0" fillId="5" borderId="0" xfId="0" applyFill="1"/>
    <xf numFmtId="0" fontId="0" fillId="5" borderId="0" xfId="0" applyFill="1" applyProtection="1"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0" fontId="8" fillId="5" borderId="0" xfId="0" applyFont="1" applyFill="1" applyBorder="1" applyAlignment="1" applyProtection="1">
      <protection hidden="1"/>
    </xf>
    <xf numFmtId="0" fontId="0" fillId="5" borderId="0" xfId="0" applyFill="1" applyProtection="1">
      <protection locked="0" hidden="1"/>
    </xf>
    <xf numFmtId="0" fontId="8" fillId="5" borderId="0" xfId="0" applyFont="1" applyFill="1" applyBorder="1" applyAlignment="1" applyProtection="1">
      <alignment horizontal="center"/>
      <protection locked="0" hidden="1"/>
    </xf>
    <xf numFmtId="0" fontId="8" fillId="5" borderId="0" xfId="0" applyFont="1" applyFill="1" applyBorder="1" applyAlignment="1" applyProtection="1">
      <protection locked="0" hidden="1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/>
      <protection locked="0" hidden="1"/>
    </xf>
    <xf numFmtId="0" fontId="0" fillId="5" borderId="12" xfId="0" applyFill="1" applyBorder="1" applyAlignment="1" applyProtection="1">
      <alignment horizontal="center"/>
      <protection locked="0" hidden="1"/>
    </xf>
    <xf numFmtId="0" fontId="0" fillId="5" borderId="0" xfId="0" applyFill="1" applyBorder="1" applyProtection="1">
      <protection locked="0" hidden="1"/>
    </xf>
    <xf numFmtId="0" fontId="5" fillId="6" borderId="29" xfId="0" applyFont="1" applyFill="1" applyBorder="1" applyAlignment="1" applyProtection="1">
      <alignment horizontal="center"/>
      <protection locked="0" hidden="1"/>
    </xf>
    <xf numFmtId="2" fontId="6" fillId="5" borderId="21" xfId="0" applyNumberFormat="1" applyFont="1" applyFill="1" applyBorder="1" applyAlignment="1" applyProtection="1">
      <alignment horizontal="center"/>
      <protection locked="0" hidden="1"/>
    </xf>
    <xf numFmtId="165" fontId="6" fillId="5" borderId="21" xfId="0" applyNumberFormat="1" applyFont="1" applyFill="1" applyBorder="1" applyAlignment="1" applyProtection="1">
      <alignment horizontal="center"/>
      <protection locked="0" hidden="1"/>
    </xf>
    <xf numFmtId="2" fontId="6" fillId="5" borderId="13" xfId="0" applyNumberFormat="1" applyFont="1" applyFill="1" applyBorder="1" applyAlignment="1" applyProtection="1">
      <alignment horizontal="center"/>
      <protection locked="0" hidden="1"/>
    </xf>
    <xf numFmtId="0" fontId="0" fillId="5" borderId="14" xfId="0" applyFont="1" applyFill="1" applyBorder="1" applyProtection="1">
      <protection locked="0" hidden="1"/>
    </xf>
    <xf numFmtId="0" fontId="0" fillId="2" borderId="15" xfId="0" applyFill="1" applyBorder="1" applyAlignment="1" applyProtection="1">
      <alignment horizontal="center"/>
      <protection locked="0" hidden="1"/>
    </xf>
    <xf numFmtId="0" fontId="7" fillId="6" borderId="22" xfId="0" applyFont="1" applyFill="1" applyBorder="1" applyAlignment="1" applyProtection="1">
      <alignment horizontal="center"/>
      <protection locked="0" hidden="1"/>
    </xf>
    <xf numFmtId="2" fontId="0" fillId="2" borderId="1" xfId="0" applyNumberFormat="1" applyFill="1" applyBorder="1" applyAlignment="1" applyProtection="1">
      <alignment horizontal="center"/>
      <protection locked="0" hidden="1"/>
    </xf>
    <xf numFmtId="165" fontId="0" fillId="5" borderId="5" xfId="0" applyNumberFormat="1" applyFill="1" applyBorder="1" applyAlignment="1" applyProtection="1">
      <alignment horizontal="center"/>
      <protection locked="0" hidden="1"/>
    </xf>
    <xf numFmtId="2" fontId="0" fillId="5" borderId="5" xfId="0" applyNumberFormat="1" applyFill="1" applyBorder="1" applyAlignment="1" applyProtection="1">
      <alignment horizontal="center"/>
      <protection locked="0" hidden="1"/>
    </xf>
    <xf numFmtId="2" fontId="0" fillId="5" borderId="23" xfId="0" applyNumberFormat="1" applyFill="1" applyBorder="1" applyAlignment="1" applyProtection="1">
      <alignment horizontal="center"/>
      <protection locked="0" hidden="1"/>
    </xf>
    <xf numFmtId="0" fontId="0" fillId="5" borderId="16" xfId="0" applyFont="1" applyFill="1" applyBorder="1" applyProtection="1">
      <protection locked="0" hidden="1"/>
    </xf>
    <xf numFmtId="0" fontId="0" fillId="2" borderId="17" xfId="0" applyFill="1" applyBorder="1" applyAlignment="1" applyProtection="1">
      <alignment horizontal="center"/>
      <protection locked="0" hidden="1"/>
    </xf>
    <xf numFmtId="0" fontId="7" fillId="6" borderId="11" xfId="0" applyFont="1" applyFill="1" applyBorder="1" applyAlignment="1" applyProtection="1">
      <alignment horizontal="center"/>
      <protection locked="0" hidden="1"/>
    </xf>
    <xf numFmtId="165" fontId="0" fillId="5" borderId="1" xfId="0" applyNumberFormat="1" applyFill="1" applyBorder="1" applyAlignment="1" applyProtection="1">
      <alignment horizontal="center"/>
      <protection locked="0" hidden="1"/>
    </xf>
    <xf numFmtId="2" fontId="0" fillId="5" borderId="1" xfId="0" applyNumberFormat="1" applyFill="1" applyBorder="1" applyAlignment="1" applyProtection="1">
      <alignment horizontal="center"/>
      <protection locked="0" hidden="1"/>
    </xf>
    <xf numFmtId="2" fontId="0" fillId="5" borderId="24" xfId="0" applyNumberFormat="1" applyFill="1" applyBorder="1" applyAlignment="1" applyProtection="1">
      <alignment horizontal="center"/>
      <protection locked="0" hidden="1"/>
    </xf>
    <xf numFmtId="164" fontId="0" fillId="4" borderId="17" xfId="0" applyNumberFormat="1" applyFill="1" applyBorder="1" applyAlignment="1" applyProtection="1">
      <alignment horizontal="center"/>
      <protection locked="0" hidden="1"/>
    </xf>
    <xf numFmtId="164" fontId="0" fillId="2" borderId="1" xfId="0" applyNumberFormat="1" applyFill="1" applyBorder="1" applyAlignment="1" applyProtection="1">
      <alignment horizontal="center"/>
      <protection locked="0" hidden="1"/>
    </xf>
    <xf numFmtId="0" fontId="0" fillId="5" borderId="18" xfId="0" applyFont="1" applyFill="1" applyBorder="1" applyProtection="1">
      <protection locked="0" hidden="1"/>
    </xf>
    <xf numFmtId="165" fontId="0" fillId="4" borderId="19" xfId="0" applyNumberFormat="1" applyFill="1" applyBorder="1" applyAlignment="1" applyProtection="1">
      <alignment horizontal="center"/>
      <protection locked="0" hidden="1"/>
    </xf>
    <xf numFmtId="2" fontId="0" fillId="3" borderId="1" xfId="0" applyNumberFormat="1" applyFill="1" applyBorder="1" applyAlignment="1" applyProtection="1">
      <alignment horizontal="center"/>
      <protection locked="0" hidden="1"/>
    </xf>
    <xf numFmtId="164" fontId="0" fillId="3" borderId="1" xfId="0" applyNumberFormat="1" applyFill="1" applyBorder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0" fillId="5" borderId="0" xfId="0" applyFont="1" applyFill="1" applyBorder="1" applyAlignment="1" applyProtection="1">
      <alignment horizontal="center"/>
      <protection locked="0" hidden="1"/>
    </xf>
    <xf numFmtId="0" fontId="7" fillId="6" borderId="30" xfId="0" applyFont="1" applyFill="1" applyBorder="1" applyAlignment="1" applyProtection="1">
      <alignment horizontal="center"/>
      <protection locked="0" hidden="1"/>
    </xf>
    <xf numFmtId="2" fontId="0" fillId="4" borderId="1" xfId="0" applyNumberFormat="1" applyFill="1" applyBorder="1" applyAlignment="1" applyProtection="1">
      <alignment horizontal="center"/>
      <protection locked="0" hidden="1"/>
    </xf>
    <xf numFmtId="0" fontId="7" fillId="6" borderId="25" xfId="0" applyFont="1" applyFill="1" applyBorder="1" applyAlignment="1" applyProtection="1">
      <alignment horizontal="center"/>
      <protection locked="0" hidden="1"/>
    </xf>
    <xf numFmtId="2" fontId="0" fillId="5" borderId="6" xfId="0" applyNumberFormat="1" applyFill="1" applyBorder="1" applyAlignment="1" applyProtection="1">
      <alignment horizontal="center"/>
      <protection locked="0" hidden="1"/>
    </xf>
    <xf numFmtId="165" fontId="0" fillId="5" borderId="6" xfId="0" applyNumberFormat="1" applyFill="1" applyBorder="1" applyAlignment="1" applyProtection="1">
      <alignment horizontal="center"/>
      <protection locked="0" hidden="1"/>
    </xf>
    <xf numFmtId="2" fontId="6" fillId="5" borderId="6" xfId="0" applyNumberFormat="1" applyFont="1" applyFill="1" applyBorder="1" applyAlignment="1" applyProtection="1">
      <alignment horizontal="right"/>
      <protection locked="0" hidden="1"/>
    </xf>
    <xf numFmtId="2" fontId="0" fillId="4" borderId="26" xfId="0" applyNumberFormat="1" applyFill="1" applyBorder="1" applyAlignment="1" applyProtection="1">
      <alignment horizontal="center"/>
      <protection locked="0" hidden="1"/>
    </xf>
    <xf numFmtId="2" fontId="0" fillId="2" borderId="4" xfId="0" applyNumberFormat="1" applyFill="1" applyBorder="1" applyAlignment="1" applyProtection="1">
      <alignment horizontal="center"/>
      <protection locked="0" hidden="1"/>
    </xf>
    <xf numFmtId="2" fontId="0" fillId="5" borderId="27" xfId="0" applyNumberFormat="1" applyFill="1" applyBorder="1" applyAlignment="1" applyProtection="1">
      <alignment horizontal="center"/>
      <protection locked="0" hidden="1"/>
    </xf>
    <xf numFmtId="2" fontId="0" fillId="5" borderId="28" xfId="0" applyNumberFormat="1" applyFill="1" applyBorder="1" applyAlignment="1" applyProtection="1">
      <alignment horizontal="center"/>
      <protection locked="0" hidden="1"/>
    </xf>
    <xf numFmtId="164" fontId="0" fillId="2" borderId="9" xfId="0" applyNumberFormat="1" applyFill="1" applyBorder="1" applyAlignment="1" applyProtection="1">
      <alignment horizontal="center"/>
      <protection locked="0" hidden="1"/>
    </xf>
    <xf numFmtId="164" fontId="0" fillId="3" borderId="4" xfId="0" applyNumberFormat="1" applyFill="1" applyBorder="1" applyAlignment="1" applyProtection="1">
      <alignment horizontal="center"/>
      <protection locked="0" hidden="1"/>
    </xf>
    <xf numFmtId="2" fontId="0" fillId="4" borderId="9" xfId="0" applyNumberFormat="1" applyFill="1" applyBorder="1" applyAlignment="1" applyProtection="1">
      <alignment horizontal="center"/>
      <protection locked="0" hidden="1"/>
    </xf>
    <xf numFmtId="0" fontId="1" fillId="0" borderId="8" xfId="0" applyFont="1" applyBorder="1" applyProtection="1">
      <protection locked="0" hidden="1"/>
    </xf>
    <xf numFmtId="0" fontId="6" fillId="0" borderId="6" xfId="0" applyFont="1" applyBorder="1" applyAlignment="1" applyProtection="1">
      <alignment horizontal="right"/>
      <protection locked="0" hidden="1"/>
    </xf>
    <xf numFmtId="164" fontId="0" fillId="5" borderId="0" xfId="0" applyNumberFormat="1" applyFill="1" applyProtection="1">
      <protection locked="0" hidden="1"/>
    </xf>
    <xf numFmtId="0" fontId="1" fillId="7" borderId="3" xfId="0" applyFont="1" applyFill="1" applyBorder="1" applyProtection="1">
      <protection locked="0" hidden="1"/>
    </xf>
    <xf numFmtId="0" fontId="0" fillId="5" borderId="5" xfId="0" applyFill="1" applyBorder="1" applyProtection="1">
      <protection locked="0" hidden="1"/>
    </xf>
    <xf numFmtId="0" fontId="0" fillId="5" borderId="10" xfId="0" applyFill="1" applyBorder="1" applyProtection="1">
      <protection locked="0" hidden="1"/>
    </xf>
    <xf numFmtId="10" fontId="0" fillId="5" borderId="0" xfId="0" applyNumberFormat="1" applyFill="1" applyProtection="1">
      <protection locked="0" hidden="1"/>
    </xf>
    <xf numFmtId="0" fontId="6" fillId="0" borderId="5" xfId="0" applyFont="1" applyBorder="1" applyProtection="1">
      <protection locked="0" hidden="1"/>
    </xf>
    <xf numFmtId="0" fontId="0" fillId="0" borderId="1" xfId="0" applyBorder="1" applyAlignment="1" applyProtection="1">
      <alignment horizontal="right"/>
      <protection locked="0" hidden="1"/>
    </xf>
    <xf numFmtId="2" fontId="0" fillId="5" borderId="0" xfId="0" applyNumberFormat="1" applyFill="1" applyProtection="1">
      <protection locked="0" hidden="1"/>
    </xf>
    <xf numFmtId="0" fontId="6" fillId="0" borderId="4" xfId="0" applyFont="1" applyBorder="1" applyProtection="1">
      <protection locked="0" hidden="1"/>
    </xf>
    <xf numFmtId="0" fontId="0" fillId="5" borderId="1" xfId="0" applyFill="1" applyBorder="1" applyAlignment="1" applyProtection="1">
      <alignment horizontal="center"/>
      <protection locked="0" hidden="1"/>
    </xf>
    <xf numFmtId="168" fontId="0" fillId="0" borderId="7" xfId="1" applyNumberFormat="1" applyFont="1" applyBorder="1" applyAlignment="1" applyProtection="1">
      <alignment horizontal="center"/>
      <protection locked="0" hidden="1"/>
    </xf>
    <xf numFmtId="168" fontId="0" fillId="0" borderId="1" xfId="1" applyNumberFormat="1" applyFont="1" applyBorder="1" applyAlignment="1" applyProtection="1">
      <alignment horizontal="center"/>
      <protection locked="0" hidden="1"/>
    </xf>
    <xf numFmtId="1" fontId="6" fillId="0" borderId="4" xfId="0" applyNumberFormat="1" applyFont="1" applyBorder="1" applyProtection="1">
      <protection locked="0" hidden="1"/>
    </xf>
    <xf numFmtId="168" fontId="0" fillId="0" borderId="1" xfId="1" applyNumberFormat="1" applyFont="1" applyBorder="1" applyAlignment="1" applyProtection="1">
      <alignment horizontal="right"/>
      <protection locked="0" hidden="1"/>
    </xf>
    <xf numFmtId="1" fontId="0" fillId="5" borderId="0" xfId="0" applyNumberFormat="1" applyFill="1" applyProtection="1">
      <protection locked="0" hidden="1"/>
    </xf>
    <xf numFmtId="168" fontId="0" fillId="0" borderId="7" xfId="1" applyNumberFormat="1" applyFont="1" applyBorder="1" applyAlignment="1" applyProtection="1">
      <alignment horizontal="right"/>
      <protection locked="0" hidden="1"/>
    </xf>
    <xf numFmtId="9" fontId="0" fillId="5" borderId="0" xfId="0" applyNumberFormat="1" applyFill="1" applyProtection="1">
      <protection locked="0" hidden="1"/>
    </xf>
    <xf numFmtId="168" fontId="0" fillId="5" borderId="0" xfId="1" applyNumberFormat="1" applyFont="1" applyFill="1" applyProtection="1">
      <protection locked="0" hidden="1"/>
    </xf>
    <xf numFmtId="1" fontId="1" fillId="7" borderId="0" xfId="0" applyNumberFormat="1" applyFont="1" applyFill="1" applyProtection="1">
      <protection locked="0" hidden="1"/>
    </xf>
    <xf numFmtId="1" fontId="6" fillId="0" borderId="1" xfId="0" applyNumberFormat="1" applyFont="1" applyBorder="1" applyProtection="1">
      <protection locked="0" hidden="1"/>
    </xf>
    <xf numFmtId="1" fontId="0" fillId="5" borderId="0" xfId="0" quotePrefix="1" applyNumberFormat="1" applyFill="1" applyProtection="1">
      <protection locked="0" hidden="1"/>
    </xf>
    <xf numFmtId="1" fontId="6" fillId="5" borderId="1" xfId="0" applyNumberFormat="1" applyFont="1" applyFill="1" applyBorder="1" applyProtection="1">
      <protection locked="0" hidden="1"/>
    </xf>
    <xf numFmtId="168" fontId="0" fillId="5" borderId="1" xfId="1" applyNumberFormat="1" applyFont="1" applyFill="1" applyBorder="1" applyAlignment="1" applyProtection="1">
      <alignment horizontal="center"/>
      <protection locked="0" hidden="1"/>
    </xf>
    <xf numFmtId="1" fontId="2" fillId="5" borderId="0" xfId="0" applyNumberFormat="1" applyFont="1" applyFill="1" applyProtection="1">
      <protection locked="0" hidden="1"/>
    </xf>
    <xf numFmtId="0" fontId="6" fillId="0" borderId="1" xfId="0" applyFont="1" applyBorder="1" applyProtection="1">
      <protection locked="0" hidden="1"/>
    </xf>
    <xf numFmtId="169" fontId="0" fillId="4" borderId="1" xfId="2" applyNumberFormat="1" applyFont="1" applyFill="1" applyBorder="1" applyAlignment="1" applyProtection="1">
      <alignment horizontal="center"/>
      <protection locked="0" hidden="1"/>
    </xf>
    <xf numFmtId="166" fontId="0" fillId="5" borderId="0" xfId="0" applyNumberFormat="1" applyFill="1" applyProtection="1">
      <protection locked="0" hidden="1"/>
    </xf>
    <xf numFmtId="168" fontId="0" fillId="5" borderId="0" xfId="1" applyNumberFormat="1" applyFont="1" applyFill="1" applyAlignment="1" applyProtection="1">
      <alignment horizontal="center"/>
      <protection locked="0" hidden="1"/>
    </xf>
    <xf numFmtId="0" fontId="1" fillId="7" borderId="0" xfId="0" applyFont="1" applyFill="1" applyProtection="1">
      <protection locked="0" hidden="1"/>
    </xf>
    <xf numFmtId="168" fontId="0" fillId="5" borderId="0" xfId="1" applyNumberFormat="1" applyFont="1" applyFill="1" applyAlignment="1" applyProtection="1">
      <alignment horizontal="right"/>
      <protection locked="0" hidden="1"/>
    </xf>
    <xf numFmtId="0" fontId="1" fillId="0" borderId="1" xfId="0" applyFont="1" applyBorder="1" applyProtection="1">
      <protection locked="0" hidden="1"/>
    </xf>
    <xf numFmtId="9" fontId="0" fillId="0" borderId="1" xfId="1" applyNumberFormat="1" applyFont="1" applyBorder="1" applyAlignment="1" applyProtection="1">
      <alignment horizontal="right"/>
      <protection locked="0" hidden="1"/>
    </xf>
    <xf numFmtId="167" fontId="0" fillId="0" borderId="1" xfId="1" applyNumberFormat="1" applyFont="1" applyBorder="1" applyAlignment="1" applyProtection="1">
      <alignment horizontal="right"/>
      <protection locked="0" hidden="1"/>
    </xf>
    <xf numFmtId="10" fontId="0" fillId="0" borderId="1" xfId="1" applyNumberFormat="1" applyFont="1" applyBorder="1" applyAlignment="1" applyProtection="1">
      <alignment horizontal="right"/>
      <protection locked="0" hidden="1"/>
    </xf>
    <xf numFmtId="169" fontId="0" fillId="0" borderId="1" xfId="2" applyNumberFormat="1" applyFont="1" applyBorder="1" applyAlignment="1" applyProtection="1">
      <alignment horizontal="center"/>
      <protection locked="0" hidden="1"/>
    </xf>
    <xf numFmtId="165" fontId="0" fillId="0" borderId="1" xfId="0" applyNumberFormat="1" applyBorder="1" applyAlignment="1" applyProtection="1">
      <alignment horizontal="center"/>
      <protection locked="0" hidden="1"/>
    </xf>
    <xf numFmtId="165" fontId="0" fillId="5" borderId="0" xfId="0" applyNumberFormat="1" applyFill="1" applyProtection="1">
      <protection locked="0" hidden="1"/>
    </xf>
    <xf numFmtId="165" fontId="6" fillId="0" borderId="1" xfId="0" applyNumberFormat="1" applyFont="1" applyBorder="1" applyProtection="1">
      <protection locked="0" hidden="1"/>
    </xf>
    <xf numFmtId="165" fontId="0" fillId="5" borderId="0" xfId="0" applyNumberFormat="1" applyFill="1" applyAlignment="1" applyProtection="1">
      <alignment horizontal="center"/>
      <protection locked="0" hidden="1"/>
    </xf>
    <xf numFmtId="0" fontId="0" fillId="5" borderId="0" xfId="0" applyFill="1" applyAlignment="1" applyProtection="1">
      <alignment horizontal="center"/>
      <protection locked="0" hidden="1"/>
    </xf>
    <xf numFmtId="0" fontId="3" fillId="5" borderId="0" xfId="0" applyFont="1" applyFill="1" applyAlignment="1" applyProtection="1">
      <alignment horizontal="center"/>
      <protection locked="0" hidden="1"/>
    </xf>
    <xf numFmtId="164" fontId="3" fillId="5" borderId="0" xfId="0" applyNumberFormat="1" applyFont="1" applyFill="1" applyAlignment="1" applyProtection="1">
      <alignment horizontal="center"/>
      <protection locked="0" hidden="1"/>
    </xf>
    <xf numFmtId="164" fontId="3" fillId="5" borderId="0" xfId="0" applyNumberFormat="1" applyFont="1" applyFill="1" applyAlignment="1" applyProtection="1">
      <alignment horizontal="left"/>
      <protection locked="0" hidden="1"/>
    </xf>
    <xf numFmtId="2" fontId="6" fillId="5" borderId="4" xfId="0" applyNumberFormat="1" applyFont="1" applyFill="1" applyBorder="1" applyProtection="1">
      <protection locked="0" hidden="1"/>
    </xf>
    <xf numFmtId="168" fontId="0" fillId="5" borderId="7" xfId="1" applyNumberFormat="1" applyFont="1" applyFill="1" applyBorder="1" applyAlignment="1" applyProtection="1">
      <alignment horizontal="center"/>
      <protection locked="0" hidden="1"/>
    </xf>
    <xf numFmtId="168" fontId="0" fillId="5" borderId="4" xfId="1" applyNumberFormat="1" applyFont="1" applyFill="1" applyBorder="1" applyAlignment="1" applyProtection="1">
      <alignment horizontal="right"/>
      <protection locked="0" hidden="1"/>
    </xf>
    <xf numFmtId="1" fontId="0" fillId="5" borderId="2" xfId="0" applyNumberFormat="1" applyFill="1" applyBorder="1" applyProtection="1">
      <protection locked="0" hidden="1"/>
    </xf>
    <xf numFmtId="44" fontId="0" fillId="4" borderId="1" xfId="2" applyFont="1" applyFill="1" applyBorder="1" applyAlignment="1" applyProtection="1">
      <alignment horizontal="center"/>
      <protection locked="0"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152400</xdr:rowOff>
    </xdr:from>
    <xdr:to>
      <xdr:col>2</xdr:col>
      <xdr:colOff>257175</xdr:colOff>
      <xdr:row>14</xdr:row>
      <xdr:rowOff>57150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3FC1E85-9247-42A3-926F-8FB41BD7046B}"/>
            </a:ext>
          </a:extLst>
        </xdr:cNvPr>
        <xdr:cNvCxnSpPr/>
      </xdr:nvCxnSpPr>
      <xdr:spPr>
        <a:xfrm>
          <a:off x="1238250" y="1381125"/>
          <a:ext cx="89535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29</xdr:row>
      <xdr:rowOff>142875</xdr:rowOff>
    </xdr:from>
    <xdr:to>
      <xdr:col>2</xdr:col>
      <xdr:colOff>85725</xdr:colOff>
      <xdr:row>34</xdr:row>
      <xdr:rowOff>19050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F6938D8-E2BA-4F73-9C6A-4DD72E34A62C}"/>
            </a:ext>
          </a:extLst>
        </xdr:cNvPr>
        <xdr:cNvCxnSpPr/>
      </xdr:nvCxnSpPr>
      <xdr:spPr>
        <a:xfrm>
          <a:off x="1228725" y="5638800"/>
          <a:ext cx="7334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7"/>
  <sheetViews>
    <sheetView tabSelected="1" workbookViewId="0">
      <selection activeCell="B1" sqref="B1:I1"/>
    </sheetView>
  </sheetViews>
  <sheetFormatPr defaultRowHeight="14.5" x14ac:dyDescent="0.35"/>
  <cols>
    <col min="1" max="1" width="8.7265625" style="9"/>
    <col min="2" max="2" width="19" style="9" bestFit="1" customWidth="1"/>
    <col min="3" max="3" width="8.7265625" style="9"/>
    <col min="4" max="4" width="3.453125" style="9" customWidth="1"/>
    <col min="5" max="5" width="7.81640625" style="9" customWidth="1"/>
    <col min="6" max="6" width="12.453125" style="9" customWidth="1"/>
    <col min="7" max="7" width="12" style="9" customWidth="1"/>
    <col min="8" max="8" width="14.26953125" style="9" customWidth="1"/>
    <col min="9" max="9" width="11" style="9" customWidth="1"/>
    <col min="10" max="16384" width="8.7265625" style="9"/>
  </cols>
  <sheetData>
    <row r="1" spans="1:28" customFormat="1" ht="18.5" x14ac:dyDescent="0.45">
      <c r="A1" s="2"/>
      <c r="B1" s="3" t="s">
        <v>44</v>
      </c>
      <c r="C1" s="3"/>
      <c r="D1" s="3"/>
      <c r="E1" s="3"/>
      <c r="F1" s="3"/>
      <c r="G1" s="3"/>
      <c r="H1" s="3"/>
      <c r="I1" s="3"/>
      <c r="J1" s="4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9" thickBot="1" x14ac:dyDescent="0.5">
      <c r="A2" s="5"/>
      <c r="B2" s="6"/>
      <c r="C2" s="6"/>
      <c r="D2" s="6"/>
      <c r="E2" s="6"/>
      <c r="F2" s="6"/>
      <c r="G2" s="6"/>
      <c r="H2" s="6"/>
      <c r="I2" s="6"/>
      <c r="J2" s="7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5.5" thickTop="1" thickBot="1" x14ac:dyDescent="0.4">
      <c r="A3" s="5"/>
      <c r="B3" s="10" t="s">
        <v>1</v>
      </c>
      <c r="C3" s="11"/>
      <c r="D3" s="12"/>
      <c r="E3" s="13" t="s">
        <v>2</v>
      </c>
      <c r="F3" s="14" t="s">
        <v>3</v>
      </c>
      <c r="G3" s="15" t="s">
        <v>4</v>
      </c>
      <c r="H3" s="14" t="s">
        <v>45</v>
      </c>
      <c r="I3" s="16" t="s">
        <v>5</v>
      </c>
      <c r="J3" s="12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5" thickTop="1" x14ac:dyDescent="0.35">
      <c r="A4" s="5"/>
      <c r="B4" s="17" t="s">
        <v>47</v>
      </c>
      <c r="C4" s="18">
        <v>0.8</v>
      </c>
      <c r="D4" s="12"/>
      <c r="E4" s="19">
        <v>2018</v>
      </c>
      <c r="F4" s="20">
        <v>4.0999999999999996</v>
      </c>
      <c r="G4" s="21"/>
      <c r="H4" s="22"/>
      <c r="I4" s="23">
        <f>F4+H4</f>
        <v>4.0999999999999996</v>
      </c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35">
      <c r="A5" s="5"/>
      <c r="B5" s="24" t="s">
        <v>48</v>
      </c>
      <c r="C5" s="25">
        <v>0.38500000000000001</v>
      </c>
      <c r="D5" s="12"/>
      <c r="E5" s="26">
        <f>E4+1</f>
        <v>2019</v>
      </c>
      <c r="F5" s="20">
        <v>4.38</v>
      </c>
      <c r="G5" s="27"/>
      <c r="H5" s="28"/>
      <c r="I5" s="29">
        <f t="shared" ref="I5:I18" si="0">F5+H5</f>
        <v>4.38</v>
      </c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35">
      <c r="A6" s="5"/>
      <c r="B6" s="24" t="s">
        <v>49</v>
      </c>
      <c r="C6" s="25">
        <v>2.8899999999999999E-2</v>
      </c>
      <c r="D6" s="12"/>
      <c r="E6" s="26">
        <f t="shared" ref="E6:E19" si="1">E5+1</f>
        <v>2020</v>
      </c>
      <c r="F6" s="20">
        <v>4.8</v>
      </c>
      <c r="G6" s="27"/>
      <c r="H6" s="28"/>
      <c r="I6" s="29">
        <f t="shared" si="0"/>
        <v>4.8</v>
      </c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35">
      <c r="A7" s="5"/>
      <c r="B7" s="24" t="s">
        <v>50</v>
      </c>
      <c r="C7" s="30">
        <f>C6+C4*C5</f>
        <v>0.33690000000000003</v>
      </c>
      <c r="D7" s="12"/>
      <c r="E7" s="26">
        <f t="shared" si="1"/>
        <v>2021</v>
      </c>
      <c r="F7" s="20">
        <v>5.0999999999999996</v>
      </c>
      <c r="G7" s="27"/>
      <c r="H7" s="28"/>
      <c r="I7" s="29">
        <f t="shared" si="0"/>
        <v>5.0999999999999996</v>
      </c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35">
      <c r="A8" s="5"/>
      <c r="B8" s="24" t="s">
        <v>51</v>
      </c>
      <c r="C8" s="25">
        <f>1-C15</f>
        <v>-2.4999999999999911E-2</v>
      </c>
      <c r="D8" s="12"/>
      <c r="E8" s="26">
        <f t="shared" si="1"/>
        <v>2022</v>
      </c>
      <c r="F8" s="20">
        <v>5.2</v>
      </c>
      <c r="G8" s="27"/>
      <c r="H8" s="28"/>
      <c r="I8" s="29">
        <f t="shared" si="0"/>
        <v>5.2</v>
      </c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35">
      <c r="A9" s="5"/>
      <c r="B9" s="24" t="s">
        <v>52</v>
      </c>
      <c r="C9" s="25">
        <v>0</v>
      </c>
      <c r="D9" s="12"/>
      <c r="E9" s="26">
        <f t="shared" si="1"/>
        <v>2023</v>
      </c>
      <c r="F9" s="20">
        <f>F7*(1+G9)</f>
        <v>5.4122150900942607</v>
      </c>
      <c r="G9" s="31">
        <f>(F8/F4)^(1/4) -1</f>
        <v>6.1218645116521753E-2</v>
      </c>
      <c r="H9" s="28"/>
      <c r="I9" s="29">
        <f t="shared" si="0"/>
        <v>5.4122150900942607</v>
      </c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5" thickBot="1" x14ac:dyDescent="0.4">
      <c r="A10" s="5"/>
      <c r="B10" s="32" t="s">
        <v>53</v>
      </c>
      <c r="C10" s="33">
        <f>C8*C9</f>
        <v>0</v>
      </c>
      <c r="D10" s="12"/>
      <c r="E10" s="26">
        <f t="shared" si="1"/>
        <v>2024</v>
      </c>
      <c r="F10" s="34">
        <f t="shared" ref="F10:F19" si="2">F9*(1+G10)</f>
        <v>5.7104107174995491</v>
      </c>
      <c r="G10" s="35">
        <f>G9 - ($G$9-$G$19)/10</f>
        <v>5.5096780604869576E-2</v>
      </c>
      <c r="H10" s="28"/>
      <c r="I10" s="29">
        <f t="shared" si="0"/>
        <v>5.7104107174995491</v>
      </c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5" thickTop="1" x14ac:dyDescent="0.35">
      <c r="A11" s="5"/>
      <c r="B11" s="5"/>
      <c r="C11" s="5"/>
      <c r="D11" s="12"/>
      <c r="E11" s="26">
        <f t="shared" si="1"/>
        <v>2025</v>
      </c>
      <c r="F11" s="34">
        <f t="shared" si="2"/>
        <v>5.990077603246899</v>
      </c>
      <c r="G11" s="35">
        <f t="shared" ref="G11:G18" si="3">G10 - ($G$9-$G$19)/10</f>
        <v>4.8974916093217399E-2</v>
      </c>
      <c r="H11" s="28"/>
      <c r="I11" s="29">
        <f t="shared" si="0"/>
        <v>5.990077603246899</v>
      </c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35">
      <c r="A12" s="5"/>
      <c r="B12" s="12"/>
      <c r="C12" s="12"/>
      <c r="D12" s="12"/>
      <c r="E12" s="26">
        <f t="shared" si="1"/>
        <v>2026</v>
      </c>
      <c r="F12" s="34">
        <f t="shared" si="2"/>
        <v>6.2467707077564176</v>
      </c>
      <c r="G12" s="35">
        <f t="shared" si="3"/>
        <v>4.2853051581565223E-2</v>
      </c>
      <c r="H12" s="28"/>
      <c r="I12" s="29">
        <f t="shared" si="0"/>
        <v>6.2467707077564176</v>
      </c>
      <c r="J12" s="5"/>
      <c r="K12" s="36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35">
      <c r="A13" s="5"/>
      <c r="B13" s="12"/>
      <c r="C13" s="12"/>
      <c r="D13" s="12"/>
      <c r="E13" s="26">
        <f t="shared" si="1"/>
        <v>2027</v>
      </c>
      <c r="F13" s="34">
        <f t="shared" si="2"/>
        <v>6.4762220112058708</v>
      </c>
      <c r="G13" s="35">
        <f t="shared" si="3"/>
        <v>3.6731187069913046E-2</v>
      </c>
      <c r="H13" s="28"/>
      <c r="I13" s="29">
        <f t="shared" si="0"/>
        <v>6.4762220112058708</v>
      </c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35">
      <c r="A14" s="5"/>
      <c r="B14" s="37"/>
      <c r="C14" s="12"/>
      <c r="D14" s="12"/>
      <c r="E14" s="26">
        <f t="shared" si="1"/>
        <v>2028</v>
      </c>
      <c r="F14" s="34">
        <f t="shared" si="2"/>
        <v>6.6744547797057807</v>
      </c>
      <c r="G14" s="35">
        <f t="shared" si="3"/>
        <v>3.0609322558260869E-2</v>
      </c>
      <c r="H14" s="28"/>
      <c r="I14" s="29">
        <f t="shared" si="0"/>
        <v>6.6744547797057807</v>
      </c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35">
      <c r="A15" s="5"/>
      <c r="B15" s="12"/>
      <c r="C15" s="5">
        <f>4.1/4</f>
        <v>1.0249999999999999</v>
      </c>
      <c r="D15" s="12"/>
      <c r="E15" s="26">
        <f t="shared" si="1"/>
        <v>2029</v>
      </c>
      <c r="F15" s="34">
        <f t="shared" si="2"/>
        <v>6.8378952111078135</v>
      </c>
      <c r="G15" s="35">
        <f t="shared" si="3"/>
        <v>2.4487458046608693E-2</v>
      </c>
      <c r="H15" s="28"/>
      <c r="I15" s="29">
        <f t="shared" si="0"/>
        <v>6.8378952111078135</v>
      </c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5">
      <c r="A16" s="5"/>
      <c r="B16" s="12"/>
      <c r="C16" s="12"/>
      <c r="D16" s="12"/>
      <c r="E16" s="26">
        <f t="shared" si="1"/>
        <v>2030</v>
      </c>
      <c r="F16" s="34">
        <f t="shared" si="2"/>
        <v>6.9634772151896449</v>
      </c>
      <c r="G16" s="35">
        <f t="shared" si="3"/>
        <v>1.8365593534956516E-2</v>
      </c>
      <c r="H16" s="28"/>
      <c r="I16" s="29">
        <f t="shared" si="0"/>
        <v>6.9634772151896449</v>
      </c>
      <c r="J16" s="5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5">
      <c r="A17" s="5"/>
      <c r="B17" s="12"/>
      <c r="C17" s="12"/>
      <c r="D17" s="12"/>
      <c r="E17" s="26">
        <f t="shared" si="1"/>
        <v>2031</v>
      </c>
      <c r="F17" s="34">
        <f t="shared" si="2"/>
        <v>7.0487361432723814</v>
      </c>
      <c r="G17" s="35">
        <f t="shared" si="3"/>
        <v>1.2243729023304341E-2</v>
      </c>
      <c r="H17" s="28"/>
      <c r="I17" s="29">
        <f t="shared" si="0"/>
        <v>7.0487361432723814</v>
      </c>
      <c r="J17" s="5"/>
      <c r="K17" s="5"/>
      <c r="L17" s="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x14ac:dyDescent="0.35">
      <c r="A18" s="5"/>
      <c r="B18" s="12"/>
      <c r="C18" s="12"/>
      <c r="D18" s="12"/>
      <c r="E18" s="26">
        <f t="shared" si="1"/>
        <v>2032</v>
      </c>
      <c r="F18" s="34">
        <f t="shared" si="2"/>
        <v>7.0918875509198802</v>
      </c>
      <c r="G18" s="35">
        <f t="shared" si="3"/>
        <v>6.1218645116521662E-3</v>
      </c>
      <c r="H18" s="28"/>
      <c r="I18" s="29">
        <f t="shared" si="0"/>
        <v>7.0918875509198802</v>
      </c>
      <c r="J18" s="5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x14ac:dyDescent="0.35">
      <c r="A19" s="5"/>
      <c r="B19" s="12"/>
      <c r="C19" s="12"/>
      <c r="D19" s="12"/>
      <c r="E19" s="38">
        <f t="shared" si="1"/>
        <v>2033</v>
      </c>
      <c r="F19" s="34">
        <f t="shared" si="2"/>
        <v>7.0918875509198802</v>
      </c>
      <c r="G19" s="35">
        <f>term_g</f>
        <v>0</v>
      </c>
      <c r="H19" s="39">
        <f>F19*(1+G19)/(k_eq - term_g)</f>
        <v>21.05042312531873</v>
      </c>
      <c r="I19" s="29">
        <f>F19+H19</f>
        <v>28.142310676238608</v>
      </c>
      <c r="J19" s="5"/>
      <c r="K19" s="5"/>
      <c r="L19" s="5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x14ac:dyDescent="0.35">
      <c r="A20" s="5"/>
      <c r="B20" s="12"/>
      <c r="C20" s="12"/>
      <c r="D20" s="12"/>
      <c r="E20" s="19"/>
      <c r="F20" s="28"/>
      <c r="G20" s="27"/>
      <c r="H20" s="28"/>
      <c r="I20" s="29"/>
      <c r="J20" s="5"/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" thickBot="1" x14ac:dyDescent="0.4">
      <c r="A21" s="5"/>
      <c r="B21" s="12"/>
      <c r="C21" s="12"/>
      <c r="D21" s="12"/>
      <c r="E21" s="40"/>
      <c r="F21" s="41"/>
      <c r="G21" s="42"/>
      <c r="H21" s="43" t="s">
        <v>46</v>
      </c>
      <c r="I21" s="44">
        <f>NPV(k_eq,I4:I19)</f>
        <v>14.56201303366973</v>
      </c>
      <c r="J21" s="5"/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" thickTop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5" thickBot="1" x14ac:dyDescent="0.4">
      <c r="A24" s="5"/>
      <c r="B24" s="36"/>
      <c r="C24" s="5"/>
      <c r="D24" s="5"/>
      <c r="E24" s="5"/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.5" thickTop="1" thickBot="1" x14ac:dyDescent="0.4">
      <c r="A25" s="5"/>
      <c r="B25" s="10" t="s">
        <v>1</v>
      </c>
      <c r="C25" s="11"/>
      <c r="D25" s="12"/>
      <c r="E25" s="13" t="s">
        <v>2</v>
      </c>
      <c r="F25" s="14" t="s">
        <v>3</v>
      </c>
      <c r="G25" s="15" t="s">
        <v>4</v>
      </c>
      <c r="H25" s="14" t="s">
        <v>45</v>
      </c>
      <c r="I25" s="16" t="s">
        <v>5</v>
      </c>
      <c r="J25" s="12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5" thickTop="1" x14ac:dyDescent="0.35">
      <c r="A26" s="5"/>
      <c r="B26" s="17" t="s">
        <v>47</v>
      </c>
      <c r="C26" s="18">
        <v>0.8</v>
      </c>
      <c r="D26" s="12"/>
      <c r="E26" s="19">
        <v>2018</v>
      </c>
      <c r="F26" s="45">
        <v>4.0999999999999996</v>
      </c>
      <c r="G26" s="21"/>
      <c r="H26" s="22"/>
      <c r="I26" s="46">
        <f>F26+H26</f>
        <v>4.0999999999999996</v>
      </c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35">
      <c r="A27" s="5"/>
      <c r="B27" s="24" t="s">
        <v>48</v>
      </c>
      <c r="C27" s="25">
        <v>0.38500000000000001</v>
      </c>
      <c r="D27" s="12"/>
      <c r="E27" s="26">
        <f>E26+1</f>
        <v>2019</v>
      </c>
      <c r="F27" s="45">
        <v>4.46</v>
      </c>
      <c r="G27" s="27"/>
      <c r="H27" s="28"/>
      <c r="I27" s="47">
        <f t="shared" ref="I27:I39" si="4">F27+H27</f>
        <v>4.46</v>
      </c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35">
      <c r="A28" s="5"/>
      <c r="B28" s="24" t="s">
        <v>49</v>
      </c>
      <c r="C28" s="25">
        <v>2.8899999999999999E-2</v>
      </c>
      <c r="D28" s="12"/>
      <c r="E28" s="26">
        <f t="shared" ref="E28:E40" si="5">E27+1</f>
        <v>2020</v>
      </c>
      <c r="F28" s="45">
        <v>4.95</v>
      </c>
      <c r="G28" s="27"/>
      <c r="H28" s="28"/>
      <c r="I28" s="47">
        <f t="shared" si="4"/>
        <v>4.95</v>
      </c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5">
      <c r="A29" s="5"/>
      <c r="B29" s="24" t="s">
        <v>50</v>
      </c>
      <c r="C29" s="30">
        <f>C28+C26*C27</f>
        <v>0.33690000000000003</v>
      </c>
      <c r="D29" s="12"/>
      <c r="E29" s="26">
        <f t="shared" si="5"/>
        <v>2021</v>
      </c>
      <c r="F29" s="45">
        <v>5.2</v>
      </c>
      <c r="G29" s="27"/>
      <c r="H29" s="28"/>
      <c r="I29" s="47">
        <f t="shared" si="4"/>
        <v>5.2</v>
      </c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35">
      <c r="A30" s="5"/>
      <c r="B30" s="24" t="s">
        <v>51</v>
      </c>
      <c r="C30" s="25">
        <f>1-C35</f>
        <v>-0.36666666666666647</v>
      </c>
      <c r="D30" s="12"/>
      <c r="E30" s="26">
        <f t="shared" si="5"/>
        <v>2022</v>
      </c>
      <c r="F30" s="20">
        <f t="shared" ref="F30:F40" si="6">F29*(1+G30)</f>
        <v>5.6287225143899029</v>
      </c>
      <c r="G30" s="48">
        <f>(F29/F26)^(1/3) -1</f>
        <v>8.2446637382673549E-2</v>
      </c>
      <c r="H30" s="28"/>
      <c r="I30" s="29">
        <f t="shared" si="4"/>
        <v>5.6287225143899029</v>
      </c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35">
      <c r="A31" s="5"/>
      <c r="B31" s="24" t="s">
        <v>52</v>
      </c>
      <c r="C31" s="25">
        <v>0</v>
      </c>
      <c r="D31" s="12"/>
      <c r="E31" s="26">
        <f t="shared" si="5"/>
        <v>2023</v>
      </c>
      <c r="F31" s="34">
        <f t="shared" si="6"/>
        <v>6.0583334818547172</v>
      </c>
      <c r="G31" s="49">
        <f>G30 - ($G$9-$G$19)/10</f>
        <v>7.6324772871021379E-2</v>
      </c>
      <c r="H31" s="28"/>
      <c r="I31" s="29">
        <f t="shared" si="4"/>
        <v>6.0583334818547172</v>
      </c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" thickBot="1" x14ac:dyDescent="0.4">
      <c r="A32" s="5"/>
      <c r="B32" s="32" t="s">
        <v>53</v>
      </c>
      <c r="C32" s="33">
        <f>C30*C31</f>
        <v>0</v>
      </c>
      <c r="D32" s="12"/>
      <c r="E32" s="26">
        <f t="shared" si="5"/>
        <v>2024</v>
      </c>
      <c r="F32" s="34">
        <f t="shared" si="6"/>
        <v>6.4836461120918614</v>
      </c>
      <c r="G32" s="49">
        <f t="shared" ref="G32:G39" si="7">G31 - ($G$9-$G$19)/10</f>
        <v>7.0202908359369209E-2</v>
      </c>
      <c r="H32" s="28"/>
      <c r="I32" s="29">
        <f t="shared" si="4"/>
        <v>6.4836461120918614</v>
      </c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5" thickTop="1" x14ac:dyDescent="0.35">
      <c r="A33" s="5"/>
      <c r="B33" s="12"/>
      <c r="C33" s="12"/>
      <c r="D33" s="12"/>
      <c r="E33" s="26">
        <f t="shared" si="5"/>
        <v>2025</v>
      </c>
      <c r="F33" s="34">
        <f t="shared" si="6"/>
        <v>6.8991249228939004</v>
      </c>
      <c r="G33" s="49">
        <f t="shared" si="7"/>
        <v>6.408104384771704E-2</v>
      </c>
      <c r="H33" s="28"/>
      <c r="I33" s="29">
        <f t="shared" si="4"/>
        <v>6.8991249228939004</v>
      </c>
      <c r="J33" s="5"/>
      <c r="K33" s="36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35">
      <c r="A34" s="5"/>
      <c r="B34" s="12"/>
      <c r="C34" s="12"/>
      <c r="D34" s="12"/>
      <c r="E34" s="26">
        <f t="shared" si="5"/>
        <v>2026</v>
      </c>
      <c r="F34" s="34">
        <f t="shared" si="6"/>
        <v>7.2989925415618222</v>
      </c>
      <c r="G34" s="49">
        <f t="shared" si="7"/>
        <v>5.7959179336064863E-2</v>
      </c>
      <c r="H34" s="28"/>
      <c r="I34" s="29">
        <f t="shared" si="4"/>
        <v>7.2989925415618222</v>
      </c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35">
      <c r="A35" s="5"/>
      <c r="B35" s="12"/>
      <c r="C35" s="5">
        <f>4.1/3</f>
        <v>1.3666666666666665</v>
      </c>
      <c r="D35" s="12"/>
      <c r="E35" s="26">
        <f t="shared" si="5"/>
        <v>2027</v>
      </c>
      <c r="F35" s="34">
        <f t="shared" si="6"/>
        <v>7.6773527158398025</v>
      </c>
      <c r="G35" s="49">
        <f t="shared" si="7"/>
        <v>5.1837314824412686E-2</v>
      </c>
      <c r="H35" s="28"/>
      <c r="I35" s="29">
        <f t="shared" si="4"/>
        <v>7.6773527158398025</v>
      </c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35">
      <c r="A36" s="5"/>
      <c r="B36" s="12"/>
      <c r="C36" s="12"/>
      <c r="D36" s="12"/>
      <c r="E36" s="26">
        <f t="shared" si="5"/>
        <v>2028</v>
      </c>
      <c r="F36" s="34">
        <f t="shared" si="6"/>
        <v>8.0283263524543145</v>
      </c>
      <c r="G36" s="49">
        <f t="shared" si="7"/>
        <v>4.571545031276051E-2</v>
      </c>
      <c r="H36" s="28"/>
      <c r="I36" s="29">
        <f t="shared" si="4"/>
        <v>8.0283263524543145</v>
      </c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35">
      <c r="A37" s="5"/>
      <c r="B37" s="5"/>
      <c r="C37" s="12"/>
      <c r="D37" s="12"/>
      <c r="E37" s="26">
        <f t="shared" si="5"/>
        <v>2029</v>
      </c>
      <c r="F37" s="34">
        <f t="shared" si="6"/>
        <v>8.3461965807295133</v>
      </c>
      <c r="G37" s="49">
        <f t="shared" si="7"/>
        <v>3.9593585801108333E-2</v>
      </c>
      <c r="H37" s="28"/>
      <c r="I37" s="29">
        <f t="shared" si="4"/>
        <v>8.3461965807295133</v>
      </c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35">
      <c r="A38" s="5"/>
      <c r="B38" s="12"/>
      <c r="C38" s="12"/>
      <c r="D38" s="12"/>
      <c r="E38" s="26">
        <f t="shared" si="5"/>
        <v>2030</v>
      </c>
      <c r="F38" s="34">
        <f t="shared" si="6"/>
        <v>8.6255581465067035</v>
      </c>
      <c r="G38" s="49">
        <f t="shared" si="7"/>
        <v>3.3471721289456156E-2</v>
      </c>
      <c r="H38" s="28"/>
      <c r="I38" s="29">
        <f t="shared" si="4"/>
        <v>8.6255581465067035</v>
      </c>
      <c r="J38" s="5"/>
      <c r="K38" s="5"/>
      <c r="L38" s="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35">
      <c r="A39" s="5"/>
      <c r="B39" s="12"/>
      <c r="C39" s="12"/>
      <c r="D39" s="12"/>
      <c r="E39" s="26">
        <f t="shared" si="5"/>
        <v>2031</v>
      </c>
      <c r="F39" s="34">
        <f t="shared" si="6"/>
        <v>8.8614659264422819</v>
      </c>
      <c r="G39" s="49">
        <f t="shared" si="7"/>
        <v>2.734985677780398E-2</v>
      </c>
      <c r="H39" s="28"/>
      <c r="I39" s="29">
        <f t="shared" si="4"/>
        <v>8.8614659264422819</v>
      </c>
      <c r="J39" s="5"/>
      <c r="K39" s="5"/>
      <c r="L39" s="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35">
      <c r="A40" s="5"/>
      <c r="B40" s="12"/>
      <c r="C40" s="12"/>
      <c r="D40" s="12"/>
      <c r="E40" s="38">
        <f t="shared" si="5"/>
        <v>2032</v>
      </c>
      <c r="F40" s="34">
        <f t="shared" si="6"/>
        <v>8.8614659264422819</v>
      </c>
      <c r="G40" s="35">
        <f>term_g</f>
        <v>0</v>
      </c>
      <c r="H40" s="50">
        <f>F40*(1+G40)/(k_eq - term_g)</f>
        <v>26.302956148537493</v>
      </c>
      <c r="I40" s="29">
        <f>F40+H40</f>
        <v>35.164422074979775</v>
      </c>
      <c r="J40" s="5"/>
      <c r="K40" s="5"/>
      <c r="L40" s="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35">
      <c r="A41" s="5"/>
      <c r="B41" s="12"/>
      <c r="C41" s="12"/>
      <c r="D41" s="12"/>
      <c r="E41" s="19"/>
      <c r="F41" s="28"/>
      <c r="G41" s="27"/>
      <c r="H41" s="28"/>
      <c r="I41" s="29"/>
      <c r="J41" s="5"/>
      <c r="K41" s="5"/>
      <c r="L41" s="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5" thickBot="1" x14ac:dyDescent="0.4">
      <c r="A42" s="5"/>
      <c r="B42" s="12"/>
      <c r="C42" s="12"/>
      <c r="D42" s="12"/>
      <c r="E42" s="26"/>
      <c r="F42" s="41"/>
      <c r="G42" s="42"/>
      <c r="H42" s="43" t="s">
        <v>46</v>
      </c>
      <c r="I42" s="44">
        <f>NPV(k_eq,I26:I40)</f>
        <v>15.508980619382811</v>
      </c>
      <c r="J42" s="5"/>
      <c r="K42" s="5"/>
      <c r="L42" s="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5" thickTop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</sheetData>
  <sheetProtection algorithmName="SHA-512" hashValue="DHnR/EEAshrFqDOZ1PfJNkRxOpHWFWku3OQvO4zMZOe/e4cZKZ30RSaGD3MY8d6vkZAsPfdeSiT8gmrWg9YKyg==" saltValue="KxbIcTfO401mOl1s3q1RCw==" spinCount="100000" sheet="1" objects="1" scenarios="1"/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8"/>
  <sheetViews>
    <sheetView workbookViewId="0">
      <selection activeCell="B1" sqref="B1"/>
    </sheetView>
  </sheetViews>
  <sheetFormatPr defaultRowHeight="14.5" x14ac:dyDescent="0.35"/>
  <cols>
    <col min="1" max="1" width="27" style="5" customWidth="1"/>
    <col min="2" max="2" width="9.453125" style="5" bestFit="1" customWidth="1"/>
    <col min="3" max="3" width="13.26953125" style="5" bestFit="1" customWidth="1"/>
    <col min="4" max="6" width="11.54296875" style="5" bestFit="1" customWidth="1"/>
    <col min="7" max="7" width="11.26953125" style="5" customWidth="1"/>
    <col min="8" max="8" width="12.54296875" style="5" bestFit="1" customWidth="1"/>
    <col min="9" max="9" width="8.7265625" style="5"/>
    <col min="10" max="10" width="11.54296875" style="5" bestFit="1" customWidth="1"/>
    <col min="11" max="11" width="10.54296875" style="5" bestFit="1" customWidth="1"/>
    <col min="12" max="16384" width="8.7265625" style="5"/>
  </cols>
  <sheetData>
    <row r="1" spans="1:12" s="5" customFormat="1" ht="15" thickBot="1" x14ac:dyDescent="0.4">
      <c r="A1" s="51"/>
      <c r="B1" s="52">
        <v>2017</v>
      </c>
      <c r="C1" s="52">
        <f>B1+1</f>
        <v>2018</v>
      </c>
      <c r="D1" s="52">
        <f t="shared" ref="D1:F1" si="0">C1+1</f>
        <v>2019</v>
      </c>
      <c r="E1" s="52">
        <f t="shared" si="0"/>
        <v>2020</v>
      </c>
      <c r="F1" s="52">
        <f t="shared" si="0"/>
        <v>2021</v>
      </c>
      <c r="G1" s="52">
        <f>F1+1</f>
        <v>2022</v>
      </c>
      <c r="K1" s="53"/>
      <c r="L1" s="53"/>
    </row>
    <row r="2" spans="1:12" s="5" customFormat="1" ht="15" thickTop="1" x14ac:dyDescent="0.35">
      <c r="A2" s="54" t="s">
        <v>7</v>
      </c>
      <c r="B2" s="55"/>
      <c r="C2" s="55"/>
      <c r="D2" s="55"/>
      <c r="E2" s="55"/>
      <c r="F2" s="55"/>
      <c r="G2" s="55"/>
      <c r="H2" s="56"/>
      <c r="J2" s="57"/>
      <c r="K2" s="53"/>
      <c r="L2" s="53"/>
    </row>
    <row r="3" spans="1:12" s="5" customFormat="1" x14ac:dyDescent="0.35">
      <c r="A3" s="58" t="s">
        <v>8</v>
      </c>
      <c r="B3" s="59">
        <v>21.1</v>
      </c>
      <c r="C3" s="59">
        <v>20.8</v>
      </c>
      <c r="D3" s="59">
        <v>20.8</v>
      </c>
      <c r="E3" s="59">
        <f>$B3+3*($G3-$B3)/5</f>
        <v>20.14</v>
      </c>
      <c r="F3" s="59">
        <f>$B3+4*($G3-$B3)/5</f>
        <v>19.82</v>
      </c>
      <c r="G3" s="59">
        <v>19.5</v>
      </c>
      <c r="H3" s="60"/>
      <c r="I3" s="60"/>
      <c r="K3" s="53"/>
      <c r="L3" s="53"/>
    </row>
    <row r="4" spans="1:12" s="5" customFormat="1" x14ac:dyDescent="0.35">
      <c r="A4" s="61" t="s">
        <v>9</v>
      </c>
      <c r="B4" s="62"/>
      <c r="C4" s="63">
        <v>2.2000000000000002</v>
      </c>
      <c r="D4" s="64">
        <v>2.7</v>
      </c>
      <c r="E4" s="64">
        <f>D4+(G4-D4)/3</f>
        <v>2.5333333333333337</v>
      </c>
      <c r="F4" s="64">
        <f>D4+2*(G4-D4)/3</f>
        <v>2.3666666666666667</v>
      </c>
      <c r="G4" s="64">
        <v>2.2000000000000002</v>
      </c>
      <c r="H4" s="60"/>
      <c r="I4" s="60"/>
      <c r="K4" s="53"/>
      <c r="L4" s="53"/>
    </row>
    <row r="5" spans="1:12" s="5" customFormat="1" x14ac:dyDescent="0.35">
      <c r="A5" s="65" t="s">
        <v>10</v>
      </c>
      <c r="B5" s="62"/>
      <c r="C5" s="63">
        <v>28000</v>
      </c>
      <c r="D5" s="66">
        <v>28500</v>
      </c>
      <c r="E5" s="66">
        <f>D5+(G5-D5)/3</f>
        <v>28333.333333333332</v>
      </c>
      <c r="F5" s="66">
        <f>D5+2*(G5-D5)/3</f>
        <v>28166.666666666668</v>
      </c>
      <c r="G5" s="66">
        <v>28000</v>
      </c>
      <c r="H5" s="60"/>
      <c r="I5" s="60"/>
      <c r="J5" s="67"/>
      <c r="K5" s="67"/>
      <c r="L5" s="67"/>
    </row>
    <row r="6" spans="1:12" s="5" customFormat="1" x14ac:dyDescent="0.35">
      <c r="A6" s="65" t="s">
        <v>11</v>
      </c>
      <c r="B6" s="62"/>
      <c r="C6" s="68">
        <v>745</v>
      </c>
      <c r="D6" s="68">
        <v>745</v>
      </c>
      <c r="E6" s="66">
        <f>D6+(G6-D6)/3</f>
        <v>716.66666666666663</v>
      </c>
      <c r="F6" s="66">
        <f>D6+2*(G6-D6)/3</f>
        <v>688.33333333333337</v>
      </c>
      <c r="G6" s="66">
        <v>660</v>
      </c>
      <c r="H6" s="60"/>
      <c r="I6" s="60"/>
      <c r="J6" s="67"/>
      <c r="K6" s="67"/>
      <c r="L6" s="67"/>
    </row>
    <row r="7" spans="1:12" s="5" customFormat="1" x14ac:dyDescent="0.35">
      <c r="A7" s="61" t="s">
        <v>0</v>
      </c>
      <c r="B7" s="62" t="s">
        <v>12</v>
      </c>
      <c r="C7" s="63">
        <v>7</v>
      </c>
      <c r="D7" s="63">
        <v>7.3</v>
      </c>
      <c r="E7" s="66">
        <f>D7+(G7-D7)/3</f>
        <v>7.8666666666666663</v>
      </c>
      <c r="F7" s="66">
        <f>D7+2*(G7-D7)/3</f>
        <v>8.4333333333333336</v>
      </c>
      <c r="G7" s="66">
        <v>9</v>
      </c>
      <c r="H7" s="60"/>
      <c r="I7" s="69"/>
      <c r="K7" s="53"/>
      <c r="L7" s="53"/>
    </row>
    <row r="8" spans="1:12" s="5" customFormat="1" x14ac:dyDescent="0.35">
      <c r="A8" s="65" t="s">
        <v>13</v>
      </c>
      <c r="B8" s="62" t="s">
        <v>12</v>
      </c>
      <c r="C8" s="68">
        <v>1500</v>
      </c>
      <c r="D8" s="68">
        <v>1466</v>
      </c>
      <c r="E8" s="66">
        <f>D8+(G8-D8)/3</f>
        <v>1310.6666666666667</v>
      </c>
      <c r="F8" s="66">
        <f>D8+2*(G8-D8)/3</f>
        <v>1155.3333333333333</v>
      </c>
      <c r="G8" s="66">
        <v>1000</v>
      </c>
      <c r="H8" s="60"/>
      <c r="I8" s="60"/>
      <c r="J8" s="67"/>
      <c r="K8" s="67"/>
      <c r="L8" s="67"/>
    </row>
    <row r="9" spans="1:12" s="5" customFormat="1" x14ac:dyDescent="0.35">
      <c r="A9" s="67"/>
      <c r="B9" s="70"/>
      <c r="C9" s="70"/>
      <c r="D9" s="70"/>
      <c r="E9" s="70"/>
      <c r="F9" s="70"/>
      <c r="G9" s="70"/>
      <c r="H9" s="60"/>
      <c r="I9" s="60"/>
      <c r="J9" s="67"/>
      <c r="K9" s="67"/>
      <c r="L9" s="67"/>
    </row>
    <row r="10" spans="1:12" s="5" customFormat="1" x14ac:dyDescent="0.35">
      <c r="A10" s="71" t="s">
        <v>56</v>
      </c>
      <c r="B10" s="70"/>
      <c r="C10" s="70"/>
      <c r="D10" s="70"/>
      <c r="E10" s="70"/>
      <c r="F10" s="70"/>
      <c r="G10" s="70"/>
      <c r="H10" s="60"/>
      <c r="I10" s="60"/>
      <c r="K10" s="53"/>
      <c r="L10" s="53"/>
    </row>
    <row r="11" spans="1:12" s="5" customFormat="1" x14ac:dyDescent="0.35">
      <c r="A11" s="72" t="s">
        <v>14</v>
      </c>
      <c r="B11" s="64"/>
      <c r="C11" s="64">
        <v>5495</v>
      </c>
      <c r="D11" s="64">
        <v>6594</v>
      </c>
      <c r="E11" s="64">
        <f>D11+(G11-D11)/3</f>
        <v>6799.333333333333</v>
      </c>
      <c r="F11" s="64">
        <f>D11+2*(G11-D11)/3</f>
        <v>7004.666666666667</v>
      </c>
      <c r="G11" s="64">
        <v>7210</v>
      </c>
      <c r="H11" s="60"/>
      <c r="I11" s="60"/>
      <c r="J11" s="67"/>
      <c r="K11" s="67"/>
      <c r="L11" s="67"/>
    </row>
    <row r="12" spans="1:12" s="5" customFormat="1" x14ac:dyDescent="0.35">
      <c r="A12" s="72" t="s">
        <v>15</v>
      </c>
      <c r="B12" s="64"/>
      <c r="C12" s="64">
        <f>$B$25*(1-tax_rate)*C5</f>
        <v>796.32</v>
      </c>
      <c r="D12" s="64">
        <f>$B$25*(1-tax_rate)*D5</f>
        <v>810.54</v>
      </c>
      <c r="E12" s="64">
        <f>$B$25*(1-tax_rate)*E5</f>
        <v>805.8</v>
      </c>
      <c r="F12" s="64">
        <f>$B$25*(1-tax_rate)*F5</f>
        <v>801.06000000000006</v>
      </c>
      <c r="G12" s="64">
        <f>$B$25*(1-tax_rate)*G5</f>
        <v>796.32</v>
      </c>
      <c r="H12" s="73"/>
      <c r="I12" s="73"/>
      <c r="J12" s="67"/>
      <c r="K12" s="67"/>
      <c r="L12" s="67"/>
    </row>
    <row r="13" spans="1:12" s="5" customFormat="1" x14ac:dyDescent="0.35">
      <c r="A13" s="74" t="s">
        <v>16</v>
      </c>
      <c r="B13" s="75"/>
      <c r="C13" s="75"/>
      <c r="D13" s="75">
        <f>D8-C8</f>
        <v>-34</v>
      </c>
      <c r="E13" s="75">
        <f>E8-D8</f>
        <v>-155.33333333333326</v>
      </c>
      <c r="F13" s="75">
        <f>F8-E8</f>
        <v>-155.33333333333348</v>
      </c>
      <c r="G13" s="75">
        <f>G8-F8</f>
        <v>-155.33333333333326</v>
      </c>
      <c r="H13" s="67"/>
      <c r="I13" s="67"/>
      <c r="J13" s="67"/>
      <c r="K13" s="67"/>
      <c r="L13" s="67"/>
    </row>
    <row r="14" spans="1:12" s="5" customFormat="1" x14ac:dyDescent="0.35">
      <c r="A14" s="74" t="s">
        <v>17</v>
      </c>
      <c r="B14" s="75" t="s">
        <v>12</v>
      </c>
      <c r="C14" s="75">
        <v>1215</v>
      </c>
      <c r="D14" s="75">
        <v>1258</v>
      </c>
      <c r="E14" s="75">
        <f>D14+1*(G14-D14)/3</f>
        <v>1263.6666666666667</v>
      </c>
      <c r="F14" s="75">
        <f>D14+2*(G14-D14)/3</f>
        <v>1269.3333333333333</v>
      </c>
      <c r="G14" s="75">
        <v>1275</v>
      </c>
      <c r="H14" s="60"/>
      <c r="I14" s="60"/>
      <c r="J14" s="67"/>
      <c r="K14" s="67"/>
      <c r="L14" s="67"/>
    </row>
    <row r="15" spans="1:12" s="5" customFormat="1" x14ac:dyDescent="0.35">
      <c r="A15" s="74" t="s">
        <v>18</v>
      </c>
      <c r="B15" s="75"/>
      <c r="C15" s="75"/>
      <c r="D15" s="75">
        <f>D4*D6</f>
        <v>2011.5000000000002</v>
      </c>
      <c r="E15" s="75">
        <f>D15+(G15-D15)/3</f>
        <v>1825.0000000000002</v>
      </c>
      <c r="F15" s="75">
        <f>D15+2*(G15-D15)/3</f>
        <v>1638.5000000000002</v>
      </c>
      <c r="G15" s="75">
        <f>G4*G6</f>
        <v>1452.0000000000002</v>
      </c>
      <c r="H15" s="67"/>
      <c r="I15" s="67"/>
      <c r="J15" s="67"/>
      <c r="K15" s="67"/>
      <c r="L15" s="67"/>
    </row>
    <row r="16" spans="1:12" s="5" customFormat="1" x14ac:dyDescent="0.35">
      <c r="A16" s="67"/>
      <c r="B16" s="70"/>
      <c r="C16" s="70"/>
      <c r="D16" s="70"/>
      <c r="E16" s="70"/>
      <c r="F16" s="70"/>
      <c r="G16" s="70"/>
      <c r="H16" s="76" t="s">
        <v>19</v>
      </c>
      <c r="I16" s="76"/>
      <c r="J16" s="67"/>
      <c r="K16" s="67"/>
      <c r="L16" s="67"/>
    </row>
    <row r="17" spans="1:12" s="5" customFormat="1" x14ac:dyDescent="0.35">
      <c r="A17" s="77" t="s">
        <v>20</v>
      </c>
      <c r="B17" s="64"/>
      <c r="C17" s="64"/>
      <c r="D17" s="64">
        <f>D11-D13-D15+D14+D12</f>
        <v>6685.04</v>
      </c>
      <c r="E17" s="64">
        <f>E11-E13-E15+E14+E12</f>
        <v>7199.1333333333332</v>
      </c>
      <c r="F17" s="64">
        <f>F11-F13-F15+F14+F12</f>
        <v>7591.8933333333334</v>
      </c>
      <c r="G17" s="64">
        <f>G11-G13-G15+G14+G12</f>
        <v>7984.6533333333327</v>
      </c>
      <c r="H17" s="78">
        <f>G17*(1+g_firm)/(WACC_5-g_firm)</f>
        <v>28656.681800747025</v>
      </c>
      <c r="I17" s="79"/>
      <c r="K17" s="53"/>
      <c r="L17" s="53"/>
    </row>
    <row r="18" spans="1:12" s="5" customFormat="1" x14ac:dyDescent="0.35">
      <c r="A18" s="77" t="s">
        <v>21</v>
      </c>
      <c r="B18" s="64"/>
      <c r="C18" s="64"/>
      <c r="D18" s="64">
        <f>D17-D12+(D5-C5)</f>
        <v>6374.5</v>
      </c>
      <c r="E18" s="64">
        <f>E17-E12+(E5-D5)</f>
        <v>6226.6666666666652</v>
      </c>
      <c r="F18" s="64">
        <f>F17-F12+(F5-E5)</f>
        <v>6624.1666666666688</v>
      </c>
      <c r="G18" s="64">
        <f>G17-G12+(G5-F5)</f>
        <v>7021.6666666666652</v>
      </c>
      <c r="H18" s="78">
        <f>(G18+F5-G5+G5*g_firm)*(1+g_firm)/(H31-g_firm)</f>
        <v>21885.09138072615</v>
      </c>
      <c r="I18" s="79"/>
      <c r="J18" s="5" t="s">
        <v>22</v>
      </c>
      <c r="K18" s="53"/>
      <c r="L18" s="53"/>
    </row>
    <row r="19" spans="1:12" s="5" customFormat="1" x14ac:dyDescent="0.35">
      <c r="A19" s="36"/>
      <c r="B19" s="80"/>
      <c r="C19" s="80"/>
      <c r="D19" s="80"/>
      <c r="E19" s="80"/>
      <c r="F19" s="80"/>
      <c r="G19" s="80"/>
      <c r="H19" s="79"/>
      <c r="I19" s="79"/>
      <c r="K19" s="53"/>
      <c r="L19" s="53"/>
    </row>
    <row r="20" spans="1:12" s="5" customFormat="1" x14ac:dyDescent="0.35">
      <c r="A20" s="81" t="s">
        <v>55</v>
      </c>
      <c r="B20" s="82"/>
      <c r="C20" s="80"/>
      <c r="D20" s="80"/>
      <c r="E20" s="80"/>
      <c r="F20" s="80"/>
      <c r="G20" s="80"/>
      <c r="K20" s="53"/>
      <c r="L20" s="53"/>
    </row>
    <row r="21" spans="1:12" s="5" customFormat="1" x14ac:dyDescent="0.35">
      <c r="A21" s="83" t="s">
        <v>23</v>
      </c>
      <c r="B21" s="66">
        <v>0.8</v>
      </c>
      <c r="C21" s="80"/>
      <c r="D21" s="80"/>
      <c r="E21" s="80"/>
      <c r="F21" s="80"/>
      <c r="G21" s="80"/>
      <c r="J21" s="5" t="s">
        <v>24</v>
      </c>
      <c r="K21" s="53"/>
      <c r="L21" s="53"/>
    </row>
    <row r="22" spans="1:12" s="5" customFormat="1" x14ac:dyDescent="0.35">
      <c r="A22" s="83" t="s">
        <v>25</v>
      </c>
      <c r="B22" s="66">
        <f>B21/(1 + (1-tax_rate)*C5/C28)</f>
        <v>0.67027914614121509</v>
      </c>
      <c r="C22" s="80"/>
      <c r="D22" s="80"/>
      <c r="E22" s="80"/>
      <c r="F22" s="80"/>
      <c r="G22" s="80"/>
      <c r="J22" s="5" t="s">
        <v>26</v>
      </c>
      <c r="K22" s="53"/>
      <c r="L22" s="53"/>
    </row>
    <row r="23" spans="1:12" s="5" customFormat="1" x14ac:dyDescent="0.35">
      <c r="A23" s="77" t="s">
        <v>27</v>
      </c>
      <c r="B23" s="84">
        <v>0</v>
      </c>
      <c r="C23" s="80"/>
      <c r="D23" s="80"/>
      <c r="E23" s="80"/>
      <c r="F23" s="80"/>
      <c r="G23" s="80"/>
      <c r="K23" s="53"/>
      <c r="L23" s="53"/>
    </row>
    <row r="24" spans="1:12" s="5" customFormat="1" x14ac:dyDescent="0.35">
      <c r="A24" s="77" t="s">
        <v>28</v>
      </c>
      <c r="B24" s="84">
        <v>0.21</v>
      </c>
      <c r="C24" s="80"/>
      <c r="D24" s="80"/>
      <c r="E24" s="80"/>
      <c r="F24" s="80"/>
      <c r="G24" s="80"/>
      <c r="J24" s="5" t="s">
        <v>24</v>
      </c>
      <c r="K24" s="53"/>
      <c r="L24" s="53"/>
    </row>
    <row r="25" spans="1:12" s="5" customFormat="1" x14ac:dyDescent="0.35">
      <c r="A25" s="77" t="s">
        <v>29</v>
      </c>
      <c r="B25" s="85">
        <v>3.5999999999999997E-2</v>
      </c>
      <c r="C25" s="80"/>
      <c r="D25" s="80"/>
      <c r="E25" s="80"/>
      <c r="F25" s="80"/>
      <c r="G25" s="80"/>
      <c r="J25" s="5" t="s">
        <v>30</v>
      </c>
      <c r="K25" s="53"/>
      <c r="L25" s="53"/>
    </row>
    <row r="26" spans="1:12" s="5" customFormat="1" x14ac:dyDescent="0.35">
      <c r="A26" s="83" t="s">
        <v>31</v>
      </c>
      <c r="B26" s="86">
        <v>2.98E-2</v>
      </c>
      <c r="C26" s="80"/>
      <c r="D26" s="80"/>
      <c r="E26" s="80"/>
      <c r="F26" s="80"/>
      <c r="G26" s="80"/>
      <c r="K26" s="53"/>
      <c r="L26" s="53"/>
    </row>
    <row r="27" spans="1:12" s="5" customFormat="1" x14ac:dyDescent="0.35">
      <c r="A27" s="83" t="s">
        <v>32</v>
      </c>
      <c r="B27" s="85">
        <v>0.38500000000000001</v>
      </c>
      <c r="C27" s="80"/>
      <c r="D27" s="80"/>
      <c r="E27" s="80"/>
      <c r="F27" s="80"/>
      <c r="G27" s="80"/>
      <c r="K27" s="53"/>
      <c r="L27" s="53"/>
    </row>
    <row r="28" spans="1:12" s="5" customFormat="1" x14ac:dyDescent="0.35">
      <c r="A28" s="72" t="s">
        <v>33</v>
      </c>
      <c r="B28" s="75"/>
      <c r="C28" s="87">
        <f>C3*C11</f>
        <v>114296</v>
      </c>
      <c r="D28" s="87">
        <f>D3*D11</f>
        <v>137155.20000000001</v>
      </c>
      <c r="E28" s="87">
        <f>E3*E11</f>
        <v>136938.57333333333</v>
      </c>
      <c r="F28" s="87">
        <f>F3*F11</f>
        <v>138832.49333333335</v>
      </c>
      <c r="G28" s="87">
        <f>G3*G11</f>
        <v>140595</v>
      </c>
      <c r="H28" s="67"/>
      <c r="I28" s="67"/>
      <c r="J28" s="67"/>
      <c r="K28" s="53"/>
      <c r="L28" s="53"/>
    </row>
    <row r="29" spans="1:12" s="5" customFormat="1" x14ac:dyDescent="0.35">
      <c r="A29" s="77" t="s">
        <v>34</v>
      </c>
      <c r="B29" s="75"/>
      <c r="C29" s="64">
        <f>C5/(C5+C28)</f>
        <v>0.19677292404565133</v>
      </c>
      <c r="D29" s="64">
        <f>D5/(D5+D28)</f>
        <v>0.17204410124161509</v>
      </c>
      <c r="E29" s="64">
        <f>E5/(E5+E28)</f>
        <v>0.17143466124873974</v>
      </c>
      <c r="F29" s="64">
        <f>F5/(F5+F28)</f>
        <v>0.16866352301811977</v>
      </c>
      <c r="G29" s="64">
        <f>G5/(G5+G28)</f>
        <v>0.16607847207805687</v>
      </c>
      <c r="H29" s="60"/>
      <c r="I29" s="60"/>
      <c r="K29" s="53"/>
      <c r="L29" s="53"/>
    </row>
    <row r="30" spans="1:12" s="5" customFormat="1" x14ac:dyDescent="0.35">
      <c r="A30" s="83" t="s">
        <v>35</v>
      </c>
      <c r="B30" s="75"/>
      <c r="C30" s="64">
        <f>$B22*(1+(1-tax_rate)*C5/C28)</f>
        <v>0.79999999999999993</v>
      </c>
      <c r="D30" s="64">
        <f>$B22*(1+(1-tax_rate)*D5/D28)</f>
        <v>0.78031022753929158</v>
      </c>
      <c r="E30" s="64">
        <f>$B22*(1+(1-tax_rate)*E5/E28)</f>
        <v>0.77983981403236247</v>
      </c>
      <c r="F30" s="64">
        <f>$B22*(1+(1-tax_rate)*F5/F28)</f>
        <v>0.77770953059553838</v>
      </c>
      <c r="G30" s="64">
        <f>$B22*(1+(1-tax_rate)*G5/G28)</f>
        <v>0.77573506358240196</v>
      </c>
      <c r="K30" s="53"/>
      <c r="L30" s="53"/>
    </row>
    <row r="31" spans="1:12" s="5" customFormat="1" x14ac:dyDescent="0.35">
      <c r="A31" s="77" t="s">
        <v>6</v>
      </c>
      <c r="B31" s="75"/>
      <c r="C31" s="64">
        <f>$B26+C30*$B27</f>
        <v>0.33779999999999999</v>
      </c>
      <c r="D31" s="64">
        <f>$B26+D30*$B27</f>
        <v>0.33021943760262723</v>
      </c>
      <c r="E31" s="64">
        <f>$B26+E30*$B27</f>
        <v>0.33003832840245956</v>
      </c>
      <c r="F31" s="64">
        <f>$B26+F30*$B27</f>
        <v>0.32921816927928227</v>
      </c>
      <c r="G31" s="64">
        <f>$B26+G30*$B27</f>
        <v>0.32845799947922477</v>
      </c>
      <c r="H31" s="88">
        <f>G31</f>
        <v>0.32845799947922477</v>
      </c>
      <c r="I31" s="89"/>
      <c r="K31" s="53"/>
      <c r="L31" s="53"/>
    </row>
    <row r="32" spans="1:12" s="5" customFormat="1" x14ac:dyDescent="0.35">
      <c r="A32" s="90" t="s">
        <v>36</v>
      </c>
      <c r="B32" s="75"/>
      <c r="C32" s="64">
        <f>C31*(1-C29) + rdebt*C29*(1-tax_rate)</f>
        <v>0.27692632821723728</v>
      </c>
      <c r="D32" s="64">
        <f>D31*(1-D29) + rdebt*D29*(1-tax_rate)</f>
        <v>0.27830006548708319</v>
      </c>
      <c r="E32" s="64">
        <f>E31*(1-E29) + rdebt*E29*(1-tax_rate)</f>
        <v>0.27833392113959776</v>
      </c>
      <c r="F32" s="64">
        <f>F31*(1-F29) + rdebt*F29*(1-tax_rate)</f>
        <v>0.27848786360169814</v>
      </c>
      <c r="G32" s="64">
        <f>G31*(1-G29) + rdebt*G29*(1-tax_rate)</f>
        <v>0.27863146852979986</v>
      </c>
      <c r="H32" s="88">
        <f>G32</f>
        <v>0.27863146852979986</v>
      </c>
      <c r="I32" s="89"/>
      <c r="J32" s="89"/>
      <c r="K32" s="89"/>
      <c r="L32" s="89"/>
    </row>
    <row r="33" spans="1:12" s="5" customFormat="1" x14ac:dyDescent="0.35">
      <c r="A33" s="90" t="s">
        <v>37</v>
      </c>
      <c r="B33" s="75"/>
      <c r="C33" s="64">
        <v>1</v>
      </c>
      <c r="D33" s="64">
        <f>C33/(1+D32)</f>
        <v>0.7822889374717823</v>
      </c>
      <c r="E33" s="64">
        <f>D33/(1+E32)</f>
        <v>0.6119597739958228</v>
      </c>
      <c r="F33" s="64">
        <f>E33/(1+F32)</f>
        <v>0.47865904043221613</v>
      </c>
      <c r="G33" s="64">
        <f>F33/(1+G32)</f>
        <v>0.37435262013579984</v>
      </c>
      <c r="H33" s="88">
        <f>G33</f>
        <v>0.37435262013579984</v>
      </c>
      <c r="I33" s="89"/>
      <c r="J33" s="89"/>
      <c r="K33" s="89"/>
      <c r="L33" s="89"/>
    </row>
    <row r="34" spans="1:12" s="5" customFormat="1" x14ac:dyDescent="0.35">
      <c r="A34" s="77" t="s">
        <v>38</v>
      </c>
      <c r="B34" s="75"/>
      <c r="C34" s="64">
        <v>1</v>
      </c>
      <c r="D34" s="64">
        <f>C34/(1+D31)</f>
        <v>0.75175566657050097</v>
      </c>
      <c r="E34" s="64">
        <f>D34/(1+E31)</f>
        <v>0.56521353596888635</v>
      </c>
      <c r="F34" s="64">
        <f>E34/(1+F31)</f>
        <v>0.42522254738313714</v>
      </c>
      <c r="G34" s="64">
        <f>F34/(1+G31)</f>
        <v>0.32008730991106282</v>
      </c>
      <c r="H34" s="88">
        <f>G34</f>
        <v>0.32008730991106282</v>
      </c>
      <c r="I34" s="89"/>
      <c r="J34" s="89"/>
      <c r="K34" s="53"/>
      <c r="L34" s="53"/>
    </row>
    <row r="35" spans="1:12" s="5" customFormat="1" x14ac:dyDescent="0.35">
      <c r="A35" s="36"/>
      <c r="B35" s="80"/>
      <c r="C35" s="80"/>
      <c r="D35" s="80"/>
      <c r="E35" s="80"/>
      <c r="F35" s="80"/>
      <c r="G35" s="80"/>
      <c r="H35" s="91"/>
      <c r="I35" s="89"/>
      <c r="J35" s="89"/>
      <c r="K35" s="53"/>
      <c r="L35" s="53"/>
    </row>
    <row r="36" spans="1:12" s="5" customFormat="1" x14ac:dyDescent="0.35">
      <c r="A36" s="81" t="s">
        <v>54</v>
      </c>
      <c r="B36" s="80"/>
      <c r="C36" s="80"/>
      <c r="D36" s="80"/>
      <c r="E36" s="80"/>
      <c r="F36" s="80"/>
      <c r="G36" s="80"/>
      <c r="H36" s="92"/>
      <c r="J36" s="93" t="s">
        <v>39</v>
      </c>
      <c r="K36" s="94" t="s">
        <v>40</v>
      </c>
      <c r="L36" s="95" t="s">
        <v>41</v>
      </c>
    </row>
    <row r="37" spans="1:12" s="5" customFormat="1" x14ac:dyDescent="0.35">
      <c r="A37" s="96" t="s">
        <v>42</v>
      </c>
      <c r="B37" s="75"/>
      <c r="C37" s="75"/>
      <c r="D37" s="97">
        <f>D17*D33</f>
        <v>5229.6328385563638</v>
      </c>
      <c r="E37" s="75">
        <f t="shared" ref="D37:H38" si="1">E17*E33</f>
        <v>4405.5800076324613</v>
      </c>
      <c r="F37" s="75">
        <f t="shared" si="1"/>
        <v>3633.9283779970719</v>
      </c>
      <c r="G37" s="75">
        <f t="shared" si="1"/>
        <v>2989.075896209381</v>
      </c>
      <c r="H37" s="98">
        <f t="shared" si="1"/>
        <v>10727.70391650754</v>
      </c>
      <c r="I37" s="99"/>
      <c r="J37" s="97">
        <f>SUM(D37:H37)</f>
        <v>26985.921036902815</v>
      </c>
      <c r="K37" s="75">
        <f>J37-C5</f>
        <v>-1014.0789630971849</v>
      </c>
      <c r="L37" s="100">
        <f>K37/C6</f>
        <v>-1.3611798162378321</v>
      </c>
    </row>
    <row r="38" spans="1:12" s="5" customFormat="1" x14ac:dyDescent="0.35">
      <c r="A38" s="96" t="s">
        <v>43</v>
      </c>
      <c r="B38" s="75"/>
      <c r="C38" s="75"/>
      <c r="D38" s="97">
        <f t="shared" si="1"/>
        <v>4792.066496553658</v>
      </c>
      <c r="E38" s="75">
        <f t="shared" si="1"/>
        <v>3519.3962839662649</v>
      </c>
      <c r="F38" s="75">
        <f t="shared" si="1"/>
        <v>2816.7450242904652</v>
      </c>
      <c r="G38" s="75">
        <f t="shared" si="1"/>
        <v>2247.5463944255125</v>
      </c>
      <c r="H38" s="98">
        <f t="shared" si="1"/>
        <v>7005.140027214421</v>
      </c>
      <c r="I38" s="99"/>
      <c r="J38" s="97">
        <f>SUM(D38:H38)</f>
        <v>20380.89422645032</v>
      </c>
      <c r="K38" s="75">
        <f>J38</f>
        <v>20380.89422645032</v>
      </c>
      <c r="L38" s="100">
        <f>K38/C6</f>
        <v>27.356905001946739</v>
      </c>
    </row>
  </sheetData>
  <sheetProtection algorithmName="SHA-512" hashValue="A6OnTnvpTaqa/vIdc+7/XlwgGBFRgD+wwwj4yxedmeIBr+cE/xUCY1V6DXqWf1T9k2rSgDbwTwCbPBf9W8UsZw==" saltValue="b9M+kUbRjonwiMS5SLl68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Dividend Discount Model</vt:lpstr>
      <vt:lpstr>FCFF Valuation</vt:lpstr>
      <vt:lpstr>g_firm</vt:lpstr>
      <vt:lpstr>k_eq</vt:lpstr>
      <vt:lpstr>rdebt</vt:lpstr>
      <vt:lpstr>tax_rate</vt:lpstr>
      <vt:lpstr>term_g</vt:lpstr>
      <vt:lpstr>WACC_5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Marc-Anthony A. Isaacs</dc:creator>
  <cp:lastModifiedBy>Kyle W. Brown</cp:lastModifiedBy>
  <dcterms:created xsi:type="dcterms:W3CDTF">2013-08-24T00:51:40Z</dcterms:created>
  <dcterms:modified xsi:type="dcterms:W3CDTF">2020-11-04T18:10:04Z</dcterms:modified>
</cp:coreProperties>
</file>