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william\Downloads\Mercury Case Study\"/>
    </mc:Choice>
  </mc:AlternateContent>
  <xr:revisionPtr revIDLastSave="0" documentId="13_ncr:1_{08B255ED-A1E3-4968-A9E6-E24F99AB337C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COVER PG" sheetId="11" r:id="rId1"/>
    <sheet name="Ratios" sheetId="12" r:id="rId2"/>
    <sheet name="Rates" sheetId="10" r:id="rId3"/>
    <sheet name="WACC-CAPM" sheetId="13" r:id="rId4"/>
    <sheet name="DCF" sheetId="14" r:id="rId5"/>
    <sheet name="AGI IS" sheetId="5" r:id="rId6"/>
    <sheet name="AGI Bal." sheetId="6" r:id="rId7"/>
    <sheet name="Comps" sheetId="7" r:id="rId8"/>
    <sheet name="Valuation" sheetId="9" r:id="rId9"/>
    <sheet name="Cost of Capital" sheetId="8" r:id="rId10"/>
    <sheet name="Mercury Model" sheetId="1" r:id="rId11"/>
    <sheet name="Mercury BS" sheetId="4" r:id="rId12"/>
    <sheet name="Mercury Segments" sheetId="2" r:id="rId13"/>
    <sheet name="Mercury Base Case" sheetId="3" r:id="rId14"/>
  </sheets>
  <externalReferences>
    <externalReference r:id="rId15"/>
  </externalReferences>
  <definedNames>
    <definedName name="interest">[1]Rates!$B$12</definedName>
    <definedName name="tax">[1]Rates!$B$13</definedName>
    <definedName name="wacc" localSheetId="4">[1]WACC!$B$37</definedName>
    <definedName name="wacc">'WACC-CAPM'!$B$36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0" i="8" l="1"/>
  <c r="B25" i="8"/>
  <c r="B21" i="14" l="1"/>
  <c r="N26" i="14"/>
  <c r="B26" i="14"/>
  <c r="N25" i="14"/>
  <c r="N28" i="14" s="1"/>
  <c r="N23" i="14"/>
  <c r="O21" i="14"/>
  <c r="P21" i="14" s="1"/>
  <c r="P25" i="14" s="1"/>
  <c r="R18" i="14"/>
  <c r="Q18" i="14"/>
  <c r="P18" i="14"/>
  <c r="O18" i="14"/>
  <c r="N18" i="14"/>
  <c r="F16" i="14"/>
  <c r="E16" i="14"/>
  <c r="D16" i="14"/>
  <c r="C16" i="14"/>
  <c r="B16" i="14"/>
  <c r="R14" i="14"/>
  <c r="Q14" i="14"/>
  <c r="P14" i="14"/>
  <c r="O14" i="14"/>
  <c r="N14" i="14"/>
  <c r="F12" i="14"/>
  <c r="F32" i="14" s="1"/>
  <c r="E12" i="14"/>
  <c r="E32" i="14" s="1"/>
  <c r="D12" i="14"/>
  <c r="D32" i="14" s="1"/>
  <c r="C12" i="14"/>
  <c r="C32" i="14" s="1"/>
  <c r="B12" i="14"/>
  <c r="B32" i="14" s="1"/>
  <c r="R9" i="14"/>
  <c r="Q9" i="14"/>
  <c r="P9" i="14"/>
  <c r="O9" i="14"/>
  <c r="N9" i="14"/>
  <c r="I9" i="14"/>
  <c r="F15" i="14" s="1"/>
  <c r="F9" i="14"/>
  <c r="E9" i="14"/>
  <c r="D9" i="14"/>
  <c r="C9" i="14"/>
  <c r="B9" i="14"/>
  <c r="I8" i="14"/>
  <c r="B8" i="14"/>
  <c r="I7" i="14"/>
  <c r="D15" i="14" s="1"/>
  <c r="I6" i="14"/>
  <c r="I5" i="14"/>
  <c r="C15" i="14" s="1"/>
  <c r="B5" i="14"/>
  <c r="B10" i="14" s="1"/>
  <c r="B17" i="14" s="1"/>
  <c r="B35" i="13"/>
  <c r="B33" i="13"/>
  <c r="B32" i="13"/>
  <c r="B31" i="13"/>
  <c r="B2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P13" i="13"/>
  <c r="P12" i="13"/>
  <c r="P11" i="13"/>
  <c r="P10" i="13"/>
  <c r="P9" i="13"/>
  <c r="P8" i="13"/>
  <c r="P7" i="13"/>
  <c r="P6" i="13"/>
  <c r="P5" i="13"/>
  <c r="B8" i="12"/>
  <c r="B18" i="8"/>
  <c r="B20" i="8"/>
  <c r="B16" i="10"/>
  <c r="O25" i="14" l="1"/>
  <c r="C5" i="14" s="1"/>
  <c r="E15" i="14"/>
  <c r="D5" i="14"/>
  <c r="D10" i="14" s="1"/>
  <c r="B14" i="14"/>
  <c r="B19" i="14" s="1"/>
  <c r="B23" i="14" s="1"/>
  <c r="P22" i="14"/>
  <c r="P26" i="14" s="1"/>
  <c r="D8" i="14" s="1"/>
  <c r="P23" i="14"/>
  <c r="B31" i="14"/>
  <c r="B33" i="14" s="1"/>
  <c r="P14" i="13"/>
  <c r="B24" i="13" s="1"/>
  <c r="Q21" i="14"/>
  <c r="O22" i="14"/>
  <c r="O26" i="14" s="1"/>
  <c r="C8" i="14" s="1"/>
  <c r="C10" i="14" s="1"/>
  <c r="B27" i="13"/>
  <c r="B34" i="13" s="1"/>
  <c r="B36" i="13" s="1"/>
  <c r="P15" i="13"/>
  <c r="C31" i="14" l="1"/>
  <c r="C33" i="14" s="1"/>
  <c r="C14" i="14"/>
  <c r="C17" i="14"/>
  <c r="D17" i="14"/>
  <c r="D31" i="14"/>
  <c r="D33" i="14" s="1"/>
  <c r="D14" i="14"/>
  <c r="O23" i="14"/>
  <c r="Q22" i="14"/>
  <c r="Q26" i="14" s="1"/>
  <c r="E8" i="14" s="1"/>
  <c r="Q25" i="14"/>
  <c r="R21" i="14"/>
  <c r="P28" i="14"/>
  <c r="O28" i="14"/>
  <c r="D19" i="14" l="1"/>
  <c r="D23" i="14" s="1"/>
  <c r="R25" i="14"/>
  <c r="R22" i="14"/>
  <c r="R26" i="14" s="1"/>
  <c r="F8" i="14" s="1"/>
  <c r="Q28" i="14"/>
  <c r="E5" i="14"/>
  <c r="E10" i="14" s="1"/>
  <c r="Q23" i="14"/>
  <c r="C19" i="14"/>
  <c r="D19" i="3"/>
  <c r="E19" i="3" s="1"/>
  <c r="F19" i="3" s="1"/>
  <c r="F20" i="3" s="1"/>
  <c r="C19" i="3"/>
  <c r="C20" i="3" s="1"/>
  <c r="J38" i="1"/>
  <c r="F38" i="1"/>
  <c r="H38" i="1"/>
  <c r="I38" i="1"/>
  <c r="G38" i="1"/>
  <c r="G37" i="1"/>
  <c r="H37" i="1"/>
  <c r="I37" i="1"/>
  <c r="J37" i="1"/>
  <c r="F37" i="1"/>
  <c r="C23" i="14" l="1"/>
  <c r="E31" i="14"/>
  <c r="E33" i="14" s="1"/>
  <c r="E14" i="14"/>
  <c r="E17" i="14"/>
  <c r="R28" i="14"/>
  <c r="F5" i="14"/>
  <c r="F10" i="14" s="1"/>
  <c r="R23" i="14"/>
  <c r="D20" i="3"/>
  <c r="E20" i="3"/>
  <c r="O14" i="7"/>
  <c r="N14" i="7"/>
  <c r="M14" i="7"/>
  <c r="L14" i="7"/>
  <c r="K14" i="7"/>
  <c r="J14" i="7"/>
  <c r="I14" i="7"/>
  <c r="H14" i="7"/>
  <c r="D14" i="7"/>
  <c r="F17" i="14" l="1"/>
  <c r="F31" i="14"/>
  <c r="F33" i="14" s="1"/>
  <c r="F14" i="14"/>
  <c r="F19" i="14" s="1"/>
  <c r="F23" i="14" s="1"/>
  <c r="E19" i="14"/>
  <c r="B19" i="8"/>
  <c r="E23" i="14" l="1"/>
  <c r="B27" i="14"/>
  <c r="B12" i="8"/>
  <c r="C6" i="5"/>
  <c r="C21" i="5" s="1"/>
  <c r="D20" i="5"/>
  <c r="C20" i="5"/>
  <c r="D6" i="5"/>
  <c r="D9" i="5" s="1"/>
  <c r="B24" i="7" s="1"/>
  <c r="B6" i="5"/>
  <c r="B9" i="5" s="1"/>
  <c r="B21" i="5"/>
  <c r="D24" i="6"/>
  <c r="D31" i="6" s="1"/>
  <c r="B24" i="6"/>
  <c r="B31" i="6"/>
  <c r="C24" i="6"/>
  <c r="C31" i="6" s="1"/>
  <c r="C10" i="6"/>
  <c r="C16" i="6" s="1"/>
  <c r="D10" i="6"/>
  <c r="D16" i="6" s="1"/>
  <c r="B10" i="6"/>
  <c r="B16" i="6"/>
  <c r="G21" i="7"/>
  <c r="H21" i="7"/>
  <c r="I21" i="7"/>
  <c r="H26" i="7"/>
  <c r="I26" i="7"/>
  <c r="G26" i="7"/>
  <c r="G23" i="7"/>
  <c r="H23" i="7"/>
  <c r="I23" i="7"/>
  <c r="G22" i="7"/>
  <c r="H22" i="7"/>
  <c r="I22" i="7"/>
  <c r="B54" i="1"/>
  <c r="C54" i="1"/>
  <c r="D54" i="1"/>
  <c r="C45" i="1"/>
  <c r="D45" i="1"/>
  <c r="B53" i="1"/>
  <c r="C53" i="1"/>
  <c r="D53" i="1"/>
  <c r="B52" i="1"/>
  <c r="C52" i="1"/>
  <c r="D52" i="1"/>
  <c r="C48" i="1"/>
  <c r="D48" i="1"/>
  <c r="B46" i="1"/>
  <c r="C46" i="1"/>
  <c r="D46" i="1"/>
  <c r="B47" i="1"/>
  <c r="C47" i="1"/>
  <c r="D47" i="1"/>
  <c r="B51" i="1"/>
  <c r="C51" i="1"/>
  <c r="D51" i="1"/>
  <c r="B50" i="1"/>
  <c r="C50" i="1"/>
  <c r="D50" i="1"/>
  <c r="B49" i="1"/>
  <c r="C49" i="1"/>
  <c r="D49" i="1"/>
  <c r="C35" i="1"/>
  <c r="C41" i="1" s="1"/>
  <c r="B35" i="1"/>
  <c r="B41" i="1" s="1"/>
  <c r="D35" i="1"/>
  <c r="D41" i="1" s="1"/>
  <c r="C24" i="1"/>
  <c r="C30" i="1" s="1"/>
  <c r="D24" i="1"/>
  <c r="D30" i="1" s="1"/>
  <c r="B24" i="1"/>
  <c r="B30" i="1" s="1"/>
  <c r="D7" i="1"/>
  <c r="D9" i="1" s="1"/>
  <c r="B7" i="1"/>
  <c r="B9" i="1" s="1"/>
  <c r="B11" i="1" s="1"/>
  <c r="B13" i="1" s="1"/>
  <c r="B15" i="1" s="1"/>
  <c r="C7" i="1"/>
  <c r="C9" i="1" s="1"/>
  <c r="C11" i="1" s="1"/>
  <c r="C13" i="1" s="1"/>
  <c r="C15" i="1" s="1"/>
  <c r="C19" i="2"/>
  <c r="D19" i="2"/>
  <c r="E19" i="2"/>
  <c r="B19" i="2"/>
  <c r="C13" i="2"/>
  <c r="D13" i="2"/>
  <c r="E13" i="2"/>
  <c r="B13" i="2"/>
  <c r="C7" i="2"/>
  <c r="D7" i="2"/>
  <c r="E7" i="2"/>
  <c r="B7" i="2"/>
  <c r="G11" i="2"/>
  <c r="G12" i="2"/>
  <c r="G16" i="2"/>
  <c r="G19" i="2" s="1"/>
  <c r="G17" i="2"/>
  <c r="G18" i="2"/>
  <c r="G10" i="2"/>
  <c r="G6" i="2"/>
  <c r="G5" i="2"/>
  <c r="G4" i="2"/>
  <c r="G7" i="2" s="1"/>
  <c r="C23" i="3"/>
  <c r="D19" i="9" s="1"/>
  <c r="D40" i="9" s="1"/>
  <c r="D41" i="9" s="1"/>
  <c r="C24" i="3"/>
  <c r="B23" i="3"/>
  <c r="B24" i="3"/>
  <c r="D24" i="3"/>
  <c r="E24" i="3"/>
  <c r="F24" i="3"/>
  <c r="F23" i="3"/>
  <c r="F26" i="3"/>
  <c r="G20" i="9" s="1"/>
  <c r="D23" i="3"/>
  <c r="E19" i="9" s="1"/>
  <c r="E40" i="9" s="1"/>
  <c r="E41" i="9" s="1"/>
  <c r="E23" i="3"/>
  <c r="C21" i="3"/>
  <c r="D21" i="3"/>
  <c r="E21" i="3"/>
  <c r="F21" i="3"/>
  <c r="B21" i="3"/>
  <c r="C16" i="3"/>
  <c r="D16" i="3"/>
  <c r="E16" i="3"/>
  <c r="F16" i="3"/>
  <c r="B16" i="3"/>
  <c r="C11" i="3"/>
  <c r="D11" i="3"/>
  <c r="E11" i="3"/>
  <c r="F11" i="3"/>
  <c r="B11" i="3"/>
  <c r="C6" i="3"/>
  <c r="D6" i="3"/>
  <c r="E6" i="3"/>
  <c r="F6" i="3"/>
  <c r="B6" i="3"/>
  <c r="D23" i="9"/>
  <c r="D38" i="9" s="1"/>
  <c r="C19" i="9"/>
  <c r="C40" i="9" s="1"/>
  <c r="C41" i="9" s="1"/>
  <c r="E23" i="9"/>
  <c r="E38" i="9" s="1"/>
  <c r="F23" i="9"/>
  <c r="F38" i="9" s="1"/>
  <c r="C23" i="9"/>
  <c r="C38" i="9" s="1"/>
  <c r="B10" i="9"/>
  <c r="B24" i="9" s="1"/>
  <c r="G23" i="9"/>
  <c r="G38" i="9" s="1"/>
  <c r="G19" i="9"/>
  <c r="G40" i="9" s="1"/>
  <c r="G41" i="9" s="1"/>
  <c r="A46" i="9"/>
  <c r="A44" i="9"/>
  <c r="A45" i="9"/>
  <c r="A37" i="9"/>
  <c r="A38" i="9"/>
  <c r="A41" i="9"/>
  <c r="A42" i="9"/>
  <c r="A43" i="9"/>
  <c r="A36" i="9"/>
  <c r="A35" i="9"/>
  <c r="C34" i="9"/>
  <c r="D34" i="9"/>
  <c r="E34" i="9"/>
  <c r="F34" i="9"/>
  <c r="G34" i="9"/>
  <c r="B34" i="9"/>
  <c r="D24" i="9"/>
  <c r="C24" i="9"/>
  <c r="E24" i="9"/>
  <c r="F24" i="9"/>
  <c r="G24" i="9"/>
  <c r="C9" i="5" l="1"/>
  <c r="P5" i="7"/>
  <c r="G13" i="2"/>
  <c r="D26" i="3"/>
  <c r="E20" i="9" s="1"/>
  <c r="D11" i="1"/>
  <c r="G20" i="8"/>
  <c r="E25" i="9"/>
  <c r="E26" i="3"/>
  <c r="F20" i="9" s="1"/>
  <c r="F21" i="9" s="1"/>
  <c r="F36" i="9" s="1"/>
  <c r="F50" i="1"/>
  <c r="B8" i="8" s="1"/>
  <c r="F45" i="1"/>
  <c r="F5" i="1" s="1"/>
  <c r="F26" i="1" s="1"/>
  <c r="F47" i="1"/>
  <c r="F8" i="1" s="1"/>
  <c r="F48" i="1"/>
  <c r="F53" i="1"/>
  <c r="F51" i="1"/>
  <c r="B9" i="8" s="1"/>
  <c r="F46" i="1"/>
  <c r="B5" i="8" s="1"/>
  <c r="F52" i="1"/>
  <c r="B10" i="8" s="1"/>
  <c r="F49" i="1"/>
  <c r="B7" i="8" s="1"/>
  <c r="F54" i="1"/>
  <c r="F34" i="1" s="1"/>
  <c r="P12" i="7"/>
  <c r="P8" i="7"/>
  <c r="P10" i="7"/>
  <c r="P6" i="7"/>
  <c r="C25" i="9"/>
  <c r="B41" i="9"/>
  <c r="G21" i="9"/>
  <c r="G22" i="9" s="1"/>
  <c r="C42" i="9"/>
  <c r="P4" i="7"/>
  <c r="P11" i="7"/>
  <c r="P9" i="7"/>
  <c r="P7" i="7"/>
  <c r="C26" i="3"/>
  <c r="D20" i="9" s="1"/>
  <c r="D21" i="9" s="1"/>
  <c r="F19" i="9"/>
  <c r="F40" i="9" s="1"/>
  <c r="F41" i="9" s="1"/>
  <c r="G42" i="9" s="1"/>
  <c r="B26" i="3"/>
  <c r="C20" i="9" s="1"/>
  <c r="C21" i="9" s="1"/>
  <c r="G25" i="9"/>
  <c r="D25" i="9"/>
  <c r="D42" i="9"/>
  <c r="F25" i="9"/>
  <c r="D22" i="5"/>
  <c r="D11" i="5"/>
  <c r="E42" i="9"/>
  <c r="G5" i="1"/>
  <c r="E21" i="9"/>
  <c r="E35" i="9"/>
  <c r="D35" i="9"/>
  <c r="D13" i="1"/>
  <c r="D15" i="1" s="1"/>
  <c r="B21" i="7" s="1"/>
  <c r="B20" i="7"/>
  <c r="B11" i="5"/>
  <c r="B22" i="5"/>
  <c r="G35" i="9"/>
  <c r="B19" i="7"/>
  <c r="B4" i="8"/>
  <c r="D21" i="5"/>
  <c r="C9" i="9" l="1"/>
  <c r="G10" i="1"/>
  <c r="F33" i="1"/>
  <c r="F35" i="1" s="1"/>
  <c r="F41" i="1" s="1"/>
  <c r="C11" i="5"/>
  <c r="C22" i="5"/>
  <c r="F35" i="9"/>
  <c r="G7" i="1"/>
  <c r="G9" i="1" s="1"/>
  <c r="P14" i="7"/>
  <c r="F42" i="9"/>
  <c r="B6" i="8"/>
  <c r="B11" i="8"/>
  <c r="F21" i="1"/>
  <c r="F20" i="1"/>
  <c r="F6" i="1"/>
  <c r="F10" i="1"/>
  <c r="F22" i="1"/>
  <c r="C10" i="9" s="1"/>
  <c r="C11" i="9" s="1"/>
  <c r="G36" i="9"/>
  <c r="F22" i="9"/>
  <c r="F37" i="9" s="1"/>
  <c r="P13" i="7"/>
  <c r="B22" i="8" s="1"/>
  <c r="C35" i="9"/>
  <c r="C36" i="9"/>
  <c r="C22" i="9"/>
  <c r="C26" i="9" s="1"/>
  <c r="C28" i="9" s="1"/>
  <c r="H5" i="1"/>
  <c r="G27" i="7"/>
  <c r="H27" i="7"/>
  <c r="I27" i="7"/>
  <c r="E22" i="9"/>
  <c r="E36" i="9"/>
  <c r="G8" i="1"/>
  <c r="H28" i="7"/>
  <c r="I28" i="7"/>
  <c r="G28" i="7"/>
  <c r="G34" i="1"/>
  <c r="G20" i="1"/>
  <c r="G21" i="1"/>
  <c r="G33" i="1"/>
  <c r="G35" i="1" s="1"/>
  <c r="G41" i="1" s="1"/>
  <c r="D14" i="5"/>
  <c r="D23" i="5"/>
  <c r="G29" i="7"/>
  <c r="H29" i="7"/>
  <c r="I29" i="7"/>
  <c r="B23" i="5"/>
  <c r="B14" i="5"/>
  <c r="D22" i="9"/>
  <c r="D36" i="9"/>
  <c r="G26" i="9"/>
  <c r="G37" i="9"/>
  <c r="G43" i="9" s="1"/>
  <c r="G26" i="1"/>
  <c r="G22" i="1"/>
  <c r="G6" i="1"/>
  <c r="G11" i="1" s="1"/>
  <c r="G13" i="1" s="1"/>
  <c r="F11" i="1" l="1"/>
  <c r="F13" i="1" s="1"/>
  <c r="C23" i="5"/>
  <c r="C14" i="5"/>
  <c r="B23" i="8"/>
  <c r="B24" i="8" s="1"/>
  <c r="G23" i="8" s="1"/>
  <c r="J17" i="8" s="1"/>
  <c r="K4" i="8"/>
  <c r="K7" i="8" s="1"/>
  <c r="G24" i="1"/>
  <c r="G30" i="1" s="1"/>
  <c r="F14" i="1"/>
  <c r="F15" i="1" s="1"/>
  <c r="G14" i="1"/>
  <c r="G15" i="1" s="1"/>
  <c r="F24" i="1"/>
  <c r="F30" i="1" s="1"/>
  <c r="F7" i="1"/>
  <c r="F9" i="1" s="1"/>
  <c r="F43" i="9"/>
  <c r="F45" i="9" s="1"/>
  <c r="C7" i="9"/>
  <c r="C8" i="9" s="1"/>
  <c r="C12" i="9" s="1"/>
  <c r="C14" i="9" s="1"/>
  <c r="C6" i="9"/>
  <c r="F26" i="9"/>
  <c r="F28" i="9" s="1"/>
  <c r="J29" i="7"/>
  <c r="G15" i="8" s="1"/>
  <c r="C37" i="9"/>
  <c r="C43" i="9" s="1"/>
  <c r="C45" i="9" s="1"/>
  <c r="B24" i="5"/>
  <c r="B25" i="5"/>
  <c r="B16" i="5"/>
  <c r="B26" i="5" s="1"/>
  <c r="D6" i="9"/>
  <c r="D7" i="9"/>
  <c r="D8" i="9" s="1"/>
  <c r="I5" i="1"/>
  <c r="H20" i="1"/>
  <c r="H34" i="1"/>
  <c r="H22" i="1"/>
  <c r="H21" i="1"/>
  <c r="H6" i="1"/>
  <c r="H7" i="1" s="1"/>
  <c r="H9" i="1" s="1"/>
  <c r="H26" i="1"/>
  <c r="H33" i="1"/>
  <c r="H35" i="1" s="1"/>
  <c r="H41" i="1" s="1"/>
  <c r="H8" i="1"/>
  <c r="D24" i="5"/>
  <c r="D25" i="5"/>
  <c r="D16" i="5"/>
  <c r="D26" i="5" s="1"/>
  <c r="D10" i="9"/>
  <c r="D11" i="9" s="1"/>
  <c r="J28" i="7"/>
  <c r="G14" i="8" s="1"/>
  <c r="J27" i="7"/>
  <c r="G13" i="8" s="1"/>
  <c r="D9" i="9"/>
  <c r="H10" i="1"/>
  <c r="D26" i="9"/>
  <c r="D28" i="9" s="1"/>
  <c r="D37" i="9"/>
  <c r="D43" i="9" s="1"/>
  <c r="D45" i="9" s="1"/>
  <c r="E37" i="9"/>
  <c r="E43" i="9" s="1"/>
  <c r="E45" i="9" s="1"/>
  <c r="E26" i="9"/>
  <c r="E28" i="9" s="1"/>
  <c r="C16" i="5" l="1"/>
  <c r="C26" i="5" s="1"/>
  <c r="C25" i="5"/>
  <c r="C24" i="5"/>
  <c r="G27" i="9"/>
  <c r="G28" i="9" s="1"/>
  <c r="B29" i="9" s="1"/>
  <c r="G6" i="8" s="1"/>
  <c r="G44" i="9"/>
  <c r="G45" i="9" s="1"/>
  <c r="H24" i="1"/>
  <c r="H30" i="1" s="1"/>
  <c r="G17" i="8"/>
  <c r="H11" i="1"/>
  <c r="G16" i="8"/>
  <c r="B46" i="9"/>
  <c r="G7" i="8" s="1"/>
  <c r="E6" i="9"/>
  <c r="J5" i="1"/>
  <c r="I21" i="1"/>
  <c r="I6" i="1"/>
  <c r="I7" i="1" s="1"/>
  <c r="I9" i="1" s="1"/>
  <c r="I20" i="1"/>
  <c r="I26" i="1"/>
  <c r="I34" i="1"/>
  <c r="I33" i="1"/>
  <c r="I35" i="1" s="1"/>
  <c r="I41" i="1" s="1"/>
  <c r="I22" i="1"/>
  <c r="I8" i="1"/>
  <c r="D12" i="9"/>
  <c r="D14" i="9" s="1"/>
  <c r="E9" i="9"/>
  <c r="I10" i="1"/>
  <c r="E10" i="9"/>
  <c r="E11" i="9" s="1"/>
  <c r="I24" i="1" l="1"/>
  <c r="I30" i="1" s="1"/>
  <c r="E7" i="9"/>
  <c r="E8" i="9" s="1"/>
  <c r="E12" i="9" s="1"/>
  <c r="E14" i="9" s="1"/>
  <c r="H13" i="1"/>
  <c r="I11" i="1"/>
  <c r="F7" i="9" s="1"/>
  <c r="F8" i="9" s="1"/>
  <c r="G9" i="8"/>
  <c r="F9" i="9"/>
  <c r="J10" i="1"/>
  <c r="F10" i="9"/>
  <c r="F11" i="9" s="1"/>
  <c r="J33" i="1"/>
  <c r="J8" i="1"/>
  <c r="J20" i="1"/>
  <c r="J21" i="1"/>
  <c r="J34" i="1"/>
  <c r="J6" i="1"/>
  <c r="J26" i="1"/>
  <c r="G9" i="9" s="1"/>
  <c r="J22" i="1"/>
  <c r="J11" i="1" l="1"/>
  <c r="J13" i="1" s="1"/>
  <c r="J14" i="1"/>
  <c r="J15" i="1" s="1"/>
  <c r="F6" i="9"/>
  <c r="I13" i="1"/>
  <c r="J7" i="1"/>
  <c r="J9" i="1" s="1"/>
  <c r="J24" i="1"/>
  <c r="J30" i="1" s="1"/>
  <c r="J35" i="1"/>
  <c r="H14" i="1"/>
  <c r="H15" i="1" s="1"/>
  <c r="G10" i="9"/>
  <c r="G11" i="9" s="1"/>
  <c r="G6" i="9"/>
  <c r="G7" i="9"/>
  <c r="G8" i="9" s="1"/>
  <c r="F12" i="9"/>
  <c r="F14" i="9" s="1"/>
  <c r="I14" i="1" l="1"/>
  <c r="I15" i="1" s="1"/>
  <c r="G12" i="9"/>
  <c r="G13" i="9" s="1"/>
  <c r="G14" i="9" s="1"/>
  <c r="B15" i="9" s="1"/>
  <c r="G5" i="8" s="1"/>
  <c r="G8" i="8" s="1"/>
  <c r="J41" i="1"/>
</calcChain>
</file>

<file path=xl/sharedStrings.xml><?xml version="1.0" encoding="utf-8"?>
<sst xmlns="http://schemas.openxmlformats.org/spreadsheetml/2006/main" count="410" uniqueCount="255">
  <si>
    <t>Target Day Sales Inventory</t>
  </si>
  <si>
    <t>Invetory Projections</t>
  </si>
  <si>
    <t>Premium based on Case Projections</t>
  </si>
  <si>
    <t>High</t>
  </si>
  <si>
    <t>Low</t>
  </si>
  <si>
    <t>Metric</t>
  </si>
  <si>
    <t>EV/EBIT</t>
  </si>
  <si>
    <t>EV/EBITDA</t>
  </si>
  <si>
    <t>P/E</t>
  </si>
  <si>
    <t>Mercury</t>
  </si>
  <si>
    <t>EBITADA</t>
  </si>
  <si>
    <t>Mercury Valuation based on comparables</t>
  </si>
  <si>
    <t>Summary of Comparable Valuation</t>
  </si>
  <si>
    <t>Overall Average</t>
  </si>
  <si>
    <t>Taxes Payable</t>
  </si>
  <si>
    <t>Derivative Liabilities</t>
  </si>
  <si>
    <t>Other</t>
  </si>
  <si>
    <t>Long-Term Debt</t>
  </si>
  <si>
    <t>Deferred Compensation</t>
  </si>
  <si>
    <t>Total Owners Equity</t>
  </si>
  <si>
    <t xml:space="preserve">Margins </t>
  </si>
  <si>
    <t>Equity MV</t>
  </si>
  <si>
    <t>Net Debt</t>
  </si>
  <si>
    <t>D/E</t>
  </si>
  <si>
    <t>LTM Earnings</t>
  </si>
  <si>
    <t>Revenue CAGR-2000-06</t>
  </si>
  <si>
    <t xml:space="preserve">Net Income Margin </t>
  </si>
  <si>
    <t>EBIT Multiple</t>
  </si>
  <si>
    <t>EBITDA Multiple</t>
  </si>
  <si>
    <t>P/E Multiple</t>
  </si>
  <si>
    <t>B/V Multiple</t>
  </si>
  <si>
    <t>D&amp;B Shoe</t>
  </si>
  <si>
    <t>Marina Wilderness</t>
  </si>
  <si>
    <t>General Shoe Corp</t>
  </si>
  <si>
    <t>Kinseley Couler Products</t>
  </si>
  <si>
    <t>Victory Athletic</t>
  </si>
  <si>
    <t>Surfside Footwear</t>
  </si>
  <si>
    <t>Alpine Company</t>
  </si>
  <si>
    <t>Heartland Outdoor Footwear</t>
  </si>
  <si>
    <t>Templeton Athletic</t>
  </si>
  <si>
    <t>Average</t>
  </si>
  <si>
    <t>Historical Information</t>
  </si>
  <si>
    <t>Sales Growth</t>
  </si>
  <si>
    <t>CGS</t>
  </si>
  <si>
    <t>SGA</t>
  </si>
  <si>
    <t>Depreciation/NET ppe t-1</t>
  </si>
  <si>
    <t>Cash</t>
  </si>
  <si>
    <t>A?R</t>
  </si>
  <si>
    <t>PPE/sales</t>
  </si>
  <si>
    <t>AP/sales</t>
  </si>
  <si>
    <t>accruals/sales</t>
  </si>
  <si>
    <t>3 year average</t>
  </si>
  <si>
    <t>Valuation based on Historical Information</t>
  </si>
  <si>
    <t>Projected</t>
  </si>
  <si>
    <t>Actual</t>
  </si>
  <si>
    <t>Op Cash Flows</t>
  </si>
  <si>
    <t>CAPEX</t>
  </si>
  <si>
    <t>WC</t>
  </si>
  <si>
    <t>Investment in WC</t>
  </si>
  <si>
    <t>FCF</t>
  </si>
  <si>
    <t>Cost of Capital Estimation</t>
  </si>
  <si>
    <t>Debt/Value</t>
  </si>
  <si>
    <t>Debt/Equity</t>
  </si>
  <si>
    <t>10 yr treasury(Risk Free Rate)</t>
  </si>
  <si>
    <t>Risk Premium</t>
  </si>
  <si>
    <t>WACC</t>
  </si>
  <si>
    <t>Net FCF</t>
  </si>
  <si>
    <t>Enterprise Value</t>
  </si>
  <si>
    <t>DCF Valuation Summary</t>
  </si>
  <si>
    <t>Model</t>
  </si>
  <si>
    <t>EV</t>
  </si>
  <si>
    <t>Valuation using case projections</t>
  </si>
  <si>
    <t>Valuation  including synergies</t>
  </si>
  <si>
    <t>Valuation Based on Case Projections</t>
  </si>
  <si>
    <t>Revenues</t>
  </si>
  <si>
    <t>Synergy Assumptions</t>
  </si>
  <si>
    <t>Current Day Sales Inventory</t>
  </si>
  <si>
    <t>Premium based on historical</t>
  </si>
  <si>
    <t>Mercury Historical Financial Statements</t>
  </si>
  <si>
    <t>Net Revenue</t>
  </si>
  <si>
    <t xml:space="preserve"> </t>
  </si>
  <si>
    <t>Less Cost of Goods Sold</t>
  </si>
  <si>
    <t>Gross Profit</t>
  </si>
  <si>
    <t>Less Selling, General &amp; Administrative</t>
  </si>
  <si>
    <t>EBITDA</t>
  </si>
  <si>
    <t>Less Depreciation and Amortization</t>
  </si>
  <si>
    <t>EBIT</t>
  </si>
  <si>
    <t>Less Corporate Administrative Charge</t>
  </si>
  <si>
    <t>EBT</t>
  </si>
  <si>
    <t>Less Taxes</t>
  </si>
  <si>
    <t>Net Income</t>
  </si>
  <si>
    <t>Assets</t>
  </si>
  <si>
    <t>Cash and Cash Equivalents</t>
  </si>
  <si>
    <t>Accounts Receivables</t>
  </si>
  <si>
    <t>Inventory</t>
  </si>
  <si>
    <t>Prepaid Expenses</t>
  </si>
  <si>
    <t>Total Current Assets</t>
  </si>
  <si>
    <t>Property Plant and Equipment</t>
  </si>
  <si>
    <t>Trademarks and Other Intangibles</t>
  </si>
  <si>
    <t>Goodwill</t>
  </si>
  <si>
    <t>Other Assets</t>
  </si>
  <si>
    <t>Total Assets</t>
  </si>
  <si>
    <t>Liabilities and Owners Equity</t>
  </si>
  <si>
    <t>Accounts Payable</t>
  </si>
  <si>
    <t>Accrued Expenses</t>
  </si>
  <si>
    <t>Total Current Liabilities</t>
  </si>
  <si>
    <t>Deferred Taxes</t>
  </si>
  <si>
    <t>Pension Obligations</t>
  </si>
  <si>
    <t>Owners Equity</t>
  </si>
  <si>
    <t>Total Liabilities &amp;Owners Equity</t>
  </si>
  <si>
    <t>Men's Athletic</t>
  </si>
  <si>
    <t>Men's Casual</t>
  </si>
  <si>
    <t>Women's Athletic</t>
  </si>
  <si>
    <t>Women's Casual</t>
  </si>
  <si>
    <t>Unallocated Corp</t>
  </si>
  <si>
    <t>Consolidated</t>
  </si>
  <si>
    <t>Fiscal Year 2006</t>
  </si>
  <si>
    <t>Revenue</t>
  </si>
  <si>
    <t>Operating Income</t>
  </si>
  <si>
    <t>Fiscal Year 2005</t>
  </si>
  <si>
    <t>Fiscal Year 2004</t>
  </si>
  <si>
    <t xml:space="preserve"> EBIT Margin</t>
  </si>
  <si>
    <t>EBIT Margin</t>
  </si>
  <si>
    <t>Mercury Athletic Segment Data: 2004-2006 ($000)</t>
  </si>
  <si>
    <t>Less Operating Expense</t>
  </si>
  <si>
    <t>Less Operating Expenses</t>
  </si>
  <si>
    <t>Women's Athetic</t>
  </si>
  <si>
    <t>Consolidated Revenue</t>
  </si>
  <si>
    <t>Less Corporate Overhead</t>
  </si>
  <si>
    <t>Consolidated Operating Inc</t>
  </si>
  <si>
    <t>Estimated Depreciation</t>
  </si>
  <si>
    <t>Estimated Capital Expenditure</t>
  </si>
  <si>
    <t>Projection of Selected Balance Sheet Accounts-2007-2011</t>
  </si>
  <si>
    <t>Cash Used in Operations</t>
  </si>
  <si>
    <t>Accounts Receivable</t>
  </si>
  <si>
    <t>Prepaid Expense</t>
  </si>
  <si>
    <t>Property Plant Equipment</t>
  </si>
  <si>
    <t>other Assets</t>
  </si>
  <si>
    <t>Liabilities</t>
  </si>
  <si>
    <t xml:space="preserve">Active Gear Historical Income Statement </t>
  </si>
  <si>
    <t>Less Selling Expense</t>
  </si>
  <si>
    <t>Less General and Administrative Expense</t>
  </si>
  <si>
    <t>Less Net Interest Expense</t>
  </si>
  <si>
    <t>Less Other Net</t>
  </si>
  <si>
    <t>Revenue Growth</t>
  </si>
  <si>
    <t>Gross Profit Margin</t>
  </si>
  <si>
    <t>EBITDA Margin</t>
  </si>
  <si>
    <t>EBT Margin</t>
  </si>
  <si>
    <t>Tax Rate</t>
  </si>
  <si>
    <t>Net Income Margin</t>
  </si>
  <si>
    <t>Active Wear Historical Balance Sheet</t>
  </si>
  <si>
    <t>Cash and Accounts Receivables</t>
  </si>
  <si>
    <t>Derivative Assets</t>
  </si>
  <si>
    <t>Intangible Assets</t>
  </si>
  <si>
    <t>Balance Sheet</t>
  </si>
  <si>
    <t>Mercury Athletic Footwear: Base Case Projected Segment Performance</t>
  </si>
  <si>
    <t>Mercury Balance Sheet</t>
  </si>
  <si>
    <t>Income Statement</t>
  </si>
  <si>
    <t>Valuation using Historical  Information</t>
  </si>
  <si>
    <t>Overall Median</t>
  </si>
  <si>
    <t>Assumptions and Results Summary</t>
  </si>
  <si>
    <t>Assumptions</t>
  </si>
  <si>
    <t>Valuation of Mercury</t>
  </si>
  <si>
    <t>Valuation Projections including Synergy</t>
  </si>
  <si>
    <t>Total Liabilities and Owners Equity</t>
  </si>
  <si>
    <t>Median</t>
  </si>
  <si>
    <t>Comps</t>
  </si>
  <si>
    <t>Equity Beta</t>
  </si>
  <si>
    <t>Athletic Footwear Industry - Comps</t>
  </si>
  <si>
    <t>Asset Beta</t>
  </si>
  <si>
    <r>
      <t>Cost of Debt(R</t>
    </r>
    <r>
      <rPr>
        <vertAlign val="sub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)</t>
    </r>
  </si>
  <si>
    <r>
      <t>Required return on equity(R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)</t>
    </r>
  </si>
  <si>
    <t>AR</t>
  </si>
  <si>
    <t>SG&amp;A</t>
  </si>
  <si>
    <r>
      <t>EBIT(1-T</t>
    </r>
    <r>
      <rPr>
        <vertAlign val="sub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)</t>
    </r>
  </si>
  <si>
    <t>PV</t>
  </si>
  <si>
    <t>LTM Revenue</t>
  </si>
  <si>
    <t>Active</t>
  </si>
  <si>
    <t>Purchase Offer</t>
  </si>
  <si>
    <t>Terminal Growth Rate</t>
  </si>
  <si>
    <t>Treasury Rates</t>
  </si>
  <si>
    <t>Maturity</t>
  </si>
  <si>
    <t>Rate</t>
  </si>
  <si>
    <t>Cost of Debt</t>
  </si>
  <si>
    <t>Corporate Tax</t>
  </si>
  <si>
    <t>Capital Structure</t>
  </si>
  <si>
    <t>D/V</t>
  </si>
  <si>
    <t>E/V</t>
  </si>
  <si>
    <t xml:space="preserve">Mercury Atheltic &amp; Athletic Gear, Inc. </t>
  </si>
  <si>
    <t xml:space="preserve">FIN 6996 Case #2 </t>
  </si>
  <si>
    <t>GROUP #</t>
  </si>
  <si>
    <t xml:space="preserve">Members: </t>
  </si>
  <si>
    <t>Ali Dakroub</t>
  </si>
  <si>
    <t>Kyle Brown</t>
  </si>
  <si>
    <t>Emelin Corado</t>
  </si>
  <si>
    <t>Hussein Bazzi</t>
  </si>
  <si>
    <t>*Assuming DSI of Mercury will be reduced to AGI's DSI</t>
  </si>
  <si>
    <t>Asset Turnover</t>
  </si>
  <si>
    <t>Return on Equity</t>
  </si>
  <si>
    <t>Return on Net Assets</t>
  </si>
  <si>
    <t>Operating Metrics</t>
  </si>
  <si>
    <t>Mercury Atheltic Footwear</t>
  </si>
  <si>
    <t>Post-Merger Est. Reduction*</t>
  </si>
  <si>
    <t xml:space="preserve">Mercury Atheltic </t>
  </si>
  <si>
    <t>Active Gear</t>
  </si>
  <si>
    <t>Days Sales in Inventory</t>
  </si>
  <si>
    <t xml:space="preserve">Acquisition by Atheltic Gear, Inc. </t>
  </si>
  <si>
    <t>Selected Data on Public Footwear Companies March 15, 2017</t>
  </si>
  <si>
    <t>Equity Market Value</t>
  </si>
  <si>
    <t>Revenue CAGR 2000-06</t>
  </si>
  <si>
    <t xml:space="preserve">Net Inc. Margin </t>
  </si>
  <si>
    <t>D&amp;B Shoe Company</t>
  </si>
  <si>
    <t>General Shoe Corp.</t>
  </si>
  <si>
    <t>Kinsley Coulter Products</t>
  </si>
  <si>
    <t>Calculating Cost of Equity using the CAPM</t>
  </si>
  <si>
    <t>Calculated Equity Beta</t>
  </si>
  <si>
    <t>Risk-free Rate</t>
  </si>
  <si>
    <t>EMRP</t>
  </si>
  <si>
    <t>Cost of Equity</t>
  </si>
  <si>
    <t>Calculating the Weighted Average Cost of Capital</t>
  </si>
  <si>
    <t>Inputs</t>
  </si>
  <si>
    <t>Beta</t>
  </si>
  <si>
    <t>Mkt Premium</t>
  </si>
  <si>
    <t>Risk Free Rate</t>
  </si>
  <si>
    <t>Corporate Tax Rate</t>
  </si>
  <si>
    <t>K</t>
  </si>
  <si>
    <t>Weighted Average Cost of Capital (WACC)</t>
  </si>
  <si>
    <t>Plowback</t>
  </si>
  <si>
    <t>ROE</t>
  </si>
  <si>
    <t>Terminal Growth</t>
  </si>
  <si>
    <t>Discounted Cash Flow Analysis</t>
  </si>
  <si>
    <t>Net Working Capital Accounts</t>
  </si>
  <si>
    <t>Mercury Athletic Footwear: Base Case Projected Segment Performance ($ in thousands)</t>
  </si>
  <si>
    <t>Consolidated Revenues</t>
  </si>
  <si>
    <t>Operating Expenses</t>
  </si>
  <si>
    <t>Corporate Overhead</t>
  </si>
  <si>
    <t>Add: Dep. &amp; Amort.</t>
  </si>
  <si>
    <t>Less: Chg. In NWC</t>
  </si>
  <si>
    <t>Less: CAPEX</t>
  </si>
  <si>
    <t>Less: Taxes (40%)</t>
  </si>
  <si>
    <t>Unlevered FCF</t>
  </si>
  <si>
    <t>Discount Rate (WACC)</t>
  </si>
  <si>
    <t>Discounted Cash Flows</t>
  </si>
  <si>
    <t>n</t>
  </si>
  <si>
    <t>Cost of Capital</t>
  </si>
  <si>
    <t>NPV of Future CFs</t>
  </si>
  <si>
    <t>Tax rate</t>
  </si>
  <si>
    <t>NOPAT</t>
  </si>
  <si>
    <t>Depr'n</t>
  </si>
  <si>
    <t>Cash NOPAT</t>
  </si>
  <si>
    <t xml:space="preserve">Selected Balance Sheet Accounts </t>
  </si>
  <si>
    <t>Mercury Atheltic Footwear- Ratios</t>
  </si>
  <si>
    <t>Weighted Average Cost of Capital using Capital Asset Pricing Model</t>
  </si>
  <si>
    <t>Mercury Case Rates</t>
  </si>
  <si>
    <t>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</si>
</sst>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0.0"/>
    <numFmt numFmtId="168" formatCode="_(* #,##0.0_);_(* \(#,##0.0\);_(* &quot;-&quot;??_);_(@_)"/>
    <numFmt numFmtId="169" formatCode="0.00000000"/>
    <numFmt numFmtId="170" formatCode="_([$$-409]* #,##0_);_([$$-409]* \(#,##0\);_([$$-409]* &quot;-&quot;??_);_(@_)"/>
    <numFmt numFmtId="171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rgb="FFFF0000"/>
      <name val="Times New Roman"/>
      <family val="1"/>
    </font>
    <font>
      <b/>
      <sz val="3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96">
    <xf numFmtId="0" fontId="0" fillId="0" borderId="0" xfId="0"/>
    <xf numFmtId="0" fontId="5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0" xfId="0" applyFont="1" applyFill="1" applyAlignment="1"/>
    <xf numFmtId="0" fontId="7" fillId="3" borderId="0" xfId="0" applyFont="1" applyFill="1" applyAlignment="1"/>
    <xf numFmtId="0" fontId="4" fillId="2" borderId="0" xfId="0" applyFont="1" applyFill="1" applyAlignment="1"/>
    <xf numFmtId="0" fontId="9" fillId="3" borderId="0" xfId="0" applyFont="1" applyFill="1"/>
    <xf numFmtId="0" fontId="10" fillId="3" borderId="0" xfId="0" applyFont="1" applyFill="1"/>
    <xf numFmtId="0" fontId="9" fillId="3" borderId="0" xfId="0" applyFont="1" applyFill="1" applyBorder="1"/>
    <xf numFmtId="0" fontId="11" fillId="3" borderId="0" xfId="0" applyFont="1" applyFill="1" applyBorder="1"/>
    <xf numFmtId="0" fontId="11" fillId="3" borderId="0" xfId="0" applyFont="1" applyFill="1" applyAlignment="1"/>
    <xf numFmtId="0" fontId="12" fillId="3" borderId="0" xfId="0" applyFont="1" applyFill="1" applyBorder="1"/>
    <xf numFmtId="0" fontId="10" fillId="3" borderId="0" xfId="0" applyFont="1" applyFill="1" applyBorder="1"/>
    <xf numFmtId="0" fontId="0" fillId="3" borderId="0" xfId="0" applyFill="1" applyBorder="1"/>
    <xf numFmtId="0" fontId="6" fillId="3" borderId="0" xfId="0" applyFont="1" applyFill="1"/>
    <xf numFmtId="0" fontId="0" fillId="2" borderId="0" xfId="0" applyFill="1" applyAlignment="1"/>
    <xf numFmtId="0" fontId="9" fillId="0" borderId="0" xfId="0" applyFont="1"/>
    <xf numFmtId="0" fontId="0" fillId="3" borderId="0" xfId="0" applyFill="1" applyAlignment="1"/>
    <xf numFmtId="0" fontId="2" fillId="3" borderId="0" xfId="0" applyFont="1" applyFill="1" applyAlignment="1"/>
    <xf numFmtId="0" fontId="9" fillId="3" borderId="0" xfId="0" applyFont="1" applyFill="1" applyAlignment="1">
      <alignment horizontal="center"/>
    </xf>
    <xf numFmtId="0" fontId="9" fillId="2" borderId="0" xfId="0" applyFont="1" applyFill="1"/>
    <xf numFmtId="0" fontId="9" fillId="3" borderId="2" xfId="0" applyFont="1" applyFill="1" applyBorder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11" fillId="3" borderId="7" xfId="0" applyFont="1" applyFill="1" applyBorder="1"/>
    <xf numFmtId="0" fontId="10" fillId="0" borderId="0" xfId="4"/>
    <xf numFmtId="0" fontId="16" fillId="0" borderId="0" xfId="4" applyFont="1"/>
    <xf numFmtId="0" fontId="10" fillId="2" borderId="0" xfId="4" applyFill="1"/>
    <xf numFmtId="0" fontId="10" fillId="3" borderId="0" xfId="4" applyFill="1"/>
    <xf numFmtId="0" fontId="7" fillId="3" borderId="0" xfId="4" applyFont="1" applyFill="1"/>
    <xf numFmtId="0" fontId="9" fillId="3" borderId="0" xfId="4" applyFont="1" applyFill="1"/>
    <xf numFmtId="0" fontId="11" fillId="3" borderId="14" xfId="4" applyFont="1" applyFill="1" applyBorder="1"/>
    <xf numFmtId="0" fontId="9" fillId="3" borderId="15" xfId="4" applyFont="1" applyFill="1" applyBorder="1"/>
    <xf numFmtId="0" fontId="9" fillId="3" borderId="16" xfId="4" applyFont="1" applyFill="1" applyBorder="1"/>
    <xf numFmtId="0" fontId="9" fillId="3" borderId="11" xfId="4" applyFont="1" applyFill="1" applyBorder="1"/>
    <xf numFmtId="0" fontId="11" fillId="3" borderId="3" xfId="4" applyFont="1" applyFill="1" applyBorder="1" applyAlignment="1">
      <alignment horizontal="center"/>
    </xf>
    <xf numFmtId="0" fontId="11" fillId="3" borderId="5" xfId="4" applyFont="1" applyFill="1" applyBorder="1" applyAlignment="1">
      <alignment horizontal="center"/>
    </xf>
    <xf numFmtId="0" fontId="11" fillId="3" borderId="4" xfId="4" applyFont="1" applyFill="1" applyBorder="1" applyAlignment="1">
      <alignment horizontal="center"/>
    </xf>
    <xf numFmtId="0" fontId="9" fillId="6" borderId="11" xfId="4" applyFont="1" applyFill="1" applyBorder="1"/>
    <xf numFmtId="0" fontId="9" fillId="6" borderId="1" xfId="4" applyFont="1" applyFill="1" applyBorder="1"/>
    <xf numFmtId="0" fontId="9" fillId="6" borderId="9" xfId="4" applyFont="1" applyFill="1" applyBorder="1"/>
    <xf numFmtId="0" fontId="9" fillId="3" borderId="19" xfId="4" applyFont="1" applyFill="1" applyBorder="1"/>
    <xf numFmtId="0" fontId="9" fillId="0" borderId="8" xfId="4" applyFont="1" applyBorder="1"/>
    <xf numFmtId="0" fontId="9" fillId="6" borderId="20" xfId="4" applyFont="1" applyFill="1" applyBorder="1"/>
    <xf numFmtId="43" fontId="5" fillId="3" borderId="17" xfId="7" applyFont="1" applyFill="1" applyBorder="1" applyAlignment="1">
      <alignment horizontal="center"/>
    </xf>
    <xf numFmtId="43" fontId="5" fillId="3" borderId="0" xfId="7" applyFont="1" applyFill="1" applyAlignment="1">
      <alignment horizontal="center"/>
    </xf>
    <xf numFmtId="43" fontId="5" fillId="3" borderId="18" xfId="7" applyFont="1" applyFill="1" applyBorder="1" applyAlignment="1">
      <alignment horizontal="center"/>
    </xf>
    <xf numFmtId="0" fontId="17" fillId="3" borderId="19" xfId="4" applyFont="1" applyFill="1" applyBorder="1"/>
    <xf numFmtId="43" fontId="4" fillId="3" borderId="21" xfId="7" applyFont="1" applyFill="1" applyBorder="1" applyAlignment="1">
      <alignment horizontal="left"/>
    </xf>
    <xf numFmtId="0" fontId="4" fillId="3" borderId="3" xfId="7" applyNumberFormat="1" applyFont="1" applyFill="1" applyBorder="1" applyAlignment="1">
      <alignment horizontal="center"/>
    </xf>
    <xf numFmtId="0" fontId="4" fillId="3" borderId="5" xfId="7" applyNumberFormat="1" applyFont="1" applyFill="1" applyBorder="1" applyAlignment="1">
      <alignment horizontal="center"/>
    </xf>
    <xf numFmtId="0" fontId="4" fillId="3" borderId="22" xfId="7" applyNumberFormat="1" applyFont="1" applyFill="1" applyBorder="1" applyAlignment="1">
      <alignment horizontal="center"/>
    </xf>
    <xf numFmtId="43" fontId="5" fillId="3" borderId="17" xfId="7" applyFont="1" applyFill="1" applyBorder="1" applyAlignment="1">
      <alignment horizontal="left"/>
    </xf>
    <xf numFmtId="164" fontId="4" fillId="3" borderId="0" xfId="5" applyNumberFormat="1" applyFont="1" applyFill="1" applyAlignment="1">
      <alignment horizontal="center"/>
    </xf>
    <xf numFmtId="164" fontId="4" fillId="3" borderId="18" xfId="5" applyNumberFormat="1" applyFont="1" applyFill="1" applyBorder="1" applyAlignment="1">
      <alignment horizontal="center"/>
    </xf>
    <xf numFmtId="166" fontId="5" fillId="3" borderId="0" xfId="7" applyNumberFormat="1" applyFont="1" applyFill="1" applyAlignment="1">
      <alignment horizontal="center"/>
    </xf>
    <xf numFmtId="166" fontId="5" fillId="3" borderId="18" xfId="7" applyNumberFormat="1" applyFont="1" applyFill="1" applyBorder="1" applyAlignment="1">
      <alignment horizontal="center"/>
    </xf>
    <xf numFmtId="0" fontId="9" fillId="6" borderId="23" xfId="4" applyFont="1" applyFill="1" applyBorder="1"/>
    <xf numFmtId="0" fontId="9" fillId="3" borderId="3" xfId="4" applyFont="1" applyFill="1" applyBorder="1"/>
    <xf numFmtId="0" fontId="9" fillId="3" borderId="17" xfId="4" applyFont="1" applyFill="1" applyBorder="1"/>
    <xf numFmtId="0" fontId="11" fillId="3" borderId="3" xfId="4" applyFont="1" applyFill="1" applyBorder="1"/>
    <xf numFmtId="43" fontId="4" fillId="3" borderId="17" xfId="7" applyFont="1" applyFill="1" applyBorder="1" applyAlignment="1">
      <alignment horizontal="left"/>
    </xf>
    <xf numFmtId="6" fontId="9" fillId="3" borderId="0" xfId="4" applyNumberFormat="1" applyFont="1" applyFill="1"/>
    <xf numFmtId="0" fontId="11" fillId="3" borderId="19" xfId="4" applyFont="1" applyFill="1" applyBorder="1"/>
    <xf numFmtId="10" fontId="9" fillId="3" borderId="0" xfId="4" applyNumberFormat="1" applyFont="1" applyFill="1"/>
    <xf numFmtId="43" fontId="11" fillId="3" borderId="17" xfId="7" applyFont="1" applyFill="1" applyBorder="1" applyAlignment="1">
      <alignment horizontal="left"/>
    </xf>
    <xf numFmtId="166" fontId="11" fillId="3" borderId="0" xfId="7" applyNumberFormat="1" applyFont="1" applyFill="1" applyAlignment="1">
      <alignment horizontal="left"/>
    </xf>
    <xf numFmtId="166" fontId="11" fillId="3" borderId="0" xfId="7" applyNumberFormat="1" applyFont="1" applyFill="1" applyAlignment="1">
      <alignment horizontal="center"/>
    </xf>
    <xf numFmtId="166" fontId="11" fillId="3" borderId="0" xfId="7" applyNumberFormat="1" applyFont="1" applyFill="1" applyBorder="1" applyAlignment="1">
      <alignment horizontal="center"/>
    </xf>
    <xf numFmtId="0" fontId="18" fillId="3" borderId="24" xfId="4" applyFont="1" applyFill="1" applyBorder="1" applyAlignment="1">
      <alignment horizontal="right"/>
    </xf>
    <xf numFmtId="166" fontId="5" fillId="3" borderId="0" xfId="7" applyNumberFormat="1" applyFont="1" applyFill="1" applyBorder="1" applyAlignment="1">
      <alignment horizontal="center"/>
    </xf>
    <xf numFmtId="0" fontId="11" fillId="3" borderId="0" xfId="4" applyFont="1" applyFill="1"/>
    <xf numFmtId="43" fontId="5" fillId="3" borderId="25" xfId="7" applyFont="1" applyFill="1" applyBorder="1" applyAlignment="1">
      <alignment horizontal="center"/>
    </xf>
    <xf numFmtId="43" fontId="5" fillId="3" borderId="26" xfId="7" applyFont="1" applyFill="1" applyBorder="1" applyAlignment="1">
      <alignment horizontal="center"/>
    </xf>
    <xf numFmtId="43" fontId="5" fillId="3" borderId="27" xfId="7" applyFont="1" applyFill="1" applyBorder="1" applyAlignment="1">
      <alignment horizontal="center"/>
    </xf>
    <xf numFmtId="0" fontId="11" fillId="6" borderId="14" xfId="4" applyFont="1" applyFill="1" applyBorder="1"/>
    <xf numFmtId="0" fontId="9" fillId="6" borderId="15" xfId="4" applyFont="1" applyFill="1" applyBorder="1"/>
    <xf numFmtId="0" fontId="9" fillId="6" borderId="16" xfId="4" applyFont="1" applyFill="1" applyBorder="1"/>
    <xf numFmtId="0" fontId="9" fillId="3" borderId="18" xfId="4" applyFont="1" applyFill="1" applyBorder="1"/>
    <xf numFmtId="6" fontId="9" fillId="3" borderId="18" xfId="4" applyNumberFormat="1" applyFont="1" applyFill="1" applyBorder="1"/>
    <xf numFmtId="0" fontId="9" fillId="3" borderId="25" xfId="4" applyFont="1" applyFill="1" applyBorder="1"/>
    <xf numFmtId="0" fontId="9" fillId="3" borderId="26" xfId="4" applyFont="1" applyFill="1" applyBorder="1"/>
    <xf numFmtId="0" fontId="9" fillId="3" borderId="27" xfId="4" applyFont="1" applyFill="1" applyBorder="1"/>
    <xf numFmtId="0" fontId="9" fillId="0" borderId="0" xfId="4" applyFont="1"/>
    <xf numFmtId="0" fontId="11" fillId="3" borderId="3" xfId="4" applyFont="1" applyFill="1" applyBorder="1" applyAlignment="1">
      <alignment horizontal="center" wrapText="1"/>
    </xf>
    <xf numFmtId="0" fontId="4" fillId="3" borderId="8" xfId="4" applyFont="1" applyFill="1" applyBorder="1" applyAlignment="1">
      <alignment horizontal="center" wrapText="1"/>
    </xf>
    <xf numFmtId="0" fontId="4" fillId="3" borderId="8" xfId="4" applyFont="1" applyFill="1" applyBorder="1" applyAlignment="1">
      <alignment horizontal="center"/>
    </xf>
    <xf numFmtId="0" fontId="4" fillId="6" borderId="9" xfId="4" applyFont="1" applyFill="1" applyBorder="1" applyAlignment="1">
      <alignment horizontal="center" wrapText="1"/>
    </xf>
    <xf numFmtId="0" fontId="9" fillId="3" borderId="8" xfId="4" applyFont="1" applyFill="1" applyBorder="1"/>
    <xf numFmtId="164" fontId="5" fillId="3" borderId="8" xfId="5" applyNumberFormat="1" applyFont="1" applyFill="1" applyBorder="1"/>
    <xf numFmtId="10" fontId="5" fillId="3" borderId="8" xfId="6" applyNumberFormat="1" applyFont="1" applyFill="1" applyBorder="1"/>
    <xf numFmtId="165" fontId="5" fillId="3" borderId="8" xfId="6" applyNumberFormat="1" applyFont="1" applyFill="1" applyBorder="1"/>
    <xf numFmtId="0" fontId="9" fillId="3" borderId="10" xfId="4" applyFont="1" applyFill="1" applyBorder="1"/>
    <xf numFmtId="0" fontId="12" fillId="5" borderId="10" xfId="4" applyFont="1" applyFill="1" applyBorder="1"/>
    <xf numFmtId="164" fontId="11" fillId="7" borderId="10" xfId="4" applyNumberFormat="1" applyFont="1" applyFill="1" applyBorder="1"/>
    <xf numFmtId="10" fontId="11" fillId="7" borderId="10" xfId="4" applyNumberFormat="1" applyFont="1" applyFill="1" applyBorder="1"/>
    <xf numFmtId="2" fontId="11" fillId="7" borderId="10" xfId="4" applyNumberFormat="1" applyFont="1" applyFill="1" applyBorder="1"/>
    <xf numFmtId="164" fontId="11" fillId="7" borderId="10" xfId="5" applyNumberFormat="1" applyFont="1" applyFill="1" applyBorder="1"/>
    <xf numFmtId="10" fontId="11" fillId="5" borderId="10" xfId="4" applyNumberFormat="1" applyFont="1" applyFill="1" applyBorder="1"/>
    <xf numFmtId="165" fontId="11" fillId="5" borderId="10" xfId="4" applyNumberFormat="1" applyFont="1" applyFill="1" applyBorder="1"/>
    <xf numFmtId="167" fontId="11" fillId="5" borderId="11" xfId="4" applyNumberFormat="1" applyFont="1" applyFill="1" applyBorder="1"/>
    <xf numFmtId="167" fontId="11" fillId="5" borderId="10" xfId="4" applyNumberFormat="1" applyFont="1" applyFill="1" applyBorder="1"/>
    <xf numFmtId="0" fontId="11" fillId="0" borderId="8" xfId="4" applyFont="1" applyBorder="1"/>
    <xf numFmtId="164" fontId="11" fillId="0" borderId="8" xfId="4" applyNumberFormat="1" applyFont="1" applyBorder="1"/>
    <xf numFmtId="10" fontId="11" fillId="0" borderId="8" xfId="4" applyNumberFormat="1" applyFont="1" applyBorder="1"/>
    <xf numFmtId="2" fontId="11" fillId="0" borderId="8" xfId="4" applyNumberFormat="1" applyFont="1" applyBorder="1"/>
    <xf numFmtId="165" fontId="11" fillId="0" borderId="8" xfId="4" applyNumberFormat="1" applyFont="1" applyBorder="1"/>
    <xf numFmtId="167" fontId="11" fillId="0" borderId="8" xfId="4" applyNumberFormat="1" applyFont="1" applyBorder="1"/>
    <xf numFmtId="170" fontId="9" fillId="3" borderId="0" xfId="4" applyNumberFormat="1" applyFont="1" applyFill="1"/>
    <xf numFmtId="0" fontId="19" fillId="0" borderId="8" xfId="4" applyFont="1" applyBorder="1"/>
    <xf numFmtId="2" fontId="9" fillId="3" borderId="8" xfId="4" applyNumberFormat="1" applyFont="1" applyFill="1" applyBorder="1" applyAlignment="1">
      <alignment horizontal="right"/>
    </xf>
    <xf numFmtId="10" fontId="9" fillId="3" borderId="8" xfId="4" applyNumberFormat="1" applyFont="1" applyFill="1" applyBorder="1"/>
    <xf numFmtId="0" fontId="9" fillId="0" borderId="10" xfId="4" applyFont="1" applyBorder="1"/>
    <xf numFmtId="10" fontId="9" fillId="0" borderId="10" xfId="4" applyNumberFormat="1" applyFont="1" applyBorder="1"/>
    <xf numFmtId="0" fontId="11" fillId="0" borderId="12" xfId="4" applyFont="1" applyBorder="1"/>
    <xf numFmtId="10" fontId="11" fillId="0" borderId="12" xfId="4" applyNumberFormat="1" applyFont="1" applyBorder="1"/>
    <xf numFmtId="0" fontId="19" fillId="3" borderId="8" xfId="4" applyFont="1" applyFill="1" applyBorder="1"/>
    <xf numFmtId="10" fontId="9" fillId="0" borderId="8" xfId="4" applyNumberFormat="1" applyFont="1" applyBorder="1"/>
    <xf numFmtId="10" fontId="11" fillId="0" borderId="13" xfId="4" applyNumberFormat="1" applyFont="1" applyBorder="1"/>
    <xf numFmtId="0" fontId="6" fillId="3" borderId="8" xfId="4" applyFont="1" applyFill="1" applyBorder="1"/>
    <xf numFmtId="0" fontId="6" fillId="3" borderId="8" xfId="4" applyFont="1" applyFill="1" applyBorder="1" applyAlignment="1">
      <alignment horizontal="center"/>
    </xf>
    <xf numFmtId="0" fontId="11" fillId="3" borderId="8" xfId="4" applyFont="1" applyFill="1" applyBorder="1"/>
    <xf numFmtId="0" fontId="18" fillId="3" borderId="0" xfId="4" applyFont="1" applyFill="1"/>
    <xf numFmtId="0" fontId="20" fillId="3" borderId="0" xfId="4" applyFont="1" applyFill="1"/>
    <xf numFmtId="0" fontId="11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3" borderId="8" xfId="0" applyFont="1" applyFill="1" applyBorder="1"/>
    <xf numFmtId="0" fontId="7" fillId="2" borderId="0" xfId="4" applyFont="1" applyFill="1"/>
    <xf numFmtId="0" fontId="9" fillId="2" borderId="0" xfId="4" applyFont="1" applyFill="1"/>
    <xf numFmtId="0" fontId="16" fillId="2" borderId="0" xfId="4" applyFont="1" applyFill="1"/>
    <xf numFmtId="0" fontId="15" fillId="3" borderId="0" xfId="0" applyFont="1" applyFill="1"/>
    <xf numFmtId="0" fontId="8" fillId="2" borderId="0" xfId="4" applyFont="1" applyFill="1"/>
    <xf numFmtId="43" fontId="4" fillId="6" borderId="17" xfId="7" applyFont="1" applyFill="1" applyBorder="1" applyAlignment="1">
      <alignment horizontal="center"/>
    </xf>
    <xf numFmtId="43" fontId="4" fillId="6" borderId="0" xfId="7" applyFont="1" applyFill="1" applyAlignment="1">
      <alignment horizontal="center"/>
    </xf>
    <xf numFmtId="43" fontId="4" fillId="6" borderId="18" xfId="7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22" fillId="3" borderId="0" xfId="4" applyFont="1" applyFill="1"/>
    <xf numFmtId="0" fontId="11" fillId="3" borderId="8" xfId="4" applyFont="1" applyFill="1" applyBorder="1" applyProtection="1">
      <protection locked="0" hidden="1"/>
    </xf>
    <xf numFmtId="0" fontId="9" fillId="3" borderId="0" xfId="4" applyFont="1" applyFill="1" applyProtection="1">
      <protection locked="0" hidden="1"/>
    </xf>
    <xf numFmtId="0" fontId="9" fillId="3" borderId="8" xfId="4" applyFont="1" applyFill="1" applyBorder="1" applyProtection="1">
      <protection locked="0" hidden="1"/>
    </xf>
    <xf numFmtId="10" fontId="9" fillId="3" borderId="8" xfId="4" applyNumberFormat="1" applyFont="1" applyFill="1" applyBorder="1" applyProtection="1">
      <protection locked="0" hidden="1"/>
    </xf>
    <xf numFmtId="0" fontId="7" fillId="3" borderId="0" xfId="0" applyFont="1" applyFill="1"/>
    <xf numFmtId="0" fontId="5" fillId="3" borderId="8" xfId="0" applyFont="1" applyFill="1" applyBorder="1" applyAlignment="1" applyProtection="1">
      <alignment horizontal="center"/>
      <protection locked="0" hidden="1"/>
    </xf>
    <xf numFmtId="10" fontId="5" fillId="3" borderId="8" xfId="2" applyNumberFormat="1" applyFont="1" applyFill="1" applyBorder="1" applyProtection="1">
      <protection locked="0" hidden="1"/>
    </xf>
    <xf numFmtId="10" fontId="5" fillId="6" borderId="8" xfId="2" applyNumberFormat="1" applyFont="1" applyFill="1" applyBorder="1" applyProtection="1">
      <protection locked="0" hidden="1"/>
    </xf>
    <xf numFmtId="0" fontId="5" fillId="3" borderId="0" xfId="0" applyFont="1" applyFill="1" applyProtection="1">
      <protection locked="0" hidden="1"/>
    </xf>
    <xf numFmtId="10" fontId="5" fillId="3" borderId="8" xfId="0" applyNumberFormat="1" applyFont="1" applyFill="1" applyBorder="1" applyProtection="1">
      <protection locked="0" hidden="1"/>
    </xf>
    <xf numFmtId="0" fontId="5" fillId="3" borderId="4" xfId="0" applyFont="1" applyFill="1" applyBorder="1" applyProtection="1">
      <protection locked="0" hidden="1"/>
    </xf>
    <xf numFmtId="0" fontId="5" fillId="3" borderId="8" xfId="0" applyFont="1" applyFill="1" applyBorder="1" applyProtection="1">
      <protection locked="0" hidden="1"/>
    </xf>
    <xf numFmtId="0" fontId="7" fillId="3" borderId="8" xfId="4" applyFont="1" applyFill="1" applyBorder="1"/>
    <xf numFmtId="0" fontId="9" fillId="6" borderId="4" xfId="4" applyFont="1" applyFill="1" applyBorder="1" applyProtection="1">
      <protection locked="0" hidden="1"/>
    </xf>
    <xf numFmtId="0" fontId="9" fillId="6" borderId="9" xfId="4" applyFont="1" applyFill="1" applyBorder="1" applyProtection="1">
      <protection locked="0" hidden="1"/>
    </xf>
    <xf numFmtId="0" fontId="11" fillId="5" borderId="10" xfId="4" applyFont="1" applyFill="1" applyBorder="1" applyProtection="1">
      <protection locked="0" hidden="1"/>
    </xf>
    <xf numFmtId="169" fontId="11" fillId="6" borderId="8" xfId="4" applyNumberFormat="1" applyFont="1" applyFill="1" applyBorder="1" applyProtection="1">
      <protection locked="0" hidden="1"/>
    </xf>
    <xf numFmtId="166" fontId="9" fillId="3" borderId="0" xfId="4" applyNumberFormat="1" applyFont="1" applyFill="1" applyProtection="1">
      <protection locked="0" hidden="1"/>
    </xf>
    <xf numFmtId="166" fontId="9" fillId="3" borderId="20" xfId="4" applyNumberFormat="1" applyFont="1" applyFill="1" applyBorder="1" applyProtection="1">
      <protection locked="0" hidden="1"/>
    </xf>
    <xf numFmtId="0" fontId="9" fillId="0" borderId="8" xfId="4" applyFont="1" applyBorder="1" applyProtection="1">
      <protection locked="0" hidden="1"/>
    </xf>
    <xf numFmtId="6" fontId="9" fillId="0" borderId="8" xfId="4" applyNumberFormat="1" applyFont="1" applyBorder="1" applyProtection="1">
      <protection locked="0" hidden="1"/>
    </xf>
    <xf numFmtId="166" fontId="5" fillId="3" borderId="0" xfId="6" applyNumberFormat="1" applyFont="1" applyFill="1" applyProtection="1">
      <protection locked="0" hidden="1"/>
    </xf>
    <xf numFmtId="166" fontId="5" fillId="3" borderId="20" xfId="6" applyNumberFormat="1" applyFont="1" applyFill="1" applyBorder="1" applyProtection="1">
      <protection locked="0" hidden="1"/>
    </xf>
    <xf numFmtId="166" fontId="9" fillId="3" borderId="5" xfId="4" applyNumberFormat="1" applyFont="1" applyFill="1" applyBorder="1" applyProtection="1">
      <protection locked="0" hidden="1"/>
    </xf>
    <xf numFmtId="166" fontId="9" fillId="3" borderId="4" xfId="4" applyNumberFormat="1" applyFont="1" applyFill="1" applyBorder="1" applyProtection="1">
      <protection locked="0" hidden="1"/>
    </xf>
    <xf numFmtId="0" fontId="9" fillId="3" borderId="19" xfId="4" applyFont="1" applyFill="1" applyBorder="1" applyProtection="1">
      <protection locked="0" hidden="1"/>
    </xf>
    <xf numFmtId="43" fontId="9" fillId="3" borderId="0" xfId="4" applyNumberFormat="1" applyFont="1" applyFill="1" applyProtection="1">
      <protection locked="0" hidden="1"/>
    </xf>
    <xf numFmtId="43" fontId="9" fillId="3" borderId="19" xfId="4" applyNumberFormat="1" applyFont="1" applyFill="1" applyBorder="1" applyProtection="1">
      <protection locked="0" hidden="1"/>
    </xf>
    <xf numFmtId="10" fontId="9" fillId="3" borderId="0" xfId="4" applyNumberFormat="1" applyFont="1" applyFill="1" applyProtection="1">
      <protection locked="0" hidden="1"/>
    </xf>
    <xf numFmtId="0" fontId="9" fillId="3" borderId="20" xfId="4" applyFont="1" applyFill="1" applyBorder="1" applyProtection="1">
      <protection locked="0" hidden="1"/>
    </xf>
    <xf numFmtId="43" fontId="11" fillId="3" borderId="5" xfId="4" applyNumberFormat="1" applyFont="1" applyFill="1" applyBorder="1" applyProtection="1">
      <protection locked="0" hidden="1"/>
    </xf>
    <xf numFmtId="0" fontId="9" fillId="3" borderId="2" xfId="4" applyFont="1" applyFill="1" applyBorder="1" applyProtection="1">
      <protection locked="0" hidden="1"/>
    </xf>
    <xf numFmtId="0" fontId="9" fillId="3" borderId="23" xfId="4" applyFont="1" applyFill="1" applyBorder="1" applyProtection="1">
      <protection locked="0" hidden="1"/>
    </xf>
    <xf numFmtId="44" fontId="5" fillId="3" borderId="0" xfId="5" applyFont="1" applyFill="1" applyProtection="1">
      <protection locked="0" hidden="1"/>
    </xf>
    <xf numFmtId="8" fontId="9" fillId="3" borderId="0" xfId="4" applyNumberFormat="1" applyFont="1" applyFill="1" applyProtection="1">
      <protection locked="0" hidden="1"/>
    </xf>
    <xf numFmtId="9" fontId="9" fillId="3" borderId="0" xfId="4" applyNumberFormat="1" applyFont="1" applyFill="1" applyProtection="1">
      <protection locked="0" hidden="1"/>
    </xf>
    <xf numFmtId="0" fontId="9" fillId="0" borderId="0" xfId="4" applyFont="1" applyProtection="1">
      <protection locked="0" hidden="1"/>
    </xf>
    <xf numFmtId="0" fontId="7" fillId="3" borderId="0" xfId="0" applyFont="1" applyFill="1" applyAlignment="1" applyProtection="1">
      <protection locked="0" hidden="1"/>
    </xf>
    <xf numFmtId="0" fontId="11" fillId="3" borderId="0" xfId="0" applyFont="1" applyFill="1" applyAlignment="1" applyProtection="1">
      <protection locked="0" hidden="1"/>
    </xf>
    <xf numFmtId="0" fontId="9" fillId="2" borderId="0" xfId="0" applyFont="1" applyFill="1" applyProtection="1">
      <protection locked="0" hidden="1"/>
    </xf>
    <xf numFmtId="0" fontId="12" fillId="3" borderId="0" xfId="0" applyFont="1" applyFill="1" applyProtection="1">
      <protection locked="0" hidden="1"/>
    </xf>
    <xf numFmtId="0" fontId="11" fillId="3" borderId="0" xfId="0" applyFont="1" applyFill="1" applyProtection="1">
      <protection locked="0" hidden="1"/>
    </xf>
    <xf numFmtId="164" fontId="9" fillId="3" borderId="0" xfId="1" applyNumberFormat="1" applyFont="1" applyFill="1" applyProtection="1">
      <protection locked="0" hidden="1"/>
    </xf>
    <xf numFmtId="0" fontId="9" fillId="3" borderId="0" xfId="0" applyFont="1" applyFill="1" applyProtection="1">
      <protection locked="0" hidden="1"/>
    </xf>
    <xf numFmtId="166" fontId="9" fillId="3" borderId="0" xfId="3" applyNumberFormat="1" applyFont="1" applyFill="1" applyProtection="1">
      <protection locked="0" hidden="1"/>
    </xf>
    <xf numFmtId="166" fontId="11" fillId="3" borderId="0" xfId="3" applyNumberFormat="1" applyFont="1" applyFill="1" applyProtection="1">
      <protection locked="0" hidden="1"/>
    </xf>
    <xf numFmtId="0" fontId="9" fillId="3" borderId="2" xfId="0" applyFont="1" applyFill="1" applyBorder="1" applyProtection="1">
      <protection locked="0" hidden="1"/>
    </xf>
    <xf numFmtId="166" fontId="9" fillId="3" borderId="2" xfId="3" applyNumberFormat="1" applyFont="1" applyFill="1" applyBorder="1" applyProtection="1">
      <protection locked="0" hidden="1"/>
    </xf>
    <xf numFmtId="164" fontId="11" fillId="3" borderId="0" xfId="1" applyNumberFormat="1" applyFont="1" applyFill="1" applyProtection="1">
      <protection locked="0" hidden="1"/>
    </xf>
    <xf numFmtId="0" fontId="11" fillId="3" borderId="0" xfId="0" applyFont="1" applyFill="1" applyAlignment="1" applyProtection="1">
      <alignment horizontal="center"/>
      <protection locked="0" hidden="1"/>
    </xf>
    <xf numFmtId="10" fontId="9" fillId="3" borderId="0" xfId="2" applyNumberFormat="1" applyFont="1" applyFill="1" applyProtection="1">
      <protection locked="0" hidden="1"/>
    </xf>
    <xf numFmtId="164" fontId="9" fillId="3" borderId="0" xfId="1" applyNumberFormat="1" applyFont="1" applyFill="1" applyBorder="1" applyProtection="1">
      <protection locked="0" hidden="1"/>
    </xf>
    <xf numFmtId="166" fontId="9" fillId="3" borderId="0" xfId="3" applyNumberFormat="1" applyFont="1" applyFill="1" applyBorder="1" applyProtection="1">
      <protection locked="0" hidden="1"/>
    </xf>
    <xf numFmtId="164" fontId="11" fillId="3" borderId="0" xfId="1" applyNumberFormat="1" applyFont="1" applyFill="1" applyBorder="1" applyProtection="1">
      <protection locked="0" hidden="1"/>
    </xf>
    <xf numFmtId="164" fontId="11" fillId="3" borderId="7" xfId="1" applyNumberFormat="1" applyFont="1" applyFill="1" applyBorder="1" applyProtection="1">
      <protection locked="0" hidden="1"/>
    </xf>
    <xf numFmtId="0" fontId="0" fillId="3" borderId="0" xfId="0" applyFill="1" applyProtection="1">
      <protection locked="0" hidden="1"/>
    </xf>
    <xf numFmtId="0" fontId="9" fillId="2" borderId="0" xfId="0" applyFont="1" applyFill="1" applyAlignment="1" applyProtection="1">
      <alignment horizontal="center"/>
      <protection locked="0" hidden="1"/>
    </xf>
    <xf numFmtId="0" fontId="0" fillId="2" borderId="0" xfId="0" applyFill="1" applyProtection="1">
      <protection locked="0" hidden="1"/>
    </xf>
    <xf numFmtId="0" fontId="11" fillId="3" borderId="0" xfId="0" applyFont="1" applyFill="1" applyAlignment="1" applyProtection="1">
      <alignment horizontal="center"/>
      <protection locked="0" hidden="1"/>
    </xf>
    <xf numFmtId="0" fontId="11" fillId="3" borderId="0" xfId="0" applyFont="1" applyFill="1" applyAlignment="1" applyProtection="1">
      <alignment horizontal="center" wrapText="1"/>
      <protection locked="0" hidden="1"/>
    </xf>
    <xf numFmtId="0" fontId="9" fillId="3" borderId="0" xfId="0" applyFont="1" applyFill="1" applyAlignment="1" applyProtection="1">
      <alignment horizontal="center"/>
      <protection locked="0" hidden="1"/>
    </xf>
    <xf numFmtId="164" fontId="9" fillId="3" borderId="0" xfId="1" applyNumberFormat="1" applyFont="1" applyFill="1" applyAlignment="1" applyProtection="1">
      <alignment horizontal="center"/>
      <protection locked="0" hidden="1"/>
    </xf>
    <xf numFmtId="10" fontId="9" fillId="3" borderId="0" xfId="2" applyNumberFormat="1" applyFont="1" applyFill="1" applyAlignment="1" applyProtection="1">
      <alignment horizontal="center"/>
      <protection locked="0" hidden="1"/>
    </xf>
    <xf numFmtId="0" fontId="9" fillId="3" borderId="0" xfId="0" applyFont="1" applyFill="1" applyBorder="1" applyAlignment="1" applyProtection="1">
      <alignment horizontal="center"/>
      <protection locked="0" hidden="1"/>
    </xf>
    <xf numFmtId="2" fontId="9" fillId="3" borderId="0" xfId="0" applyNumberFormat="1" applyFont="1" applyFill="1" applyAlignment="1" applyProtection="1">
      <alignment horizontal="center"/>
      <protection locked="0" hidden="1"/>
    </xf>
    <xf numFmtId="165" fontId="9" fillId="3" borderId="0" xfId="2" applyNumberFormat="1" applyFont="1" applyFill="1" applyAlignment="1" applyProtection="1">
      <alignment horizontal="center"/>
      <protection locked="0" hidden="1"/>
    </xf>
    <xf numFmtId="0" fontId="11" fillId="4" borderId="0" xfId="0" applyFont="1" applyFill="1" applyBorder="1" applyProtection="1">
      <protection locked="0" hidden="1"/>
    </xf>
    <xf numFmtId="164" fontId="9" fillId="4" borderId="0" xfId="1" applyNumberFormat="1" applyFont="1" applyFill="1" applyBorder="1" applyAlignment="1" applyProtection="1">
      <alignment horizontal="center"/>
      <protection locked="0" hidden="1"/>
    </xf>
    <xf numFmtId="0" fontId="9" fillId="4" borderId="0" xfId="0" applyFont="1" applyFill="1" applyBorder="1" applyAlignment="1" applyProtection="1">
      <alignment horizontal="center"/>
      <protection locked="0" hidden="1"/>
    </xf>
    <xf numFmtId="10" fontId="11" fillId="4" borderId="0" xfId="2" applyNumberFormat="1" applyFont="1" applyFill="1" applyBorder="1" applyAlignment="1" applyProtection="1">
      <alignment horizontal="center"/>
      <protection locked="0" hidden="1"/>
    </xf>
    <xf numFmtId="0" fontId="11" fillId="4" borderId="0" xfId="0" applyFont="1" applyFill="1" applyBorder="1" applyAlignment="1" applyProtection="1">
      <alignment horizontal="center"/>
      <protection locked="0" hidden="1"/>
    </xf>
    <xf numFmtId="164" fontId="11" fillId="4" borderId="0" xfId="1" applyNumberFormat="1" applyFont="1" applyFill="1" applyBorder="1" applyAlignment="1" applyProtection="1">
      <alignment horizontal="center"/>
      <protection locked="0" hidden="1"/>
    </xf>
    <xf numFmtId="165" fontId="11" fillId="4" borderId="0" xfId="2" applyNumberFormat="1" applyFont="1" applyFill="1" applyBorder="1" applyAlignment="1" applyProtection="1">
      <alignment horizontal="center"/>
      <protection locked="0" hidden="1"/>
    </xf>
    <xf numFmtId="2" fontId="11" fillId="4" borderId="0" xfId="0" applyNumberFormat="1" applyFont="1" applyFill="1" applyBorder="1" applyAlignment="1" applyProtection="1">
      <alignment horizontal="center"/>
      <protection locked="0" hidden="1"/>
    </xf>
    <xf numFmtId="167" fontId="11" fillId="4" borderId="0" xfId="2" applyNumberFormat="1" applyFont="1" applyFill="1" applyBorder="1" applyAlignment="1" applyProtection="1">
      <alignment horizontal="center"/>
      <protection locked="0" hidden="1"/>
    </xf>
    <xf numFmtId="2" fontId="11" fillId="4" borderId="0" xfId="2" applyNumberFormat="1" applyFont="1" applyFill="1" applyBorder="1" applyAlignment="1" applyProtection="1">
      <alignment horizontal="center"/>
      <protection locked="0" hidden="1"/>
    </xf>
    <xf numFmtId="0" fontId="11" fillId="3" borderId="0" xfId="0" applyFont="1" applyFill="1" applyBorder="1" applyProtection="1">
      <protection locked="0" hidden="1"/>
    </xf>
    <xf numFmtId="0" fontId="11" fillId="3" borderId="0" xfId="0" applyFont="1" applyFill="1" applyBorder="1" applyAlignment="1" applyProtection="1">
      <alignment horizontal="center"/>
      <protection locked="0" hidden="1"/>
    </xf>
    <xf numFmtId="0" fontId="9" fillId="3" borderId="0" xfId="0" applyFont="1" applyFill="1" applyBorder="1" applyProtection="1">
      <protection locked="0" hidden="1"/>
    </xf>
    <xf numFmtId="164" fontId="9" fillId="3" borderId="0" xfId="1" applyNumberFormat="1" applyFont="1" applyFill="1" applyBorder="1" applyAlignment="1" applyProtection="1">
      <alignment horizontal="center"/>
      <protection locked="0" hidden="1"/>
    </xf>
    <xf numFmtId="164" fontId="9" fillId="3" borderId="2" xfId="1" applyNumberFormat="1" applyFont="1" applyFill="1" applyBorder="1" applyAlignment="1" applyProtection="1">
      <alignment horizontal="center"/>
      <protection locked="0" hidden="1"/>
    </xf>
    <xf numFmtId="0" fontId="11" fillId="3" borderId="3" xfId="0" applyFont="1" applyFill="1" applyBorder="1" applyAlignment="1" applyProtection="1">
      <alignment horizontal="center"/>
      <protection locked="0" hidden="1"/>
    </xf>
    <xf numFmtId="0" fontId="11" fillId="3" borderId="5" xfId="0" applyFont="1" applyFill="1" applyBorder="1" applyAlignment="1" applyProtection="1">
      <alignment horizontal="center"/>
      <protection locked="0" hidden="1"/>
    </xf>
    <xf numFmtId="0" fontId="11" fillId="3" borderId="4" xfId="0" applyFont="1" applyFill="1" applyBorder="1" applyAlignment="1" applyProtection="1">
      <alignment horizontal="center"/>
      <protection locked="0" hidden="1"/>
    </xf>
    <xf numFmtId="164" fontId="11" fillId="3" borderId="0" xfId="1" applyNumberFormat="1" applyFont="1" applyFill="1" applyAlignment="1" applyProtection="1">
      <alignment horizontal="center"/>
      <protection locked="0" hidden="1"/>
    </xf>
    <xf numFmtId="0" fontId="9" fillId="3" borderId="0" xfId="0" applyFont="1" applyFill="1" applyAlignment="1" applyProtection="1">
      <alignment horizontal="center"/>
      <protection locked="0" hidden="1"/>
    </xf>
    <xf numFmtId="164" fontId="9" fillId="3" borderId="0" xfId="0" applyNumberFormat="1" applyFont="1" applyFill="1" applyAlignment="1" applyProtection="1">
      <alignment horizontal="center"/>
      <protection locked="0" hidden="1"/>
    </xf>
    <xf numFmtId="164" fontId="9" fillId="3" borderId="0" xfId="0" applyNumberFormat="1" applyFont="1" applyFill="1" applyProtection="1">
      <protection locked="0" hidden="1"/>
    </xf>
    <xf numFmtId="0" fontId="9" fillId="3" borderId="0" xfId="0" applyFont="1" applyFill="1" applyAlignment="1" applyProtection="1">
      <protection locked="0" hidden="1"/>
    </xf>
    <xf numFmtId="0" fontId="11" fillId="3" borderId="0" xfId="0" applyFont="1" applyFill="1" applyAlignment="1" applyProtection="1">
      <alignment horizontal="right"/>
      <protection locked="0" hidden="1"/>
    </xf>
    <xf numFmtId="0" fontId="11" fillId="0" borderId="8" xfId="4" applyFont="1" applyBorder="1" applyAlignment="1" applyProtection="1">
      <alignment horizontal="center"/>
      <protection locked="0" hidden="1"/>
    </xf>
    <xf numFmtId="165" fontId="9" fillId="3" borderId="0" xfId="0" applyNumberFormat="1" applyFont="1" applyFill="1" applyProtection="1">
      <protection locked="0" hidden="1"/>
    </xf>
    <xf numFmtId="2" fontId="9" fillId="0" borderId="8" xfId="4" applyNumberFormat="1" applyFont="1" applyBorder="1" applyProtection="1">
      <protection locked="0" hidden="1"/>
    </xf>
    <xf numFmtId="9" fontId="9" fillId="0" borderId="8" xfId="4" applyNumberFormat="1" applyFont="1" applyBorder="1" applyProtection="1">
      <protection locked="0" hidden="1"/>
    </xf>
    <xf numFmtId="10" fontId="9" fillId="0" borderId="8" xfId="4" applyNumberFormat="1" applyFont="1" applyBorder="1" applyProtection="1">
      <protection locked="0" hidden="1"/>
    </xf>
    <xf numFmtId="10" fontId="9" fillId="3" borderId="0" xfId="0" applyNumberFormat="1" applyFont="1" applyFill="1" applyProtection="1">
      <protection locked="0" hidden="1"/>
    </xf>
    <xf numFmtId="171" fontId="9" fillId="4" borderId="8" xfId="4" applyNumberFormat="1" applyFont="1" applyFill="1" applyBorder="1" applyProtection="1">
      <protection locked="0" hidden="1"/>
    </xf>
    <xf numFmtId="10" fontId="9" fillId="4" borderId="8" xfId="4" applyNumberFormat="1" applyFont="1" applyFill="1" applyBorder="1" applyProtection="1">
      <protection locked="0" hidden="1"/>
    </xf>
    <xf numFmtId="9" fontId="9" fillId="3" borderId="0" xfId="0" applyNumberFormat="1" applyFont="1" applyFill="1" applyProtection="1">
      <protection locked="0" hidden="1"/>
    </xf>
    <xf numFmtId="9" fontId="9" fillId="3" borderId="0" xfId="2" applyFont="1" applyFill="1" applyProtection="1">
      <protection locked="0" hidden="1"/>
    </xf>
    <xf numFmtId="164" fontId="9" fillId="3" borderId="2" xfId="1" applyNumberFormat="1" applyFont="1" applyFill="1" applyBorder="1" applyProtection="1">
      <protection locked="0" hidden="1"/>
    </xf>
    <xf numFmtId="164" fontId="11" fillId="3" borderId="0" xfId="0" applyNumberFormat="1" applyFont="1" applyFill="1" applyProtection="1">
      <protection locked="0" hidden="1"/>
    </xf>
    <xf numFmtId="6" fontId="11" fillId="3" borderId="11" xfId="0" applyNumberFormat="1" applyFont="1" applyFill="1" applyBorder="1" applyProtection="1">
      <protection locked="0" hidden="1"/>
    </xf>
    <xf numFmtId="165" fontId="11" fillId="3" borderId="31" xfId="0" applyNumberFormat="1" applyFont="1" applyFill="1" applyBorder="1" applyAlignment="1" applyProtection="1">
      <alignment horizontal="right"/>
      <protection locked="0" hidden="1"/>
    </xf>
    <xf numFmtId="165" fontId="11" fillId="3" borderId="10" xfId="0" applyNumberFormat="1" applyFont="1" applyFill="1" applyBorder="1" applyAlignment="1" applyProtection="1">
      <alignment horizontal="right"/>
      <protection locked="0" hidden="1"/>
    </xf>
    <xf numFmtId="9" fontId="11" fillId="3" borderId="32" xfId="0" applyNumberFormat="1" applyFont="1" applyFill="1" applyBorder="1" applyAlignment="1" applyProtection="1">
      <alignment horizontal="center"/>
      <protection locked="0" hidden="1"/>
    </xf>
    <xf numFmtId="164" fontId="9" fillId="4" borderId="29" xfId="1" applyNumberFormat="1" applyFont="1" applyFill="1" applyBorder="1" applyAlignment="1" applyProtection="1">
      <alignment horizontal="center"/>
      <protection locked="0" hidden="1"/>
    </xf>
    <xf numFmtId="164" fontId="9" fillId="3" borderId="30" xfId="1" applyNumberFormat="1" applyFont="1" applyFill="1" applyBorder="1" applyAlignment="1" applyProtection="1">
      <alignment horizontal="center"/>
      <protection locked="0" hidden="1"/>
    </xf>
    <xf numFmtId="9" fontId="11" fillId="3" borderId="3" xfId="0" applyNumberFormat="1" applyFont="1" applyFill="1" applyBorder="1" applyAlignment="1" applyProtection="1">
      <alignment horizontal="center"/>
      <protection locked="0" hidden="1"/>
    </xf>
    <xf numFmtId="164" fontId="9" fillId="3" borderId="28" xfId="1" applyNumberFormat="1" applyFont="1" applyFill="1" applyBorder="1" applyAlignment="1" applyProtection="1">
      <alignment horizontal="center"/>
      <protection locked="0" hidden="1"/>
    </xf>
    <xf numFmtId="164" fontId="9" fillId="4" borderId="8" xfId="1" applyNumberFormat="1" applyFont="1" applyFill="1" applyBorder="1" applyAlignment="1" applyProtection="1">
      <alignment horizontal="center"/>
      <protection locked="0" hidden="1"/>
    </xf>
    <xf numFmtId="164" fontId="9" fillId="3" borderId="8" xfId="1" applyNumberFormat="1" applyFont="1" applyFill="1" applyBorder="1" applyAlignment="1" applyProtection="1">
      <alignment horizontal="center"/>
      <protection locked="0" hidden="1"/>
    </xf>
    <xf numFmtId="6" fontId="11" fillId="3" borderId="0" xfId="0" applyNumberFormat="1" applyFont="1" applyFill="1" applyProtection="1">
      <protection locked="0" hidden="1"/>
    </xf>
    <xf numFmtId="0" fontId="21" fillId="3" borderId="0" xfId="0" applyFont="1" applyFill="1" applyProtection="1">
      <protection locked="0" hidden="1"/>
    </xf>
    <xf numFmtId="164" fontId="9" fillId="3" borderId="10" xfId="1" applyNumberFormat="1" applyFont="1" applyFill="1" applyBorder="1" applyAlignment="1" applyProtection="1">
      <alignment horizontal="center"/>
      <protection locked="0" hidden="1"/>
    </xf>
    <xf numFmtId="164" fontId="9" fillId="3" borderId="3" xfId="1" applyNumberFormat="1" applyFont="1" applyFill="1" applyBorder="1" applyAlignment="1" applyProtection="1">
      <alignment horizontal="center"/>
      <protection locked="0" hidden="1"/>
    </xf>
    <xf numFmtId="164" fontId="9" fillId="4" borderId="12" xfId="1" applyNumberFormat="1" applyFont="1" applyFill="1" applyBorder="1" applyAlignment="1" applyProtection="1">
      <alignment horizontal="center"/>
      <protection locked="0" hidden="1"/>
    </xf>
    <xf numFmtId="164" fontId="9" fillId="3" borderId="4" xfId="1" applyNumberFormat="1" applyFont="1" applyFill="1" applyBorder="1" applyAlignment="1" applyProtection="1">
      <alignment horizontal="center"/>
      <protection locked="0" hidden="1"/>
    </xf>
    <xf numFmtId="2" fontId="9" fillId="3" borderId="0" xfId="0" applyNumberFormat="1" applyFont="1" applyFill="1" applyProtection="1">
      <protection locked="0" hidden="1"/>
    </xf>
    <xf numFmtId="164" fontId="9" fillId="3" borderId="33" xfId="1" applyNumberFormat="1" applyFont="1" applyFill="1" applyBorder="1" applyAlignment="1" applyProtection="1">
      <alignment horizontal="center"/>
      <protection locked="0" hidden="1"/>
    </xf>
    <xf numFmtId="0" fontId="11" fillId="4" borderId="0" xfId="0" applyFont="1" applyFill="1" applyAlignment="1" applyProtection="1">
      <alignment horizontal="right"/>
      <protection locked="0" hidden="1"/>
    </xf>
    <xf numFmtId="6" fontId="11" fillId="4" borderId="0" xfId="0" applyNumberFormat="1" applyFont="1" applyFill="1" applyProtection="1">
      <protection locked="0" hidden="1"/>
    </xf>
    <xf numFmtId="0" fontId="11" fillId="4" borderId="3" xfId="0" applyFont="1" applyFill="1" applyBorder="1" applyProtection="1">
      <protection locked="0" hidden="1"/>
    </xf>
    <xf numFmtId="10" fontId="11" fillId="4" borderId="4" xfId="0" applyNumberFormat="1" applyFont="1" applyFill="1" applyBorder="1" applyProtection="1">
      <protection locked="0" hidden="1"/>
    </xf>
    <xf numFmtId="0" fontId="0" fillId="0" borderId="0" xfId="0" applyProtection="1">
      <protection locked="0" hidden="1"/>
    </xf>
    <xf numFmtId="0" fontId="12" fillId="3" borderId="6" xfId="0" applyFont="1" applyFill="1" applyBorder="1" applyProtection="1">
      <protection locked="0" hidden="1"/>
    </xf>
    <xf numFmtId="164" fontId="9" fillId="3" borderId="6" xfId="1" applyNumberFormat="1" applyFont="1" applyFill="1" applyBorder="1" applyProtection="1">
      <protection locked="0" hidden="1"/>
    </xf>
    <xf numFmtId="166" fontId="9" fillId="3" borderId="6" xfId="3" applyNumberFormat="1" applyFont="1" applyFill="1" applyBorder="1" applyProtection="1">
      <protection locked="0" hidden="1"/>
    </xf>
    <xf numFmtId="166" fontId="11" fillId="3" borderId="6" xfId="3" applyNumberFormat="1" applyFont="1" applyFill="1" applyBorder="1" applyProtection="1">
      <protection locked="0" hidden="1"/>
    </xf>
    <xf numFmtId="164" fontId="11" fillId="3" borderId="6" xfId="0" applyNumberFormat="1" applyFont="1" applyFill="1" applyBorder="1" applyProtection="1">
      <protection locked="0" hidden="1"/>
    </xf>
    <xf numFmtId="0" fontId="9" fillId="3" borderId="6" xfId="0" applyFont="1" applyFill="1" applyBorder="1" applyProtection="1">
      <protection locked="0" hidden="1"/>
    </xf>
    <xf numFmtId="0" fontId="6" fillId="3" borderId="0" xfId="0" applyFont="1" applyFill="1" applyProtection="1">
      <protection locked="0" hidden="1"/>
    </xf>
    <xf numFmtId="0" fontId="13" fillId="3" borderId="0" xfId="0" applyFont="1" applyFill="1" applyProtection="1">
      <protection locked="0" hidden="1"/>
    </xf>
    <xf numFmtId="0" fontId="13" fillId="3" borderId="6" xfId="0" applyFont="1" applyFill="1" applyBorder="1" applyProtection="1">
      <protection locked="0" hidden="1"/>
    </xf>
    <xf numFmtId="164" fontId="11" fillId="3" borderId="6" xfId="1" applyNumberFormat="1" applyFont="1" applyFill="1" applyBorder="1" applyProtection="1">
      <protection locked="0" hidden="1"/>
    </xf>
    <xf numFmtId="166" fontId="9" fillId="3" borderId="0" xfId="0" applyNumberFormat="1" applyFont="1" applyFill="1" applyProtection="1">
      <protection locked="0" hidden="1"/>
    </xf>
    <xf numFmtId="0" fontId="10" fillId="3" borderId="0" xfId="0" applyFont="1" applyFill="1" applyProtection="1">
      <protection locked="0" hidden="1"/>
    </xf>
    <xf numFmtId="0" fontId="7" fillId="3" borderId="0" xfId="0" applyFont="1" applyFill="1" applyProtection="1">
      <protection locked="0" hidden="1"/>
    </xf>
    <xf numFmtId="0" fontId="4" fillId="2" borderId="0" xfId="0" applyFont="1" applyFill="1" applyProtection="1">
      <protection locked="0" hidden="1"/>
    </xf>
    <xf numFmtId="0" fontId="5" fillId="2" borderId="0" xfId="0" applyFont="1" applyFill="1" applyProtection="1">
      <protection locked="0" hidden="1"/>
    </xf>
    <xf numFmtId="0" fontId="12" fillId="3" borderId="1" xfId="0" applyFont="1" applyFill="1" applyBorder="1" applyProtection="1">
      <protection locked="0" hidden="1"/>
    </xf>
    <xf numFmtId="0" fontId="11" fillId="3" borderId="1" xfId="0" applyFont="1" applyFill="1" applyBorder="1" applyProtection="1">
      <protection locked="0" hidden="1"/>
    </xf>
    <xf numFmtId="0" fontId="12" fillId="3" borderId="0" xfId="0" applyFont="1" applyFill="1" applyBorder="1" applyProtection="1">
      <protection locked="0" hidden="1"/>
    </xf>
    <xf numFmtId="0" fontId="10" fillId="3" borderId="0" xfId="0" applyFont="1" applyFill="1" applyBorder="1" applyProtection="1">
      <protection locked="0" hidden="1"/>
    </xf>
    <xf numFmtId="0" fontId="5" fillId="3" borderId="0" xfId="0" applyFont="1" applyFill="1" applyAlignment="1" applyProtection="1">
      <protection locked="0" hidden="1"/>
    </xf>
    <xf numFmtId="164" fontId="9" fillId="3" borderId="0" xfId="1" applyNumberFormat="1" applyFont="1" applyFill="1" applyAlignment="1" applyProtection="1">
      <alignment horizontal="right"/>
      <protection locked="0" hidden="1"/>
    </xf>
    <xf numFmtId="10" fontId="9" fillId="3" borderId="0" xfId="2" applyNumberFormat="1" applyFont="1" applyFill="1" applyAlignment="1" applyProtection="1">
      <alignment horizontal="right"/>
      <protection locked="0" hidden="1"/>
    </xf>
    <xf numFmtId="0" fontId="9" fillId="3" borderId="0" xfId="2" applyNumberFormat="1" applyFont="1" applyFill="1" applyAlignment="1" applyProtection="1">
      <alignment horizontal="right"/>
      <protection locked="0" hidden="1"/>
    </xf>
    <xf numFmtId="0" fontId="9" fillId="3" borderId="0" xfId="0" applyFont="1" applyFill="1" applyAlignment="1" applyProtection="1">
      <alignment horizontal="right"/>
      <protection locked="0" hidden="1"/>
    </xf>
    <xf numFmtId="164" fontId="9" fillId="3" borderId="0" xfId="0" applyNumberFormat="1" applyFont="1" applyFill="1" applyAlignment="1" applyProtection="1">
      <alignment horizontal="right"/>
      <protection locked="0" hidden="1"/>
    </xf>
    <xf numFmtId="164" fontId="9" fillId="3" borderId="0" xfId="0" applyNumberFormat="1" applyFont="1" applyFill="1" applyBorder="1" applyProtection="1">
      <protection locked="0" hidden="1"/>
    </xf>
    <xf numFmtId="168" fontId="9" fillId="5" borderId="0" xfId="3" applyNumberFormat="1" applyFont="1" applyFill="1" applyBorder="1" applyProtection="1">
      <protection locked="0" hidden="1"/>
    </xf>
    <xf numFmtId="168" fontId="9" fillId="5" borderId="2" xfId="3" applyNumberFormat="1" applyFont="1" applyFill="1" applyBorder="1" applyProtection="1">
      <protection locked="0" hidden="1"/>
    </xf>
    <xf numFmtId="168" fontId="11" fillId="5" borderId="0" xfId="3" applyNumberFormat="1" applyFont="1" applyFill="1" applyBorder="1" applyProtection="1">
      <protection locked="0" hidden="1"/>
    </xf>
  </cellXfs>
  <cellStyles count="8">
    <cellStyle name="Comma" xfId="3" builtinId="3"/>
    <cellStyle name="Comma 2" xfId="7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4" xr:uid="{00000000-0005-0000-0000-000005000000}"/>
    <cellStyle name="Percent" xfId="2" builtinId="5"/>
    <cellStyle name="Percent 2" xfId="6" xr:uid="{00000000-0005-0000-0000-00000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Comparison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Valuation!$C$19:$G$19</c:f>
              <c:numCache>
                <c:formatCode>_("$"* #,##0_);_("$"* \(#,##0\);_("$"* "-"??_);_(@_)</c:formatCode>
                <c:ptCount val="5"/>
                <c:pt idx="0">
                  <c:v>479328</c:v>
                </c:pt>
                <c:pt idx="1">
                  <c:v>526566.04</c:v>
                </c:pt>
                <c:pt idx="2">
                  <c:v>570424.80079999997</c:v>
                </c:pt>
                <c:pt idx="3">
                  <c:v>609373.57681600004</c:v>
                </c:pt>
                <c:pt idx="4">
                  <c:v>637552.66835231998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C-4833-8D7D-96DF86B55723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'Mercury Model'!$F$5:$J$5</c:f>
              <c:numCache>
                <c:formatCode>_("$"* #,##0_);_("$"* \(#,##0\);_("$"* "-"??_);_(@_)</c:formatCode>
                <c:ptCount val="5"/>
                <c:pt idx="0">
                  <c:v>486107.75961464405</c:v>
                </c:pt>
                <c:pt idx="1">
                  <c:v>548107.73299739184</c:v>
                </c:pt>
                <c:pt idx="2">
                  <c:v>618015.41125304415</c:v>
                </c:pt>
                <c:pt idx="3">
                  <c:v>696839.37217519013</c:v>
                </c:pt>
                <c:pt idx="4">
                  <c:v>785716.83128253277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C-4833-8D7D-96DF86B55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589816"/>
        <c:axId val="546592872"/>
      </c:barChart>
      <c:catAx>
        <c:axId val="546589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92872"/>
        <c:crosses val="autoZero"/>
        <c:auto val="1"/>
        <c:lblAlgn val="ctr"/>
        <c:lblOffset val="100"/>
        <c:noMultiLvlLbl val="0"/>
      </c:catAx>
      <c:valAx>
        <c:axId val="5465928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5898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 Comparison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Valuation!$C$20:$G$20</c:f>
              <c:numCache>
                <c:formatCode>_(* #,##0_);_(* \(#,##0\);_(* "-"??_);_(@_)</c:formatCode>
                <c:ptCount val="5"/>
                <c:pt idx="0">
                  <c:v>47005</c:v>
                </c:pt>
                <c:pt idx="1">
                  <c:v>56788.804000000004</c:v>
                </c:pt>
                <c:pt idx="2">
                  <c:v>61432.880079999974</c:v>
                </c:pt>
                <c:pt idx="3">
                  <c:v>65591.457681600004</c:v>
                </c:pt>
                <c:pt idx="4">
                  <c:v>68595.566835231963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B-45D4-82B4-501C9AD54149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Valuation!$C$6:$G$6</c:f>
              <c:numCache>
                <c:formatCode>_("$"* #,##0_);_("$"* \(#,##0\);_("$"* "-"??_);_(@_)</c:formatCode>
                <c:ptCount val="5"/>
                <c:pt idx="0">
                  <c:v>47267.727036046948</c:v>
                </c:pt>
                <c:pt idx="1">
                  <c:v>51830.760756963013</c:v>
                </c:pt>
                <c:pt idx="2">
                  <c:v>58441.446811196642</c:v>
                </c:pt>
                <c:pt idx="3">
                  <c:v>65895.284103602433</c:v>
                </c:pt>
                <c:pt idx="4">
                  <c:v>74299.811247358957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B-45D4-82B4-501C9AD54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654472"/>
        <c:axId val="546657528"/>
      </c:barChart>
      <c:catAx>
        <c:axId val="546654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7528"/>
        <c:crosses val="autoZero"/>
        <c:auto val="1"/>
        <c:lblAlgn val="ctr"/>
        <c:lblOffset val="100"/>
        <c:noMultiLvlLbl val="0"/>
      </c:catAx>
      <c:valAx>
        <c:axId val="54665752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544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CAPEX Comparison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Valuation!$C$23:$G$23</c:f>
              <c:numCache>
                <c:formatCode>_(* #,##0_);_(* \(#,##0\);_(* "-"??_);_(@_)</c:formatCode>
                <c:ptCount val="5"/>
                <c:pt idx="0">
                  <c:v>11983</c:v>
                </c:pt>
                <c:pt idx="1">
                  <c:v>12226</c:v>
                </c:pt>
                <c:pt idx="2">
                  <c:v>13303</c:v>
                </c:pt>
                <c:pt idx="3">
                  <c:v>14258</c:v>
                </c:pt>
                <c:pt idx="4">
                  <c:v>14943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6-42FE-AFE5-B8FD948F6C81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Valuation!$C$9:$G$9</c:f>
              <c:numCache>
                <c:formatCode>_(* #,##0_);_(* \(#,##0\);_(* "-"??_);_(@_)</c:formatCode>
                <c:ptCount val="5"/>
                <c:pt idx="0">
                  <c:v>9537.118156105149</c:v>
                </c:pt>
                <c:pt idx="1">
                  <c:v>5376.6189737374661</c:v>
                </c:pt>
                <c:pt idx="2">
                  <c:v>6062.3727529512762</c:v>
                </c:pt>
                <c:pt idx="3">
                  <c:v>6835.5900939318817</c:v>
                </c:pt>
                <c:pt idx="4">
                  <c:v>7707.4264213649512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26-42FE-AFE5-B8FD948F6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692184"/>
        <c:axId val="546695240"/>
      </c:barChart>
      <c:catAx>
        <c:axId val="5466921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95240"/>
        <c:crosses val="autoZero"/>
        <c:auto val="1"/>
        <c:lblAlgn val="ctr"/>
        <c:lblOffset val="100"/>
        <c:noMultiLvlLbl val="0"/>
      </c:catAx>
      <c:valAx>
        <c:axId val="54669524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921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 Comparison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Valuation!$A$17</c:f>
              <c:strCache>
                <c:ptCount val="1"/>
                <c:pt idx="0">
                  <c:v>Valuation Based on Case Projections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Valuation!$C$24:$G$24</c:f>
              <c:numCache>
                <c:formatCode>_(* #,##0_);_(* \(#,##0\);_(* "-"??_);_(@_)</c:formatCode>
                <c:ptCount val="5"/>
                <c:pt idx="0">
                  <c:v>94211</c:v>
                </c:pt>
                <c:pt idx="1">
                  <c:v>96566</c:v>
                </c:pt>
                <c:pt idx="2">
                  <c:v>105069</c:v>
                </c:pt>
                <c:pt idx="3">
                  <c:v>112603</c:v>
                </c:pt>
                <c:pt idx="4">
                  <c:v>118010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4-4D0A-861A-E9636A5439B2}"/>
            </c:ext>
          </c:extLst>
        </c:ser>
        <c:ser>
          <c:idx val="1"/>
          <c:order val="1"/>
          <c:tx>
            <c:strRef>
              <c:f>Valuation!$A$3</c:f>
              <c:strCache>
                <c:ptCount val="1"/>
                <c:pt idx="0">
                  <c:v>Valuation based on Historical Information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Valuation!$C$10:$G$10</c:f>
              <c:numCache>
                <c:formatCode>_(* #,##0_);_(* \(#,##0\);_(* "-"??_);_(@_)</c:formatCode>
                <c:ptCount val="5"/>
                <c:pt idx="0">
                  <c:v>110115.79980808838</c:v>
                </c:pt>
                <c:pt idx="1">
                  <c:v>124160.37433315588</c:v>
                </c:pt>
                <c:pt idx="2">
                  <c:v>139996.24560159669</c:v>
                </c:pt>
                <c:pt idx="3">
                  <c:v>157851.88219514617</c:v>
                </c:pt>
                <c:pt idx="4">
                  <c:v>177984.89241961591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14-4D0A-861A-E9636A543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731304"/>
        <c:axId val="546734360"/>
      </c:barChart>
      <c:catAx>
        <c:axId val="546731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4360"/>
        <c:crosses val="autoZero"/>
        <c:auto val="1"/>
        <c:lblAlgn val="ctr"/>
        <c:lblOffset val="100"/>
        <c:noMultiLvlLbl val="0"/>
      </c:catAx>
      <c:valAx>
        <c:axId val="5467343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130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DCF Valuation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Capital'!$F$5</c:f>
              <c:strCache>
                <c:ptCount val="1"/>
                <c:pt idx="0">
                  <c:v>Valuation using Historical  Information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Capital'!$G$5</c:f>
              <c:numCache>
                <c:formatCode>_("$"* #,##0_);_("$"* \(#,##0\);_("$"* "-"??_);_(@_)</c:formatCode>
                <c:ptCount val="1"/>
                <c:pt idx="0">
                  <c:v>318432.60784694203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A-449E-ABFB-5AF4FFB9A5A1}"/>
            </c:ext>
          </c:extLst>
        </c:ser>
        <c:ser>
          <c:idx val="1"/>
          <c:order val="1"/>
          <c:tx>
            <c:strRef>
              <c:f>'Cost of Capital'!$F$6</c:f>
              <c:strCache>
                <c:ptCount val="1"/>
                <c:pt idx="0">
                  <c:v>Valuation using case projections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Capital'!$G$6</c:f>
              <c:numCache>
                <c:formatCode>_("$"* #,##0_);_("$"* \(#,##0\);_("$"* "-"??_);_(@_)</c:formatCode>
                <c:ptCount val="1"/>
                <c:pt idx="0">
                  <c:v>332006.64519933332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A-449E-ABFB-5AF4FFB9A5A1}"/>
            </c:ext>
          </c:extLst>
        </c:ser>
        <c:ser>
          <c:idx val="2"/>
          <c:order val="2"/>
          <c:tx>
            <c:strRef>
              <c:f>'Cost of Capital'!$F$7</c:f>
              <c:strCache>
                <c:ptCount val="1"/>
                <c:pt idx="0">
                  <c:v>Valuation  including synergies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 of Capital'!$G$7</c:f>
              <c:numCache>
                <c:formatCode>_("$"* #,##0_);_("$"* \(#,##0\);_("$"* "-"??_);_(@_)</c:formatCode>
                <c:ptCount val="1"/>
                <c:pt idx="0">
                  <c:v>369516.04675629397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A-449E-ABFB-5AF4FFB9A5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6804232"/>
        <c:axId val="546807384"/>
      </c:barChart>
      <c:catAx>
        <c:axId val="546804232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07384"/>
        <c:crosses val="autoZero"/>
        <c:auto val="1"/>
        <c:lblAlgn val="ctr"/>
        <c:lblOffset val="100"/>
        <c:noMultiLvlLbl val="0"/>
      </c:catAx>
      <c:valAx>
        <c:axId val="5468073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54680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Capital'!$F$12</c:f>
              <c:strCache>
                <c:ptCount val="1"/>
                <c:pt idx="0">
                  <c:v>Summary of Comparable Valuation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Capital'!$G$16</c:f>
              <c:numCache>
                <c:formatCode>_("$"* #,##0_);_("$"* \(#,##0\);_("$"* "-"??_);_(@_)</c:formatCode>
                <c:ptCount val="1"/>
                <c:pt idx="0">
                  <c:v>510875.72222222219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3-44F5-819A-08D2E9BDC02C}"/>
            </c:ext>
          </c:extLst>
        </c:ser>
        <c:ser>
          <c:idx val="1"/>
          <c:order val="1"/>
          <c:tx>
            <c:strRef>
              <c:f>'Cost of Capital'!$F$5</c:f>
              <c:strCache>
                <c:ptCount val="1"/>
                <c:pt idx="0">
                  <c:v>Valuation using Historical  Information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Capital'!$G$5</c:f>
              <c:numCache>
                <c:formatCode>_("$"* #,##0_);_("$"* \(#,##0\);_("$"* "-"??_);_(@_)</c:formatCode>
                <c:ptCount val="1"/>
                <c:pt idx="0">
                  <c:v>318432.60784694203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3-44F5-819A-08D2E9BDC02C}"/>
            </c:ext>
          </c:extLst>
        </c:ser>
        <c:ser>
          <c:idx val="2"/>
          <c:order val="2"/>
          <c:tx>
            <c:strRef>
              <c:f>'Cost of Capital'!$F$6</c:f>
              <c:strCache>
                <c:ptCount val="1"/>
                <c:pt idx="0">
                  <c:v>Valuation using case projections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'Cost of Capital'!$G$6</c:f>
              <c:numCache>
                <c:formatCode>_("$"* #,##0_);_("$"* \(#,##0\);_("$"* "-"??_);_(@_)</c:formatCode>
                <c:ptCount val="1"/>
                <c:pt idx="0">
                  <c:v>332006.64519933332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3-44F5-819A-08D2E9BD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46847608"/>
        <c:axId val="546850760"/>
      </c:barChart>
      <c:catAx>
        <c:axId val="546847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50760"/>
        <c:crosses val="autoZero"/>
        <c:auto val="1"/>
        <c:lblAlgn val="ctr"/>
        <c:lblOffset val="100"/>
        <c:noMultiLvlLbl val="0"/>
      </c:catAx>
      <c:valAx>
        <c:axId val="54685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4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'Cost of Capital'!$F$8</c:f>
              <c:strCache>
                <c:ptCount val="1"/>
                <c:pt idx="0">
                  <c:v>Premium based on historical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'Cost of Capital'!$G$8</c:f>
              <c:numCache>
                <c:formatCode>_("$"* #,##0_);_("$"* \(#,##0\);_("$"* "-"??_);_(@_)</c:formatCode>
                <c:ptCount val="1"/>
                <c:pt idx="0">
                  <c:v>51083.438909351942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6-4BE2-8CAD-0B82836008ED}"/>
            </c:ext>
          </c:extLst>
        </c:ser>
        <c:ser>
          <c:idx val="1"/>
          <c:order val="1"/>
          <c:tx>
            <c:strRef>
              <c:f>'Cost of Capital'!$F$9</c:f>
              <c:strCache>
                <c:ptCount val="1"/>
                <c:pt idx="0">
                  <c:v>Premium based on Case Projections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'Cost of Capital'!$G$9</c:f>
              <c:numCache>
                <c:formatCode>_("$"* #,##0_);_("$"* \(#,##0\);_("$"* "-"??_);_(@_)</c:formatCode>
                <c:ptCount val="1"/>
                <c:pt idx="0">
                  <c:v>37509.401556960656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6-4BE2-8CAD-0B8283600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883928"/>
        <c:axId val="546886984"/>
      </c:barChart>
      <c:catAx>
        <c:axId val="546883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546886984"/>
        <c:crosses val="autoZero"/>
        <c:auto val="1"/>
        <c:lblAlgn val="ctr"/>
        <c:lblOffset val="100"/>
        <c:noMultiLvlLbl val="0"/>
      </c:catAx>
      <c:valAx>
        <c:axId val="5468869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839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528205</xdr:colOff>
      <xdr:row>3</xdr:row>
      <xdr:rowOff>30090</xdr:rowOff>
    </xdr:from>
    <xdr:to>
      <xdr:col>16</xdr:col>
      <xdr:colOff>251114</xdr:colOff>
      <xdr:row>17</xdr:row>
      <xdr:rowOff>45677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603972</xdr:colOff>
      <xdr:row>19</xdr:row>
      <xdr:rowOff>127506</xdr:rowOff>
    </xdr:from>
    <xdr:to>
      <xdr:col>16</xdr:col>
      <xdr:colOff>326881</xdr:colOff>
      <xdr:row>33</xdr:row>
      <xdr:rowOff>143092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593148</xdr:colOff>
      <xdr:row>35</xdr:row>
      <xdr:rowOff>95033</xdr:rowOff>
    </xdr:from>
    <xdr:to>
      <xdr:col>16</xdr:col>
      <xdr:colOff>316057</xdr:colOff>
      <xdr:row>49</xdr:row>
      <xdr:rowOff>110619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582324</xdr:colOff>
      <xdr:row>51</xdr:row>
      <xdr:rowOff>138327</xdr:rowOff>
    </xdr:from>
    <xdr:to>
      <xdr:col>16</xdr:col>
      <xdr:colOff>305233</xdr:colOff>
      <xdr:row>65</xdr:row>
      <xdr:rowOff>153914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36</xdr:row>
      <xdr:rowOff>33337</xdr:rowOff>
    </xdr:from>
    <xdr:to>
      <xdr:col>5</xdr:col>
      <xdr:colOff>1619250</xdr:colOff>
      <xdr:row>50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1143000</xdr:colOff>
      <xdr:row>54</xdr:row>
      <xdr:rowOff>71437</xdr:rowOff>
    </xdr:from>
    <xdr:to>
      <xdr:col>5</xdr:col>
      <xdr:colOff>1104900</xdr:colOff>
      <xdr:row>72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2162175</xdr:colOff>
      <xdr:row>34</xdr:row>
      <xdr:rowOff>147637</xdr:rowOff>
    </xdr:from>
    <xdr:to>
      <xdr:col>11</xdr:col>
      <xdr:colOff>28575</xdr:colOff>
      <xdr:row>49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d3384/Downloads/MercuryAthletic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G"/>
      <sheetName val="Rates"/>
      <sheetName val="WACC"/>
      <sheetName val="DCF"/>
      <sheetName val="AGI (BS)"/>
      <sheetName val="Terminal Value"/>
      <sheetName val="Sensitvity Analysis"/>
    </sheetNames>
    <sheetDataSet>
      <sheetData sheetId="0"/>
      <sheetData sheetId="1">
        <row r="8">
          <cell r="B8">
            <v>4.7300000000000002E-2</v>
          </cell>
        </row>
        <row r="12">
          <cell r="B12">
            <v>0.06</v>
          </cell>
        </row>
        <row r="13">
          <cell r="B13">
            <v>0.4</v>
          </cell>
        </row>
        <row r="16">
          <cell r="B16">
            <v>0.2</v>
          </cell>
        </row>
        <row r="17">
          <cell r="B17">
            <v>0.8</v>
          </cell>
        </row>
      </sheetData>
      <sheetData sheetId="2">
        <row r="37">
          <cell r="B37">
            <v>0.1079923912082459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5"/>
  <sheetViews>
    <sheetView tabSelected="1" workbookViewId="0"/>
  </sheetViews>
  <sheetFormatPr defaultColWidth="12.54296875" defaultRowHeight="15.5" x14ac:dyDescent="0.35"/>
  <cols>
    <col min="1" max="1" width="18.81640625" style="29" customWidth="1"/>
    <col min="2" max="16384" width="12.54296875" style="29"/>
  </cols>
  <sheetData>
    <row r="1" spans="1:40" ht="45.5" x14ac:dyDescent="0.9">
      <c r="A1" s="141" t="s">
        <v>188</v>
      </c>
      <c r="B1" s="34"/>
      <c r="C1" s="34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</row>
    <row r="2" spans="1:40" x14ac:dyDescent="0.35">
      <c r="A2" s="34" t="s">
        <v>189</v>
      </c>
      <c r="B2" s="34"/>
      <c r="C2" s="34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x14ac:dyDescent="0.35">
      <c r="A3" s="34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ht="17.5" x14ac:dyDescent="0.35">
      <c r="A4" s="123" t="s">
        <v>190</v>
      </c>
      <c r="B4" s="124">
        <v>6</v>
      </c>
      <c r="C4" s="34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x14ac:dyDescent="0.35">
      <c r="A5" s="34"/>
      <c r="B5" s="34"/>
      <c r="C5" s="34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x14ac:dyDescent="0.35">
      <c r="A6" s="92" t="s">
        <v>191</v>
      </c>
      <c r="B6" s="34"/>
      <c r="C6" s="34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ht="17.5" x14ac:dyDescent="0.35">
      <c r="A7" s="123" t="s">
        <v>192</v>
      </c>
      <c r="B7" s="34"/>
      <c r="C7" s="34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ht="17.5" x14ac:dyDescent="0.35">
      <c r="A8" s="123" t="s">
        <v>193</v>
      </c>
      <c r="B8" s="34"/>
      <c r="C8" s="34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</row>
    <row r="9" spans="1:40" ht="17.5" x14ac:dyDescent="0.35">
      <c r="A9" s="123" t="s">
        <v>194</v>
      </c>
      <c r="B9" s="34"/>
      <c r="C9" s="34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17.5" x14ac:dyDescent="0.35">
      <c r="A10" s="123" t="s">
        <v>195</v>
      </c>
      <c r="B10" s="34"/>
      <c r="C10" s="34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x14ac:dyDescent="0.35">
      <c r="A11" s="34"/>
      <c r="B11" s="34"/>
      <c r="C11" s="34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x14ac:dyDescent="0.3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 x14ac:dyDescent="0.3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0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1:40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40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1:40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1:40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1:40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1:40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1:40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1:40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0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1:40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1:40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0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0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0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1:40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1:40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1:40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1:40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1:40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1:40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1:40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1:40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1:40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1:40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1:40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1:40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1:40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1:40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1:40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1:40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1:40" x14ac:dyDescent="0.3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1:40" x14ac:dyDescent="0.3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1:40" x14ac:dyDescent="0.3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1:40" x14ac:dyDescent="0.3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1:40" x14ac:dyDescent="0.3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1:40" x14ac:dyDescent="0.3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1:40" x14ac:dyDescent="0.3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 x14ac:dyDescent="0.3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1:40" x14ac:dyDescent="0.3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1:40" x14ac:dyDescent="0.3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1:40" x14ac:dyDescent="0.3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1:40" x14ac:dyDescent="0.3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1:40" x14ac:dyDescent="0.3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1:40" x14ac:dyDescent="0.3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1:40" x14ac:dyDescent="0.3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1:40" x14ac:dyDescent="0.3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1:40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1:40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1:40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1:40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1:40" x14ac:dyDescent="0.3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1:40" x14ac:dyDescent="0.3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1:40" x14ac:dyDescent="0.3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1:40" x14ac:dyDescent="0.3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1:40" x14ac:dyDescent="0.3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1:40" x14ac:dyDescent="0.3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1:40" x14ac:dyDescent="0.3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1:40" x14ac:dyDescent="0.3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1:40" x14ac:dyDescent="0.3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1:40" x14ac:dyDescent="0.3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1:40" x14ac:dyDescent="0.3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1:40" x14ac:dyDescent="0.3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1:40" x14ac:dyDescent="0.3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1:40" x14ac:dyDescent="0.3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1:40" x14ac:dyDescent="0.3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1:40" x14ac:dyDescent="0.3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1:40" x14ac:dyDescent="0.3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1:40" x14ac:dyDescent="0.3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1:40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1:40" x14ac:dyDescent="0.3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1:40" x14ac:dyDescent="0.3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1:40" x14ac:dyDescent="0.3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1:40" x14ac:dyDescent="0.3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1:40" x14ac:dyDescent="0.3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1:40" x14ac:dyDescent="0.3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1:40" x14ac:dyDescent="0.3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1:40" x14ac:dyDescent="0.3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1:40" x14ac:dyDescent="0.3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1:40" x14ac:dyDescent="0.3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1:40" x14ac:dyDescent="0.3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1:40" x14ac:dyDescent="0.3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1:40" x14ac:dyDescent="0.3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1:40" x14ac:dyDescent="0.3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1:40" x14ac:dyDescent="0.3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1:40" x14ac:dyDescent="0.3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1:40" x14ac:dyDescent="0.3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1:40" x14ac:dyDescent="0.3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1:40" x14ac:dyDescent="0.3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1:40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1:40" x14ac:dyDescent="0.3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1:40" x14ac:dyDescent="0.3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1:40" x14ac:dyDescent="0.3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1:40" x14ac:dyDescent="0.3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1:40" x14ac:dyDescent="0.3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1:40" x14ac:dyDescent="0.3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1:40" x14ac:dyDescent="0.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1:40" x14ac:dyDescent="0.3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1:40" x14ac:dyDescent="0.3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1:40" x14ac:dyDescent="0.3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1:40" x14ac:dyDescent="0.3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1:40" x14ac:dyDescent="0.3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1:40" x14ac:dyDescent="0.3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1:40" x14ac:dyDescent="0.3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1:40" x14ac:dyDescent="0.3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1:40" x14ac:dyDescent="0.3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1:40" x14ac:dyDescent="0.3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1:40" x14ac:dyDescent="0.3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1:40" x14ac:dyDescent="0.3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1:40" x14ac:dyDescent="0.3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1:40" x14ac:dyDescent="0.3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1:40" x14ac:dyDescent="0.3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1:40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1:40" x14ac:dyDescent="0.3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1:40" x14ac:dyDescent="0.3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1:40" x14ac:dyDescent="0.3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1:40" x14ac:dyDescent="0.3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1:40" x14ac:dyDescent="0.3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1:40" x14ac:dyDescent="0.3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1:40" x14ac:dyDescent="0.3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1:40" x14ac:dyDescent="0.3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1:40" x14ac:dyDescent="0.3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1:40" x14ac:dyDescent="0.3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1:40" x14ac:dyDescent="0.3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1:40" x14ac:dyDescent="0.3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1:40" x14ac:dyDescent="0.3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1:40" x14ac:dyDescent="0.3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1:40" x14ac:dyDescent="0.3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1:40" x14ac:dyDescent="0.3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1:40" x14ac:dyDescent="0.3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1:40" x14ac:dyDescent="0.3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1:40" x14ac:dyDescent="0.3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1:40" x14ac:dyDescent="0.3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1:40" x14ac:dyDescent="0.3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1:40" x14ac:dyDescent="0.3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1:40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1:40" x14ac:dyDescent="0.3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1:40" x14ac:dyDescent="0.3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1:40" x14ac:dyDescent="0.3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1:40" x14ac:dyDescent="0.3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1:40" x14ac:dyDescent="0.3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1:40" x14ac:dyDescent="0.3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1:40" x14ac:dyDescent="0.3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1:40" x14ac:dyDescent="0.3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1:40" x14ac:dyDescent="0.3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1:40" x14ac:dyDescent="0.3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1:40" x14ac:dyDescent="0.3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1:40" x14ac:dyDescent="0.3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1:40" x14ac:dyDescent="0.3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1:40" x14ac:dyDescent="0.3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1:40" x14ac:dyDescent="0.3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1:40" x14ac:dyDescent="0.3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1:40" x14ac:dyDescent="0.3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1:40" x14ac:dyDescent="0.3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1:40" x14ac:dyDescent="0.3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1:40" x14ac:dyDescent="0.3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1:40" x14ac:dyDescent="0.3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1:40" x14ac:dyDescent="0.3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1:40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1:40" x14ac:dyDescent="0.3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1:40" x14ac:dyDescent="0.3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1:40" x14ac:dyDescent="0.3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1:40" x14ac:dyDescent="0.3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1:40" x14ac:dyDescent="0.3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1:40" x14ac:dyDescent="0.3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1:40" x14ac:dyDescent="0.3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</row>
    <row r="205" spans="1:40" x14ac:dyDescent="0.3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</row>
    <row r="206" spans="1:40" x14ac:dyDescent="0.3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</row>
    <row r="207" spans="1:40" x14ac:dyDescent="0.3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</row>
    <row r="208" spans="1:40" x14ac:dyDescent="0.3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</row>
    <row r="209" spans="1:40" x14ac:dyDescent="0.3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spans="1:40" x14ac:dyDescent="0.3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</row>
    <row r="211" spans="1:40" x14ac:dyDescent="0.3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</row>
    <row r="212" spans="1:40" x14ac:dyDescent="0.3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</row>
    <row r="213" spans="1:40" x14ac:dyDescent="0.3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</row>
    <row r="214" spans="1:40" x14ac:dyDescent="0.3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</row>
    <row r="215" spans="1:40" x14ac:dyDescent="0.3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</row>
    <row r="216" spans="1:40" x14ac:dyDescent="0.3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</row>
    <row r="217" spans="1:40" x14ac:dyDescent="0.3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</row>
    <row r="218" spans="1:40" x14ac:dyDescent="0.3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</row>
    <row r="219" spans="1:40" x14ac:dyDescent="0.3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</row>
    <row r="220" spans="1:40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</row>
    <row r="221" spans="1:40" x14ac:dyDescent="0.3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</row>
    <row r="222" spans="1:40" x14ac:dyDescent="0.3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</row>
    <row r="223" spans="1:40" x14ac:dyDescent="0.3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</row>
    <row r="224" spans="1:40" x14ac:dyDescent="0.3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</row>
    <row r="225" spans="1:40" x14ac:dyDescent="0.3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</row>
    <row r="226" spans="1:40" x14ac:dyDescent="0.3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</row>
    <row r="227" spans="1:40" x14ac:dyDescent="0.3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</row>
    <row r="228" spans="1:40" x14ac:dyDescent="0.3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</row>
    <row r="229" spans="1:40" x14ac:dyDescent="0.3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</row>
    <row r="230" spans="1:40" x14ac:dyDescent="0.3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spans="1:40" x14ac:dyDescent="0.3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spans="1:40" x14ac:dyDescent="0.3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</row>
    <row r="233" spans="1:40" x14ac:dyDescent="0.3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</row>
    <row r="234" spans="1:40" x14ac:dyDescent="0.3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</row>
    <row r="235" spans="1:40" x14ac:dyDescent="0.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</row>
    <row r="236" spans="1:40" x14ac:dyDescent="0.3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</row>
    <row r="237" spans="1:40" x14ac:dyDescent="0.3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</row>
    <row r="238" spans="1:40" x14ac:dyDescent="0.3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</row>
    <row r="239" spans="1:40" x14ac:dyDescent="0.3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</row>
    <row r="240" spans="1:40" x14ac:dyDescent="0.3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</row>
    <row r="241" spans="1:40" x14ac:dyDescent="0.3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</row>
    <row r="242" spans="1:40" x14ac:dyDescent="0.3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</row>
    <row r="243" spans="1:40" x14ac:dyDescent="0.3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</row>
    <row r="244" spans="1:40" x14ac:dyDescent="0.3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</row>
    <row r="245" spans="1:40" x14ac:dyDescent="0.3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</row>
    <row r="246" spans="1:40" x14ac:dyDescent="0.3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</row>
    <row r="247" spans="1:40" x14ac:dyDescent="0.3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</row>
    <row r="248" spans="1:40" x14ac:dyDescent="0.3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</row>
    <row r="249" spans="1:40" x14ac:dyDescent="0.3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</row>
    <row r="250" spans="1:40" x14ac:dyDescent="0.3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</row>
    <row r="251" spans="1:40" x14ac:dyDescent="0.3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spans="1:40" x14ac:dyDescent="0.3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</row>
    <row r="253" spans="1:40" x14ac:dyDescent="0.3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</row>
    <row r="254" spans="1:40" x14ac:dyDescent="0.3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</row>
    <row r="255" spans="1:40" x14ac:dyDescent="0.3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</row>
    <row r="256" spans="1:40" x14ac:dyDescent="0.3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</row>
    <row r="257" spans="1:40" x14ac:dyDescent="0.3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</row>
    <row r="258" spans="1:40" x14ac:dyDescent="0.3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</row>
    <row r="259" spans="1:40" x14ac:dyDescent="0.3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</row>
    <row r="260" spans="1:40" x14ac:dyDescent="0.3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</row>
    <row r="261" spans="1:40" x14ac:dyDescent="0.3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</row>
    <row r="262" spans="1:40" x14ac:dyDescent="0.3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</row>
    <row r="263" spans="1:40" x14ac:dyDescent="0.3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</row>
    <row r="264" spans="1:40" x14ac:dyDescent="0.3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</row>
    <row r="265" spans="1:40" x14ac:dyDescent="0.3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1"/>
  <sheetViews>
    <sheetView workbookViewId="0"/>
  </sheetViews>
  <sheetFormatPr defaultColWidth="18.81640625" defaultRowHeight="15.5" x14ac:dyDescent="0.35"/>
  <cols>
    <col min="1" max="1" width="35.26953125" style="30" bestFit="1" customWidth="1"/>
    <col min="2" max="16384" width="18.81640625" style="30"/>
  </cols>
  <sheetData>
    <row r="1" spans="1:37" ht="20" x14ac:dyDescent="0.4">
      <c r="A1" s="33" t="s">
        <v>251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s="134" customFormat="1" ht="20" x14ac:dyDescent="0.4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</row>
    <row r="3" spans="1:37" x14ac:dyDescent="0.35">
      <c r="A3" s="126" t="s">
        <v>206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7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 x14ac:dyDescent="0.35">
      <c r="A5" s="125" t="s">
        <v>205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7" x14ac:dyDescent="0.35">
      <c r="A6" s="92" t="s">
        <v>204</v>
      </c>
      <c r="B6" s="142">
        <v>42.5</v>
      </c>
      <c r="C6" s="143"/>
      <c r="D6" s="14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 x14ac:dyDescent="0.35">
      <c r="A7" s="92" t="s">
        <v>203</v>
      </c>
      <c r="B7" s="142">
        <v>61.1</v>
      </c>
      <c r="C7" s="143"/>
      <c r="D7" s="14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 x14ac:dyDescent="0.35">
      <c r="A8" s="92" t="s">
        <v>202</v>
      </c>
      <c r="B8" s="144">
        <f>B7-B6</f>
        <v>18.600000000000001</v>
      </c>
      <c r="C8" s="143"/>
      <c r="D8" s="14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 x14ac:dyDescent="0.35">
      <c r="A9" s="34"/>
      <c r="B9" s="143"/>
      <c r="C9" s="143"/>
      <c r="D9" s="14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7" x14ac:dyDescent="0.35">
      <c r="A10" s="34"/>
      <c r="B10" s="143"/>
      <c r="C10" s="143"/>
      <c r="D10" s="14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7" x14ac:dyDescent="0.35">
      <c r="A11" s="92" t="s">
        <v>201</v>
      </c>
      <c r="B11" s="143"/>
      <c r="C11" s="143"/>
      <c r="D11" s="14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x14ac:dyDescent="0.35">
      <c r="A12" s="92" t="s">
        <v>200</v>
      </c>
      <c r="B12" s="142">
        <v>2004</v>
      </c>
      <c r="C12" s="142">
        <v>2005</v>
      </c>
      <c r="D12" s="142">
        <v>2006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x14ac:dyDescent="0.35">
      <c r="A13" s="92" t="s">
        <v>199</v>
      </c>
      <c r="B13" s="145">
        <v>0.17</v>
      </c>
      <c r="C13" s="145">
        <v>8.5999999999999993E-2</v>
      </c>
      <c r="D13" s="145">
        <v>0.111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 x14ac:dyDescent="0.35">
      <c r="A14" s="92" t="s">
        <v>198</v>
      </c>
      <c r="B14" s="145">
        <v>0.185</v>
      </c>
      <c r="C14" s="145">
        <v>9.6000000000000002E-2</v>
      </c>
      <c r="D14" s="145">
        <v>0.121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 x14ac:dyDescent="0.35">
      <c r="A15" s="92" t="s">
        <v>197</v>
      </c>
      <c r="B15" s="144">
        <v>2.4</v>
      </c>
      <c r="C15" s="144">
        <v>1.4</v>
      </c>
      <c r="D15" s="144">
        <v>1.6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x14ac:dyDescent="0.3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 x14ac:dyDescent="0.3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 x14ac:dyDescent="0.35">
      <c r="A18" s="127" t="s">
        <v>196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 x14ac:dyDescent="0.3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1:37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1:37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1:37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1:37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7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1:37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1:37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</row>
    <row r="35" spans="1:37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1:37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1:37" x14ac:dyDescent="0.3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 spans="1:37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1:37" x14ac:dyDescent="0.3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1:37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1:37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:37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37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37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</row>
    <row r="59" spans="1:37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37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1:37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1:37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spans="1:37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37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1:37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</row>
    <row r="77" spans="1:37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</row>
    <row r="78" spans="1:37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</row>
    <row r="79" spans="1:37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</row>
    <row r="80" spans="1:37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</row>
    <row r="81" spans="1:37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</row>
    <row r="82" spans="1:37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</row>
    <row r="83" spans="1:37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</row>
    <row r="84" spans="1:37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</row>
    <row r="85" spans="1:37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</row>
    <row r="86" spans="1:37" x14ac:dyDescent="0.3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</row>
    <row r="87" spans="1:37" x14ac:dyDescent="0.3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</row>
    <row r="88" spans="1:37" x14ac:dyDescent="0.3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</row>
    <row r="89" spans="1:37" x14ac:dyDescent="0.3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</row>
    <row r="90" spans="1:37" x14ac:dyDescent="0.3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spans="1:37" x14ac:dyDescent="0.3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1:37" x14ac:dyDescent="0.3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</row>
    <row r="93" spans="1:37" x14ac:dyDescent="0.3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</row>
    <row r="94" spans="1:37" x14ac:dyDescent="0.3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</row>
    <row r="95" spans="1:37" x14ac:dyDescent="0.3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 spans="1:37" x14ac:dyDescent="0.3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spans="1:37" x14ac:dyDescent="0.3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x14ac:dyDescent="0.3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spans="1:37" x14ac:dyDescent="0.3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x14ac:dyDescent="0.3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spans="1:37" x14ac:dyDescent="0.3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spans="1:37" x14ac:dyDescent="0.3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</row>
    <row r="103" spans="1:37" x14ac:dyDescent="0.3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</row>
    <row r="104" spans="1:37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</row>
    <row r="105" spans="1:37" x14ac:dyDescent="0.3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</row>
    <row r="106" spans="1:37" x14ac:dyDescent="0.3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</row>
    <row r="107" spans="1:37" x14ac:dyDescent="0.3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</row>
    <row r="108" spans="1:37" x14ac:dyDescent="0.3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</row>
    <row r="109" spans="1:37" x14ac:dyDescent="0.3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</row>
    <row r="110" spans="1:37" x14ac:dyDescent="0.3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</row>
    <row r="111" spans="1:37" x14ac:dyDescent="0.3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</row>
    <row r="112" spans="1:37" x14ac:dyDescent="0.3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</row>
    <row r="113" spans="1:37" x14ac:dyDescent="0.3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</row>
    <row r="114" spans="1:37" x14ac:dyDescent="0.3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</row>
    <row r="115" spans="1:37" x14ac:dyDescent="0.3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</row>
    <row r="116" spans="1:37" x14ac:dyDescent="0.3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</row>
    <row r="117" spans="1:37" x14ac:dyDescent="0.3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</row>
    <row r="118" spans="1:37" x14ac:dyDescent="0.3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</row>
    <row r="119" spans="1:37" x14ac:dyDescent="0.3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</row>
    <row r="120" spans="1:37" x14ac:dyDescent="0.3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</row>
    <row r="121" spans="1:37" x14ac:dyDescent="0.3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</row>
    <row r="122" spans="1:37" x14ac:dyDescent="0.3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</row>
    <row r="123" spans="1:37" x14ac:dyDescent="0.3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</row>
    <row r="124" spans="1:37" x14ac:dyDescent="0.3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</row>
    <row r="125" spans="1:37" x14ac:dyDescent="0.3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</row>
    <row r="126" spans="1:37" x14ac:dyDescent="0.3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</row>
    <row r="127" spans="1:37" x14ac:dyDescent="0.3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</row>
    <row r="128" spans="1:37" x14ac:dyDescent="0.3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</row>
    <row r="129" spans="1:37" x14ac:dyDescent="0.3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</row>
    <row r="130" spans="1:37" x14ac:dyDescent="0.3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</row>
    <row r="131" spans="1:37" x14ac:dyDescent="0.3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spans="1:37" x14ac:dyDescent="0.3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</row>
    <row r="133" spans="1:37" x14ac:dyDescent="0.3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spans="1:37" x14ac:dyDescent="0.3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</row>
    <row r="135" spans="1:37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spans="1:37" x14ac:dyDescent="0.3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</row>
    <row r="137" spans="1:37" x14ac:dyDescent="0.3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spans="1:37" x14ac:dyDescent="0.3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</row>
    <row r="139" spans="1:37" x14ac:dyDescent="0.3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spans="1:37" x14ac:dyDescent="0.3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</row>
    <row r="141" spans="1:37" x14ac:dyDescent="0.3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spans="1:37" x14ac:dyDescent="0.3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</row>
    <row r="143" spans="1:37" x14ac:dyDescent="0.3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</row>
    <row r="144" spans="1:37" x14ac:dyDescent="0.3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</row>
    <row r="145" spans="1:37" x14ac:dyDescent="0.3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</row>
    <row r="146" spans="1:37" x14ac:dyDescent="0.3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</row>
    <row r="147" spans="1:37" x14ac:dyDescent="0.3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</row>
    <row r="148" spans="1:37" x14ac:dyDescent="0.3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</row>
    <row r="149" spans="1:37" x14ac:dyDescent="0.3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</row>
    <row r="150" spans="1:37" x14ac:dyDescent="0.3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</row>
    <row r="151" spans="1:37" x14ac:dyDescent="0.3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</row>
    <row r="152" spans="1:37" x14ac:dyDescent="0.3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</row>
    <row r="153" spans="1:37" x14ac:dyDescent="0.3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</row>
    <row r="154" spans="1:37" x14ac:dyDescent="0.3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</row>
    <row r="155" spans="1:37" x14ac:dyDescent="0.3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</row>
    <row r="156" spans="1:37" x14ac:dyDescent="0.3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</row>
    <row r="157" spans="1:37" x14ac:dyDescent="0.3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</row>
    <row r="158" spans="1:37" x14ac:dyDescent="0.3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</row>
    <row r="159" spans="1:37" x14ac:dyDescent="0.3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</row>
    <row r="160" spans="1:37" x14ac:dyDescent="0.3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</row>
    <row r="161" spans="1:37" x14ac:dyDescent="0.3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</row>
    <row r="162" spans="1:37" x14ac:dyDescent="0.3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</row>
    <row r="163" spans="1:37" x14ac:dyDescent="0.3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</row>
    <row r="164" spans="1:37" x14ac:dyDescent="0.3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</row>
    <row r="165" spans="1:37" x14ac:dyDescent="0.3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</row>
    <row r="166" spans="1:37" x14ac:dyDescent="0.3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</row>
    <row r="167" spans="1:37" x14ac:dyDescent="0.3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</row>
    <row r="168" spans="1:37" x14ac:dyDescent="0.3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</row>
    <row r="169" spans="1:37" x14ac:dyDescent="0.3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</row>
    <row r="170" spans="1:37" x14ac:dyDescent="0.3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</row>
    <row r="171" spans="1:37" x14ac:dyDescent="0.3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</row>
    <row r="172" spans="1:37" x14ac:dyDescent="0.3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</row>
    <row r="173" spans="1:37" x14ac:dyDescent="0.3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</row>
    <row r="174" spans="1:37" x14ac:dyDescent="0.3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</row>
    <row r="175" spans="1:37" x14ac:dyDescent="0.3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</row>
    <row r="176" spans="1:37" x14ac:dyDescent="0.3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</row>
    <row r="177" spans="1:37" x14ac:dyDescent="0.3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</row>
    <row r="178" spans="1:37" x14ac:dyDescent="0.3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</row>
    <row r="179" spans="1:37" x14ac:dyDescent="0.3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</row>
    <row r="180" spans="1:37" x14ac:dyDescent="0.3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</row>
    <row r="181" spans="1:37" x14ac:dyDescent="0.3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</row>
    <row r="182" spans="1:37" x14ac:dyDescent="0.3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</row>
    <row r="183" spans="1:37" x14ac:dyDescent="0.3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</row>
    <row r="184" spans="1:37" x14ac:dyDescent="0.3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</row>
    <row r="185" spans="1:37" x14ac:dyDescent="0.3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</row>
    <row r="186" spans="1:37" x14ac:dyDescent="0.3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</row>
    <row r="187" spans="1:37" x14ac:dyDescent="0.3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</row>
    <row r="188" spans="1:37" x14ac:dyDescent="0.3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</row>
    <row r="189" spans="1:37" x14ac:dyDescent="0.3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</row>
    <row r="190" spans="1:37" x14ac:dyDescent="0.3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</row>
    <row r="191" spans="1:37" x14ac:dyDescent="0.3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</row>
    <row r="192" spans="1:37" x14ac:dyDescent="0.3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</row>
    <row r="193" spans="1:37" x14ac:dyDescent="0.3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</row>
    <row r="194" spans="1:37" x14ac:dyDescent="0.3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</row>
    <row r="195" spans="1:37" x14ac:dyDescent="0.3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</row>
    <row r="196" spans="1:37" x14ac:dyDescent="0.3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</row>
    <row r="197" spans="1:37" x14ac:dyDescent="0.3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</row>
    <row r="198" spans="1:37" x14ac:dyDescent="0.3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</row>
    <row r="199" spans="1:37" x14ac:dyDescent="0.3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</row>
    <row r="200" spans="1:37" x14ac:dyDescent="0.3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</row>
    <row r="201" spans="1:37" x14ac:dyDescent="0.3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</row>
    <row r="202" spans="1:37" x14ac:dyDescent="0.3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</row>
    <row r="203" spans="1:37" x14ac:dyDescent="0.3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</row>
    <row r="204" spans="1:37" x14ac:dyDescent="0.3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</row>
    <row r="205" spans="1:37" x14ac:dyDescent="0.3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</row>
    <row r="206" spans="1:37" x14ac:dyDescent="0.3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</row>
    <row r="207" spans="1:37" x14ac:dyDescent="0.3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</row>
    <row r="208" spans="1:37" x14ac:dyDescent="0.3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</row>
    <row r="209" spans="1:37" x14ac:dyDescent="0.3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</row>
    <row r="210" spans="1:37" x14ac:dyDescent="0.3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</row>
    <row r="211" spans="1:37" x14ac:dyDescent="0.3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</row>
    <row r="212" spans="1:37" x14ac:dyDescent="0.3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</row>
    <row r="213" spans="1:37" x14ac:dyDescent="0.3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</row>
    <row r="214" spans="1:37" x14ac:dyDescent="0.3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</row>
    <row r="215" spans="1:37" x14ac:dyDescent="0.3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</row>
    <row r="216" spans="1:37" x14ac:dyDescent="0.3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</row>
    <row r="217" spans="1:37" x14ac:dyDescent="0.3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</row>
    <row r="218" spans="1:37" x14ac:dyDescent="0.3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</row>
    <row r="219" spans="1:37" x14ac:dyDescent="0.3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</row>
    <row r="220" spans="1:37" x14ac:dyDescent="0.3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</row>
    <row r="221" spans="1:37" x14ac:dyDescent="0.3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</row>
    <row r="222" spans="1:37" x14ac:dyDescent="0.3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</row>
    <row r="223" spans="1:37" x14ac:dyDescent="0.3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</row>
    <row r="224" spans="1:37" x14ac:dyDescent="0.3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</row>
    <row r="225" spans="1:37" x14ac:dyDescent="0.3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</row>
    <row r="226" spans="1:37" x14ac:dyDescent="0.3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</row>
    <row r="227" spans="1:37" x14ac:dyDescent="0.3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</row>
    <row r="228" spans="1:37" x14ac:dyDescent="0.3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</row>
    <row r="229" spans="1:37" x14ac:dyDescent="0.3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</row>
    <row r="230" spans="1:37" x14ac:dyDescent="0.3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</row>
    <row r="231" spans="1:37" x14ac:dyDescent="0.3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</row>
    <row r="232" spans="1:37" x14ac:dyDescent="0.3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</row>
    <row r="233" spans="1:37" x14ac:dyDescent="0.3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</row>
    <row r="234" spans="1:37" x14ac:dyDescent="0.3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</row>
    <row r="235" spans="1:37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</row>
    <row r="236" spans="1:37" x14ac:dyDescent="0.3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</row>
    <row r="237" spans="1:37" x14ac:dyDescent="0.3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</row>
    <row r="238" spans="1:37" x14ac:dyDescent="0.3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</row>
    <row r="239" spans="1:37" x14ac:dyDescent="0.3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</row>
    <row r="240" spans="1:37" x14ac:dyDescent="0.3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</row>
    <row r="241" spans="1:37" x14ac:dyDescent="0.3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</row>
    <row r="242" spans="1:37" x14ac:dyDescent="0.3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</row>
    <row r="243" spans="1:37" x14ac:dyDescent="0.3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</row>
    <row r="244" spans="1:37" x14ac:dyDescent="0.3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</row>
    <row r="245" spans="1:37" x14ac:dyDescent="0.3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</row>
    <row r="246" spans="1:37" x14ac:dyDescent="0.3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</row>
    <row r="247" spans="1:37" x14ac:dyDescent="0.3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</row>
    <row r="248" spans="1:37" x14ac:dyDescent="0.3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</row>
    <row r="249" spans="1:37" x14ac:dyDescent="0.3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</row>
    <row r="250" spans="1:37" x14ac:dyDescent="0.3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</row>
    <row r="251" spans="1:37" x14ac:dyDescent="0.3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</row>
    <row r="252" spans="1:37" x14ac:dyDescent="0.3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</row>
    <row r="253" spans="1:37" x14ac:dyDescent="0.3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</row>
    <row r="254" spans="1:37" x14ac:dyDescent="0.3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</row>
    <row r="255" spans="1:37" x14ac:dyDescent="0.3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</row>
    <row r="256" spans="1:37" x14ac:dyDescent="0.3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</row>
    <row r="257" spans="1:37" x14ac:dyDescent="0.3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</row>
    <row r="258" spans="1:37" x14ac:dyDescent="0.3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</row>
    <row r="259" spans="1:37" x14ac:dyDescent="0.3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</row>
    <row r="260" spans="1:37" x14ac:dyDescent="0.3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</row>
    <row r="261" spans="1:37" x14ac:dyDescent="0.3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</row>
    <row r="262" spans="1:37" x14ac:dyDescent="0.3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</row>
    <row r="263" spans="1:37" x14ac:dyDescent="0.3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</row>
    <row r="264" spans="1:37" x14ac:dyDescent="0.3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</row>
    <row r="265" spans="1:37" x14ac:dyDescent="0.3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</row>
    <row r="266" spans="1:37" x14ac:dyDescent="0.3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</row>
    <row r="267" spans="1:37" x14ac:dyDescent="0.3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</row>
    <row r="268" spans="1:37" x14ac:dyDescent="0.3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</row>
    <row r="269" spans="1:37" x14ac:dyDescent="0.3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</row>
    <row r="270" spans="1:37" x14ac:dyDescent="0.3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</row>
    <row r="271" spans="1:37" x14ac:dyDescent="0.3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</row>
    <row r="272" spans="1:37" x14ac:dyDescent="0.3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</row>
    <row r="273" spans="1:37" x14ac:dyDescent="0.3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</row>
    <row r="274" spans="1:37" x14ac:dyDescent="0.3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</row>
    <row r="275" spans="1:37" x14ac:dyDescent="0.3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</row>
    <row r="276" spans="1:37" x14ac:dyDescent="0.3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</row>
    <row r="277" spans="1:37" x14ac:dyDescent="0.3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</row>
    <row r="278" spans="1:37" x14ac:dyDescent="0.3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</row>
    <row r="279" spans="1:37" x14ac:dyDescent="0.3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</row>
    <row r="280" spans="1:37" x14ac:dyDescent="0.3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</row>
    <row r="281" spans="1:37" x14ac:dyDescent="0.3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</row>
  </sheetData>
  <sheetProtection algorithmName="SHA-512" hashValue="DGNytZdSPioO2+yViFDLfDlNzqDLofQ2Jt932c0fnKiB5viQarRD/z8WxOJ0gLERhBaQsSdmEmPwHbKeK7oiBQ==" saltValue="iI39ioeTMliwwMCemrdr5Q==" spinCount="100000" sheet="1" objects="1" scenario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94"/>
  <sheetViews>
    <sheetView workbookViewId="0"/>
  </sheetViews>
  <sheetFormatPr defaultRowHeight="14.5" x14ac:dyDescent="0.35"/>
  <cols>
    <col min="1" max="1" width="14.81640625" bestFit="1" customWidth="1"/>
  </cols>
  <sheetData>
    <row r="1" spans="1:49" ht="20" x14ac:dyDescent="0.4">
      <c r="A1" s="146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2" customFormat="1" x14ac:dyDescent="0.35"/>
    <row r="3" spans="1:49" ht="15.5" x14ac:dyDescent="0.35">
      <c r="A3" s="128" t="s">
        <v>180</v>
      </c>
      <c r="B3" s="6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9" x14ac:dyDescent="0.35">
      <c r="A4" s="129" t="s">
        <v>181</v>
      </c>
      <c r="B4" s="147" t="s">
        <v>182</v>
      </c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9" x14ac:dyDescent="0.35">
      <c r="A5" s="129">
        <v>1</v>
      </c>
      <c r="B5" s="148">
        <v>4.4999999999999998E-2</v>
      </c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9" x14ac:dyDescent="0.35">
      <c r="A6" s="129">
        <v>5</v>
      </c>
      <c r="B6" s="148">
        <v>4.6899999999999997E-2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9" x14ac:dyDescent="0.35">
      <c r="A7" s="130">
        <v>10</v>
      </c>
      <c r="B7" s="149">
        <v>4.7300000000000002E-2</v>
      </c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9" x14ac:dyDescent="0.35">
      <c r="A8" s="129">
        <v>20</v>
      </c>
      <c r="B8" s="148">
        <v>4.9299999999999997E-2</v>
      </c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9" x14ac:dyDescent="0.35">
      <c r="A9" s="6"/>
      <c r="B9" s="150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9" x14ac:dyDescent="0.35">
      <c r="A10" s="6"/>
      <c r="B10" s="150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9" ht="15.5" x14ac:dyDescent="0.35">
      <c r="A11" s="128" t="s">
        <v>183</v>
      </c>
      <c r="B11" s="151">
        <v>0.06</v>
      </c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9" ht="15.5" x14ac:dyDescent="0.35">
      <c r="A12" s="128" t="s">
        <v>184</v>
      </c>
      <c r="B12" s="151">
        <v>0.4</v>
      </c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9" x14ac:dyDescent="0.35">
      <c r="A13" s="6"/>
      <c r="B13" s="150"/>
      <c r="C13" s="6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9" ht="15.5" x14ac:dyDescent="0.35">
      <c r="A14" s="128" t="s">
        <v>185</v>
      </c>
      <c r="B14" s="152"/>
      <c r="C14" s="6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9" x14ac:dyDescent="0.35">
      <c r="A15" s="131" t="s">
        <v>186</v>
      </c>
      <c r="B15" s="153">
        <v>0.2</v>
      </c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9" x14ac:dyDescent="0.35">
      <c r="A16" s="131" t="s">
        <v>187</v>
      </c>
      <c r="B16" s="153">
        <f>1-B15</f>
        <v>0.8</v>
      </c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35">
      <c r="A17" s="6"/>
      <c r="B17" s="6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35">
      <c r="A18" s="6"/>
      <c r="B18" s="6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35">
      <c r="A19" s="6"/>
      <c r="B19" s="6"/>
      <c r="C19" s="6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35">
      <c r="A20" s="6"/>
      <c r="B20" s="6"/>
      <c r="C20" s="6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5">
      <c r="A21" s="6"/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5">
      <c r="A22" s="6"/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1:4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</sheetData>
  <sheetProtection algorithmName="SHA-512" hashValue="k55FwUB04kapaEn1JU/S9jtzHulPI6RfpE5cOJyP6zmwHmY9+njZM1odqULilqSWAhgwNprO0iyRyeMudam6rA==" saltValue="LRhQCVDw9dhOBLzl3UEF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89"/>
  <sheetViews>
    <sheetView workbookViewId="0"/>
  </sheetViews>
  <sheetFormatPr defaultColWidth="12.54296875" defaultRowHeight="15.5" x14ac:dyDescent="0.35"/>
  <cols>
    <col min="1" max="1" width="52.54296875" style="29" bestFit="1" customWidth="1"/>
    <col min="2" max="2" width="15.81640625" style="29" bestFit="1" customWidth="1"/>
    <col min="3" max="3" width="14.453125" style="29" bestFit="1" customWidth="1"/>
    <col min="4" max="4" width="15" style="29" customWidth="1"/>
    <col min="5" max="5" width="13.26953125" style="29" bestFit="1" customWidth="1"/>
    <col min="6" max="6" width="15.81640625" style="29" bestFit="1" customWidth="1"/>
    <col min="7" max="7" width="14.453125" style="29" bestFit="1" customWidth="1"/>
    <col min="8" max="16384" width="12.54296875" style="29"/>
  </cols>
  <sheetData>
    <row r="1" spans="1:54" ht="20" x14ac:dyDescent="0.4">
      <c r="A1" s="154" t="s">
        <v>252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</row>
    <row r="2" spans="1:54" s="31" customFormat="1" x14ac:dyDescent="0.3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</row>
    <row r="3" spans="1:54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</row>
    <row r="4" spans="1:54" ht="42.5" x14ac:dyDescent="0.35">
      <c r="A4" s="88" t="s">
        <v>207</v>
      </c>
      <c r="B4" s="89" t="s">
        <v>208</v>
      </c>
      <c r="C4" s="89" t="s">
        <v>22</v>
      </c>
      <c r="D4" s="90" t="s">
        <v>23</v>
      </c>
      <c r="E4" s="89" t="s">
        <v>167</v>
      </c>
      <c r="F4" s="89" t="s">
        <v>176</v>
      </c>
      <c r="G4" s="89" t="s">
        <v>24</v>
      </c>
      <c r="H4" s="89" t="s">
        <v>209</v>
      </c>
      <c r="I4" s="89" t="s">
        <v>122</v>
      </c>
      <c r="J4" s="89" t="s">
        <v>146</v>
      </c>
      <c r="K4" s="89" t="s">
        <v>210</v>
      </c>
      <c r="L4" s="89" t="s">
        <v>27</v>
      </c>
      <c r="M4" s="89" t="s">
        <v>28</v>
      </c>
      <c r="N4" s="89" t="s">
        <v>29</v>
      </c>
      <c r="O4" s="89" t="s">
        <v>30</v>
      </c>
      <c r="P4" s="91" t="s">
        <v>169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</row>
    <row r="5" spans="1:54" x14ac:dyDescent="0.35">
      <c r="A5" s="92" t="s">
        <v>211</v>
      </c>
      <c r="B5" s="93">
        <v>420098</v>
      </c>
      <c r="C5" s="93">
        <v>125442</v>
      </c>
      <c r="D5" s="94">
        <v>0.29899999999999999</v>
      </c>
      <c r="E5" s="92">
        <v>2.68</v>
      </c>
      <c r="F5" s="93">
        <v>2545058</v>
      </c>
      <c r="G5" s="93">
        <v>67679</v>
      </c>
      <c r="H5" s="94">
        <v>6.6000000000000003E-2</v>
      </c>
      <c r="I5" s="94">
        <v>4.3999999999999997E-2</v>
      </c>
      <c r="J5" s="94">
        <v>6.0999999999999999E-2</v>
      </c>
      <c r="K5" s="94">
        <v>2.7E-2</v>
      </c>
      <c r="L5" s="92">
        <v>5.5</v>
      </c>
      <c r="M5" s="92">
        <v>3.9</v>
      </c>
      <c r="N5" s="92">
        <v>6.8</v>
      </c>
      <c r="O5" s="92">
        <v>0.9</v>
      </c>
      <c r="P5" s="155">
        <f>(B5/(B5+(C5*(1-tax))))*'WACC-CAPM'!E5</f>
        <v>2.2728023397781669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</row>
    <row r="6" spans="1:54" x14ac:dyDescent="0.35">
      <c r="A6" s="92" t="s">
        <v>32</v>
      </c>
      <c r="B6" s="93">
        <v>1205795</v>
      </c>
      <c r="C6" s="93">
        <v>-91559</v>
      </c>
      <c r="D6" s="94">
        <v>-7.5999999999999998E-2</v>
      </c>
      <c r="E6" s="92">
        <v>1.94</v>
      </c>
      <c r="F6" s="93">
        <v>313556</v>
      </c>
      <c r="G6" s="93">
        <v>41923</v>
      </c>
      <c r="H6" s="94">
        <v>0.17799999999999999</v>
      </c>
      <c r="I6" s="95">
        <v>0.221</v>
      </c>
      <c r="J6" s="94">
        <v>0.23100000000000001</v>
      </c>
      <c r="K6" s="95">
        <v>0.13400000000000001</v>
      </c>
      <c r="L6" s="92">
        <v>18</v>
      </c>
      <c r="M6" s="92">
        <v>16.899999999999999</v>
      </c>
      <c r="N6" s="92">
        <v>31.6</v>
      </c>
      <c r="O6" s="92">
        <v>6</v>
      </c>
      <c r="P6" s="155">
        <f>(B6/(B6+(C6*(1-tax))))*'WACC-CAPM'!E6</f>
        <v>2.032604411519876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</row>
    <row r="7" spans="1:54" x14ac:dyDescent="0.35">
      <c r="A7" s="92" t="s">
        <v>212</v>
      </c>
      <c r="B7" s="93">
        <v>533463</v>
      </c>
      <c r="C7" s="93">
        <v>171835</v>
      </c>
      <c r="D7" s="94">
        <v>0.32200000000000001</v>
      </c>
      <c r="E7" s="92">
        <v>1.92</v>
      </c>
      <c r="F7" s="93">
        <v>1322392</v>
      </c>
      <c r="G7" s="93">
        <v>64567</v>
      </c>
      <c r="H7" s="94">
        <v>0.112</v>
      </c>
      <c r="I7" s="95">
        <v>8.7999999999999995E-2</v>
      </c>
      <c r="J7" s="94">
        <v>0.115</v>
      </c>
      <c r="K7" s="95">
        <v>4.9000000000000002E-2</v>
      </c>
      <c r="L7" s="92">
        <v>6.8</v>
      </c>
      <c r="M7" s="92">
        <v>5.0999999999999996</v>
      </c>
      <c r="N7" s="92">
        <v>9.1</v>
      </c>
      <c r="O7" s="92">
        <v>1.6</v>
      </c>
      <c r="P7" s="155">
        <f>(B7/(B7+(C7*(1-tax))))*'WACC-CAPM'!E7</f>
        <v>1.6090274662092108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</row>
    <row r="8" spans="1:54" x14ac:dyDescent="0.35">
      <c r="A8" s="92" t="s">
        <v>213</v>
      </c>
      <c r="B8" s="93">
        <v>165560</v>
      </c>
      <c r="C8" s="93">
        <v>82236</v>
      </c>
      <c r="D8" s="94">
        <v>0.497</v>
      </c>
      <c r="E8" s="92">
        <v>1.1200000000000001</v>
      </c>
      <c r="F8" s="93">
        <v>552594</v>
      </c>
      <c r="G8" s="93">
        <v>27568</v>
      </c>
      <c r="H8" s="94">
        <v>4.5999999999999999E-2</v>
      </c>
      <c r="I8" s="95">
        <v>6.9000000000000006E-2</v>
      </c>
      <c r="J8" s="94">
        <v>8.8999999999999996E-2</v>
      </c>
      <c r="K8" s="95">
        <v>0.05</v>
      </c>
      <c r="L8" s="92">
        <v>7.3</v>
      </c>
      <c r="M8" s="92">
        <v>5.5</v>
      </c>
      <c r="N8" s="92">
        <v>6.6</v>
      </c>
      <c r="O8" s="92">
        <v>0.7</v>
      </c>
      <c r="P8" s="155">
        <f>(B8/(B8+(C8*(1-tax))))*'WACC-CAPM'!E8</f>
        <v>0.8628469960205043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</row>
    <row r="9" spans="1:54" x14ac:dyDescent="0.35">
      <c r="A9" s="92" t="s">
        <v>35</v>
      </c>
      <c r="B9" s="93">
        <v>35303250</v>
      </c>
      <c r="C9" s="93">
        <v>7653207</v>
      </c>
      <c r="D9" s="94">
        <v>0.217</v>
      </c>
      <c r="E9" s="92">
        <v>0.97</v>
      </c>
      <c r="F9" s="93">
        <v>15403547</v>
      </c>
      <c r="G9" s="93">
        <v>1433760</v>
      </c>
      <c r="H9" s="94">
        <v>7.9000000000000001E-2</v>
      </c>
      <c r="I9" s="95">
        <v>0.14099999999999999</v>
      </c>
      <c r="J9" s="94">
        <v>0.16</v>
      </c>
      <c r="K9" s="95">
        <v>9.2999999999999999E-2</v>
      </c>
      <c r="L9" s="92">
        <v>22.1</v>
      </c>
      <c r="M9" s="92">
        <v>19.2</v>
      </c>
      <c r="N9" s="92">
        <v>27.1</v>
      </c>
      <c r="O9" s="92">
        <v>6</v>
      </c>
      <c r="P9" s="155">
        <f>(B9/(B9+(C9*(1-tax))))*'WACC-CAPM'!E9</f>
        <v>0.85835325165718901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</row>
    <row r="10" spans="1:54" x14ac:dyDescent="0.35">
      <c r="A10" s="92" t="s">
        <v>36</v>
      </c>
      <c r="B10" s="93">
        <v>570684</v>
      </c>
      <c r="C10" s="93">
        <v>195540</v>
      </c>
      <c r="D10" s="94">
        <v>0.34300000000000003</v>
      </c>
      <c r="E10" s="92">
        <v>2.13</v>
      </c>
      <c r="F10" s="93">
        <v>1241529</v>
      </c>
      <c r="G10" s="93">
        <v>73124</v>
      </c>
      <c r="H10" s="94">
        <v>0.10100000000000001</v>
      </c>
      <c r="I10" s="95">
        <v>9.2999999999999999E-2</v>
      </c>
      <c r="J10" s="94">
        <v>0.108</v>
      </c>
      <c r="K10" s="95">
        <v>5.8999999999999997E-2</v>
      </c>
      <c r="L10" s="92">
        <v>7.4</v>
      </c>
      <c r="M10" s="92">
        <v>6.3</v>
      </c>
      <c r="N10" s="92">
        <v>8.6</v>
      </c>
      <c r="O10" s="92">
        <v>1.4</v>
      </c>
      <c r="P10" s="155">
        <f>(B10/(B10+(C10*(1-tax))))*'WACC-CAPM'!E10</f>
        <v>1.766777304915059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</row>
    <row r="11" spans="1:54" x14ac:dyDescent="0.35">
      <c r="A11" s="92" t="s">
        <v>37</v>
      </c>
      <c r="B11" s="93">
        <v>1056033</v>
      </c>
      <c r="C11" s="93">
        <v>300550</v>
      </c>
      <c r="D11" s="94">
        <v>0.28499999999999998</v>
      </c>
      <c r="E11" s="92">
        <v>1.27</v>
      </c>
      <c r="F11" s="93">
        <v>1614648</v>
      </c>
      <c r="G11" s="93">
        <v>112015</v>
      </c>
      <c r="H11" s="94">
        <v>6.2E-2</v>
      </c>
      <c r="I11" s="95">
        <v>0.104</v>
      </c>
      <c r="J11" s="94">
        <v>0.122</v>
      </c>
      <c r="K11" s="95">
        <v>6.9000000000000006E-2</v>
      </c>
      <c r="L11" s="92">
        <v>9</v>
      </c>
      <c r="M11" s="92">
        <v>7.6</v>
      </c>
      <c r="N11" s="92">
        <v>10.4</v>
      </c>
      <c r="O11" s="92">
        <v>2</v>
      </c>
      <c r="P11" s="155">
        <f>(B11/(B11+(C11*(1-tax))))*'WACC-CAPM'!E11</f>
        <v>1.0847638678931673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</row>
    <row r="12" spans="1:54" x14ac:dyDescent="0.35">
      <c r="A12" s="92" t="s">
        <v>38</v>
      </c>
      <c r="B12" s="93">
        <v>1454875</v>
      </c>
      <c r="C12" s="93">
        <v>-97018</v>
      </c>
      <c r="D12" s="94">
        <v>-6.7000000000000004E-2</v>
      </c>
      <c r="E12" s="92">
        <v>1.01</v>
      </c>
      <c r="F12" s="93">
        <v>1176144</v>
      </c>
      <c r="G12" s="93">
        <v>86156</v>
      </c>
      <c r="H12" s="94">
        <v>8.5000000000000006E-2</v>
      </c>
      <c r="I12" s="95">
        <v>0.108</v>
      </c>
      <c r="J12" s="94">
        <v>0.126</v>
      </c>
      <c r="K12" s="95">
        <v>7.2999999999999995E-2</v>
      </c>
      <c r="L12" s="92">
        <v>12</v>
      </c>
      <c r="M12" s="92">
        <v>10.1</v>
      </c>
      <c r="N12" s="92">
        <v>18.600000000000001</v>
      </c>
      <c r="O12" s="92">
        <v>3.1</v>
      </c>
      <c r="P12" s="155">
        <f>(B12/(B12+(C12*(1-tax))))*'WACC-CAPM'!E12</f>
        <v>1.0520952352039954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</row>
    <row r="13" spans="1:54" x14ac:dyDescent="0.35">
      <c r="A13" s="92" t="s">
        <v>39</v>
      </c>
      <c r="B13" s="93">
        <v>397709</v>
      </c>
      <c r="C13" s="93">
        <v>169579</v>
      </c>
      <c r="D13" s="94">
        <v>0.42599999999999999</v>
      </c>
      <c r="E13" s="92">
        <v>0.98</v>
      </c>
      <c r="F13" s="93">
        <v>516182</v>
      </c>
      <c r="G13" s="93">
        <v>79170</v>
      </c>
      <c r="H13" s="94">
        <v>0.14399999999999999</v>
      </c>
      <c r="I13" s="95">
        <v>0.19900000000000001</v>
      </c>
      <c r="J13" s="94">
        <v>0.20200000000000001</v>
      </c>
      <c r="K13" s="95">
        <v>0.153</v>
      </c>
      <c r="L13" s="92">
        <v>6.2</v>
      </c>
      <c r="M13" s="96">
        <v>6</v>
      </c>
      <c r="N13" s="96">
        <v>5.5</v>
      </c>
      <c r="O13" s="96">
        <v>1.2</v>
      </c>
      <c r="P13" s="156">
        <f>(B13/(B13+(C13*(1-tax))))*'WACC-CAPM'!E13</f>
        <v>0.78035804526681407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1:54" x14ac:dyDescent="0.35">
      <c r="A14" s="97" t="s">
        <v>40</v>
      </c>
      <c r="B14" s="98">
        <f>AVERAGE(B5:B13)</f>
        <v>4567496.333333333</v>
      </c>
      <c r="C14" s="98">
        <f>AVERAGE(C5:C13)</f>
        <v>945534.66666666663</v>
      </c>
      <c r="D14" s="99">
        <f>AVERAGE(D5:D13)</f>
        <v>0.24955555555555556</v>
      </c>
      <c r="E14" s="100">
        <f>AVERAGE(E5:E13)</f>
        <v>1.5577777777777779</v>
      </c>
      <c r="F14" s="101">
        <f>AVERAGE(F5:F13)</f>
        <v>2742850</v>
      </c>
      <c r="G14" s="101">
        <f t="shared" ref="G14:O14" si="0">AVERAGE(G5:G13)</f>
        <v>220662.44444444444</v>
      </c>
      <c r="H14" s="99">
        <f t="shared" si="0"/>
        <v>9.6999999999999989E-2</v>
      </c>
      <c r="I14" s="99">
        <f t="shared" si="0"/>
        <v>0.11855555555555555</v>
      </c>
      <c r="J14" s="102">
        <f t="shared" si="0"/>
        <v>0.13488888888888889</v>
      </c>
      <c r="K14" s="103">
        <f t="shared" si="0"/>
        <v>7.8555555555555545E-2</v>
      </c>
      <c r="L14" s="104">
        <f t="shared" si="0"/>
        <v>10.47777777777778</v>
      </c>
      <c r="M14" s="105">
        <f t="shared" si="0"/>
        <v>8.9555555555555539</v>
      </c>
      <c r="N14" s="105">
        <f t="shared" si="0"/>
        <v>13.811111111111112</v>
      </c>
      <c r="O14" s="105">
        <f t="shared" si="0"/>
        <v>2.5444444444444443</v>
      </c>
      <c r="P14" s="157">
        <f>AVERAGE(P5:P13)</f>
        <v>1.3688476576071096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4" x14ac:dyDescent="0.35">
      <c r="A15" s="106" t="s">
        <v>165</v>
      </c>
      <c r="B15" s="107">
        <f>MEDIAN(B5:B13)</f>
        <v>570684</v>
      </c>
      <c r="C15" s="107">
        <f t="shared" ref="C15:P15" si="1">MEDIAN(C5:C13)</f>
        <v>169579</v>
      </c>
      <c r="D15" s="108">
        <f t="shared" si="1"/>
        <v>0.29899999999999999</v>
      </c>
      <c r="E15" s="109">
        <f t="shared" si="1"/>
        <v>1.27</v>
      </c>
      <c r="F15" s="107">
        <f t="shared" si="1"/>
        <v>1241529</v>
      </c>
      <c r="G15" s="107">
        <f t="shared" si="1"/>
        <v>73124</v>
      </c>
      <c r="H15" s="108">
        <f t="shared" si="1"/>
        <v>8.5000000000000006E-2</v>
      </c>
      <c r="I15" s="108">
        <f t="shared" si="1"/>
        <v>0.104</v>
      </c>
      <c r="J15" s="108">
        <f t="shared" si="1"/>
        <v>0.122</v>
      </c>
      <c r="K15" s="110">
        <f t="shared" si="1"/>
        <v>6.9000000000000006E-2</v>
      </c>
      <c r="L15" s="111">
        <f t="shared" si="1"/>
        <v>7.4</v>
      </c>
      <c r="M15" s="106">
        <f t="shared" si="1"/>
        <v>6.3</v>
      </c>
      <c r="N15" s="106">
        <f t="shared" si="1"/>
        <v>9.1</v>
      </c>
      <c r="O15" s="106">
        <f t="shared" si="1"/>
        <v>1.6</v>
      </c>
      <c r="P15" s="158">
        <f t="shared" si="1"/>
        <v>1.0847638678931673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spans="1:54" x14ac:dyDescent="0.35">
      <c r="A16" s="34"/>
      <c r="B16" s="112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</row>
    <row r="17" spans="1:54" x14ac:dyDescent="0.35">
      <c r="A17" s="34"/>
      <c r="B17" s="112"/>
      <c r="C17" s="112"/>
      <c r="D17" s="68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</row>
    <row r="18" spans="1:54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</row>
    <row r="19" spans="1:54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</row>
    <row r="20" spans="1:54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spans="1:54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spans="1:54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</row>
    <row r="23" spans="1:54" x14ac:dyDescent="0.35">
      <c r="A23" s="113" t="s">
        <v>214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</row>
    <row r="24" spans="1:54" x14ac:dyDescent="0.35">
      <c r="A24" s="46" t="s">
        <v>215</v>
      </c>
      <c r="B24" s="114">
        <f>P14*((1+(1-tax)*D14))</f>
        <v>1.5738097802061475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</row>
    <row r="25" spans="1:54" x14ac:dyDescent="0.35">
      <c r="A25" s="46" t="s">
        <v>216</v>
      </c>
      <c r="B25" s="115">
        <f>[1]Rates!B8</f>
        <v>4.7300000000000002E-2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</row>
    <row r="26" spans="1:54" ht="16" thickBot="1" x14ac:dyDescent="0.4">
      <c r="A26" s="116" t="s">
        <v>217</v>
      </c>
      <c r="B26" s="117">
        <v>0.05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</row>
    <row r="27" spans="1:54" ht="16" thickBot="1" x14ac:dyDescent="0.4">
      <c r="A27" s="118" t="s">
        <v>218</v>
      </c>
      <c r="B27" s="119">
        <f>B25+(B24*B26)</f>
        <v>0.12599048901030738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</row>
    <row r="28" spans="1:54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</row>
    <row r="29" spans="1:54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2"/>
      <c r="AH29" s="32"/>
      <c r="AI29" s="32"/>
      <c r="AJ29" s="32"/>
      <c r="AK29" s="32"/>
      <c r="AL29" s="32"/>
      <c r="AM29" s="32"/>
      <c r="AN29" s="32"/>
      <c r="AO29" s="32"/>
      <c r="AP29" s="32"/>
    </row>
    <row r="30" spans="1:54" x14ac:dyDescent="0.35">
      <c r="A30" s="120" t="s">
        <v>219</v>
      </c>
      <c r="B30" s="34"/>
      <c r="C30" s="34"/>
      <c r="D30" s="135"/>
      <c r="E30" s="135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2"/>
      <c r="AH30" s="32"/>
      <c r="AI30" s="32"/>
      <c r="AJ30" s="32"/>
      <c r="AK30" s="32"/>
      <c r="AL30" s="32"/>
      <c r="AM30" s="32"/>
      <c r="AN30" s="32"/>
      <c r="AO30" s="32"/>
      <c r="AP30" s="32"/>
    </row>
    <row r="31" spans="1:54" x14ac:dyDescent="0.35">
      <c r="A31" s="46" t="s">
        <v>186</v>
      </c>
      <c r="B31" s="121">
        <f>[1]Rates!B16</f>
        <v>0.2</v>
      </c>
      <c r="C31" s="34"/>
      <c r="D31" s="135"/>
      <c r="E31" s="135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2"/>
      <c r="AH31" s="32"/>
      <c r="AI31" s="32"/>
      <c r="AJ31" s="32"/>
      <c r="AK31" s="32"/>
      <c r="AL31" s="32"/>
      <c r="AM31" s="32"/>
      <c r="AN31" s="32"/>
      <c r="AO31" s="32"/>
      <c r="AP31" s="32"/>
    </row>
    <row r="32" spans="1:54" x14ac:dyDescent="0.35">
      <c r="A32" s="46" t="s">
        <v>183</v>
      </c>
      <c r="B32" s="121">
        <f>interest</f>
        <v>0.06</v>
      </c>
      <c r="C32" s="34"/>
      <c r="D32" s="135"/>
      <c r="E32" s="135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2"/>
      <c r="AH32" s="32"/>
      <c r="AI32" s="32"/>
      <c r="AJ32" s="32"/>
      <c r="AK32" s="32"/>
      <c r="AL32" s="32"/>
      <c r="AM32" s="32"/>
      <c r="AN32" s="32"/>
      <c r="AO32" s="32"/>
      <c r="AP32" s="32"/>
    </row>
    <row r="33" spans="1:61" x14ac:dyDescent="0.35">
      <c r="A33" s="46" t="s">
        <v>187</v>
      </c>
      <c r="B33" s="121">
        <f>[1]Rates!B17</f>
        <v>0.8</v>
      </c>
      <c r="C33" s="34"/>
      <c r="D33" s="135"/>
      <c r="E33" s="135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2"/>
      <c r="AH33" s="32"/>
      <c r="AI33" s="32"/>
      <c r="AJ33" s="32"/>
      <c r="AK33" s="32"/>
      <c r="AL33" s="32"/>
      <c r="AM33" s="32"/>
      <c r="AN33" s="32"/>
      <c r="AO33" s="32"/>
      <c r="AP33" s="32"/>
    </row>
    <row r="34" spans="1:61" x14ac:dyDescent="0.35">
      <c r="A34" s="46" t="s">
        <v>218</v>
      </c>
      <c r="B34" s="121">
        <f>B27</f>
        <v>0.12599048901030738</v>
      </c>
      <c r="C34" s="34"/>
      <c r="D34" s="135"/>
      <c r="E34" s="135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spans="1:61" ht="16" thickBot="1" x14ac:dyDescent="0.4">
      <c r="A35" s="116" t="s">
        <v>224</v>
      </c>
      <c r="B35" s="117">
        <f>tax</f>
        <v>0.4</v>
      </c>
      <c r="C35" s="34"/>
      <c r="D35" s="135"/>
      <c r="E35" s="135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2"/>
      <c r="AH35" s="32"/>
      <c r="AI35" s="32"/>
      <c r="AJ35" s="32"/>
      <c r="AK35" s="32"/>
      <c r="AL35" s="32"/>
      <c r="AM35" s="32"/>
      <c r="AN35" s="32"/>
      <c r="AO35" s="32"/>
      <c r="AP35" s="32"/>
    </row>
    <row r="36" spans="1:61" ht="16" thickBot="1" x14ac:dyDescent="0.4">
      <c r="A36" s="118" t="s">
        <v>226</v>
      </c>
      <c r="B36" s="122">
        <f>(B33*B34)+((B31*B32*(1-B35)))</f>
        <v>0.1079923912082459</v>
      </c>
      <c r="C36" s="34"/>
      <c r="D36" s="135"/>
      <c r="E36" s="135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2"/>
      <c r="AH36" s="32"/>
      <c r="AI36" s="32"/>
      <c r="AJ36" s="32"/>
      <c r="AK36" s="32"/>
      <c r="AL36" s="32"/>
      <c r="AM36" s="32"/>
      <c r="AN36" s="32"/>
      <c r="AO36" s="32"/>
      <c r="AP36" s="32"/>
    </row>
    <row r="37" spans="1:61" x14ac:dyDescent="0.35">
      <c r="A37" s="34"/>
      <c r="B37" s="34"/>
      <c r="C37" s="34"/>
      <c r="D37" s="135"/>
      <c r="E37" s="135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2"/>
      <c r="AH37" s="32"/>
      <c r="AI37" s="32"/>
      <c r="AJ37" s="32"/>
      <c r="AK37" s="32"/>
      <c r="AL37" s="32"/>
      <c r="AM37" s="32"/>
      <c r="AN37" s="32"/>
      <c r="AO37" s="32"/>
      <c r="AP37" s="32"/>
    </row>
    <row r="38" spans="1:61" x14ac:dyDescent="0.35">
      <c r="A38" s="34"/>
      <c r="B38" s="34"/>
      <c r="C38" s="34"/>
      <c r="D38" s="135"/>
      <c r="E38" s="135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2"/>
      <c r="AH38" s="32"/>
      <c r="AI38" s="32"/>
      <c r="AJ38" s="32"/>
      <c r="AK38" s="32"/>
      <c r="AL38" s="32"/>
      <c r="AM38" s="32"/>
      <c r="AN38" s="32"/>
      <c r="AO38" s="32"/>
      <c r="AP38" s="32"/>
    </row>
    <row r="39" spans="1:61" x14ac:dyDescent="0.35">
      <c r="A39" s="34"/>
      <c r="B39" s="34"/>
      <c r="C39" s="34"/>
      <c r="D39" s="135"/>
      <c r="E39" s="135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2"/>
      <c r="AH39" s="32"/>
      <c r="AI39" s="32"/>
      <c r="AJ39" s="32"/>
      <c r="AK39" s="32"/>
      <c r="AL39" s="32"/>
      <c r="AM39" s="32"/>
      <c r="AN39" s="32"/>
      <c r="AO39" s="32"/>
      <c r="AP39" s="32"/>
    </row>
    <row r="40" spans="1:61" x14ac:dyDescent="0.35">
      <c r="A40" s="34"/>
      <c r="B40" s="34"/>
      <c r="C40" s="34"/>
      <c r="D40" s="135"/>
      <c r="E40" s="135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2"/>
      <c r="AH40" s="32"/>
      <c r="AI40" s="32"/>
      <c r="AJ40" s="32"/>
      <c r="AK40" s="32"/>
      <c r="AL40" s="32"/>
      <c r="AM40" s="32"/>
      <c r="AN40" s="32"/>
      <c r="AO40" s="32"/>
      <c r="AP40" s="32"/>
    </row>
    <row r="41" spans="1:61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</row>
    <row r="42" spans="1:61" x14ac:dyDescent="0.3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</row>
    <row r="43" spans="1:6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</row>
    <row r="44" spans="1:6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</row>
    <row r="45" spans="1:6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</row>
    <row r="46" spans="1:6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</row>
    <row r="47" spans="1:6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</row>
    <row r="48" spans="1:6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</row>
    <row r="49" spans="1:6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</row>
    <row r="50" spans="1:6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</row>
    <row r="51" spans="1:6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</row>
    <row r="52" spans="1:6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</row>
    <row r="53" spans="1:6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spans="1:6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spans="1:61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</row>
    <row r="56" spans="1:61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</row>
    <row r="57" spans="1:61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</row>
    <row r="58" spans="1:61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</row>
    <row r="59" spans="1:61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</row>
    <row r="60" spans="1:61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</row>
    <row r="61" spans="1:61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</row>
    <row r="62" spans="1:61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</row>
    <row r="63" spans="1:61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</row>
    <row r="64" spans="1:61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</row>
    <row r="65" spans="1:61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</row>
    <row r="66" spans="1:61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</row>
    <row r="67" spans="1:61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</row>
    <row r="68" spans="1:61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</row>
    <row r="69" spans="1:61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</row>
    <row r="70" spans="1:61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</row>
    <row r="71" spans="1:61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</row>
    <row r="72" spans="1:61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</row>
    <row r="73" spans="1:61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</row>
    <row r="74" spans="1:61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</row>
    <row r="75" spans="1:61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</row>
    <row r="76" spans="1:61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</row>
    <row r="77" spans="1:61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</row>
    <row r="78" spans="1:61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</row>
    <row r="79" spans="1:61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</row>
    <row r="80" spans="1:61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</row>
    <row r="81" spans="1:61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</row>
    <row r="82" spans="1:61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</row>
    <row r="83" spans="1:61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</row>
    <row r="84" spans="1:61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</row>
    <row r="85" spans="1:61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</row>
    <row r="86" spans="1:61" x14ac:dyDescent="0.3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</row>
    <row r="87" spans="1:61" x14ac:dyDescent="0.3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</row>
    <row r="88" spans="1:61" x14ac:dyDescent="0.3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</row>
    <row r="89" spans="1:61" x14ac:dyDescent="0.3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</row>
  </sheetData>
  <sheetProtection algorithmName="SHA-512" hashValue="I+Zr/dL+XCZN/PI3ioW1cxA+PNUY5Shg+F8ZzDeUL/9JKCzzHz6K3XlyK5lf6y8s9LtOykVIBQPmGRs7vuQxNA==" saltValue="G5YHhU44C80oEJDpZsMoO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05"/>
  <sheetViews>
    <sheetView workbookViewId="0"/>
  </sheetViews>
  <sheetFormatPr defaultColWidth="12.54296875" defaultRowHeight="15.5" x14ac:dyDescent="0.35"/>
  <cols>
    <col min="1" max="1" width="23.453125" style="29" customWidth="1"/>
    <col min="2" max="3" width="13.1796875" style="29" bestFit="1" customWidth="1"/>
    <col min="4" max="4" width="16.453125" style="29" bestFit="1" customWidth="1"/>
    <col min="5" max="12" width="12.54296875" style="29"/>
    <col min="13" max="13" width="31.54296875" style="29" bestFit="1" customWidth="1"/>
    <col min="14" max="16384" width="12.54296875" style="29"/>
  </cols>
  <sheetData>
    <row r="1" spans="1:72" ht="20" x14ac:dyDescent="0.4">
      <c r="A1" s="33" t="s">
        <v>230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</row>
    <row r="2" spans="1:72" s="31" customFormat="1" ht="16.5" customHeight="1" thickBot="1" x14ac:dyDescent="0.5">
      <c r="A2" s="136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</row>
    <row r="3" spans="1:72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36"/>
      <c r="O3" s="36"/>
      <c r="P3" s="36"/>
      <c r="Q3" s="36"/>
      <c r="R3" s="37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</row>
    <row r="4" spans="1:72" x14ac:dyDescent="0.35">
      <c r="A4" s="38"/>
      <c r="B4" s="39">
        <v>2007</v>
      </c>
      <c r="C4" s="40">
        <v>2008</v>
      </c>
      <c r="D4" s="40">
        <v>2009</v>
      </c>
      <c r="E4" s="40">
        <v>2010</v>
      </c>
      <c r="F4" s="41">
        <v>2011</v>
      </c>
      <c r="G4" s="34"/>
      <c r="H4" s="42" t="s">
        <v>231</v>
      </c>
      <c r="I4" s="43"/>
      <c r="J4" s="44"/>
      <c r="K4" s="34"/>
      <c r="L4" s="34"/>
      <c r="M4" s="137" t="s">
        <v>232</v>
      </c>
      <c r="N4" s="138"/>
      <c r="O4" s="138"/>
      <c r="P4" s="138"/>
      <c r="Q4" s="138"/>
      <c r="R4" s="139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</row>
    <row r="5" spans="1:72" x14ac:dyDescent="0.35">
      <c r="A5" s="45" t="s">
        <v>233</v>
      </c>
      <c r="B5" s="159">
        <f>N25</f>
        <v>479328</v>
      </c>
      <c r="C5" s="159">
        <f>O25</f>
        <v>526566.04</v>
      </c>
      <c r="D5" s="159">
        <f>P25</f>
        <v>570424.80079999997</v>
      </c>
      <c r="E5" s="159">
        <f>Q25</f>
        <v>609373.57681600004</v>
      </c>
      <c r="F5" s="160">
        <f>R25</f>
        <v>637552.66835231998</v>
      </c>
      <c r="G5" s="143"/>
      <c r="H5" s="161">
        <v>2007</v>
      </c>
      <c r="I5" s="162">
        <f>SUM(N38,N39,N40)-SUM(N49,N50)</f>
        <v>104524</v>
      </c>
      <c r="J5" s="47"/>
      <c r="K5" s="34"/>
      <c r="L5" s="34"/>
      <c r="M5" s="48"/>
      <c r="N5" s="49"/>
      <c r="O5" s="49"/>
      <c r="P5" s="49"/>
      <c r="Q5" s="49"/>
      <c r="R5" s="50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</row>
    <row r="6" spans="1:72" x14ac:dyDescent="0.35">
      <c r="A6" s="51"/>
      <c r="B6" s="163"/>
      <c r="C6" s="163"/>
      <c r="D6" s="163"/>
      <c r="E6" s="163"/>
      <c r="F6" s="164"/>
      <c r="G6" s="143"/>
      <c r="H6" s="161">
        <v>2008</v>
      </c>
      <c r="I6" s="162">
        <f>SUM(O38,O39,O40)-SUM(O49,O50)</f>
        <v>107138</v>
      </c>
      <c r="J6" s="47"/>
      <c r="K6" s="34"/>
      <c r="L6" s="34"/>
      <c r="M6" s="52" t="s">
        <v>110</v>
      </c>
      <c r="N6" s="53">
        <v>2007</v>
      </c>
      <c r="O6" s="54">
        <v>2008</v>
      </c>
      <c r="P6" s="54">
        <v>2009</v>
      </c>
      <c r="Q6" s="54">
        <v>2010</v>
      </c>
      <c r="R6" s="55">
        <v>2011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</row>
    <row r="7" spans="1:72" x14ac:dyDescent="0.35">
      <c r="A7" s="45"/>
      <c r="B7" s="159"/>
      <c r="C7" s="159"/>
      <c r="D7" s="159"/>
      <c r="E7" s="159"/>
      <c r="F7" s="160"/>
      <c r="G7" s="143"/>
      <c r="H7" s="161">
        <v>2009</v>
      </c>
      <c r="I7" s="162">
        <f>SUM(P38,P39,P40)-SUM(P49,P50)</f>
        <v>116572</v>
      </c>
      <c r="J7" s="47"/>
      <c r="K7" s="34"/>
      <c r="L7" s="34"/>
      <c r="M7" s="56" t="s">
        <v>117</v>
      </c>
      <c r="N7" s="57">
        <v>251957</v>
      </c>
      <c r="O7" s="57">
        <v>282192</v>
      </c>
      <c r="P7" s="57">
        <v>310411</v>
      </c>
      <c r="Q7" s="57">
        <v>335244</v>
      </c>
      <c r="R7" s="58">
        <v>352006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</row>
    <row r="8" spans="1:72" x14ac:dyDescent="0.35">
      <c r="A8" s="45" t="s">
        <v>234</v>
      </c>
      <c r="B8" s="159">
        <f t="shared" ref="B8:F9" si="0">N26</f>
        <v>423836</v>
      </c>
      <c r="C8" s="159">
        <f t="shared" si="0"/>
        <v>461118.23600000003</v>
      </c>
      <c r="D8" s="159">
        <f t="shared" si="0"/>
        <v>499569.92071999999</v>
      </c>
      <c r="E8" s="159">
        <f t="shared" si="0"/>
        <v>533684.11913440004</v>
      </c>
      <c r="F8" s="160">
        <f t="shared" si="0"/>
        <v>558374.10151708801</v>
      </c>
      <c r="G8" s="143"/>
      <c r="H8" s="161">
        <v>2010</v>
      </c>
      <c r="I8" s="162">
        <f>SUM(Q38,Q39,Q40)-SUM(Q49,Q50)</f>
        <v>124931</v>
      </c>
      <c r="J8" s="47"/>
      <c r="K8" s="34"/>
      <c r="L8" s="34"/>
      <c r="M8" s="56" t="s">
        <v>124</v>
      </c>
      <c r="N8" s="59">
        <v>218435</v>
      </c>
      <c r="O8" s="59">
        <v>244647</v>
      </c>
      <c r="P8" s="59">
        <v>269112</v>
      </c>
      <c r="Q8" s="59">
        <v>290641</v>
      </c>
      <c r="R8" s="60">
        <v>305173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</row>
    <row r="9" spans="1:72" x14ac:dyDescent="0.35">
      <c r="A9" s="45" t="s">
        <v>235</v>
      </c>
      <c r="B9" s="159">
        <f t="shared" si="0"/>
        <v>8487</v>
      </c>
      <c r="C9" s="159">
        <f t="shared" si="0"/>
        <v>8659</v>
      </c>
      <c r="D9" s="159">
        <f t="shared" si="0"/>
        <v>9422</v>
      </c>
      <c r="E9" s="159">
        <f t="shared" si="0"/>
        <v>10098</v>
      </c>
      <c r="F9" s="160">
        <f t="shared" si="0"/>
        <v>10583</v>
      </c>
      <c r="G9" s="143"/>
      <c r="H9" s="161">
        <v>2011</v>
      </c>
      <c r="I9" s="162">
        <f>SUM(R38,R39,R40)-SUM(R49,R50)</f>
        <v>130929</v>
      </c>
      <c r="J9" s="61"/>
      <c r="K9" s="34"/>
      <c r="L9" s="34"/>
      <c r="M9" s="56" t="s">
        <v>118</v>
      </c>
      <c r="N9" s="59">
        <f>N7-N8</f>
        <v>33522</v>
      </c>
      <c r="O9" s="59">
        <f t="shared" ref="O9:R9" si="1">O7-O8</f>
        <v>37545</v>
      </c>
      <c r="P9" s="59">
        <f>P7-P8</f>
        <v>41299</v>
      </c>
      <c r="Q9" s="59">
        <f t="shared" si="1"/>
        <v>44603</v>
      </c>
      <c r="R9" s="60">
        <f t="shared" si="1"/>
        <v>46833</v>
      </c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</row>
    <row r="10" spans="1:72" x14ac:dyDescent="0.35">
      <c r="A10" s="62" t="s">
        <v>86</v>
      </c>
      <c r="B10" s="165">
        <f>B5-(SUM(B8:B9))</f>
        <v>47005</v>
      </c>
      <c r="C10" s="165">
        <f>C5-(SUM(C8:C9))</f>
        <v>56788.804000000004</v>
      </c>
      <c r="D10" s="165">
        <f>D5-(SUM(D8:D9))</f>
        <v>61432.880079999974</v>
      </c>
      <c r="E10" s="165">
        <f>E5-(SUM(E8:E9))</f>
        <v>65591.457681600004</v>
      </c>
      <c r="F10" s="166">
        <f>F5-(SUM(F8:F9))</f>
        <v>68595.566835231963</v>
      </c>
      <c r="G10" s="143"/>
      <c r="H10" s="143"/>
      <c r="I10" s="143"/>
      <c r="J10" s="34"/>
      <c r="K10" s="34"/>
      <c r="L10" s="34"/>
      <c r="M10" s="56"/>
      <c r="N10" s="59"/>
      <c r="O10" s="59"/>
      <c r="P10" s="59"/>
      <c r="Q10" s="59"/>
      <c r="R10" s="60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</row>
    <row r="11" spans="1:72" x14ac:dyDescent="0.35">
      <c r="A11" s="45"/>
      <c r="B11" s="159"/>
      <c r="C11" s="159"/>
      <c r="D11" s="159"/>
      <c r="E11" s="159"/>
      <c r="F11" s="160"/>
      <c r="G11" s="143"/>
      <c r="H11" s="143"/>
      <c r="I11" s="143"/>
      <c r="J11" s="34"/>
      <c r="K11" s="34"/>
      <c r="L11" s="34"/>
      <c r="M11" s="63"/>
      <c r="N11" s="59"/>
      <c r="O11" s="59"/>
      <c r="P11" s="59"/>
      <c r="Q11" s="59"/>
      <c r="R11" s="60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</row>
    <row r="12" spans="1:72" x14ac:dyDescent="0.35">
      <c r="A12" s="45" t="s">
        <v>236</v>
      </c>
      <c r="B12" s="159">
        <f>N31</f>
        <v>9587</v>
      </c>
      <c r="C12" s="159">
        <f>O31</f>
        <v>9781</v>
      </c>
      <c r="D12" s="159">
        <f>P31</f>
        <v>10643</v>
      </c>
      <c r="E12" s="159">
        <f>Q31</f>
        <v>11406</v>
      </c>
      <c r="F12" s="160">
        <f>R31</f>
        <v>11954</v>
      </c>
      <c r="G12" s="143"/>
      <c r="H12" s="143"/>
      <c r="I12" s="143"/>
      <c r="J12" s="34"/>
      <c r="K12" s="34"/>
      <c r="L12" s="34"/>
      <c r="M12" s="56" t="s">
        <v>117</v>
      </c>
      <c r="N12" s="59">
        <v>52179</v>
      </c>
      <c r="O12" s="59">
        <v>53223</v>
      </c>
      <c r="P12" s="59">
        <v>54287</v>
      </c>
      <c r="Q12" s="59">
        <v>55916</v>
      </c>
      <c r="R12" s="60">
        <v>57594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</row>
    <row r="13" spans="1:72" x14ac:dyDescent="0.35">
      <c r="A13" s="45"/>
      <c r="B13" s="159"/>
      <c r="C13" s="159"/>
      <c r="D13" s="159"/>
      <c r="E13" s="159"/>
      <c r="F13" s="160"/>
      <c r="G13" s="143"/>
      <c r="H13" s="143"/>
      <c r="I13" s="143"/>
      <c r="J13" s="34"/>
      <c r="K13" s="34"/>
      <c r="L13" s="34"/>
      <c r="M13" s="56" t="s">
        <v>125</v>
      </c>
      <c r="N13" s="59">
        <v>43834</v>
      </c>
      <c r="O13" s="59">
        <v>44711</v>
      </c>
      <c r="P13" s="59">
        <v>45605</v>
      </c>
      <c r="Q13" s="59">
        <v>46973</v>
      </c>
      <c r="R13" s="60">
        <v>48382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</row>
    <row r="14" spans="1:72" x14ac:dyDescent="0.35">
      <c r="A14" s="64" t="s">
        <v>84</v>
      </c>
      <c r="B14" s="165">
        <f>B10+B12</f>
        <v>56592</v>
      </c>
      <c r="C14" s="165">
        <f>C10+C12</f>
        <v>66569.804000000004</v>
      </c>
      <c r="D14" s="165">
        <f>D10+D12</f>
        <v>72075.880079999974</v>
      </c>
      <c r="E14" s="165">
        <f>E10+E12</f>
        <v>76997.457681600004</v>
      </c>
      <c r="F14" s="166">
        <f>F10+F12</f>
        <v>80549.566835231963</v>
      </c>
      <c r="G14" s="143"/>
      <c r="H14" s="143"/>
      <c r="I14" s="143"/>
      <c r="J14" s="34"/>
      <c r="K14" s="34"/>
      <c r="L14" s="34"/>
      <c r="M14" s="56" t="s">
        <v>118</v>
      </c>
      <c r="N14" s="59">
        <f>N12-N13</f>
        <v>8345</v>
      </c>
      <c r="O14" s="59">
        <f t="shared" ref="O14:R14" si="2">O12-O13</f>
        <v>8512</v>
      </c>
      <c r="P14" s="59">
        <f t="shared" si="2"/>
        <v>8682</v>
      </c>
      <c r="Q14" s="59">
        <f t="shared" si="2"/>
        <v>8943</v>
      </c>
      <c r="R14" s="60">
        <f t="shared" si="2"/>
        <v>9212</v>
      </c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</row>
    <row r="15" spans="1:72" x14ac:dyDescent="0.35">
      <c r="A15" s="45" t="s">
        <v>237</v>
      </c>
      <c r="B15" s="159">
        <v>4569</v>
      </c>
      <c r="C15" s="159">
        <f>I6-I5</f>
        <v>2614</v>
      </c>
      <c r="D15" s="159">
        <f>I7-I6</f>
        <v>9434</v>
      </c>
      <c r="E15" s="159">
        <f>I8-I7</f>
        <v>8359</v>
      </c>
      <c r="F15" s="160">
        <f>I9-I8</f>
        <v>5998</v>
      </c>
      <c r="G15" s="143"/>
      <c r="H15" s="143"/>
      <c r="I15" s="143"/>
      <c r="J15" s="34"/>
      <c r="K15" s="34"/>
      <c r="L15" s="34"/>
      <c r="M15" s="65" t="s">
        <v>126</v>
      </c>
      <c r="N15" s="59"/>
      <c r="O15" s="59"/>
      <c r="P15" s="59"/>
      <c r="Q15" s="59"/>
      <c r="R15" s="60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</row>
    <row r="16" spans="1:72" x14ac:dyDescent="0.35">
      <c r="A16" s="45" t="s">
        <v>238</v>
      </c>
      <c r="B16" s="159">
        <f>N30</f>
        <v>11983</v>
      </c>
      <c r="C16" s="159">
        <f>O30</f>
        <v>12226</v>
      </c>
      <c r="D16" s="159">
        <f>P30</f>
        <v>13303</v>
      </c>
      <c r="E16" s="159">
        <f>Q30</f>
        <v>14258</v>
      </c>
      <c r="F16" s="160">
        <f>R30</f>
        <v>14943</v>
      </c>
      <c r="G16" s="143"/>
      <c r="H16" s="143"/>
      <c r="I16" s="143"/>
      <c r="J16" s="34"/>
      <c r="K16" s="34"/>
      <c r="L16" s="34"/>
      <c r="M16" s="56" t="s">
        <v>117</v>
      </c>
      <c r="N16" s="59">
        <v>138390</v>
      </c>
      <c r="O16" s="59">
        <v>153613</v>
      </c>
      <c r="P16" s="59">
        <v>167438</v>
      </c>
      <c r="Q16" s="59">
        <v>179159</v>
      </c>
      <c r="R16" s="60">
        <v>188117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</row>
    <row r="17" spans="1:72" x14ac:dyDescent="0.35">
      <c r="A17" s="45" t="s">
        <v>239</v>
      </c>
      <c r="B17" s="159">
        <f>tax*B10</f>
        <v>18802</v>
      </c>
      <c r="C17" s="159">
        <f>tax*C10</f>
        <v>22715.521600000004</v>
      </c>
      <c r="D17" s="159">
        <f>tax*D10</f>
        <v>24573.152031999991</v>
      </c>
      <c r="E17" s="159">
        <f>tax*E10</f>
        <v>26236.583072640002</v>
      </c>
      <c r="F17" s="159">
        <f>tax*F10</f>
        <v>27438.226734092787</v>
      </c>
      <c r="G17" s="167"/>
      <c r="H17" s="143"/>
      <c r="I17" s="143"/>
      <c r="J17" s="34"/>
      <c r="K17" s="34"/>
      <c r="L17" s="34"/>
      <c r="M17" s="56" t="s">
        <v>125</v>
      </c>
      <c r="N17" s="59">
        <v>124302</v>
      </c>
      <c r="O17" s="59">
        <v>137976</v>
      </c>
      <c r="P17" s="59">
        <v>150393</v>
      </c>
      <c r="Q17" s="59">
        <v>160921</v>
      </c>
      <c r="R17" s="60">
        <v>168967</v>
      </c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</row>
    <row r="18" spans="1:72" x14ac:dyDescent="0.35">
      <c r="A18" s="45"/>
      <c r="B18" s="159"/>
      <c r="C18" s="159"/>
      <c r="D18" s="159"/>
      <c r="E18" s="159"/>
      <c r="F18" s="160"/>
      <c r="G18" s="143"/>
      <c r="H18" s="143"/>
      <c r="I18" s="143"/>
      <c r="J18" s="34"/>
      <c r="K18" s="34"/>
      <c r="L18" s="34"/>
      <c r="M18" s="56" t="s">
        <v>118</v>
      </c>
      <c r="N18" s="59">
        <f>N16-N17</f>
        <v>14088</v>
      </c>
      <c r="O18" s="59">
        <f t="shared" ref="O18:R18" si="3">O16-O17</f>
        <v>15637</v>
      </c>
      <c r="P18" s="59">
        <f t="shared" si="3"/>
        <v>17045</v>
      </c>
      <c r="Q18" s="59">
        <f t="shared" si="3"/>
        <v>18238</v>
      </c>
      <c r="R18" s="60">
        <f t="shared" si="3"/>
        <v>19150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</row>
    <row r="19" spans="1:72" x14ac:dyDescent="0.35">
      <c r="A19" s="62" t="s">
        <v>240</v>
      </c>
      <c r="B19" s="165">
        <f>B14-B15-B16-B17</f>
        <v>21238</v>
      </c>
      <c r="C19" s="165">
        <f>C14-C15-C16-C17</f>
        <v>29014.2824</v>
      </c>
      <c r="D19" s="165">
        <f>D14-D15-D16-D17</f>
        <v>24765.728047999983</v>
      </c>
      <c r="E19" s="165">
        <f>E14-E15-E16-E17</f>
        <v>28143.874608960003</v>
      </c>
      <c r="F19" s="166">
        <f>F14-F15-F16-F17</f>
        <v>32170.340101139176</v>
      </c>
      <c r="G19" s="143"/>
      <c r="H19" s="143"/>
      <c r="I19" s="143"/>
      <c r="J19" s="66"/>
      <c r="K19" s="34"/>
      <c r="L19" s="34"/>
      <c r="M19" s="56"/>
      <c r="N19" s="59"/>
      <c r="O19" s="59"/>
      <c r="P19" s="59"/>
      <c r="Q19" s="59"/>
      <c r="R19" s="60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</row>
    <row r="20" spans="1:72" x14ac:dyDescent="0.35">
      <c r="A20" s="45"/>
      <c r="B20" s="143"/>
      <c r="C20" s="168"/>
      <c r="D20" s="168"/>
      <c r="E20" s="168"/>
      <c r="F20" s="168"/>
      <c r="G20" s="169"/>
      <c r="H20" s="143"/>
      <c r="I20" s="143"/>
      <c r="J20" s="66"/>
      <c r="K20" s="34"/>
      <c r="L20" s="34"/>
      <c r="M20" s="65" t="s">
        <v>113</v>
      </c>
      <c r="N20" s="59"/>
      <c r="O20" s="59"/>
      <c r="P20" s="59"/>
      <c r="Q20" s="59"/>
      <c r="R20" s="60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</row>
    <row r="21" spans="1:72" x14ac:dyDescent="0.35">
      <c r="A21" s="67" t="s">
        <v>241</v>
      </c>
      <c r="B21" s="170">
        <f>wacc</f>
        <v>0.1079923912082459</v>
      </c>
      <c r="C21" s="143"/>
      <c r="D21" s="143"/>
      <c r="E21" s="143"/>
      <c r="F21" s="171"/>
      <c r="G21" s="143"/>
      <c r="H21" s="143"/>
      <c r="I21" s="143"/>
      <c r="J21" s="66"/>
      <c r="K21" s="34"/>
      <c r="L21" s="34"/>
      <c r="M21" s="56" t="s">
        <v>117</v>
      </c>
      <c r="N21" s="59">
        <v>36802</v>
      </c>
      <c r="O21" s="59">
        <f>N21*1.02</f>
        <v>37538.04</v>
      </c>
      <c r="P21" s="59">
        <f t="shared" ref="P21:R21" si="4">O21*1.02</f>
        <v>38288.800800000005</v>
      </c>
      <c r="Q21" s="59">
        <f t="shared" si="4"/>
        <v>39054.576816000008</v>
      </c>
      <c r="R21" s="59">
        <f t="shared" si="4"/>
        <v>39835.668352320012</v>
      </c>
      <c r="S21" s="63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</row>
    <row r="22" spans="1:72" x14ac:dyDescent="0.35">
      <c r="A22" s="45"/>
      <c r="B22" s="143"/>
      <c r="C22" s="143"/>
      <c r="D22" s="143"/>
      <c r="E22" s="143"/>
      <c r="F22" s="171"/>
      <c r="G22" s="143"/>
      <c r="H22" s="143"/>
      <c r="I22" s="143"/>
      <c r="J22" s="66"/>
      <c r="K22" s="34"/>
      <c r="L22" s="34"/>
      <c r="M22" s="56" t="s">
        <v>124</v>
      </c>
      <c r="N22" s="59">
        <v>37265</v>
      </c>
      <c r="O22" s="59">
        <f>O21*0.9</f>
        <v>33784.236000000004</v>
      </c>
      <c r="P22" s="59">
        <f t="shared" ref="P22:R22" si="5">P21*0.9</f>
        <v>34459.920720000002</v>
      </c>
      <c r="Q22" s="59">
        <f t="shared" si="5"/>
        <v>35149.119134400011</v>
      </c>
      <c r="R22" s="59">
        <f t="shared" si="5"/>
        <v>35852.101517088013</v>
      </c>
      <c r="S22" s="63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</row>
    <row r="23" spans="1:72" x14ac:dyDescent="0.35">
      <c r="A23" s="64" t="s">
        <v>242</v>
      </c>
      <c r="B23" s="172">
        <f>B19/(1+B21)</f>
        <v>19168.001665463009</v>
      </c>
      <c r="C23" s="172">
        <f>(C19/($B$21+1)^C24)</f>
        <v>23634.056952404288</v>
      </c>
      <c r="D23" s="172">
        <f>(D19/($B$21+1)^D24)</f>
        <v>18207.099499107309</v>
      </c>
      <c r="E23" s="172">
        <f>(E19/($B$21+1)^E24)</f>
        <v>18673.975087808551</v>
      </c>
      <c r="F23" s="172">
        <f>(F19/($B$21+1)^F24)</f>
        <v>19265.121934525549</v>
      </c>
      <c r="G23" s="168"/>
      <c r="H23" s="143"/>
      <c r="I23" s="143"/>
      <c r="J23" s="34"/>
      <c r="K23" s="34"/>
      <c r="L23" s="34"/>
      <c r="M23" s="69" t="s">
        <v>118</v>
      </c>
      <c r="N23" s="70">
        <f>N21-N22</f>
        <v>-463</v>
      </c>
      <c r="O23" s="71">
        <f t="shared" ref="O23:R23" si="6">O21-O22</f>
        <v>3753.8039999999964</v>
      </c>
      <c r="P23" s="71">
        <f t="shared" si="6"/>
        <v>3828.8800800000026</v>
      </c>
      <c r="Q23" s="71">
        <f t="shared" si="6"/>
        <v>3905.4576815999972</v>
      </c>
      <c r="R23" s="72">
        <f t="shared" si="6"/>
        <v>3983.566835231999</v>
      </c>
      <c r="S23" s="63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72" x14ac:dyDescent="0.35">
      <c r="A24" s="73" t="s">
        <v>243</v>
      </c>
      <c r="B24" s="173">
        <v>1</v>
      </c>
      <c r="C24" s="173">
        <v>2</v>
      </c>
      <c r="D24" s="173">
        <v>3</v>
      </c>
      <c r="E24" s="173">
        <v>4</v>
      </c>
      <c r="F24" s="174">
        <v>5</v>
      </c>
      <c r="G24" s="143"/>
      <c r="H24" s="143"/>
      <c r="I24" s="143"/>
      <c r="J24" s="34"/>
      <c r="K24" s="34"/>
      <c r="L24" s="34"/>
      <c r="M24" s="56"/>
      <c r="N24" s="59"/>
      <c r="O24" s="59"/>
      <c r="P24" s="59"/>
      <c r="Q24" s="59"/>
      <c r="R24" s="74"/>
      <c r="S24" s="63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72" x14ac:dyDescent="0.35">
      <c r="A25" s="34"/>
      <c r="B25" s="168"/>
      <c r="C25" s="143"/>
      <c r="D25" s="143"/>
      <c r="E25" s="143"/>
      <c r="F25" s="143"/>
      <c r="G25" s="143"/>
      <c r="H25" s="143"/>
      <c r="I25" s="143"/>
      <c r="J25" s="34"/>
      <c r="K25" s="34"/>
      <c r="L25" s="34"/>
      <c r="M25" s="65" t="s">
        <v>127</v>
      </c>
      <c r="N25" s="59">
        <f>N7+N12+N16+N21</f>
        <v>479328</v>
      </c>
      <c r="O25" s="59">
        <f t="shared" ref="O25:R26" si="7">O7+O12+O16+O21</f>
        <v>526566.04</v>
      </c>
      <c r="P25" s="59">
        <f t="shared" si="7"/>
        <v>570424.80079999997</v>
      </c>
      <c r="Q25" s="59">
        <f t="shared" si="7"/>
        <v>609373.57681600004</v>
      </c>
      <c r="R25" s="60">
        <f t="shared" si="7"/>
        <v>637552.66835231998</v>
      </c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72" x14ac:dyDescent="0.35">
      <c r="A26" s="75" t="s">
        <v>244</v>
      </c>
      <c r="B26" s="170">
        <f>wacc</f>
        <v>0.1079923912082459</v>
      </c>
      <c r="C26" s="143"/>
      <c r="D26" s="170"/>
      <c r="E26" s="143"/>
      <c r="F26" s="143"/>
      <c r="G26" s="143"/>
      <c r="H26" s="143"/>
      <c r="I26" s="143"/>
      <c r="J26" s="34"/>
      <c r="K26" s="34"/>
      <c r="L26" s="34"/>
      <c r="M26" s="56" t="s">
        <v>125</v>
      </c>
      <c r="N26" s="59">
        <f>N8+N13+N17+N22</f>
        <v>423836</v>
      </c>
      <c r="O26" s="59">
        <f t="shared" si="7"/>
        <v>461118.23600000003</v>
      </c>
      <c r="P26" s="59">
        <f t="shared" si="7"/>
        <v>499569.92071999999</v>
      </c>
      <c r="Q26" s="59">
        <f t="shared" si="7"/>
        <v>533684.11913440004</v>
      </c>
      <c r="R26" s="60">
        <f t="shared" si="7"/>
        <v>558374.10151708801</v>
      </c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72" x14ac:dyDescent="0.35">
      <c r="A27" s="75" t="s">
        <v>245</v>
      </c>
      <c r="B27" s="175">
        <f>NPV(B26,B19:F19)</f>
        <v>98948.255139308705</v>
      </c>
      <c r="C27" s="143"/>
      <c r="D27" s="176"/>
      <c r="E27" s="143"/>
      <c r="F27" s="143"/>
      <c r="G27" s="143"/>
      <c r="H27" s="143"/>
      <c r="I27" s="143"/>
      <c r="J27" s="34"/>
      <c r="K27" s="34"/>
      <c r="L27" s="34"/>
      <c r="M27" s="56" t="s">
        <v>128</v>
      </c>
      <c r="N27" s="59">
        <v>8487</v>
      </c>
      <c r="O27" s="59">
        <v>8659</v>
      </c>
      <c r="P27" s="59">
        <v>9422</v>
      </c>
      <c r="Q27" s="59">
        <v>10098</v>
      </c>
      <c r="R27" s="60">
        <v>10583</v>
      </c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72" x14ac:dyDescent="0.35">
      <c r="A28" s="34"/>
      <c r="B28" s="143"/>
      <c r="C28" s="143"/>
      <c r="D28" s="168"/>
      <c r="E28" s="143"/>
      <c r="F28" s="143"/>
      <c r="G28" s="143"/>
      <c r="H28" s="143"/>
      <c r="I28" s="143"/>
      <c r="J28" s="34"/>
      <c r="K28" s="34"/>
      <c r="L28" s="34"/>
      <c r="M28" s="65" t="s">
        <v>129</v>
      </c>
      <c r="N28" s="59">
        <f>N25-N26-N27</f>
        <v>47005</v>
      </c>
      <c r="O28" s="59">
        <f t="shared" ref="O28:R28" si="8">O25-O26-O27</f>
        <v>56788.804000000004</v>
      </c>
      <c r="P28" s="59">
        <f t="shared" si="8"/>
        <v>61432.880079999974</v>
      </c>
      <c r="Q28" s="59">
        <f t="shared" si="8"/>
        <v>65591.457681600004</v>
      </c>
      <c r="R28" s="60">
        <f t="shared" si="8"/>
        <v>68595.566835231963</v>
      </c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spans="1:72" x14ac:dyDescent="0.35">
      <c r="A29" s="34" t="s">
        <v>246</v>
      </c>
      <c r="B29" s="177">
        <v>0.4</v>
      </c>
      <c r="C29" s="143"/>
      <c r="D29" s="143"/>
      <c r="E29" s="143"/>
      <c r="F29" s="159"/>
      <c r="G29" s="143"/>
      <c r="H29" s="143"/>
      <c r="I29" s="143"/>
      <c r="J29" s="34"/>
      <c r="K29" s="34"/>
      <c r="L29" s="34"/>
      <c r="M29" s="56"/>
      <c r="N29" s="59"/>
      <c r="O29" s="59"/>
      <c r="P29" s="59"/>
      <c r="Q29" s="59"/>
      <c r="R29" s="60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</row>
    <row r="30" spans="1:72" x14ac:dyDescent="0.35">
      <c r="A30" s="34"/>
      <c r="B30" s="143"/>
      <c r="C30" s="143"/>
      <c r="D30" s="168"/>
      <c r="E30" s="143"/>
      <c r="F30" s="143"/>
      <c r="G30" s="143"/>
      <c r="H30" s="143"/>
      <c r="I30" s="143"/>
      <c r="J30" s="34"/>
      <c r="K30" s="34"/>
      <c r="L30" s="34"/>
      <c r="M30" s="56" t="s">
        <v>131</v>
      </c>
      <c r="N30" s="59">
        <v>11983</v>
      </c>
      <c r="O30" s="59">
        <v>12226</v>
      </c>
      <c r="P30" s="59">
        <v>13303</v>
      </c>
      <c r="Q30" s="59">
        <v>14258</v>
      </c>
      <c r="R30" s="60">
        <v>14943</v>
      </c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</row>
    <row r="31" spans="1:72" x14ac:dyDescent="0.35">
      <c r="A31" s="34" t="s">
        <v>247</v>
      </c>
      <c r="B31" s="159">
        <f>B10*(1-B29)</f>
        <v>28203</v>
      </c>
      <c r="C31" s="159">
        <f t="shared" ref="C31:F31" si="9">C10*(1-C29)</f>
        <v>56788.804000000004</v>
      </c>
      <c r="D31" s="159">
        <f t="shared" si="9"/>
        <v>61432.880079999974</v>
      </c>
      <c r="E31" s="159">
        <f t="shared" si="9"/>
        <v>65591.457681600004</v>
      </c>
      <c r="F31" s="159">
        <f t="shared" si="9"/>
        <v>68595.566835231963</v>
      </c>
      <c r="G31" s="143"/>
      <c r="H31" s="143"/>
      <c r="I31" s="143"/>
      <c r="J31" s="34"/>
      <c r="K31" s="34"/>
      <c r="L31" s="34"/>
      <c r="M31" s="56" t="s">
        <v>130</v>
      </c>
      <c r="N31" s="59">
        <v>9587</v>
      </c>
      <c r="O31" s="59">
        <v>9781</v>
      </c>
      <c r="P31" s="59">
        <v>10643</v>
      </c>
      <c r="Q31" s="59">
        <v>11406</v>
      </c>
      <c r="R31" s="60">
        <v>11954</v>
      </c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</row>
    <row r="32" spans="1:72" ht="16" thickBot="1" x14ac:dyDescent="0.4">
      <c r="A32" s="34" t="s">
        <v>248</v>
      </c>
      <c r="B32" s="159">
        <f>B12</f>
        <v>9587</v>
      </c>
      <c r="C32" s="159">
        <f t="shared" ref="C32:F32" si="10">C12</f>
        <v>9781</v>
      </c>
      <c r="D32" s="159">
        <f t="shared" si="10"/>
        <v>10643</v>
      </c>
      <c r="E32" s="159">
        <f t="shared" si="10"/>
        <v>11406</v>
      </c>
      <c r="F32" s="159">
        <f t="shared" si="10"/>
        <v>11954</v>
      </c>
      <c r="G32" s="143"/>
      <c r="H32" s="143"/>
      <c r="I32" s="143"/>
      <c r="J32" s="34"/>
      <c r="K32" s="34"/>
      <c r="L32" s="34"/>
      <c r="M32" s="76"/>
      <c r="N32" s="77"/>
      <c r="O32" s="77"/>
      <c r="P32" s="77"/>
      <c r="Q32" s="77"/>
      <c r="R32" s="78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</row>
    <row r="33" spans="1:72" ht="16" thickBot="1" x14ac:dyDescent="0.4">
      <c r="A33" s="34" t="s">
        <v>249</v>
      </c>
      <c r="B33" s="159">
        <f>SUM(B31:B32)</f>
        <v>37790</v>
      </c>
      <c r="C33" s="159">
        <f>SUM(C31:C32)</f>
        <v>66569.804000000004</v>
      </c>
      <c r="D33" s="159">
        <f t="shared" ref="D33:F33" si="11">SUM(D31:D32)</f>
        <v>72075.880079999974</v>
      </c>
      <c r="E33" s="159">
        <f t="shared" si="11"/>
        <v>76997.457681600004</v>
      </c>
      <c r="F33" s="159">
        <f t="shared" si="11"/>
        <v>80549.566835231963</v>
      </c>
      <c r="G33" s="143"/>
      <c r="H33" s="143"/>
      <c r="I33" s="14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</row>
    <row r="34" spans="1:72" x14ac:dyDescent="0.35">
      <c r="A34" s="34"/>
      <c r="B34" s="143"/>
      <c r="C34" s="143"/>
      <c r="D34" s="143"/>
      <c r="E34" s="143"/>
      <c r="F34" s="143"/>
      <c r="G34" s="143"/>
      <c r="H34" s="143"/>
      <c r="I34" s="143"/>
      <c r="J34" s="34"/>
      <c r="K34" s="34"/>
      <c r="L34" s="34"/>
      <c r="M34" s="79" t="s">
        <v>132</v>
      </c>
      <c r="N34" s="80"/>
      <c r="O34" s="80"/>
      <c r="P34" s="80"/>
      <c r="Q34" s="80"/>
      <c r="R34" s="81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spans="1:72" x14ac:dyDescent="0.35">
      <c r="A35" s="6"/>
      <c r="B35" s="143"/>
      <c r="C35" s="143"/>
      <c r="D35" s="143"/>
      <c r="E35" s="143"/>
      <c r="F35" s="143"/>
      <c r="G35" s="143"/>
      <c r="H35" s="143"/>
      <c r="I35" s="143"/>
      <c r="J35" s="34"/>
      <c r="K35" s="34"/>
      <c r="L35" s="34"/>
      <c r="M35" s="63" t="s">
        <v>250</v>
      </c>
      <c r="N35" s="34"/>
      <c r="O35" s="34"/>
      <c r="P35" s="34"/>
      <c r="Q35" s="34"/>
      <c r="R35" s="82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spans="1:72" x14ac:dyDescent="0.35">
      <c r="A36" s="6"/>
      <c r="B36" s="143"/>
      <c r="C36" s="143"/>
      <c r="D36" s="143"/>
      <c r="E36" s="143"/>
      <c r="F36" s="143"/>
      <c r="G36" s="143"/>
      <c r="H36" s="143"/>
      <c r="I36" s="143"/>
      <c r="J36" s="34"/>
      <c r="K36" s="34"/>
      <c r="L36" s="34"/>
      <c r="M36" s="63" t="s">
        <v>91</v>
      </c>
      <c r="N36" s="34">
        <v>2007</v>
      </c>
      <c r="O36" s="34">
        <v>2008</v>
      </c>
      <c r="P36" s="34">
        <v>2009</v>
      </c>
      <c r="Q36" s="34">
        <v>2010</v>
      </c>
      <c r="R36" s="82">
        <v>2011</v>
      </c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</row>
    <row r="37" spans="1:72" x14ac:dyDescent="0.35">
      <c r="A37" s="6"/>
      <c r="B37" s="143"/>
      <c r="C37" s="143"/>
      <c r="D37" s="143"/>
      <c r="E37" s="143"/>
      <c r="F37" s="143"/>
      <c r="G37" s="143"/>
      <c r="H37" s="143"/>
      <c r="I37" s="143"/>
      <c r="J37" s="34"/>
      <c r="K37" s="34"/>
      <c r="L37" s="34"/>
      <c r="M37" s="63" t="s">
        <v>133</v>
      </c>
      <c r="N37" s="66">
        <v>4161</v>
      </c>
      <c r="O37" s="66">
        <v>4195</v>
      </c>
      <c r="P37" s="66">
        <v>4566</v>
      </c>
      <c r="Q37" s="66">
        <v>4894</v>
      </c>
      <c r="R37" s="83">
        <v>5130</v>
      </c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</row>
    <row r="38" spans="1:72" x14ac:dyDescent="0.35">
      <c r="A38" s="6"/>
      <c r="B38" s="143"/>
      <c r="C38" s="143"/>
      <c r="D38" s="143"/>
      <c r="E38" s="143"/>
      <c r="F38" s="143"/>
      <c r="G38" s="143"/>
      <c r="H38" s="143"/>
      <c r="I38" s="143"/>
      <c r="J38" s="34"/>
      <c r="K38" s="34"/>
      <c r="L38" s="34"/>
      <c r="M38" s="63" t="s">
        <v>134</v>
      </c>
      <c r="N38" s="66">
        <v>47888</v>
      </c>
      <c r="O38" s="66">
        <v>48857</v>
      </c>
      <c r="P38" s="66">
        <v>53164</v>
      </c>
      <c r="Q38" s="66">
        <v>56978</v>
      </c>
      <c r="R38" s="83">
        <v>59715</v>
      </c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</row>
    <row r="39" spans="1:72" x14ac:dyDescent="0.35">
      <c r="A39" s="6"/>
      <c r="B39" s="143"/>
      <c r="C39" s="143"/>
      <c r="D39" s="143"/>
      <c r="E39" s="143"/>
      <c r="F39" s="143"/>
      <c r="G39" s="143"/>
      <c r="H39" s="143"/>
      <c r="I39" s="143"/>
      <c r="J39" s="34"/>
      <c r="K39" s="34"/>
      <c r="L39" s="34"/>
      <c r="M39" s="63" t="s">
        <v>94</v>
      </c>
      <c r="N39" s="66">
        <v>83770</v>
      </c>
      <c r="O39" s="66">
        <v>85465</v>
      </c>
      <c r="P39" s="66">
        <v>92999</v>
      </c>
      <c r="Q39" s="66">
        <v>99672</v>
      </c>
      <c r="R39" s="83">
        <v>104460</v>
      </c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</row>
    <row r="40" spans="1:72" x14ac:dyDescent="0.35">
      <c r="A40" s="6"/>
      <c r="B40" s="143"/>
      <c r="C40" s="143"/>
      <c r="D40" s="143"/>
      <c r="E40" s="143"/>
      <c r="F40" s="143"/>
      <c r="G40" s="143"/>
      <c r="H40" s="143"/>
      <c r="I40" s="143"/>
      <c r="J40" s="34"/>
      <c r="K40" s="34"/>
      <c r="L40" s="34"/>
      <c r="M40" s="63" t="s">
        <v>135</v>
      </c>
      <c r="N40" s="66">
        <v>14474</v>
      </c>
      <c r="O40" s="66">
        <v>14767</v>
      </c>
      <c r="P40" s="66">
        <v>16069</v>
      </c>
      <c r="Q40" s="66">
        <v>17222</v>
      </c>
      <c r="R40" s="83">
        <v>18049</v>
      </c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</row>
    <row r="41" spans="1:72" x14ac:dyDescent="0.35">
      <c r="A41" s="6"/>
      <c r="B41" s="143"/>
      <c r="C41" s="143"/>
      <c r="D41" s="143"/>
      <c r="E41" s="143"/>
      <c r="F41" s="143"/>
      <c r="G41" s="143"/>
      <c r="H41" s="143"/>
      <c r="I41" s="143"/>
      <c r="J41" s="34"/>
      <c r="K41" s="34"/>
      <c r="L41" s="34"/>
      <c r="M41" s="63"/>
      <c r="N41" s="34"/>
      <c r="O41" s="34"/>
      <c r="P41" s="34"/>
      <c r="Q41" s="34"/>
      <c r="R41" s="82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</row>
    <row r="42" spans="1:72" x14ac:dyDescent="0.35">
      <c r="A42" s="6"/>
      <c r="B42" s="159"/>
      <c r="C42" s="143"/>
      <c r="D42" s="143"/>
      <c r="E42" s="143"/>
      <c r="F42" s="143"/>
      <c r="G42" s="143"/>
      <c r="H42" s="143"/>
      <c r="I42" s="143"/>
      <c r="J42" s="34"/>
      <c r="K42" s="34"/>
      <c r="L42" s="34"/>
      <c r="M42" s="63" t="s">
        <v>136</v>
      </c>
      <c r="N42" s="66">
        <v>35015</v>
      </c>
      <c r="O42" s="66">
        <v>37460</v>
      </c>
      <c r="P42" s="66">
        <v>40120</v>
      </c>
      <c r="Q42" s="66">
        <v>42972</v>
      </c>
      <c r="R42" s="83">
        <v>45961</v>
      </c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</row>
    <row r="43" spans="1:72" x14ac:dyDescent="0.35">
      <c r="A43" s="34"/>
      <c r="B43" s="143"/>
      <c r="C43" s="143"/>
      <c r="D43" s="143"/>
      <c r="E43" s="143"/>
      <c r="F43" s="143"/>
      <c r="G43" s="143"/>
      <c r="H43" s="143"/>
      <c r="I43" s="143"/>
      <c r="J43" s="34"/>
      <c r="K43" s="34"/>
      <c r="L43" s="34"/>
      <c r="M43" s="63" t="s">
        <v>98</v>
      </c>
      <c r="N43" s="66">
        <v>43853</v>
      </c>
      <c r="O43" s="66">
        <v>43853</v>
      </c>
      <c r="P43" s="66">
        <v>43853</v>
      </c>
      <c r="Q43" s="66">
        <v>43853</v>
      </c>
      <c r="R43" s="83">
        <v>43853</v>
      </c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</row>
    <row r="44" spans="1:72" x14ac:dyDescent="0.35">
      <c r="A44" s="34"/>
      <c r="B44" s="143"/>
      <c r="C44" s="143"/>
      <c r="D44" s="143"/>
      <c r="E44" s="143"/>
      <c r="F44" s="143"/>
      <c r="G44" s="143"/>
      <c r="H44" s="143"/>
      <c r="I44" s="143"/>
      <c r="J44" s="34"/>
      <c r="K44" s="34"/>
      <c r="L44" s="34"/>
      <c r="M44" s="63" t="s">
        <v>99</v>
      </c>
      <c r="N44" s="66">
        <v>43051</v>
      </c>
      <c r="O44" s="66">
        <v>43051</v>
      </c>
      <c r="P44" s="66">
        <v>43051</v>
      </c>
      <c r="Q44" s="66">
        <v>43051</v>
      </c>
      <c r="R44" s="83">
        <v>43051</v>
      </c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</row>
    <row r="45" spans="1:72" x14ac:dyDescent="0.35">
      <c r="A45" s="34"/>
      <c r="B45" s="143"/>
      <c r="C45" s="143"/>
      <c r="D45" s="143"/>
      <c r="E45" s="143"/>
      <c r="F45" s="143"/>
      <c r="G45" s="143"/>
      <c r="H45" s="143"/>
      <c r="I45" s="143"/>
      <c r="J45" s="34"/>
      <c r="K45" s="34"/>
      <c r="L45" s="34"/>
      <c r="M45" s="63" t="s">
        <v>100</v>
      </c>
      <c r="N45" s="66">
        <v>11162</v>
      </c>
      <c r="O45" s="66">
        <v>11162</v>
      </c>
      <c r="P45" s="66">
        <v>11162</v>
      </c>
      <c r="Q45" s="66">
        <v>11162</v>
      </c>
      <c r="R45" s="83">
        <v>11162</v>
      </c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</row>
    <row r="46" spans="1:72" x14ac:dyDescent="0.35">
      <c r="A46" s="34"/>
      <c r="B46" s="143"/>
      <c r="C46" s="143"/>
      <c r="D46" s="143"/>
      <c r="E46" s="143"/>
      <c r="F46" s="143"/>
      <c r="G46" s="143"/>
      <c r="H46" s="143"/>
      <c r="I46" s="143"/>
      <c r="J46" s="34"/>
      <c r="K46" s="34"/>
      <c r="L46" s="34"/>
      <c r="M46" s="63"/>
      <c r="N46" s="34"/>
      <c r="O46" s="34"/>
      <c r="P46" s="34"/>
      <c r="Q46" s="34"/>
      <c r="R46" s="82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</row>
    <row r="47" spans="1:72" x14ac:dyDescent="0.35">
      <c r="A47" s="34"/>
      <c r="B47" s="143"/>
      <c r="C47" s="143"/>
      <c r="D47" s="143"/>
      <c r="E47" s="143"/>
      <c r="F47" s="143"/>
      <c r="G47" s="143"/>
      <c r="H47" s="143"/>
      <c r="I47" s="143"/>
      <c r="J47" s="34"/>
      <c r="K47" s="34"/>
      <c r="L47" s="34"/>
      <c r="M47" s="63"/>
      <c r="N47" s="34"/>
      <c r="O47" s="34"/>
      <c r="P47" s="34"/>
      <c r="Q47" s="34"/>
      <c r="R47" s="82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</row>
    <row r="48" spans="1:72" x14ac:dyDescent="0.35">
      <c r="A48" s="34"/>
      <c r="B48" s="143"/>
      <c r="C48" s="143"/>
      <c r="D48" s="143"/>
      <c r="E48" s="143"/>
      <c r="F48" s="143"/>
      <c r="G48" s="143"/>
      <c r="H48" s="143"/>
      <c r="I48" s="143"/>
      <c r="J48" s="34"/>
      <c r="K48" s="34"/>
      <c r="L48" s="34"/>
      <c r="M48" s="63" t="s">
        <v>138</v>
      </c>
      <c r="N48" s="34"/>
      <c r="O48" s="34"/>
      <c r="P48" s="34"/>
      <c r="Q48" s="34"/>
      <c r="R48" s="82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</row>
    <row r="49" spans="1:72" x14ac:dyDescent="0.35">
      <c r="A49" s="34"/>
      <c r="B49" s="143"/>
      <c r="C49" s="143"/>
      <c r="D49" s="143"/>
      <c r="E49" s="143"/>
      <c r="F49" s="143"/>
      <c r="G49" s="143"/>
      <c r="H49" s="143"/>
      <c r="I49" s="143"/>
      <c r="J49" s="34"/>
      <c r="K49" s="34"/>
      <c r="L49" s="34"/>
      <c r="M49" s="63" t="s">
        <v>103</v>
      </c>
      <c r="N49" s="66">
        <v>18830</v>
      </c>
      <c r="O49" s="66">
        <v>18985</v>
      </c>
      <c r="P49" s="66">
        <v>20664</v>
      </c>
      <c r="Q49" s="66">
        <v>22149</v>
      </c>
      <c r="R49" s="83">
        <v>23214</v>
      </c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</row>
    <row r="50" spans="1:72" x14ac:dyDescent="0.35">
      <c r="A50" s="34"/>
      <c r="B50" s="143"/>
      <c r="C50" s="143"/>
      <c r="D50" s="143"/>
      <c r="E50" s="143"/>
      <c r="F50" s="143"/>
      <c r="G50" s="143"/>
      <c r="H50" s="143"/>
      <c r="I50" s="143"/>
      <c r="J50" s="34"/>
      <c r="K50" s="34"/>
      <c r="L50" s="34"/>
      <c r="M50" s="63" t="s">
        <v>104</v>
      </c>
      <c r="N50" s="66">
        <v>22778</v>
      </c>
      <c r="O50" s="66">
        <v>22966</v>
      </c>
      <c r="P50" s="66">
        <v>24996</v>
      </c>
      <c r="Q50" s="66">
        <v>26792</v>
      </c>
      <c r="R50" s="83">
        <v>28081</v>
      </c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</row>
    <row r="51" spans="1:72" x14ac:dyDescent="0.35">
      <c r="A51" s="34"/>
      <c r="B51" s="143"/>
      <c r="C51" s="143"/>
      <c r="D51" s="143"/>
      <c r="E51" s="143"/>
      <c r="F51" s="143"/>
      <c r="G51" s="143"/>
      <c r="H51" s="143"/>
      <c r="I51" s="143"/>
      <c r="J51" s="34"/>
      <c r="K51" s="34"/>
      <c r="L51" s="34"/>
      <c r="M51" s="63"/>
      <c r="N51" s="34"/>
      <c r="O51" s="34"/>
      <c r="P51" s="34"/>
      <c r="Q51" s="34"/>
      <c r="R51" s="82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</row>
    <row r="52" spans="1:72" x14ac:dyDescent="0.35">
      <c r="A52" s="34"/>
      <c r="B52" s="143"/>
      <c r="C52" s="143"/>
      <c r="D52" s="143"/>
      <c r="E52" s="143"/>
      <c r="F52" s="143"/>
      <c r="G52" s="143"/>
      <c r="H52" s="143"/>
      <c r="I52" s="143"/>
      <c r="J52" s="34"/>
      <c r="K52" s="34"/>
      <c r="L52" s="34"/>
      <c r="M52" s="63" t="s">
        <v>106</v>
      </c>
      <c r="N52" s="66">
        <v>11654</v>
      </c>
      <c r="O52" s="66">
        <v>11654</v>
      </c>
      <c r="P52" s="66">
        <v>11654</v>
      </c>
      <c r="Q52" s="66">
        <v>11654</v>
      </c>
      <c r="R52" s="83">
        <v>11654</v>
      </c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</row>
    <row r="53" spans="1:72" x14ac:dyDescent="0.35">
      <c r="A53" s="34"/>
      <c r="B53" s="143"/>
      <c r="C53" s="143"/>
      <c r="D53" s="143"/>
      <c r="E53" s="143"/>
      <c r="F53" s="143"/>
      <c r="G53" s="143"/>
      <c r="H53" s="143"/>
      <c r="I53" s="143"/>
      <c r="J53" s="34"/>
      <c r="K53" s="34"/>
      <c r="L53" s="34"/>
      <c r="M53" s="63" t="s">
        <v>107</v>
      </c>
      <c r="N53" s="66">
        <v>9080</v>
      </c>
      <c r="O53" s="66">
        <v>9080</v>
      </c>
      <c r="P53" s="66">
        <v>9080</v>
      </c>
      <c r="Q53" s="66">
        <v>9080</v>
      </c>
      <c r="R53" s="83">
        <v>9080</v>
      </c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</row>
    <row r="54" spans="1:72" ht="16" thickBot="1" x14ac:dyDescent="0.4">
      <c r="A54" s="34"/>
      <c r="B54" s="143"/>
      <c r="C54" s="143"/>
      <c r="D54" s="143"/>
      <c r="E54" s="143"/>
      <c r="F54" s="143"/>
      <c r="G54" s="143"/>
      <c r="H54" s="143"/>
      <c r="I54" s="143"/>
      <c r="J54" s="34"/>
      <c r="K54" s="34"/>
      <c r="L54" s="34"/>
      <c r="M54" s="84"/>
      <c r="N54" s="85"/>
      <c r="O54" s="85"/>
      <c r="P54" s="85"/>
      <c r="Q54" s="85"/>
      <c r="R54" s="86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</row>
    <row r="55" spans="1:72" x14ac:dyDescent="0.35">
      <c r="A55" s="34"/>
      <c r="B55" s="143"/>
      <c r="C55" s="143"/>
      <c r="D55" s="143"/>
      <c r="E55" s="143"/>
      <c r="F55" s="143"/>
      <c r="G55" s="143"/>
      <c r="H55" s="143"/>
      <c r="I55" s="14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</row>
    <row r="56" spans="1:72" x14ac:dyDescent="0.35">
      <c r="A56" s="34"/>
      <c r="B56" s="143"/>
      <c r="C56" s="143"/>
      <c r="D56" s="143"/>
      <c r="E56" s="143"/>
      <c r="F56" s="143"/>
      <c r="G56" s="143"/>
      <c r="H56" s="143"/>
      <c r="I56" s="14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</row>
    <row r="57" spans="1:72" x14ac:dyDescent="0.35">
      <c r="A57" s="34"/>
      <c r="B57" s="143"/>
      <c r="C57" s="143"/>
      <c r="D57" s="143"/>
      <c r="E57" s="143"/>
      <c r="F57" s="143"/>
      <c r="G57" s="143"/>
      <c r="H57" s="143"/>
      <c r="I57" s="14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</row>
    <row r="58" spans="1:72" x14ac:dyDescent="0.35">
      <c r="A58" s="34"/>
      <c r="B58" s="143"/>
      <c r="C58" s="143"/>
      <c r="D58" s="143"/>
      <c r="E58" s="143"/>
      <c r="F58" s="143"/>
      <c r="G58" s="143"/>
      <c r="H58" s="178"/>
      <c r="I58" s="14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</row>
    <row r="59" spans="1:72" x14ac:dyDescent="0.35">
      <c r="A59" s="87"/>
      <c r="B59" s="178"/>
      <c r="C59" s="178"/>
      <c r="D59" s="178"/>
      <c r="E59" s="178"/>
      <c r="F59" s="178"/>
      <c r="G59" s="178"/>
      <c r="H59" s="178"/>
      <c r="I59" s="14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</row>
    <row r="60" spans="1:72" x14ac:dyDescent="0.35">
      <c r="A60" s="87"/>
      <c r="B60" s="178"/>
      <c r="C60" s="178"/>
      <c r="D60" s="178"/>
      <c r="E60" s="178"/>
      <c r="F60" s="178"/>
      <c r="G60" s="178"/>
      <c r="H60" s="178"/>
      <c r="I60" s="14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</row>
    <row r="61" spans="1:72" x14ac:dyDescent="0.35">
      <c r="A61" s="87"/>
      <c r="B61" s="178"/>
      <c r="C61" s="178"/>
      <c r="D61" s="178"/>
      <c r="E61" s="178"/>
      <c r="F61" s="178"/>
      <c r="G61" s="178"/>
      <c r="H61" s="178"/>
      <c r="I61" s="14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</row>
    <row r="62" spans="1:72" x14ac:dyDescent="0.35">
      <c r="A62" s="87"/>
      <c r="B62" s="178"/>
      <c r="C62" s="178"/>
      <c r="D62" s="178"/>
      <c r="E62" s="178"/>
      <c r="F62" s="178"/>
      <c r="G62" s="178"/>
      <c r="H62" s="178"/>
      <c r="I62" s="14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</row>
    <row r="63" spans="1:72" x14ac:dyDescent="0.35">
      <c r="A63" s="87"/>
      <c r="B63" s="178"/>
      <c r="C63" s="178"/>
      <c r="D63" s="178"/>
      <c r="E63" s="178"/>
      <c r="F63" s="178"/>
      <c r="G63" s="178"/>
      <c r="H63" s="178"/>
      <c r="I63" s="14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</row>
    <row r="64" spans="1:72" x14ac:dyDescent="0.35">
      <c r="A64" s="87"/>
      <c r="B64" s="178"/>
      <c r="C64" s="178"/>
      <c r="D64" s="178"/>
      <c r="E64" s="178"/>
      <c r="F64" s="178"/>
      <c r="G64" s="178"/>
      <c r="H64" s="178"/>
      <c r="I64" s="14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</row>
    <row r="65" spans="1:72" x14ac:dyDescent="0.35">
      <c r="A65" s="87"/>
      <c r="B65" s="178"/>
      <c r="C65" s="178"/>
      <c r="D65" s="178"/>
      <c r="E65" s="178"/>
      <c r="F65" s="178"/>
      <c r="G65" s="178"/>
      <c r="H65" s="178"/>
      <c r="I65" s="14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</row>
    <row r="66" spans="1:72" x14ac:dyDescent="0.35">
      <c r="A66" s="87"/>
      <c r="B66" s="178"/>
      <c r="C66" s="178"/>
      <c r="D66" s="178"/>
      <c r="E66" s="178"/>
      <c r="F66" s="178"/>
      <c r="G66" s="178"/>
      <c r="H66" s="178"/>
      <c r="I66" s="14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</row>
    <row r="67" spans="1:72" x14ac:dyDescent="0.35">
      <c r="A67" s="87"/>
      <c r="B67" s="178"/>
      <c r="C67" s="178"/>
      <c r="D67" s="178"/>
      <c r="E67" s="178"/>
      <c r="F67" s="178"/>
      <c r="G67" s="178"/>
      <c r="H67" s="178"/>
      <c r="I67" s="14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</row>
    <row r="68" spans="1:72" x14ac:dyDescent="0.35">
      <c r="A68" s="87"/>
      <c r="B68" s="178"/>
      <c r="C68" s="178"/>
      <c r="D68" s="178"/>
      <c r="E68" s="178"/>
      <c r="F68" s="178"/>
      <c r="G68" s="178"/>
      <c r="H68" s="178"/>
      <c r="I68" s="14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</row>
    <row r="69" spans="1:72" x14ac:dyDescent="0.35">
      <c r="A69" s="87"/>
      <c r="B69" s="178"/>
      <c r="C69" s="178"/>
      <c r="D69" s="178"/>
      <c r="E69" s="178"/>
      <c r="F69" s="178"/>
      <c r="G69" s="178"/>
      <c r="H69" s="178"/>
      <c r="I69" s="14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spans="1:72" x14ac:dyDescent="0.35">
      <c r="A70" s="87"/>
      <c r="B70" s="87"/>
      <c r="C70" s="87"/>
      <c r="D70" s="87"/>
      <c r="E70" s="87"/>
      <c r="F70" s="87"/>
      <c r="G70" s="87"/>
      <c r="H70" s="87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spans="1:72" x14ac:dyDescent="0.35">
      <c r="A71" s="87"/>
      <c r="B71" s="87"/>
      <c r="C71" s="87"/>
      <c r="D71" s="87"/>
      <c r="E71" s="87"/>
      <c r="F71" s="87"/>
      <c r="G71" s="87"/>
      <c r="H71" s="87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</row>
    <row r="72" spans="1:72" x14ac:dyDescent="0.35">
      <c r="A72" s="87"/>
      <c r="B72" s="87"/>
      <c r="C72" s="87"/>
      <c r="D72" s="87"/>
      <c r="E72" s="87"/>
      <c r="F72" s="87"/>
      <c r="G72" s="87"/>
      <c r="H72" s="87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</row>
    <row r="73" spans="1:72" x14ac:dyDescent="0.35">
      <c r="A73" s="87"/>
      <c r="B73" s="87"/>
      <c r="C73" s="87"/>
      <c r="D73" s="87"/>
      <c r="E73" s="87"/>
      <c r="F73" s="87"/>
      <c r="G73" s="87"/>
      <c r="H73" s="87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</row>
    <row r="74" spans="1:72" x14ac:dyDescent="0.35">
      <c r="A74" s="87"/>
      <c r="B74" s="87"/>
      <c r="C74" s="87"/>
      <c r="D74" s="87"/>
      <c r="E74" s="87"/>
      <c r="F74" s="87"/>
      <c r="G74" s="87"/>
      <c r="H74" s="87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</row>
    <row r="75" spans="1:72" x14ac:dyDescent="0.35">
      <c r="A75" s="87"/>
      <c r="B75" s="87"/>
      <c r="C75" s="87"/>
      <c r="D75" s="87"/>
      <c r="E75" s="87"/>
      <c r="F75" s="87"/>
      <c r="G75" s="87"/>
      <c r="H75" s="87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</row>
    <row r="76" spans="1:72" x14ac:dyDescent="0.35">
      <c r="A76" s="87"/>
      <c r="B76" s="87"/>
      <c r="C76" s="87"/>
      <c r="D76" s="87"/>
      <c r="E76" s="87"/>
      <c r="F76" s="87"/>
      <c r="G76" s="87"/>
      <c r="H76" s="87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</row>
    <row r="77" spans="1:72" x14ac:dyDescent="0.35">
      <c r="A77" s="87"/>
      <c r="B77" s="87"/>
      <c r="C77" s="87"/>
      <c r="D77" s="87"/>
      <c r="E77" s="87"/>
      <c r="F77" s="87"/>
      <c r="G77" s="87"/>
      <c r="H77" s="87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</row>
    <row r="78" spans="1:72" x14ac:dyDescent="0.35">
      <c r="A78" s="87"/>
      <c r="B78" s="87"/>
      <c r="C78" s="87"/>
      <c r="D78" s="87"/>
      <c r="E78" s="87"/>
      <c r="F78" s="87"/>
      <c r="G78" s="87"/>
      <c r="H78" s="87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</row>
    <row r="79" spans="1:72" x14ac:dyDescent="0.35">
      <c r="A79" s="87"/>
      <c r="B79" s="87"/>
      <c r="C79" s="87"/>
      <c r="D79" s="87"/>
      <c r="E79" s="87"/>
      <c r="F79" s="87"/>
      <c r="G79" s="87"/>
      <c r="H79" s="87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</row>
    <row r="80" spans="1:72" x14ac:dyDescent="0.35">
      <c r="A80" s="87"/>
      <c r="B80" s="87"/>
      <c r="C80" s="87"/>
      <c r="D80" s="87"/>
      <c r="E80" s="87"/>
      <c r="F80" s="87"/>
      <c r="G80" s="87"/>
      <c r="H80" s="87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</row>
    <row r="81" spans="1:72" x14ac:dyDescent="0.35">
      <c r="A81" s="87"/>
      <c r="B81" s="87"/>
      <c r="C81" s="87"/>
      <c r="D81" s="87"/>
      <c r="E81" s="87"/>
      <c r="F81" s="87"/>
      <c r="G81" s="87"/>
      <c r="H81" s="87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</row>
    <row r="82" spans="1:72" x14ac:dyDescent="0.35">
      <c r="A82" s="87"/>
      <c r="B82" s="87"/>
      <c r="C82" s="87"/>
      <c r="D82" s="87"/>
      <c r="E82" s="87"/>
      <c r="F82" s="87"/>
      <c r="G82" s="87"/>
      <c r="H82" s="87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</row>
    <row r="83" spans="1:72" x14ac:dyDescent="0.35">
      <c r="A83" s="87"/>
      <c r="B83" s="87"/>
      <c r="C83" s="87"/>
      <c r="D83" s="87"/>
      <c r="E83" s="87"/>
      <c r="F83" s="87"/>
      <c r="G83" s="87"/>
      <c r="H83" s="87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</row>
    <row r="84" spans="1:72" x14ac:dyDescent="0.35">
      <c r="A84" s="87"/>
      <c r="B84" s="87"/>
      <c r="C84" s="87"/>
      <c r="D84" s="87"/>
      <c r="E84" s="87"/>
      <c r="F84" s="87"/>
      <c r="G84" s="87"/>
      <c r="H84" s="87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</row>
    <row r="85" spans="1:72" x14ac:dyDescent="0.35">
      <c r="A85" s="87"/>
      <c r="B85" s="87"/>
      <c r="C85" s="87"/>
      <c r="D85" s="87"/>
      <c r="E85" s="87"/>
      <c r="F85" s="87"/>
      <c r="G85" s="87"/>
      <c r="H85" s="87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</row>
    <row r="86" spans="1:72" x14ac:dyDescent="0.35">
      <c r="A86" s="87"/>
      <c r="B86" s="87"/>
      <c r="C86" s="87"/>
      <c r="D86" s="87"/>
      <c r="E86" s="87"/>
      <c r="F86" s="87"/>
      <c r="G86" s="87"/>
      <c r="H86" s="87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</row>
    <row r="87" spans="1:72" x14ac:dyDescent="0.35">
      <c r="A87" s="87"/>
      <c r="B87" s="87"/>
      <c r="C87" s="87"/>
      <c r="D87" s="87"/>
      <c r="E87" s="87"/>
      <c r="F87" s="87"/>
      <c r="G87" s="87"/>
      <c r="H87" s="87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</row>
    <row r="88" spans="1:72" x14ac:dyDescent="0.35">
      <c r="A88" s="87"/>
      <c r="B88" s="87"/>
      <c r="C88" s="87"/>
      <c r="D88" s="87"/>
      <c r="E88" s="87"/>
      <c r="F88" s="87"/>
      <c r="G88" s="87"/>
      <c r="H88" s="87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</row>
    <row r="89" spans="1:72" x14ac:dyDescent="0.35">
      <c r="A89" s="87"/>
      <c r="B89" s="87"/>
      <c r="C89" s="87"/>
      <c r="D89" s="87"/>
      <c r="E89" s="87"/>
      <c r="F89" s="87"/>
      <c r="G89" s="87"/>
      <c r="H89" s="87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</row>
    <row r="90" spans="1:72" x14ac:dyDescent="0.35">
      <c r="A90" s="87"/>
      <c r="B90" s="87"/>
      <c r="C90" s="87"/>
      <c r="D90" s="87"/>
      <c r="E90" s="87"/>
      <c r="F90" s="87"/>
      <c r="G90" s="87"/>
      <c r="H90" s="87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</row>
    <row r="91" spans="1:72" x14ac:dyDescent="0.35">
      <c r="A91" s="87"/>
      <c r="B91" s="87"/>
      <c r="C91" s="87"/>
      <c r="D91" s="87"/>
      <c r="E91" s="87"/>
      <c r="F91" s="87"/>
      <c r="G91" s="87"/>
      <c r="H91" s="87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</row>
    <row r="92" spans="1:72" x14ac:dyDescent="0.35">
      <c r="A92" s="87"/>
      <c r="B92" s="87"/>
      <c r="C92" s="87"/>
      <c r="D92" s="87"/>
      <c r="E92" s="87"/>
      <c r="F92" s="87"/>
      <c r="G92" s="87"/>
      <c r="H92" s="8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</row>
    <row r="93" spans="1:72" x14ac:dyDescent="0.35">
      <c r="A93" s="87"/>
      <c r="B93" s="87"/>
      <c r="C93" s="87"/>
      <c r="D93" s="87"/>
      <c r="E93" s="87"/>
      <c r="F93" s="87"/>
      <c r="G93" s="87"/>
      <c r="H93" s="87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</row>
    <row r="94" spans="1:72" x14ac:dyDescent="0.35">
      <c r="A94" s="87"/>
      <c r="B94" s="87"/>
      <c r="C94" s="87"/>
      <c r="D94" s="87"/>
      <c r="E94" s="87"/>
      <c r="F94" s="87"/>
      <c r="G94" s="87"/>
      <c r="H94" s="87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</row>
    <row r="95" spans="1:72" x14ac:dyDescent="0.35">
      <c r="A95" s="87"/>
      <c r="B95" s="87"/>
      <c r="C95" s="87"/>
      <c r="D95" s="87"/>
      <c r="E95" s="87"/>
      <c r="F95" s="87"/>
      <c r="G95" s="87"/>
      <c r="H95" s="87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</row>
    <row r="96" spans="1:72" x14ac:dyDescent="0.35">
      <c r="A96" s="87"/>
      <c r="B96" s="87"/>
      <c r="C96" s="87"/>
      <c r="D96" s="87"/>
      <c r="E96" s="87"/>
      <c r="F96" s="87"/>
      <c r="G96" s="87"/>
      <c r="H96" s="87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</row>
    <row r="97" spans="1:72" x14ac:dyDescent="0.35">
      <c r="A97" s="87"/>
      <c r="B97" s="87"/>
      <c r="C97" s="87"/>
      <c r="D97" s="87"/>
      <c r="E97" s="87"/>
      <c r="F97" s="87"/>
      <c r="G97" s="87"/>
      <c r="H97" s="87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spans="1:72" x14ac:dyDescent="0.35">
      <c r="A98" s="87"/>
      <c r="B98" s="87"/>
      <c r="C98" s="87"/>
      <c r="D98" s="87"/>
      <c r="E98" s="87"/>
      <c r="F98" s="87"/>
      <c r="G98" s="87"/>
      <c r="H98" s="87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spans="1:72" x14ac:dyDescent="0.35">
      <c r="A99" s="87"/>
      <c r="B99" s="87"/>
      <c r="C99" s="87"/>
      <c r="D99" s="87"/>
      <c r="E99" s="87"/>
      <c r="F99" s="87"/>
      <c r="G99" s="87"/>
      <c r="H99" s="87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</row>
    <row r="100" spans="1:72" x14ac:dyDescent="0.35">
      <c r="A100" s="87"/>
      <c r="B100" s="87"/>
      <c r="C100" s="87"/>
      <c r="D100" s="87"/>
      <c r="E100" s="87"/>
      <c r="F100" s="87"/>
      <c r="G100" s="87"/>
      <c r="H100" s="87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</row>
    <row r="101" spans="1:72" x14ac:dyDescent="0.35">
      <c r="A101" s="87"/>
      <c r="B101" s="87"/>
      <c r="C101" s="87"/>
      <c r="D101" s="87"/>
      <c r="E101" s="87"/>
      <c r="F101" s="87"/>
      <c r="G101" s="87"/>
      <c r="H101" s="87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</row>
    <row r="102" spans="1:72" x14ac:dyDescent="0.35">
      <c r="A102" s="87"/>
      <c r="B102" s="87"/>
      <c r="C102" s="87"/>
      <c r="D102" s="87"/>
      <c r="E102" s="87"/>
      <c r="F102" s="87"/>
      <c r="G102" s="87"/>
      <c r="H102" s="87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</row>
    <row r="103" spans="1:72" x14ac:dyDescent="0.35">
      <c r="A103" s="87"/>
      <c r="B103" s="87"/>
      <c r="C103" s="87"/>
      <c r="D103" s="87"/>
      <c r="E103" s="87"/>
      <c r="F103" s="87"/>
      <c r="G103" s="87"/>
      <c r="H103" s="87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</row>
    <row r="104" spans="1:72" x14ac:dyDescent="0.35">
      <c r="A104" s="87"/>
      <c r="B104" s="87"/>
      <c r="C104" s="87"/>
      <c r="D104" s="87"/>
      <c r="E104" s="87"/>
      <c r="F104" s="87"/>
      <c r="G104" s="87"/>
      <c r="H104" s="87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</row>
    <row r="105" spans="1:72" x14ac:dyDescent="0.3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</row>
  </sheetData>
  <sheetProtection algorithmName="SHA-512" hashValue="2G2pVUjxxWqBrI/pbzgl/95MZxS0KIj9Ch+JlUvjf9ke9EzZwB6sUYkriLN0JeUoprSpOtk8MKMowoFrVMTJ9Q==" saltValue="7i/TMph0L6XJdHmO8O44ww==" spinCount="100000" sheet="1" objects="1" scenarios="1"/>
  <mergeCells count="1">
    <mergeCell ref="M4:R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77"/>
  <sheetViews>
    <sheetView workbookViewId="0"/>
  </sheetViews>
  <sheetFormatPr defaultColWidth="8.81640625" defaultRowHeight="14.5" x14ac:dyDescent="0.35"/>
  <cols>
    <col min="1" max="1" width="36" customWidth="1"/>
    <col min="2" max="4" width="12.7265625" bestFit="1" customWidth="1"/>
  </cols>
  <sheetData>
    <row r="1" spans="1:54" ht="20" x14ac:dyDescent="0.4">
      <c r="A1" s="179" t="s">
        <v>139</v>
      </c>
      <c r="B1" s="180"/>
      <c r="C1" s="180"/>
      <c r="D1" s="180"/>
      <c r="E1" s="14"/>
      <c r="F1" s="14"/>
      <c r="G1" s="14"/>
      <c r="H1" s="22"/>
      <c r="I1" s="2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s="2" customFormat="1" ht="15.5" x14ac:dyDescent="0.35">
      <c r="A2" s="181"/>
      <c r="B2" s="181"/>
      <c r="C2" s="181"/>
      <c r="D2" s="181"/>
      <c r="E2" s="24"/>
      <c r="F2" s="24"/>
      <c r="G2" s="24"/>
    </row>
    <row r="3" spans="1:54" ht="15.5" x14ac:dyDescent="0.35">
      <c r="A3" s="182"/>
      <c r="B3" s="182">
        <v>2004</v>
      </c>
      <c r="C3" s="182">
        <v>2005</v>
      </c>
      <c r="D3" s="182">
        <v>2006</v>
      </c>
      <c r="E3" s="10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ht="15.5" x14ac:dyDescent="0.35">
      <c r="A4" s="183" t="s">
        <v>117</v>
      </c>
      <c r="B4" s="184">
        <v>450174</v>
      </c>
      <c r="C4" s="184">
        <v>469704</v>
      </c>
      <c r="D4" s="184">
        <v>470286</v>
      </c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5.5" x14ac:dyDescent="0.35">
      <c r="A5" s="185" t="s">
        <v>81</v>
      </c>
      <c r="B5" s="186">
        <v>223617</v>
      </c>
      <c r="C5" s="186">
        <v>231583</v>
      </c>
      <c r="D5" s="186">
        <v>234494</v>
      </c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15.5" x14ac:dyDescent="0.35">
      <c r="A6" s="183" t="s">
        <v>82</v>
      </c>
      <c r="B6" s="187">
        <f>B4-B5</f>
        <v>226557</v>
      </c>
      <c r="C6" s="187">
        <f t="shared" ref="C6:D6" si="0">C4-C5</f>
        <v>238121</v>
      </c>
      <c r="D6" s="187">
        <f t="shared" si="0"/>
        <v>235792</v>
      </c>
      <c r="E6" s="10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15.5" x14ac:dyDescent="0.35">
      <c r="A7" s="185" t="s">
        <v>140</v>
      </c>
      <c r="B7" s="186">
        <v>127705</v>
      </c>
      <c r="C7" s="186">
        <v>130242</v>
      </c>
      <c r="D7" s="186">
        <v>130471</v>
      </c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ht="15.5" x14ac:dyDescent="0.35">
      <c r="A8" s="185" t="s">
        <v>141</v>
      </c>
      <c r="B8" s="186">
        <v>31437</v>
      </c>
      <c r="C8" s="186">
        <v>33938</v>
      </c>
      <c r="D8" s="186">
        <v>36535</v>
      </c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ht="15.5" x14ac:dyDescent="0.35">
      <c r="A9" s="183" t="s">
        <v>84</v>
      </c>
      <c r="B9" s="187">
        <f>B6-B7-B8</f>
        <v>67415</v>
      </c>
      <c r="C9" s="187">
        <f t="shared" ref="C9:D9" si="1">C6-C7-C8</f>
        <v>73941</v>
      </c>
      <c r="D9" s="187">
        <f t="shared" si="1"/>
        <v>68786</v>
      </c>
      <c r="E9" s="10"/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ht="15.5" x14ac:dyDescent="0.35">
      <c r="A10" s="185" t="s">
        <v>85</v>
      </c>
      <c r="B10" s="186">
        <v>7049</v>
      </c>
      <c r="C10" s="186">
        <v>7343</v>
      </c>
      <c r="D10" s="186">
        <v>8366</v>
      </c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5.5" x14ac:dyDescent="0.35">
      <c r="A11" s="183" t="s">
        <v>86</v>
      </c>
      <c r="B11" s="187">
        <f>B9-B10</f>
        <v>60366</v>
      </c>
      <c r="C11" s="187">
        <f t="shared" ref="C11:D11" si="2">C9-C10</f>
        <v>66598</v>
      </c>
      <c r="D11" s="187">
        <f t="shared" si="2"/>
        <v>60420</v>
      </c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5.5" x14ac:dyDescent="0.35">
      <c r="A12" s="185" t="s">
        <v>142</v>
      </c>
      <c r="B12" s="186">
        <v>5092</v>
      </c>
      <c r="C12" s="186">
        <v>5143</v>
      </c>
      <c r="D12" s="186">
        <v>5098</v>
      </c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5.5" x14ac:dyDescent="0.35">
      <c r="A13" s="185" t="s">
        <v>143</v>
      </c>
      <c r="B13" s="186">
        <v>1211</v>
      </c>
      <c r="C13" s="186">
        <v>-752</v>
      </c>
      <c r="D13" s="186">
        <v>24</v>
      </c>
      <c r="E13" s="10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5.5" x14ac:dyDescent="0.35">
      <c r="A14" s="183" t="s">
        <v>88</v>
      </c>
      <c r="B14" s="187">
        <f>B11-B12-B13</f>
        <v>54063</v>
      </c>
      <c r="C14" s="187">
        <f t="shared" ref="C14:D14" si="3">C11-C12-C13</f>
        <v>62207</v>
      </c>
      <c r="D14" s="187">
        <f t="shared" si="3"/>
        <v>55298</v>
      </c>
      <c r="E14" s="10"/>
      <c r="F14" s="10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15.5" x14ac:dyDescent="0.35">
      <c r="A15" s="188" t="s">
        <v>89</v>
      </c>
      <c r="B15" s="189">
        <v>19192</v>
      </c>
      <c r="C15" s="189">
        <v>21089</v>
      </c>
      <c r="D15" s="189">
        <v>19349</v>
      </c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15.5" x14ac:dyDescent="0.35">
      <c r="A16" s="183" t="s">
        <v>90</v>
      </c>
      <c r="B16" s="190">
        <f>B14-B15</f>
        <v>34871</v>
      </c>
      <c r="C16" s="190">
        <f t="shared" ref="C16:D16" si="4">C14-C15</f>
        <v>41118</v>
      </c>
      <c r="D16" s="190">
        <f t="shared" si="4"/>
        <v>35949</v>
      </c>
      <c r="E16" s="10"/>
      <c r="F16" s="10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5.5" x14ac:dyDescent="0.35">
      <c r="A17" s="183"/>
      <c r="B17" s="184"/>
      <c r="C17" s="184"/>
      <c r="D17" s="184"/>
      <c r="E17" s="10"/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15.5" x14ac:dyDescent="0.35">
      <c r="A18" s="183"/>
      <c r="B18" s="184"/>
      <c r="C18" s="184"/>
      <c r="D18" s="184"/>
      <c r="E18" s="10"/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5.5" x14ac:dyDescent="0.35">
      <c r="A19" s="185"/>
      <c r="B19" s="191" t="s">
        <v>20</v>
      </c>
      <c r="C19" s="191"/>
      <c r="D19" s="191"/>
      <c r="E19" s="10"/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5.5" x14ac:dyDescent="0.35">
      <c r="A20" s="185" t="s">
        <v>144</v>
      </c>
      <c r="B20" s="192">
        <v>1.7000000000000001E-2</v>
      </c>
      <c r="C20" s="192">
        <f>(C4/B4)-1</f>
        <v>4.3383225152940907E-2</v>
      </c>
      <c r="D20" s="192">
        <f>(D4/C4)-1</f>
        <v>1.2390782279902979E-3</v>
      </c>
      <c r="E20" s="10"/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15.5" x14ac:dyDescent="0.35">
      <c r="A21" s="185" t="s">
        <v>145</v>
      </c>
      <c r="B21" s="192">
        <f>B6/B4</f>
        <v>0.50326540404376974</v>
      </c>
      <c r="C21" s="192">
        <f t="shared" ref="C21:D21" si="5">C6/C4</f>
        <v>0.50695970228058518</v>
      </c>
      <c r="D21" s="192">
        <f t="shared" si="5"/>
        <v>0.50138001131226528</v>
      </c>
      <c r="E21" s="10"/>
      <c r="F21" s="10"/>
      <c r="G21" s="1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ht="15.5" x14ac:dyDescent="0.35">
      <c r="A22" s="185" t="s">
        <v>146</v>
      </c>
      <c r="B22" s="192">
        <f>B9/B4</f>
        <v>0.14975320653791646</v>
      </c>
      <c r="C22" s="192">
        <f t="shared" ref="C22:D22" si="6">C9/C4</f>
        <v>0.15742041796535691</v>
      </c>
      <c r="D22" s="192">
        <f t="shared" si="6"/>
        <v>0.14626418817485531</v>
      </c>
      <c r="E22" s="10"/>
      <c r="F22" s="10"/>
      <c r="G22" s="1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ht="15.5" x14ac:dyDescent="0.35">
      <c r="A23" s="185" t="s">
        <v>122</v>
      </c>
      <c r="B23" s="192">
        <f>B11/B4</f>
        <v>0.13409481667088727</v>
      </c>
      <c r="C23" s="192">
        <f t="shared" ref="C23:D23" si="7">C11/C4</f>
        <v>0.14178716808883893</v>
      </c>
      <c r="D23" s="192">
        <f t="shared" si="7"/>
        <v>0.12847501307714879</v>
      </c>
      <c r="E23" s="10"/>
      <c r="F23" s="10"/>
      <c r="G23" s="1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ht="15.5" x14ac:dyDescent="0.35">
      <c r="A24" s="185" t="s">
        <v>147</v>
      </c>
      <c r="B24" s="192">
        <f>B14/B4</f>
        <v>0.12009356382198882</v>
      </c>
      <c r="C24" s="192">
        <f t="shared" ref="C24:D24" si="8">C14/C4</f>
        <v>0.13243872736872583</v>
      </c>
      <c r="D24" s="192">
        <f t="shared" si="8"/>
        <v>0.11758376817511046</v>
      </c>
      <c r="E24" s="10"/>
      <c r="F24" s="10"/>
      <c r="G24" s="1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t="15.5" x14ac:dyDescent="0.35">
      <c r="A25" s="185" t="s">
        <v>148</v>
      </c>
      <c r="B25" s="192">
        <f>B15/B14</f>
        <v>0.35499324861735382</v>
      </c>
      <c r="C25" s="192">
        <f t="shared" ref="C25:D25" si="9">C15/C14</f>
        <v>0.3390132943237899</v>
      </c>
      <c r="D25" s="192">
        <f t="shared" si="9"/>
        <v>0.34990415566566602</v>
      </c>
      <c r="E25" s="10"/>
      <c r="F25" s="10"/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ht="15.5" x14ac:dyDescent="0.35">
      <c r="A26" s="185" t="s">
        <v>149</v>
      </c>
      <c r="B26" s="192">
        <f>B16/B4</f>
        <v>7.7461159462785506E-2</v>
      </c>
      <c r="C26" s="192">
        <f t="shared" ref="C26:D26" si="10">C16/C4</f>
        <v>8.7540238107403814E-2</v>
      </c>
      <c r="D26" s="192">
        <f t="shared" si="10"/>
        <v>7.6440719051811032E-2</v>
      </c>
      <c r="E26" s="10"/>
      <c r="F26" s="10"/>
      <c r="G26" s="1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15.5" x14ac:dyDescent="0.35">
      <c r="A27" s="10"/>
      <c r="B27" s="10"/>
      <c r="C27" s="10"/>
      <c r="D27" s="10"/>
      <c r="E27" s="10"/>
      <c r="F27" s="10"/>
      <c r="G27" s="1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ht="15.5" x14ac:dyDescent="0.35">
      <c r="A28" s="10"/>
      <c r="B28" s="10"/>
      <c r="C28" s="10"/>
      <c r="D28" s="10"/>
      <c r="E28" s="10"/>
      <c r="F28" s="10"/>
      <c r="G28" s="1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ht="15.5" x14ac:dyDescent="0.35">
      <c r="A29" s="10"/>
      <c r="B29" s="10"/>
      <c r="C29" s="10"/>
      <c r="D29" s="10"/>
      <c r="E29" s="10"/>
      <c r="F29" s="10"/>
      <c r="G29" s="1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ht="15.5" x14ac:dyDescent="0.35">
      <c r="A30" s="10"/>
      <c r="B30" s="10"/>
      <c r="C30" s="10"/>
      <c r="D30" s="10"/>
      <c r="E30" s="10"/>
      <c r="F30" s="10"/>
      <c r="G30" s="1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ht="15.5" x14ac:dyDescent="0.35">
      <c r="A31" s="10"/>
      <c r="B31" s="10"/>
      <c r="C31" s="10"/>
      <c r="D31" s="10"/>
      <c r="E31" s="10"/>
      <c r="F31" s="10"/>
      <c r="G31" s="1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ht="15.5" x14ac:dyDescent="0.35">
      <c r="A32" s="10"/>
      <c r="B32" s="10"/>
      <c r="C32" s="10"/>
      <c r="D32" s="10"/>
      <c r="E32" s="10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ht="15.5" x14ac:dyDescent="0.35">
      <c r="A33" s="10"/>
      <c r="B33" s="10"/>
      <c r="C33" s="10"/>
      <c r="D33" s="10"/>
      <c r="E33" s="10"/>
      <c r="F33" s="10"/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5.5" x14ac:dyDescent="0.35">
      <c r="A34" s="10"/>
      <c r="B34" s="10"/>
      <c r="C34" s="10"/>
      <c r="D34" s="10"/>
      <c r="E34" s="10"/>
      <c r="F34" s="10"/>
      <c r="G34" s="1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t="15.5" x14ac:dyDescent="0.35">
      <c r="A35" s="10"/>
      <c r="B35" s="10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ht="15.5" x14ac:dyDescent="0.35">
      <c r="A36" s="10"/>
      <c r="B36" s="10"/>
      <c r="C36" s="10"/>
      <c r="D36" s="10"/>
      <c r="E36" s="10"/>
      <c r="F36" s="10"/>
      <c r="G36" s="1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ht="15.5" x14ac:dyDescent="0.35">
      <c r="A37" s="10"/>
      <c r="B37" s="10"/>
      <c r="C37" s="10"/>
      <c r="D37" s="10"/>
      <c r="E37" s="10"/>
      <c r="F37" s="10"/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ht="15.5" x14ac:dyDescent="0.35">
      <c r="A38" s="10"/>
      <c r="B38" s="10"/>
      <c r="C38" s="10"/>
      <c r="D38" s="10"/>
      <c r="E38" s="10"/>
      <c r="F38" s="10"/>
      <c r="G38" s="1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t="15.5" x14ac:dyDescent="0.35">
      <c r="A39" s="10"/>
      <c r="B39" s="10"/>
      <c r="C39" s="10"/>
      <c r="D39" s="10"/>
      <c r="E39" s="10"/>
      <c r="F39" s="10"/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ht="15.5" x14ac:dyDescent="0.35">
      <c r="A40" s="10"/>
      <c r="B40" s="10"/>
      <c r="C40" s="10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ht="15.5" x14ac:dyDescent="0.35">
      <c r="A41" s="10"/>
      <c r="B41" s="10"/>
      <c r="C41" s="10"/>
      <c r="D41" s="10"/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ht="15.5" x14ac:dyDescent="0.35">
      <c r="A42" s="10"/>
      <c r="B42" s="10"/>
      <c r="C42" s="10"/>
      <c r="D42" s="10"/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t="15.5" x14ac:dyDescent="0.35">
      <c r="A43" s="10"/>
      <c r="B43" s="10"/>
      <c r="C43" s="10"/>
      <c r="D43" s="10"/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ht="15.5" x14ac:dyDescent="0.35">
      <c r="A44" s="10"/>
      <c r="B44" s="10"/>
      <c r="C44" s="10"/>
      <c r="D44" s="10"/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1:5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5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1:5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1:5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1:5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1:5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1:5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1:5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1:5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1:5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1:5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1:5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spans="1:54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spans="1:54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spans="1:54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spans="1:54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spans="1:54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spans="1:54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spans="1:54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spans="1:5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spans="1:5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spans="1:5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spans="1:54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spans="1:54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spans="1:54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spans="1:54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spans="1:54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spans="1:54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spans="1:54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spans="1:54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spans="1:54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spans="1:54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spans="1:54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spans="1:54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spans="1:54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spans="1:54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spans="1:54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spans="1:54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spans="1:54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spans="1:54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spans="1:54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spans="1:54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spans="1:54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spans="1:54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spans="1:54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spans="1:54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spans="1:54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spans="1:54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spans="1:54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spans="1:54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spans="1:54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spans="1:54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spans="1:54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spans="1:54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spans="1:54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spans="1:54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spans="1:54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spans="1:54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spans="1:54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spans="1:54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spans="1:54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spans="1:54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spans="1:54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spans="1:54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spans="1:54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spans="1:54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spans="1:54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spans="1:54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spans="1:54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spans="1:54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spans="1:54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1:54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1:54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spans="1:54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1:54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spans="1:54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spans="1:54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spans="1:54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spans="1:54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spans="1:54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spans="1:54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54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spans="1:54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spans="1:54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spans="1:54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spans="1:54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spans="1:54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spans="1:54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spans="1:54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spans="1:54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spans="1:54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spans="1:54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spans="1:54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spans="1:54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spans="1:54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spans="1:54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spans="1:54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spans="1:54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spans="1:54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spans="1:54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spans="1:54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spans="1:54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spans="1:54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spans="1:54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spans="1:54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spans="1:54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spans="1:54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spans="1:54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spans="1:54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spans="1:54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spans="1:54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spans="1:54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spans="1:54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spans="1:54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spans="1:54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spans="1:54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spans="1:54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4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spans="1:54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spans="1:54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4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4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spans="1:54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spans="1:54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spans="1:54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spans="1:54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spans="1:54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spans="1:54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spans="1:54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spans="1:54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spans="1:54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spans="1:54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spans="1:54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spans="1:54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1:54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spans="1:54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spans="1:54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spans="1:54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spans="1:54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spans="1:54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spans="1:54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spans="1:54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spans="1:54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:54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spans="1:54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spans="1:54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spans="1:54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spans="1:54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spans="1:54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spans="1:54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spans="1:54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spans="1:54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spans="1:54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spans="1:54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spans="1:54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spans="1:54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:54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spans="1:54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spans="1:54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spans="1:54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spans="1:54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spans="1:54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spans="1:54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:54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:54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:54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:54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:54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:54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:54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:54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:54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:54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1:54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1:54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spans="1:54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spans="1:54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spans="1:54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spans="1:54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spans="1:54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spans="1:54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spans="1:54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spans="1:54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spans="1:54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spans="1:54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spans="1:54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spans="1:54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spans="1:54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spans="1:54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spans="1:54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1:54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spans="1:54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spans="1:54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spans="1:54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spans="1:54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spans="1:54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spans="1:54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1:54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spans="1:54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1:54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spans="1:54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1:54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spans="1:54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1:54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spans="1:54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1:54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spans="1:54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1:54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1:54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1:54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spans="1:54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1:54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1:54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spans="1:54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1:54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1:54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1:54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1:54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1:54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spans="1:54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</sheetData>
  <sheetProtection algorithmName="SHA-512" hashValue="ebS0gDless/NscFMXSHuSdrhQal4cse10BmeqGPkHDXR+D+er0UmhuIaS36/+W62lcqamv3DsLskaakWBk6R1w==" saltValue="/UmE2X+JfX9IrUgkpsImVQ==" spinCount="100000" sheet="1" objects="1" scenarios="1"/>
  <mergeCells count="1">
    <mergeCell ref="B19:D19"/>
  </mergeCell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54"/>
  <sheetViews>
    <sheetView workbookViewId="0"/>
  </sheetViews>
  <sheetFormatPr defaultColWidth="8.81640625" defaultRowHeight="14.5" x14ac:dyDescent="0.35"/>
  <cols>
    <col min="1" max="1" width="35.81640625" customWidth="1"/>
    <col min="2" max="4" width="12.453125" bestFit="1" customWidth="1"/>
  </cols>
  <sheetData>
    <row r="1" spans="1:44" ht="20" x14ac:dyDescent="0.4">
      <c r="A1" s="8" t="s">
        <v>150</v>
      </c>
      <c r="B1" s="10"/>
      <c r="C1" s="14"/>
      <c r="D1" s="14"/>
      <c r="E1" s="22"/>
      <c r="F1" s="22"/>
      <c r="G1" s="22"/>
      <c r="H1" s="22"/>
      <c r="I1" s="22"/>
      <c r="J1" s="2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4" s="2" customFormat="1" ht="15.5" x14ac:dyDescent="0.35">
      <c r="A2" s="24" t="s">
        <v>80</v>
      </c>
      <c r="B2" s="24"/>
      <c r="C2" s="24"/>
      <c r="D2" s="24"/>
    </row>
    <row r="3" spans="1:44" ht="15.5" x14ac:dyDescent="0.35">
      <c r="A3" s="15" t="s">
        <v>91</v>
      </c>
      <c r="B3" s="182">
        <v>2004</v>
      </c>
      <c r="C3" s="182">
        <v>2005</v>
      </c>
      <c r="D3" s="182">
        <v>2006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.5" x14ac:dyDescent="0.35">
      <c r="A4" s="12" t="s">
        <v>151</v>
      </c>
      <c r="B4" s="193">
        <v>92753</v>
      </c>
      <c r="C4" s="193">
        <v>63949</v>
      </c>
      <c r="D4" s="193">
        <v>54509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5.5" x14ac:dyDescent="0.35">
      <c r="A5" s="12" t="s">
        <v>134</v>
      </c>
      <c r="B5" s="194">
        <v>46507</v>
      </c>
      <c r="C5" s="194">
        <v>50649</v>
      </c>
      <c r="D5" s="194">
        <v>61322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5" x14ac:dyDescent="0.35">
      <c r="A6" s="12" t="s">
        <v>94</v>
      </c>
      <c r="B6" s="194">
        <v>38493</v>
      </c>
      <c r="C6" s="194">
        <v>50140</v>
      </c>
      <c r="D6" s="194">
        <v>56030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.5" x14ac:dyDescent="0.35">
      <c r="A7" s="12" t="s">
        <v>135</v>
      </c>
      <c r="B7" s="194">
        <v>8298</v>
      </c>
      <c r="C7" s="194">
        <v>10051</v>
      </c>
      <c r="D7" s="194">
        <v>12223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.5" x14ac:dyDescent="0.35">
      <c r="A8" s="12" t="s">
        <v>106</v>
      </c>
      <c r="B8" s="194">
        <v>8681</v>
      </c>
      <c r="C8" s="194">
        <v>8080</v>
      </c>
      <c r="D8" s="194">
        <v>6519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5.5" x14ac:dyDescent="0.35">
      <c r="A9" s="25" t="s">
        <v>152</v>
      </c>
      <c r="B9" s="189">
        <v>0</v>
      </c>
      <c r="C9" s="189">
        <v>1813</v>
      </c>
      <c r="D9" s="189">
        <v>53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.5" x14ac:dyDescent="0.35">
      <c r="A10" s="13" t="s">
        <v>96</v>
      </c>
      <c r="B10" s="195">
        <f>B4+B5+B6+B7+B8+B9</f>
        <v>194732</v>
      </c>
      <c r="C10" s="195">
        <f t="shared" ref="C10:D10" si="0">C4+C5+C6+C7+C8+C9</f>
        <v>184682</v>
      </c>
      <c r="D10" s="195">
        <f t="shared" si="0"/>
        <v>190656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5.5" x14ac:dyDescent="0.35">
      <c r="A11" s="12"/>
      <c r="B11" s="193"/>
      <c r="C11" s="193"/>
      <c r="D11" s="19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.5" x14ac:dyDescent="0.35">
      <c r="A12" s="12" t="s">
        <v>136</v>
      </c>
      <c r="B12" s="193">
        <v>23694</v>
      </c>
      <c r="C12" s="193">
        <v>24712</v>
      </c>
      <c r="D12" s="193">
        <v>28392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5.5" x14ac:dyDescent="0.35">
      <c r="A13" s="12" t="s">
        <v>153</v>
      </c>
      <c r="B13" s="194">
        <v>6414</v>
      </c>
      <c r="C13" s="194">
        <v>12273</v>
      </c>
      <c r="D13" s="194">
        <v>14360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5.5" x14ac:dyDescent="0.35">
      <c r="A14" s="12" t="s">
        <v>99</v>
      </c>
      <c r="B14" s="194">
        <v>4249</v>
      </c>
      <c r="C14" s="194">
        <v>11851</v>
      </c>
      <c r="D14" s="194">
        <v>11915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.5" x14ac:dyDescent="0.35">
      <c r="A15" s="25" t="s">
        <v>100</v>
      </c>
      <c r="B15" s="189">
        <v>2982</v>
      </c>
      <c r="C15" s="189">
        <v>3079</v>
      </c>
      <c r="D15" s="189">
        <v>3249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5.5" x14ac:dyDescent="0.35">
      <c r="A16" s="13" t="s">
        <v>101</v>
      </c>
      <c r="B16" s="195">
        <f>B10+B12+B13+B14+B15</f>
        <v>232071</v>
      </c>
      <c r="C16" s="195">
        <f t="shared" ref="C16:D16" si="1">C10+C12+C13+C14+C15</f>
        <v>236597</v>
      </c>
      <c r="D16" s="195">
        <f t="shared" si="1"/>
        <v>248572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5.5" x14ac:dyDescent="0.35">
      <c r="A17" s="12"/>
      <c r="B17" s="193"/>
      <c r="C17" s="193"/>
      <c r="D17" s="19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.5" x14ac:dyDescent="0.35">
      <c r="A18" s="15" t="s">
        <v>102</v>
      </c>
      <c r="B18" s="193"/>
      <c r="C18" s="193"/>
      <c r="D18" s="19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5.5" x14ac:dyDescent="0.35">
      <c r="A19" s="12" t="s">
        <v>103</v>
      </c>
      <c r="B19" s="193">
        <v>15711</v>
      </c>
      <c r="C19" s="193">
        <v>29188</v>
      </c>
      <c r="D19" s="193">
        <v>33009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5.5" x14ac:dyDescent="0.35">
      <c r="A20" s="12" t="s">
        <v>104</v>
      </c>
      <c r="B20" s="194">
        <v>37211</v>
      </c>
      <c r="C20" s="194">
        <v>30553</v>
      </c>
      <c r="D20" s="194">
        <v>36718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5.5" x14ac:dyDescent="0.35">
      <c r="A21" s="12" t="s">
        <v>14</v>
      </c>
      <c r="B21" s="194">
        <v>10421</v>
      </c>
      <c r="C21" s="194">
        <v>13263</v>
      </c>
      <c r="D21" s="194">
        <v>10162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.5" x14ac:dyDescent="0.35">
      <c r="A22" s="12" t="s">
        <v>15</v>
      </c>
      <c r="B22" s="194">
        <v>0</v>
      </c>
      <c r="C22" s="194">
        <v>0</v>
      </c>
      <c r="D22" s="194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5" x14ac:dyDescent="0.35">
      <c r="A23" s="25" t="s">
        <v>16</v>
      </c>
      <c r="B23" s="189">
        <v>4514</v>
      </c>
      <c r="C23" s="189">
        <v>0</v>
      </c>
      <c r="D23" s="189">
        <v>878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.5" x14ac:dyDescent="0.35">
      <c r="A24" s="13" t="s">
        <v>105</v>
      </c>
      <c r="B24" s="195">
        <f>B19+B20+B21+B22+B23</f>
        <v>67857</v>
      </c>
      <c r="C24" s="195">
        <f t="shared" ref="C24:D24" si="2">C19+C20+C21+C22+C23</f>
        <v>73004</v>
      </c>
      <c r="D24" s="195">
        <f t="shared" si="2"/>
        <v>80767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.5" x14ac:dyDescent="0.35">
      <c r="A25" s="12"/>
      <c r="B25" s="194"/>
      <c r="C25" s="194"/>
      <c r="D25" s="19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.5" x14ac:dyDescent="0.35">
      <c r="A26" s="12" t="s">
        <v>17</v>
      </c>
      <c r="B26" s="194">
        <v>178173</v>
      </c>
      <c r="C26" s="194">
        <v>150240</v>
      </c>
      <c r="D26" s="194">
        <v>140047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.5" x14ac:dyDescent="0.35">
      <c r="A27" s="12" t="s">
        <v>18</v>
      </c>
      <c r="B27" s="194">
        <v>3763</v>
      </c>
      <c r="C27" s="194">
        <v>4814</v>
      </c>
      <c r="D27" s="194">
        <v>3919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.5" x14ac:dyDescent="0.35">
      <c r="A28" s="25" t="s">
        <v>106</v>
      </c>
      <c r="B28" s="189">
        <v>2180</v>
      </c>
      <c r="C28" s="189">
        <v>323</v>
      </c>
      <c r="D28" s="189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.5" x14ac:dyDescent="0.35">
      <c r="A29" s="13" t="s">
        <v>19</v>
      </c>
      <c r="B29" s="195">
        <v>-19921</v>
      </c>
      <c r="C29" s="195">
        <v>8216</v>
      </c>
      <c r="D29" s="195">
        <v>23857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.5" x14ac:dyDescent="0.35">
      <c r="A30" s="12"/>
      <c r="B30" s="193"/>
      <c r="C30" s="193"/>
      <c r="D30" s="19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6" thickBot="1" x14ac:dyDescent="0.4">
      <c r="A31" s="28" t="s">
        <v>164</v>
      </c>
      <c r="B31" s="196">
        <f>B24+B26+B27+B28+B29</f>
        <v>232052</v>
      </c>
      <c r="C31" s="196">
        <f t="shared" ref="C31:D31" si="3">C24+C26+C27+C28+C29</f>
        <v>236597</v>
      </c>
      <c r="D31" s="196">
        <f t="shared" si="3"/>
        <v>248590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6" thickTop="1" x14ac:dyDescent="0.35">
      <c r="A32" s="10"/>
      <c r="B32" s="10"/>
      <c r="C32" s="10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.5" x14ac:dyDescent="0.35">
      <c r="A33" s="10"/>
      <c r="B33" s="10"/>
      <c r="C33" s="10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</sheetData>
  <sheetProtection algorithmName="SHA-512" hashValue="ObWpifJHqVCsxXZg2NSaiJEEiwzGAS+iU9BSTgts4aCXa5S/D3mohV7b50dM/qf3cew6oL3Qv29rGZga/3dtMQ==" saltValue="bXJMLgjQxLER13HOW/Pq0g==" spinCount="100000" sheet="1" objects="1" scenario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77"/>
  <sheetViews>
    <sheetView zoomScale="90" zoomScaleNormal="90" zoomScalePageLayoutView="90" workbookViewId="0"/>
  </sheetViews>
  <sheetFormatPr defaultColWidth="8.81640625" defaultRowHeight="14.5" x14ac:dyDescent="0.35"/>
  <cols>
    <col min="1" max="1" width="31.7265625" customWidth="1"/>
    <col min="2" max="2" width="14.453125" bestFit="1" customWidth="1"/>
    <col min="3" max="3" width="12.81640625" bestFit="1" customWidth="1"/>
    <col min="4" max="4" width="9" bestFit="1" customWidth="1"/>
    <col min="5" max="5" width="12.26953125" customWidth="1"/>
    <col min="6" max="6" width="14" bestFit="1" customWidth="1"/>
    <col min="7" max="7" width="15.81640625" customWidth="1"/>
    <col min="8" max="8" width="13.1796875" customWidth="1"/>
    <col min="9" max="9" width="13.453125" bestFit="1" customWidth="1"/>
    <col min="10" max="10" width="16.453125" customWidth="1"/>
    <col min="11" max="15" width="9" bestFit="1" customWidth="1"/>
    <col min="16" max="16" width="10.81640625" bestFit="1" customWidth="1"/>
  </cols>
  <sheetData>
    <row r="1" spans="1:41" ht="20" x14ac:dyDescent="0.4">
      <c r="A1" s="179" t="s">
        <v>168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97"/>
      <c r="AI1" s="197"/>
      <c r="AJ1" s="4"/>
      <c r="AK1" s="4"/>
      <c r="AL1" s="4"/>
      <c r="AM1" s="4"/>
      <c r="AN1" s="4"/>
      <c r="AO1" s="4"/>
    </row>
    <row r="2" spans="1:41" s="2" customFormat="1" ht="15.5" x14ac:dyDescent="0.35">
      <c r="A2" s="181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81"/>
      <c r="Z2" s="181"/>
      <c r="AA2" s="181"/>
      <c r="AB2" s="181"/>
      <c r="AC2" s="181"/>
      <c r="AD2" s="181"/>
      <c r="AE2" s="181"/>
      <c r="AF2" s="181"/>
      <c r="AG2" s="181"/>
      <c r="AH2" s="199"/>
      <c r="AI2" s="199"/>
    </row>
    <row r="3" spans="1:41" ht="45.75" customHeight="1" x14ac:dyDescent="0.35">
      <c r="A3" s="185"/>
      <c r="B3" s="200" t="s">
        <v>21</v>
      </c>
      <c r="C3" s="200" t="s">
        <v>22</v>
      </c>
      <c r="D3" s="200" t="s">
        <v>23</v>
      </c>
      <c r="E3" s="200" t="s">
        <v>167</v>
      </c>
      <c r="F3" s="200" t="s">
        <v>176</v>
      </c>
      <c r="G3" s="200" t="s">
        <v>24</v>
      </c>
      <c r="H3" s="201" t="s">
        <v>25</v>
      </c>
      <c r="I3" s="200" t="s">
        <v>122</v>
      </c>
      <c r="J3" s="200" t="s">
        <v>146</v>
      </c>
      <c r="K3" s="201" t="s">
        <v>26</v>
      </c>
      <c r="L3" s="201" t="s">
        <v>27</v>
      </c>
      <c r="M3" s="201" t="s">
        <v>28</v>
      </c>
      <c r="N3" s="201" t="s">
        <v>29</v>
      </c>
      <c r="O3" s="201" t="s">
        <v>30</v>
      </c>
      <c r="P3" s="201" t="s">
        <v>169</v>
      </c>
      <c r="Q3" s="202"/>
      <c r="R3" s="202"/>
      <c r="S3" s="202"/>
      <c r="T3" s="202"/>
      <c r="U3" s="202"/>
      <c r="V3" s="202"/>
      <c r="W3" s="202"/>
      <c r="X3" s="202"/>
      <c r="Y3" s="185"/>
      <c r="Z3" s="185"/>
      <c r="AA3" s="185"/>
      <c r="AB3" s="185"/>
      <c r="AC3" s="185"/>
      <c r="AD3" s="185"/>
      <c r="AE3" s="185"/>
      <c r="AF3" s="185"/>
      <c r="AG3" s="185"/>
      <c r="AH3" s="197"/>
      <c r="AI3" s="197"/>
      <c r="AJ3" s="4"/>
      <c r="AK3" s="4"/>
      <c r="AL3" s="4"/>
      <c r="AM3" s="4"/>
      <c r="AN3" s="4"/>
      <c r="AO3" s="4"/>
    </row>
    <row r="4" spans="1:41" ht="15.5" x14ac:dyDescent="0.35">
      <c r="A4" s="185" t="s">
        <v>31</v>
      </c>
      <c r="B4" s="203">
        <v>420098</v>
      </c>
      <c r="C4" s="203">
        <v>125442</v>
      </c>
      <c r="D4" s="204">
        <v>0.29899999999999999</v>
      </c>
      <c r="E4" s="202">
        <v>2.68</v>
      </c>
      <c r="F4" s="203">
        <v>2545058</v>
      </c>
      <c r="G4" s="203">
        <v>67679</v>
      </c>
      <c r="H4" s="204">
        <v>6.6000000000000003E-2</v>
      </c>
      <c r="I4" s="204">
        <v>4.3999999999999997E-2</v>
      </c>
      <c r="J4" s="204">
        <v>6.0999999999999999E-2</v>
      </c>
      <c r="K4" s="204">
        <v>2.7E-2</v>
      </c>
      <c r="L4" s="205">
        <v>5.5</v>
      </c>
      <c r="M4" s="205">
        <v>3.9</v>
      </c>
      <c r="N4" s="202">
        <v>6.8</v>
      </c>
      <c r="O4" s="202">
        <v>0.9</v>
      </c>
      <c r="P4" s="206">
        <f>E4/(1+(1-'Cost of Capital'!$B$12)*Comps!D4)</f>
        <v>2.2723418687468206</v>
      </c>
      <c r="Q4" s="202"/>
      <c r="R4" s="202"/>
      <c r="S4" s="202"/>
      <c r="T4" s="202"/>
      <c r="U4" s="202"/>
      <c r="V4" s="202"/>
      <c r="W4" s="202"/>
      <c r="X4" s="202"/>
      <c r="Y4" s="185"/>
      <c r="Z4" s="185"/>
      <c r="AA4" s="185"/>
      <c r="AB4" s="185"/>
      <c r="AC4" s="185"/>
      <c r="AD4" s="185"/>
      <c r="AE4" s="185"/>
      <c r="AF4" s="185"/>
      <c r="AG4" s="185"/>
      <c r="AH4" s="197"/>
      <c r="AI4" s="197"/>
      <c r="AJ4" s="4"/>
      <c r="AK4" s="4"/>
      <c r="AL4" s="4"/>
      <c r="AM4" s="4"/>
      <c r="AN4" s="4"/>
      <c r="AO4" s="4"/>
    </row>
    <row r="5" spans="1:41" ht="15.5" x14ac:dyDescent="0.35">
      <c r="A5" s="185" t="s">
        <v>32</v>
      </c>
      <c r="B5" s="203">
        <v>1205795</v>
      </c>
      <c r="C5" s="203">
        <v>-91559</v>
      </c>
      <c r="D5" s="204">
        <v>-7.5999999999999998E-2</v>
      </c>
      <c r="E5" s="202">
        <v>1.94</v>
      </c>
      <c r="F5" s="203">
        <v>313556</v>
      </c>
      <c r="G5" s="203">
        <v>41923</v>
      </c>
      <c r="H5" s="204">
        <v>0.17799999999999999</v>
      </c>
      <c r="I5" s="207">
        <v>0.221</v>
      </c>
      <c r="J5" s="204">
        <v>0.23100000000000001</v>
      </c>
      <c r="K5" s="207">
        <v>0.13400000000000001</v>
      </c>
      <c r="L5" s="202">
        <v>18</v>
      </c>
      <c r="M5" s="202">
        <v>16.899999999999999</v>
      </c>
      <c r="N5" s="205">
        <v>31.6</v>
      </c>
      <c r="O5" s="202">
        <v>6</v>
      </c>
      <c r="P5" s="206">
        <f>E5/(1+(1-'Cost of Capital'!$B$12)*Comps!D5)</f>
        <v>2.0326906957250626</v>
      </c>
      <c r="Q5" s="202"/>
      <c r="R5" s="202"/>
      <c r="S5" s="202"/>
      <c r="T5" s="202"/>
      <c r="U5" s="202"/>
      <c r="V5" s="202"/>
      <c r="W5" s="202"/>
      <c r="X5" s="202"/>
      <c r="Y5" s="185"/>
      <c r="Z5" s="185"/>
      <c r="AA5" s="185"/>
      <c r="AB5" s="185"/>
      <c r="AC5" s="185"/>
      <c r="AD5" s="185"/>
      <c r="AE5" s="185"/>
      <c r="AF5" s="185"/>
      <c r="AG5" s="185"/>
      <c r="AH5" s="197"/>
      <c r="AI5" s="197"/>
      <c r="AJ5" s="4"/>
      <c r="AK5" s="4"/>
      <c r="AL5" s="4"/>
      <c r="AM5" s="4"/>
      <c r="AN5" s="4"/>
      <c r="AO5" s="4"/>
    </row>
    <row r="6" spans="1:41" ht="15.5" x14ac:dyDescent="0.35">
      <c r="A6" s="185" t="s">
        <v>33</v>
      </c>
      <c r="B6" s="203">
        <v>533463</v>
      </c>
      <c r="C6" s="203">
        <v>171835</v>
      </c>
      <c r="D6" s="204">
        <v>0.32200000000000001</v>
      </c>
      <c r="E6" s="202">
        <v>1.92</v>
      </c>
      <c r="F6" s="203">
        <v>1322392</v>
      </c>
      <c r="G6" s="203">
        <v>64567</v>
      </c>
      <c r="H6" s="204">
        <v>0.112</v>
      </c>
      <c r="I6" s="207">
        <v>8.7999999999999995E-2</v>
      </c>
      <c r="J6" s="204">
        <v>0.115</v>
      </c>
      <c r="K6" s="207">
        <v>4.9000000000000002E-2</v>
      </c>
      <c r="L6" s="202">
        <v>6.8</v>
      </c>
      <c r="M6" s="202">
        <v>5.0999999999999996</v>
      </c>
      <c r="N6" s="202">
        <v>9.1</v>
      </c>
      <c r="O6" s="202">
        <v>1.6</v>
      </c>
      <c r="P6" s="206">
        <f>E6/(1+(1-'Cost of Capital'!$B$12)*Comps!D6)</f>
        <v>1.6091183372443847</v>
      </c>
      <c r="Q6" s="202"/>
      <c r="R6" s="202"/>
      <c r="S6" s="202"/>
      <c r="T6" s="202"/>
      <c r="U6" s="202"/>
      <c r="V6" s="202"/>
      <c r="W6" s="202"/>
      <c r="X6" s="202"/>
      <c r="Y6" s="185"/>
      <c r="Z6" s="185"/>
      <c r="AA6" s="185"/>
      <c r="AB6" s="185"/>
      <c r="AC6" s="185"/>
      <c r="AD6" s="185"/>
      <c r="AE6" s="185"/>
      <c r="AF6" s="185"/>
      <c r="AG6" s="185"/>
      <c r="AH6" s="197"/>
      <c r="AI6" s="197"/>
      <c r="AJ6" s="4"/>
      <c r="AK6" s="4"/>
      <c r="AL6" s="4"/>
      <c r="AM6" s="4"/>
      <c r="AN6" s="4"/>
      <c r="AO6" s="4"/>
    </row>
    <row r="7" spans="1:41" ht="15.5" x14ac:dyDescent="0.35">
      <c r="A7" s="185" t="s">
        <v>34</v>
      </c>
      <c r="B7" s="203">
        <v>165560</v>
      </c>
      <c r="C7" s="203">
        <v>82236</v>
      </c>
      <c r="D7" s="204">
        <v>0.497</v>
      </c>
      <c r="E7" s="202">
        <v>1.1200000000000001</v>
      </c>
      <c r="F7" s="203">
        <v>552594</v>
      </c>
      <c r="G7" s="203">
        <v>27568</v>
      </c>
      <c r="H7" s="204">
        <v>4.5999999999999999E-2</v>
      </c>
      <c r="I7" s="207">
        <v>6.9000000000000006E-2</v>
      </c>
      <c r="J7" s="204">
        <v>8.8999999999999996E-2</v>
      </c>
      <c r="K7" s="207">
        <v>0.05</v>
      </c>
      <c r="L7" s="202">
        <v>7.3</v>
      </c>
      <c r="M7" s="202">
        <v>5.5</v>
      </c>
      <c r="N7" s="202">
        <v>6.6</v>
      </c>
      <c r="O7" s="202">
        <v>0.7</v>
      </c>
      <c r="P7" s="206">
        <f>E7/(1+(1-'Cost of Capital'!$B$12)*Comps!D7)</f>
        <v>0.86273301494376842</v>
      </c>
      <c r="Q7" s="202"/>
      <c r="R7" s="202"/>
      <c r="S7" s="202"/>
      <c r="T7" s="202"/>
      <c r="U7" s="202"/>
      <c r="V7" s="202"/>
      <c r="W7" s="202"/>
      <c r="X7" s="202"/>
      <c r="Y7" s="185"/>
      <c r="Z7" s="185"/>
      <c r="AA7" s="185"/>
      <c r="AB7" s="185"/>
      <c r="AC7" s="185"/>
      <c r="AD7" s="185"/>
      <c r="AE7" s="185"/>
      <c r="AF7" s="185"/>
      <c r="AG7" s="185"/>
      <c r="AH7" s="197"/>
      <c r="AI7" s="197"/>
      <c r="AJ7" s="4"/>
      <c r="AK7" s="4"/>
      <c r="AL7" s="4"/>
      <c r="AM7" s="4"/>
      <c r="AN7" s="4"/>
      <c r="AO7" s="4"/>
    </row>
    <row r="8" spans="1:41" ht="15.5" x14ac:dyDescent="0.35">
      <c r="A8" s="185" t="s">
        <v>35</v>
      </c>
      <c r="B8" s="203">
        <v>35303250</v>
      </c>
      <c r="C8" s="203">
        <v>7653207</v>
      </c>
      <c r="D8" s="204">
        <v>0.217</v>
      </c>
      <c r="E8" s="202">
        <v>0.97</v>
      </c>
      <c r="F8" s="203">
        <v>15403547</v>
      </c>
      <c r="G8" s="203">
        <v>1433760</v>
      </c>
      <c r="H8" s="204">
        <v>7.9000000000000001E-2</v>
      </c>
      <c r="I8" s="207">
        <v>0.14099999999999999</v>
      </c>
      <c r="J8" s="204">
        <v>0.16</v>
      </c>
      <c r="K8" s="207">
        <v>9.2999999999999999E-2</v>
      </c>
      <c r="L8" s="205">
        <v>22.1</v>
      </c>
      <c r="M8" s="205">
        <v>19.2</v>
      </c>
      <c r="N8" s="202">
        <v>27.1</v>
      </c>
      <c r="O8" s="202">
        <v>6</v>
      </c>
      <c r="P8" s="206">
        <f>E8/(1+(1-'Cost of Capital'!$B$12)*Comps!D8)</f>
        <v>0.85825517607503099</v>
      </c>
      <c r="Q8" s="202"/>
      <c r="R8" s="202"/>
      <c r="S8" s="202"/>
      <c r="T8" s="202"/>
      <c r="U8" s="202"/>
      <c r="V8" s="202"/>
      <c r="W8" s="202"/>
      <c r="X8" s="202"/>
      <c r="Y8" s="185"/>
      <c r="Z8" s="185"/>
      <c r="AA8" s="185"/>
      <c r="AB8" s="185"/>
      <c r="AC8" s="185"/>
      <c r="AD8" s="185"/>
      <c r="AE8" s="185"/>
      <c r="AF8" s="185"/>
      <c r="AG8" s="185"/>
      <c r="AH8" s="197"/>
      <c r="AI8" s="197"/>
      <c r="AJ8" s="4"/>
      <c r="AK8" s="4"/>
      <c r="AL8" s="4"/>
      <c r="AM8" s="4"/>
      <c r="AN8" s="4"/>
      <c r="AO8" s="4"/>
    </row>
    <row r="9" spans="1:41" ht="15.5" x14ac:dyDescent="0.35">
      <c r="A9" s="185" t="s">
        <v>36</v>
      </c>
      <c r="B9" s="203">
        <v>570684</v>
      </c>
      <c r="C9" s="203">
        <v>195540</v>
      </c>
      <c r="D9" s="204">
        <v>0.34300000000000003</v>
      </c>
      <c r="E9" s="202">
        <v>2.13</v>
      </c>
      <c r="F9" s="203">
        <v>1241529</v>
      </c>
      <c r="G9" s="203">
        <v>73124</v>
      </c>
      <c r="H9" s="204">
        <v>0.10100000000000001</v>
      </c>
      <c r="I9" s="207">
        <v>9.2999999999999999E-2</v>
      </c>
      <c r="J9" s="204">
        <v>0.108</v>
      </c>
      <c r="K9" s="207">
        <v>5.8999999999999997E-2</v>
      </c>
      <c r="L9" s="202">
        <v>7.4</v>
      </c>
      <c r="M9" s="202">
        <v>6.3</v>
      </c>
      <c r="N9" s="202">
        <v>8.6</v>
      </c>
      <c r="O9" s="202">
        <v>1.4</v>
      </c>
      <c r="P9" s="206">
        <f>E9/(1+(1-'Cost of Capital'!$B$12)*Comps!D9)</f>
        <v>1.7664620998507214</v>
      </c>
      <c r="Q9" s="202"/>
      <c r="R9" s="202"/>
      <c r="S9" s="202"/>
      <c r="T9" s="202"/>
      <c r="U9" s="202"/>
      <c r="V9" s="202"/>
      <c r="W9" s="202"/>
      <c r="X9" s="202"/>
      <c r="Y9" s="185"/>
      <c r="Z9" s="185"/>
      <c r="AA9" s="185"/>
      <c r="AB9" s="185"/>
      <c r="AC9" s="185"/>
      <c r="AD9" s="185"/>
      <c r="AE9" s="185"/>
      <c r="AF9" s="185"/>
      <c r="AG9" s="185"/>
      <c r="AH9" s="197"/>
      <c r="AI9" s="197"/>
      <c r="AJ9" s="4"/>
      <c r="AK9" s="4"/>
      <c r="AL9" s="4"/>
      <c r="AM9" s="4"/>
      <c r="AN9" s="4"/>
      <c r="AO9" s="4"/>
    </row>
    <row r="10" spans="1:41" ht="15.5" x14ac:dyDescent="0.35">
      <c r="A10" s="185" t="s">
        <v>37</v>
      </c>
      <c r="B10" s="203">
        <v>1056033</v>
      </c>
      <c r="C10" s="203">
        <v>300550</v>
      </c>
      <c r="D10" s="204">
        <v>0.28499999999999998</v>
      </c>
      <c r="E10" s="202">
        <v>1.27</v>
      </c>
      <c r="F10" s="203">
        <v>1614648</v>
      </c>
      <c r="G10" s="203">
        <v>112015</v>
      </c>
      <c r="H10" s="204">
        <v>6.2E-2</v>
      </c>
      <c r="I10" s="207">
        <v>0.104</v>
      </c>
      <c r="J10" s="204">
        <v>0.122</v>
      </c>
      <c r="K10" s="207">
        <v>6.9000000000000006E-2</v>
      </c>
      <c r="L10" s="202">
        <v>9</v>
      </c>
      <c r="M10" s="202">
        <v>7.6</v>
      </c>
      <c r="N10" s="202">
        <v>10.4</v>
      </c>
      <c r="O10" s="202">
        <v>2</v>
      </c>
      <c r="P10" s="206">
        <f>E10/(1+(1-'Cost of Capital'!$B$12)*Comps!D10)</f>
        <v>1.0845431255337319</v>
      </c>
      <c r="Q10" s="202"/>
      <c r="R10" s="202"/>
      <c r="S10" s="202"/>
      <c r="T10" s="202"/>
      <c r="U10" s="202"/>
      <c r="V10" s="202"/>
      <c r="W10" s="202"/>
      <c r="X10" s="202"/>
      <c r="Y10" s="185"/>
      <c r="Z10" s="185"/>
      <c r="AA10" s="185"/>
      <c r="AB10" s="185"/>
      <c r="AC10" s="185"/>
      <c r="AD10" s="185"/>
      <c r="AE10" s="185"/>
      <c r="AF10" s="185"/>
      <c r="AG10" s="185"/>
      <c r="AH10" s="197"/>
      <c r="AI10" s="197"/>
      <c r="AJ10" s="4"/>
      <c r="AK10" s="4"/>
      <c r="AL10" s="4"/>
      <c r="AM10" s="4"/>
      <c r="AN10" s="4"/>
      <c r="AO10" s="4"/>
    </row>
    <row r="11" spans="1:41" ht="15.5" x14ac:dyDescent="0.35">
      <c r="A11" s="185" t="s">
        <v>38</v>
      </c>
      <c r="B11" s="203">
        <v>1454875</v>
      </c>
      <c r="C11" s="203">
        <v>-97018</v>
      </c>
      <c r="D11" s="204">
        <v>-6.7000000000000004E-2</v>
      </c>
      <c r="E11" s="202">
        <v>1.01</v>
      </c>
      <c r="F11" s="203">
        <v>1176144</v>
      </c>
      <c r="G11" s="203">
        <v>86156</v>
      </c>
      <c r="H11" s="204">
        <v>8.5000000000000006E-2</v>
      </c>
      <c r="I11" s="207">
        <v>0.108</v>
      </c>
      <c r="J11" s="204">
        <v>0.126</v>
      </c>
      <c r="K11" s="207">
        <v>7.2999999999999995E-2</v>
      </c>
      <c r="L11" s="202">
        <v>12</v>
      </c>
      <c r="M11" s="202">
        <v>10.1</v>
      </c>
      <c r="N11" s="202">
        <v>18.600000000000001</v>
      </c>
      <c r="O11" s="202">
        <v>3.1</v>
      </c>
      <c r="P11" s="206">
        <f>E11/(1+(1-'Cost of Capital'!$B$12)*Comps!D11)</f>
        <v>1.0523025630339655</v>
      </c>
      <c r="Q11" s="202"/>
      <c r="R11" s="202"/>
      <c r="S11" s="202"/>
      <c r="T11" s="202"/>
      <c r="U11" s="202"/>
      <c r="V11" s="202"/>
      <c r="W11" s="202"/>
      <c r="X11" s="202"/>
      <c r="Y11" s="185"/>
      <c r="Z11" s="185"/>
      <c r="AA11" s="185"/>
      <c r="AB11" s="185"/>
      <c r="AC11" s="185"/>
      <c r="AD11" s="185"/>
      <c r="AE11" s="185"/>
      <c r="AF11" s="185"/>
      <c r="AG11" s="185"/>
      <c r="AH11" s="197"/>
      <c r="AI11" s="197"/>
      <c r="AJ11" s="4"/>
      <c r="AK11" s="4"/>
      <c r="AL11" s="4"/>
      <c r="AM11" s="4"/>
      <c r="AN11" s="4"/>
      <c r="AO11" s="4"/>
    </row>
    <row r="12" spans="1:41" ht="15.5" x14ac:dyDescent="0.35">
      <c r="A12" s="185" t="s">
        <v>39</v>
      </c>
      <c r="B12" s="203">
        <v>397709</v>
      </c>
      <c r="C12" s="203">
        <v>169579</v>
      </c>
      <c r="D12" s="204">
        <v>0.42599999999999999</v>
      </c>
      <c r="E12" s="202">
        <v>0.98</v>
      </c>
      <c r="F12" s="203">
        <v>516182</v>
      </c>
      <c r="G12" s="203">
        <v>79170</v>
      </c>
      <c r="H12" s="204">
        <v>0.14399999999999999</v>
      </c>
      <c r="I12" s="207">
        <v>0.19900000000000001</v>
      </c>
      <c r="J12" s="204">
        <v>0.20200000000000001</v>
      </c>
      <c r="K12" s="207">
        <v>0.153</v>
      </c>
      <c r="L12" s="202">
        <v>6.2</v>
      </c>
      <c r="M12" s="202">
        <v>6</v>
      </c>
      <c r="N12" s="205">
        <v>5.5</v>
      </c>
      <c r="O12" s="202">
        <v>1.2</v>
      </c>
      <c r="P12" s="206">
        <f>E12/(1+(1-'Cost of Capital'!$B$12)*Comps!D12)</f>
        <v>0.78050334501433571</v>
      </c>
      <c r="Q12" s="202"/>
      <c r="R12" s="202"/>
      <c r="S12" s="202"/>
      <c r="T12" s="202"/>
      <c r="U12" s="202"/>
      <c r="V12" s="202"/>
      <c r="W12" s="202"/>
      <c r="X12" s="202"/>
      <c r="Y12" s="185"/>
      <c r="Z12" s="185"/>
      <c r="AA12" s="185"/>
      <c r="AB12" s="185"/>
      <c r="AC12" s="185"/>
      <c r="AD12" s="185"/>
      <c r="AE12" s="185"/>
      <c r="AF12" s="185"/>
      <c r="AG12" s="185"/>
      <c r="AH12" s="197"/>
      <c r="AI12" s="197"/>
      <c r="AJ12" s="4"/>
      <c r="AK12" s="4"/>
      <c r="AL12" s="4"/>
      <c r="AM12" s="4"/>
      <c r="AN12" s="4"/>
      <c r="AO12" s="4"/>
    </row>
    <row r="13" spans="1:41" ht="15.5" x14ac:dyDescent="0.35">
      <c r="A13" s="208" t="s">
        <v>40</v>
      </c>
      <c r="B13" s="209"/>
      <c r="C13" s="210"/>
      <c r="D13" s="211">
        <v>0.249</v>
      </c>
      <c r="E13" s="212"/>
      <c r="F13" s="213"/>
      <c r="G13" s="212"/>
      <c r="H13" s="211">
        <v>9.7000000000000003E-2</v>
      </c>
      <c r="I13" s="214">
        <v>0.11899999999999999</v>
      </c>
      <c r="J13" s="211">
        <v>0.13500000000000001</v>
      </c>
      <c r="K13" s="214">
        <v>7.9000000000000001E-2</v>
      </c>
      <c r="L13" s="212">
        <v>10.5</v>
      </c>
      <c r="M13" s="212">
        <v>9</v>
      </c>
      <c r="N13" s="212">
        <v>13.8</v>
      </c>
      <c r="O13" s="212">
        <v>2.5</v>
      </c>
      <c r="P13" s="215">
        <f>AVERAGE(P4:P12)</f>
        <v>1.3687722473519801</v>
      </c>
      <c r="Q13" s="202"/>
      <c r="R13" s="202"/>
      <c r="S13" s="202"/>
      <c r="T13" s="202"/>
      <c r="U13" s="202"/>
      <c r="V13" s="202"/>
      <c r="W13" s="202"/>
      <c r="X13" s="202"/>
      <c r="Y13" s="185"/>
      <c r="Z13" s="185"/>
      <c r="AA13" s="185"/>
      <c r="AB13" s="185"/>
      <c r="AC13" s="185"/>
      <c r="AD13" s="185"/>
      <c r="AE13" s="185"/>
      <c r="AF13" s="185"/>
      <c r="AG13" s="185"/>
      <c r="AH13" s="197"/>
      <c r="AI13" s="197"/>
      <c r="AJ13" s="4"/>
      <c r="AK13" s="4"/>
      <c r="AL13" s="4"/>
      <c r="AM13" s="4"/>
      <c r="AN13" s="4"/>
      <c r="AO13" s="4"/>
    </row>
    <row r="14" spans="1:41" ht="15.5" x14ac:dyDescent="0.35">
      <c r="A14" s="208" t="s">
        <v>165</v>
      </c>
      <c r="B14" s="209"/>
      <c r="C14" s="210"/>
      <c r="D14" s="211">
        <f>MEDIAN(D4:D12)</f>
        <v>0.29899999999999999</v>
      </c>
      <c r="E14" s="212"/>
      <c r="F14" s="213"/>
      <c r="G14" s="212"/>
      <c r="H14" s="211">
        <f t="shared" ref="H14:P14" si="0">MEDIAN(H4:H12)</f>
        <v>8.5000000000000006E-2</v>
      </c>
      <c r="I14" s="211">
        <f t="shared" si="0"/>
        <v>0.104</v>
      </c>
      <c r="J14" s="211">
        <f t="shared" si="0"/>
        <v>0.122</v>
      </c>
      <c r="K14" s="211">
        <f t="shared" si="0"/>
        <v>6.9000000000000006E-2</v>
      </c>
      <c r="L14" s="216">
        <f t="shared" si="0"/>
        <v>7.4</v>
      </c>
      <c r="M14" s="216">
        <f t="shared" si="0"/>
        <v>6.3</v>
      </c>
      <c r="N14" s="216">
        <f t="shared" si="0"/>
        <v>9.1</v>
      </c>
      <c r="O14" s="216">
        <f t="shared" si="0"/>
        <v>1.6</v>
      </c>
      <c r="P14" s="217">
        <f t="shared" si="0"/>
        <v>1.0845431255337319</v>
      </c>
      <c r="Q14" s="202"/>
      <c r="R14" s="202"/>
      <c r="S14" s="202"/>
      <c r="T14" s="202"/>
      <c r="U14" s="202"/>
      <c r="V14" s="202"/>
      <c r="W14" s="202"/>
      <c r="X14" s="202"/>
      <c r="Y14" s="185"/>
      <c r="Z14" s="185"/>
      <c r="AA14" s="185"/>
      <c r="AB14" s="185"/>
      <c r="AC14" s="185"/>
      <c r="AD14" s="185"/>
      <c r="AE14" s="185"/>
      <c r="AF14" s="185"/>
      <c r="AG14" s="185"/>
      <c r="AH14" s="197"/>
      <c r="AI14" s="197"/>
      <c r="AJ14" s="4"/>
      <c r="AK14" s="4"/>
      <c r="AL14" s="4"/>
      <c r="AM14" s="4"/>
      <c r="AN14" s="4"/>
      <c r="AO14" s="4"/>
    </row>
    <row r="15" spans="1:41" ht="15.5" x14ac:dyDescent="0.35">
      <c r="A15" s="185"/>
      <c r="B15" s="202"/>
      <c r="C15" s="202"/>
      <c r="D15" s="202"/>
      <c r="E15" s="202"/>
      <c r="F15" s="202"/>
      <c r="G15" s="202"/>
      <c r="H15" s="202"/>
      <c r="I15" s="207"/>
      <c r="J15" s="207"/>
      <c r="K15" s="207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185"/>
      <c r="Z15" s="185"/>
      <c r="AA15" s="185"/>
      <c r="AB15" s="185"/>
      <c r="AC15" s="185"/>
      <c r="AD15" s="185"/>
      <c r="AE15" s="185"/>
      <c r="AF15" s="185"/>
      <c r="AG15" s="185"/>
      <c r="AH15" s="197"/>
      <c r="AI15" s="197"/>
      <c r="AJ15" s="4"/>
      <c r="AK15" s="4"/>
      <c r="AL15" s="4"/>
      <c r="AM15" s="4"/>
      <c r="AN15" s="4"/>
      <c r="AO15" s="4"/>
    </row>
    <row r="16" spans="1:41" ht="15.5" x14ac:dyDescent="0.35">
      <c r="A16" s="185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185"/>
      <c r="Z16" s="185"/>
      <c r="AA16" s="185"/>
      <c r="AB16" s="185"/>
      <c r="AC16" s="185"/>
      <c r="AD16" s="185"/>
      <c r="AE16" s="185"/>
      <c r="AF16" s="185"/>
      <c r="AG16" s="185"/>
      <c r="AH16" s="197"/>
      <c r="AI16" s="197"/>
      <c r="AJ16" s="4"/>
      <c r="AK16" s="4"/>
      <c r="AL16" s="4"/>
      <c r="AM16" s="4"/>
      <c r="AN16" s="4"/>
      <c r="AO16" s="4"/>
    </row>
    <row r="17" spans="1:41" ht="15.5" x14ac:dyDescent="0.35">
      <c r="A17" s="185"/>
      <c r="B17" s="202"/>
      <c r="C17" s="202"/>
      <c r="D17" s="197"/>
      <c r="E17" s="180"/>
      <c r="F17" s="197"/>
      <c r="G17" s="197"/>
      <c r="H17" s="197"/>
      <c r="I17" s="197"/>
      <c r="J17" s="180"/>
      <c r="K17" s="180"/>
      <c r="L17" s="180"/>
      <c r="M17" s="180"/>
      <c r="N17" s="180"/>
      <c r="O17" s="180"/>
      <c r="P17" s="202"/>
      <c r="Q17" s="202"/>
      <c r="R17" s="202"/>
      <c r="S17" s="202"/>
      <c r="T17" s="202"/>
      <c r="U17" s="202"/>
      <c r="V17" s="202"/>
      <c r="W17" s="202"/>
      <c r="X17" s="202"/>
      <c r="Y17" s="185"/>
      <c r="Z17" s="185"/>
      <c r="AA17" s="185"/>
      <c r="AB17" s="185"/>
      <c r="AC17" s="185"/>
      <c r="AD17" s="185"/>
      <c r="AE17" s="185"/>
      <c r="AF17" s="185"/>
      <c r="AG17" s="185"/>
      <c r="AH17" s="197"/>
      <c r="AI17" s="197"/>
      <c r="AJ17" s="4"/>
      <c r="AK17" s="4"/>
      <c r="AL17" s="4"/>
      <c r="AM17" s="4"/>
      <c r="AN17" s="4"/>
      <c r="AO17" s="4"/>
    </row>
    <row r="18" spans="1:41" ht="15.5" x14ac:dyDescent="0.35">
      <c r="A18" s="218" t="s">
        <v>9</v>
      </c>
      <c r="B18" s="219">
        <v>2006</v>
      </c>
      <c r="C18" s="202"/>
      <c r="D18" s="202"/>
      <c r="E18" s="202"/>
      <c r="F18" s="197"/>
      <c r="G18" s="197"/>
      <c r="H18" s="197"/>
      <c r="I18" s="197"/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  <c r="Y18" s="185"/>
      <c r="Z18" s="185"/>
      <c r="AA18" s="185"/>
      <c r="AB18" s="185"/>
      <c r="AC18" s="185"/>
      <c r="AD18" s="185"/>
      <c r="AE18" s="185"/>
      <c r="AF18" s="185"/>
      <c r="AG18" s="185"/>
      <c r="AH18" s="197"/>
      <c r="AI18" s="197"/>
      <c r="AJ18" s="4"/>
      <c r="AK18" s="4"/>
      <c r="AL18" s="4"/>
      <c r="AM18" s="4"/>
      <c r="AN18" s="4"/>
      <c r="AO18" s="4"/>
    </row>
    <row r="19" spans="1:41" ht="15.5" x14ac:dyDescent="0.35">
      <c r="A19" s="220" t="s">
        <v>10</v>
      </c>
      <c r="B19" s="221">
        <f>'Mercury Model'!D9</f>
        <v>51805</v>
      </c>
      <c r="C19" s="202"/>
      <c r="D19" s="202"/>
      <c r="E19" s="202"/>
      <c r="F19" s="191" t="s">
        <v>166</v>
      </c>
      <c r="G19" s="191"/>
      <c r="H19" s="191"/>
      <c r="I19" s="191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185"/>
      <c r="Z19" s="185"/>
      <c r="AA19" s="185"/>
      <c r="AB19" s="185"/>
      <c r="AC19" s="185"/>
      <c r="AD19" s="185"/>
      <c r="AE19" s="185"/>
      <c r="AF19" s="185"/>
      <c r="AG19" s="185"/>
      <c r="AH19" s="197"/>
      <c r="AI19" s="197"/>
      <c r="AJ19" s="4"/>
      <c r="AK19" s="4"/>
      <c r="AL19" s="4"/>
      <c r="AM19" s="4"/>
      <c r="AN19" s="4"/>
      <c r="AO19" s="4"/>
    </row>
    <row r="20" spans="1:41" ht="15.5" x14ac:dyDescent="0.35">
      <c r="A20" s="188" t="s">
        <v>86</v>
      </c>
      <c r="B20" s="222">
        <f>'Mercury Model'!D11</f>
        <v>42299</v>
      </c>
      <c r="C20" s="202"/>
      <c r="D20" s="202"/>
      <c r="E20" s="202"/>
      <c r="F20" s="223" t="s">
        <v>5</v>
      </c>
      <c r="G20" s="224" t="s">
        <v>4</v>
      </c>
      <c r="H20" s="224" t="s">
        <v>40</v>
      </c>
      <c r="I20" s="225" t="s">
        <v>3</v>
      </c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185"/>
      <c r="Z20" s="185"/>
      <c r="AA20" s="185"/>
      <c r="AB20" s="185"/>
      <c r="AC20" s="185"/>
      <c r="AD20" s="185"/>
      <c r="AE20" s="185"/>
      <c r="AF20" s="185"/>
      <c r="AG20" s="185"/>
      <c r="AH20" s="197"/>
      <c r="AI20" s="197"/>
      <c r="AJ20" s="4"/>
      <c r="AK20" s="4"/>
      <c r="AL20" s="4"/>
      <c r="AM20" s="4"/>
      <c r="AN20" s="4"/>
      <c r="AO20" s="4"/>
    </row>
    <row r="21" spans="1:41" ht="15.5" x14ac:dyDescent="0.35">
      <c r="A21" s="183" t="s">
        <v>90</v>
      </c>
      <c r="B21" s="226">
        <f>'Mercury Model'!D15</f>
        <v>25999</v>
      </c>
      <c r="C21" s="202"/>
      <c r="D21" s="202"/>
      <c r="E21" s="202"/>
      <c r="F21" s="202" t="s">
        <v>8</v>
      </c>
      <c r="G21" s="202">
        <f>N12</f>
        <v>5.5</v>
      </c>
      <c r="H21" s="202">
        <f>N13</f>
        <v>13.8</v>
      </c>
      <c r="I21" s="202">
        <f>N5</f>
        <v>31.6</v>
      </c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185"/>
      <c r="Z21" s="185"/>
      <c r="AA21" s="185"/>
      <c r="AB21" s="185"/>
      <c r="AC21" s="185"/>
      <c r="AD21" s="185"/>
      <c r="AE21" s="185"/>
      <c r="AF21" s="185"/>
      <c r="AG21" s="185"/>
      <c r="AH21" s="197"/>
      <c r="AI21" s="197"/>
      <c r="AJ21" s="4"/>
      <c r="AK21" s="4"/>
      <c r="AL21" s="4"/>
      <c r="AM21" s="4"/>
      <c r="AN21" s="4"/>
      <c r="AO21" s="4"/>
    </row>
    <row r="22" spans="1:41" ht="15.5" x14ac:dyDescent="0.35">
      <c r="A22" s="185"/>
      <c r="B22" s="202"/>
      <c r="C22" s="202"/>
      <c r="D22" s="202"/>
      <c r="E22" s="202"/>
      <c r="F22" s="202" t="s">
        <v>6</v>
      </c>
      <c r="G22" s="202">
        <f>L4</f>
        <v>5.5</v>
      </c>
      <c r="H22" s="202">
        <f>L13</f>
        <v>10.5</v>
      </c>
      <c r="I22" s="202">
        <f>L8</f>
        <v>22.1</v>
      </c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185"/>
      <c r="Z22" s="185"/>
      <c r="AA22" s="185"/>
      <c r="AB22" s="185"/>
      <c r="AC22" s="185"/>
      <c r="AD22" s="185"/>
      <c r="AE22" s="185"/>
      <c r="AF22" s="185"/>
      <c r="AG22" s="185"/>
      <c r="AH22" s="197"/>
      <c r="AI22" s="197"/>
      <c r="AJ22" s="4"/>
      <c r="AK22" s="4"/>
      <c r="AL22" s="4"/>
      <c r="AM22" s="4"/>
      <c r="AN22" s="4"/>
      <c r="AO22" s="4"/>
    </row>
    <row r="23" spans="1:41" ht="15.5" x14ac:dyDescent="0.35">
      <c r="A23" s="183" t="s">
        <v>177</v>
      </c>
      <c r="B23" s="200">
        <v>2006</v>
      </c>
      <c r="C23" s="202"/>
      <c r="D23" s="202"/>
      <c r="E23" s="202"/>
      <c r="F23" s="202" t="s">
        <v>7</v>
      </c>
      <c r="G23" s="202">
        <f>M4</f>
        <v>3.9</v>
      </c>
      <c r="H23" s="202">
        <f>M13</f>
        <v>9</v>
      </c>
      <c r="I23" s="202">
        <f>M8</f>
        <v>19.2</v>
      </c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  <c r="Y23" s="185"/>
      <c r="Z23" s="185"/>
      <c r="AA23" s="185"/>
      <c r="AB23" s="185"/>
      <c r="AC23" s="185"/>
      <c r="AD23" s="185"/>
      <c r="AE23" s="185"/>
      <c r="AF23" s="185"/>
      <c r="AG23" s="185"/>
      <c r="AH23" s="197"/>
      <c r="AI23" s="197"/>
      <c r="AJ23" s="4"/>
      <c r="AK23" s="4"/>
      <c r="AL23" s="4"/>
      <c r="AM23" s="4"/>
      <c r="AN23" s="4"/>
      <c r="AO23" s="4"/>
    </row>
    <row r="24" spans="1:41" ht="15.5" x14ac:dyDescent="0.35">
      <c r="A24" s="185" t="s">
        <v>178</v>
      </c>
      <c r="B24" s="203">
        <f>M14*'AGI IS'!D9</f>
        <v>433351.8</v>
      </c>
      <c r="C24" s="202"/>
      <c r="D24" s="202"/>
      <c r="E24" s="202"/>
      <c r="F24" s="227" t="s">
        <v>11</v>
      </c>
      <c r="G24" s="227"/>
      <c r="H24" s="227"/>
      <c r="I24" s="227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185"/>
      <c r="Z24" s="185"/>
      <c r="AA24" s="185"/>
      <c r="AB24" s="185"/>
      <c r="AC24" s="185"/>
      <c r="AD24" s="185"/>
      <c r="AE24" s="185"/>
      <c r="AF24" s="185"/>
      <c r="AG24" s="185"/>
      <c r="AH24" s="197"/>
      <c r="AI24" s="197"/>
      <c r="AJ24" s="4"/>
      <c r="AK24" s="4"/>
      <c r="AL24" s="4"/>
      <c r="AM24" s="4"/>
      <c r="AN24" s="4"/>
      <c r="AO24" s="4"/>
    </row>
    <row r="25" spans="1:41" ht="15.5" x14ac:dyDescent="0.35">
      <c r="A25" s="185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185"/>
      <c r="Z25" s="185"/>
      <c r="AA25" s="185"/>
      <c r="AB25" s="185"/>
      <c r="AC25" s="185"/>
      <c r="AD25" s="185"/>
      <c r="AE25" s="185"/>
      <c r="AF25" s="185"/>
      <c r="AG25" s="185"/>
      <c r="AH25" s="197"/>
      <c r="AI25" s="197"/>
      <c r="AJ25" s="4"/>
      <c r="AK25" s="4"/>
      <c r="AL25" s="4"/>
      <c r="AM25" s="4"/>
      <c r="AN25" s="4"/>
      <c r="AO25" s="4"/>
    </row>
    <row r="26" spans="1:41" ht="15.5" x14ac:dyDescent="0.35">
      <c r="A26" s="185"/>
      <c r="B26" s="202"/>
      <c r="C26" s="202"/>
      <c r="D26" s="202"/>
      <c r="E26" s="202"/>
      <c r="F26" s="200" t="s">
        <v>9</v>
      </c>
      <c r="G26" s="223" t="str">
        <f>G20</f>
        <v>Low</v>
      </c>
      <c r="H26" s="224" t="str">
        <f>H20</f>
        <v>Average</v>
      </c>
      <c r="I26" s="224" t="str">
        <f>I20</f>
        <v>High</v>
      </c>
      <c r="J26" s="225" t="s">
        <v>40</v>
      </c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185"/>
      <c r="Z26" s="185"/>
      <c r="AA26" s="185"/>
      <c r="AB26" s="185"/>
      <c r="AC26" s="185"/>
      <c r="AD26" s="185"/>
      <c r="AE26" s="185"/>
      <c r="AF26" s="185"/>
      <c r="AG26" s="185"/>
      <c r="AH26" s="197"/>
      <c r="AI26" s="197"/>
      <c r="AJ26" s="4"/>
      <c r="AK26" s="4"/>
      <c r="AL26" s="4"/>
      <c r="AM26" s="4"/>
      <c r="AN26" s="4"/>
      <c r="AO26" s="4"/>
    </row>
    <row r="27" spans="1:41" ht="15.5" x14ac:dyDescent="0.35">
      <c r="A27" s="185"/>
      <c r="B27" s="202"/>
      <c r="C27" s="202"/>
      <c r="D27" s="202"/>
      <c r="E27" s="202"/>
      <c r="F27" s="202" t="s">
        <v>8</v>
      </c>
      <c r="G27" s="228">
        <f>G21*$B$21</f>
        <v>142994.5</v>
      </c>
      <c r="H27" s="228">
        <f>H21*$B$21</f>
        <v>358786.2</v>
      </c>
      <c r="I27" s="228">
        <f>I21*$B$21</f>
        <v>821568.4</v>
      </c>
      <c r="J27" s="228">
        <f>AVERAGE(G27:I27)</f>
        <v>441116.3666666667</v>
      </c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185"/>
      <c r="Z27" s="185"/>
      <c r="AA27" s="185"/>
      <c r="AB27" s="185"/>
      <c r="AC27" s="185"/>
      <c r="AD27" s="185"/>
      <c r="AE27" s="185"/>
      <c r="AF27" s="185"/>
      <c r="AG27" s="185"/>
      <c r="AH27" s="197"/>
      <c r="AI27" s="197"/>
      <c r="AJ27" s="4"/>
      <c r="AK27" s="4"/>
      <c r="AL27" s="4"/>
      <c r="AM27" s="4"/>
      <c r="AN27" s="4"/>
      <c r="AO27" s="4"/>
    </row>
    <row r="28" spans="1:41" ht="15.5" x14ac:dyDescent="0.35">
      <c r="A28" s="185"/>
      <c r="B28" s="202"/>
      <c r="C28" s="202"/>
      <c r="D28" s="202"/>
      <c r="E28" s="202"/>
      <c r="F28" s="202" t="s">
        <v>6</v>
      </c>
      <c r="G28" s="228">
        <f>$B$20*G22</f>
        <v>232644.5</v>
      </c>
      <c r="H28" s="228">
        <f>$B$20*H22</f>
        <v>444139.5</v>
      </c>
      <c r="I28" s="228">
        <f>$B$20*I22</f>
        <v>934807.9</v>
      </c>
      <c r="J28" s="228">
        <f t="shared" ref="J28:J29" si="1">AVERAGE(G28:I28)</f>
        <v>537197.29999999993</v>
      </c>
      <c r="K28" s="20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185"/>
      <c r="Z28" s="185"/>
      <c r="AA28" s="185"/>
      <c r="AB28" s="185"/>
      <c r="AC28" s="185"/>
      <c r="AD28" s="185"/>
      <c r="AE28" s="185"/>
      <c r="AF28" s="185"/>
      <c r="AG28" s="185"/>
      <c r="AH28" s="197"/>
      <c r="AI28" s="197"/>
      <c r="AJ28" s="4"/>
      <c r="AK28" s="4"/>
      <c r="AL28" s="4"/>
      <c r="AM28" s="4"/>
      <c r="AN28" s="4"/>
      <c r="AO28" s="4"/>
    </row>
    <row r="29" spans="1:41" ht="15.5" x14ac:dyDescent="0.35">
      <c r="A29" s="185"/>
      <c r="B29" s="202"/>
      <c r="C29" s="202"/>
      <c r="D29" s="202"/>
      <c r="E29" s="202"/>
      <c r="F29" s="202" t="s">
        <v>7</v>
      </c>
      <c r="G29" s="228">
        <f>$B$19*G23</f>
        <v>202039.5</v>
      </c>
      <c r="H29" s="228">
        <f>$B$19*H23</f>
        <v>466245</v>
      </c>
      <c r="I29" s="228">
        <f>$B$19*I23</f>
        <v>994656</v>
      </c>
      <c r="J29" s="228">
        <f t="shared" si="1"/>
        <v>554313.5</v>
      </c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185"/>
      <c r="Z29" s="185"/>
      <c r="AA29" s="185"/>
      <c r="AB29" s="185"/>
      <c r="AC29" s="185"/>
      <c r="AD29" s="185"/>
      <c r="AE29" s="185"/>
      <c r="AF29" s="185"/>
      <c r="AG29" s="185"/>
      <c r="AH29" s="197"/>
      <c r="AI29" s="197"/>
      <c r="AJ29" s="4"/>
      <c r="AK29" s="4"/>
      <c r="AL29" s="4"/>
      <c r="AM29" s="4"/>
      <c r="AN29" s="4"/>
      <c r="AO29" s="4"/>
    </row>
    <row r="30" spans="1:41" ht="15.5" x14ac:dyDescent="0.35">
      <c r="A30" s="185"/>
      <c r="B30" s="202"/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185"/>
      <c r="Z30" s="185"/>
      <c r="AA30" s="185"/>
      <c r="AB30" s="185"/>
      <c r="AC30" s="185"/>
      <c r="AD30" s="185"/>
      <c r="AE30" s="185"/>
      <c r="AF30" s="185"/>
      <c r="AG30" s="185"/>
      <c r="AH30" s="197"/>
      <c r="AI30" s="197"/>
      <c r="AJ30" s="4"/>
      <c r="AK30" s="4"/>
      <c r="AL30" s="4"/>
      <c r="AM30" s="4"/>
      <c r="AN30" s="4"/>
      <c r="AO30" s="4"/>
    </row>
    <row r="31" spans="1:41" ht="15.5" x14ac:dyDescent="0.35">
      <c r="A31" s="185"/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185"/>
      <c r="Z31" s="185"/>
      <c r="AA31" s="185"/>
      <c r="AB31" s="185"/>
      <c r="AC31" s="185"/>
      <c r="AD31" s="185"/>
      <c r="AE31" s="185"/>
      <c r="AF31" s="185"/>
      <c r="AG31" s="185"/>
      <c r="AH31" s="197"/>
      <c r="AI31" s="197"/>
      <c r="AJ31" s="4"/>
      <c r="AK31" s="4"/>
      <c r="AL31" s="4"/>
      <c r="AM31" s="4"/>
      <c r="AN31" s="4"/>
      <c r="AO31" s="4"/>
    </row>
    <row r="32" spans="1:41" ht="15.5" x14ac:dyDescent="0.35">
      <c r="A32" s="185"/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185"/>
      <c r="Z32" s="185"/>
      <c r="AA32" s="185"/>
      <c r="AB32" s="185"/>
      <c r="AC32" s="185"/>
      <c r="AD32" s="185"/>
      <c r="AE32" s="185"/>
      <c r="AF32" s="185"/>
      <c r="AG32" s="185"/>
      <c r="AH32" s="197"/>
      <c r="AI32" s="197"/>
      <c r="AJ32" s="4"/>
      <c r="AK32" s="4"/>
      <c r="AL32" s="4"/>
      <c r="AM32" s="4"/>
      <c r="AN32" s="4"/>
      <c r="AO32" s="4"/>
    </row>
    <row r="33" spans="1:41" ht="15.5" x14ac:dyDescent="0.35">
      <c r="A33" s="10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10"/>
      <c r="Z33" s="10"/>
      <c r="AA33" s="10"/>
      <c r="AB33" s="10"/>
      <c r="AC33" s="10"/>
      <c r="AD33" s="10"/>
      <c r="AE33" s="10"/>
      <c r="AF33" s="10"/>
      <c r="AG33" s="10"/>
      <c r="AH33" s="4"/>
      <c r="AI33" s="4"/>
      <c r="AJ33" s="4"/>
      <c r="AK33" s="4"/>
      <c r="AL33" s="4"/>
      <c r="AM33" s="4"/>
      <c r="AN33" s="4"/>
      <c r="AO33" s="4"/>
    </row>
    <row r="34" spans="1:41" ht="15.5" x14ac:dyDescent="0.35">
      <c r="A34" s="10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10"/>
      <c r="Z34" s="10"/>
      <c r="AA34" s="10"/>
      <c r="AB34" s="10"/>
      <c r="AC34" s="10"/>
      <c r="AD34" s="10"/>
      <c r="AE34" s="10"/>
      <c r="AF34" s="10"/>
      <c r="AG34" s="10"/>
      <c r="AH34" s="4"/>
      <c r="AI34" s="4"/>
      <c r="AJ34" s="4"/>
      <c r="AK34" s="4"/>
      <c r="AL34" s="4"/>
      <c r="AM34" s="4"/>
      <c r="AN34" s="4"/>
      <c r="AO34" s="4"/>
    </row>
    <row r="35" spans="1:41" ht="15.5" x14ac:dyDescent="0.35">
      <c r="A35" s="10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4"/>
      <c r="AJ35" s="4"/>
      <c r="AK35" s="4"/>
      <c r="AL35" s="4"/>
      <c r="AM35" s="4"/>
      <c r="AN35" s="4"/>
      <c r="AO35" s="4"/>
    </row>
    <row r="36" spans="1:41" ht="15.5" x14ac:dyDescent="0.35">
      <c r="A36" s="10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4"/>
      <c r="AJ36" s="4"/>
      <c r="AK36" s="4"/>
      <c r="AL36" s="4"/>
      <c r="AM36" s="4"/>
      <c r="AN36" s="4"/>
      <c r="AO36" s="4"/>
    </row>
    <row r="37" spans="1:41" ht="15.5" x14ac:dyDescent="0.35">
      <c r="A37" s="1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4"/>
      <c r="AJ37" s="4"/>
      <c r="AK37" s="4"/>
      <c r="AL37" s="4"/>
      <c r="AM37" s="4"/>
      <c r="AN37" s="4"/>
      <c r="AO37" s="4"/>
    </row>
    <row r="38" spans="1:41" ht="15.5" x14ac:dyDescent="0.35">
      <c r="A38" s="10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10"/>
      <c r="Z38" s="10"/>
      <c r="AA38" s="10"/>
      <c r="AB38" s="10"/>
      <c r="AC38" s="10"/>
      <c r="AD38" s="10"/>
      <c r="AE38" s="10"/>
      <c r="AF38" s="10"/>
      <c r="AG38" s="10"/>
      <c r="AH38" s="4"/>
      <c r="AI38" s="4"/>
      <c r="AJ38" s="4"/>
      <c r="AK38" s="4"/>
      <c r="AL38" s="4"/>
      <c r="AM38" s="4"/>
      <c r="AN38" s="4"/>
      <c r="AO38" s="4"/>
    </row>
    <row r="39" spans="1:41" ht="15.5" x14ac:dyDescent="0.35">
      <c r="A39" s="10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10"/>
      <c r="Z39" s="10"/>
      <c r="AA39" s="10"/>
      <c r="AB39" s="10"/>
      <c r="AC39" s="10"/>
      <c r="AD39" s="10"/>
      <c r="AE39" s="10"/>
      <c r="AF39" s="10"/>
      <c r="AG39" s="10"/>
      <c r="AH39" s="4"/>
      <c r="AI39" s="4"/>
      <c r="AJ39" s="4"/>
      <c r="AK39" s="4"/>
      <c r="AL39" s="4"/>
      <c r="AM39" s="4"/>
      <c r="AN39" s="4"/>
      <c r="AO39" s="4"/>
    </row>
    <row r="40" spans="1:41" ht="15.5" x14ac:dyDescent="0.35">
      <c r="A40" s="10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10"/>
      <c r="Z40" s="10"/>
      <c r="AA40" s="10"/>
      <c r="AB40" s="10"/>
      <c r="AC40" s="10"/>
      <c r="AD40" s="10"/>
      <c r="AE40" s="10"/>
      <c r="AF40" s="10"/>
      <c r="AG40" s="10"/>
      <c r="AH40" s="4"/>
      <c r="AI40" s="4"/>
      <c r="AJ40" s="4"/>
      <c r="AK40" s="4"/>
      <c r="AL40" s="4"/>
      <c r="AM40" s="4"/>
      <c r="AN40" s="4"/>
      <c r="AO40" s="4"/>
    </row>
    <row r="41" spans="1:41" ht="15.5" x14ac:dyDescent="0.35">
      <c r="A41" s="10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10"/>
      <c r="Z41" s="10"/>
      <c r="AA41" s="10"/>
      <c r="AB41" s="10"/>
      <c r="AC41" s="10"/>
      <c r="AD41" s="10"/>
      <c r="AE41" s="10"/>
      <c r="AF41" s="10"/>
      <c r="AG41" s="10"/>
      <c r="AH41" s="4"/>
      <c r="AI41" s="4"/>
      <c r="AJ41" s="4"/>
      <c r="AK41" s="4"/>
      <c r="AL41" s="4"/>
      <c r="AM41" s="4"/>
      <c r="AN41" s="4"/>
      <c r="AO41" s="4"/>
    </row>
    <row r="42" spans="1:41" ht="15.5" x14ac:dyDescent="0.35">
      <c r="A42" s="10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10"/>
      <c r="Z42" s="10"/>
      <c r="AA42" s="10"/>
      <c r="AB42" s="10"/>
      <c r="AC42" s="10"/>
      <c r="AD42" s="10"/>
      <c r="AE42" s="10"/>
      <c r="AF42" s="10"/>
      <c r="AG42" s="10"/>
      <c r="AH42" s="4"/>
      <c r="AI42" s="4"/>
      <c r="AJ42" s="4"/>
      <c r="AK42" s="4"/>
      <c r="AL42" s="4"/>
      <c r="AM42" s="4"/>
      <c r="AN42" s="4"/>
      <c r="AO42" s="4"/>
    </row>
    <row r="43" spans="1:41" ht="15.5" x14ac:dyDescent="0.35">
      <c r="A43" s="10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10"/>
      <c r="Z43" s="10"/>
      <c r="AA43" s="10"/>
      <c r="AB43" s="10"/>
      <c r="AC43" s="10"/>
      <c r="AD43" s="10"/>
      <c r="AE43" s="10"/>
      <c r="AF43" s="10"/>
      <c r="AG43" s="10"/>
      <c r="AH43" s="4"/>
      <c r="AI43" s="4"/>
      <c r="AJ43" s="4"/>
      <c r="AK43" s="4"/>
      <c r="AL43" s="4"/>
      <c r="AM43" s="4"/>
      <c r="AN43" s="4"/>
      <c r="AO43" s="4"/>
    </row>
    <row r="44" spans="1:41" ht="15.5" x14ac:dyDescent="0.35">
      <c r="A44" s="10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10"/>
      <c r="Z44" s="10"/>
      <c r="AA44" s="10"/>
      <c r="AB44" s="10"/>
      <c r="AC44" s="10"/>
      <c r="AD44" s="10"/>
      <c r="AE44" s="10"/>
      <c r="AF44" s="10"/>
      <c r="AG44" s="10"/>
      <c r="AH44" s="4"/>
      <c r="AI44" s="4"/>
      <c r="AJ44" s="4"/>
      <c r="AK44" s="4"/>
      <c r="AL44" s="4"/>
      <c r="AM44" s="4"/>
      <c r="AN44" s="4"/>
      <c r="AO44" s="4"/>
    </row>
    <row r="45" spans="1:41" ht="15.5" x14ac:dyDescent="0.35">
      <c r="A45" s="10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10"/>
      <c r="Z45" s="10"/>
      <c r="AA45" s="10"/>
      <c r="AB45" s="10"/>
      <c r="AC45" s="10"/>
      <c r="AD45" s="10"/>
      <c r="AE45" s="10"/>
      <c r="AF45" s="10"/>
      <c r="AG45" s="10"/>
      <c r="AH45" s="4"/>
      <c r="AI45" s="4"/>
      <c r="AJ45" s="4"/>
      <c r="AK45" s="4"/>
      <c r="AL45" s="4"/>
      <c r="AM45" s="4"/>
      <c r="AN45" s="4"/>
      <c r="AO45" s="4"/>
    </row>
    <row r="46" spans="1:41" ht="15.5" x14ac:dyDescent="0.35">
      <c r="A46" s="10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10"/>
      <c r="Z46" s="10"/>
      <c r="AA46" s="10"/>
      <c r="AB46" s="10"/>
      <c r="AC46" s="10"/>
      <c r="AD46" s="10"/>
      <c r="AE46" s="10"/>
      <c r="AF46" s="10"/>
      <c r="AG46" s="10"/>
      <c r="AH46" s="4"/>
      <c r="AI46" s="4"/>
      <c r="AJ46" s="4"/>
      <c r="AK46" s="4"/>
      <c r="AL46" s="4"/>
      <c r="AM46" s="4"/>
      <c r="AN46" s="4"/>
      <c r="AO46" s="4"/>
    </row>
    <row r="47" spans="1:41" ht="15.5" x14ac:dyDescent="0.35">
      <c r="A47" s="10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10"/>
      <c r="Z47" s="10"/>
      <c r="AA47" s="10"/>
      <c r="AB47" s="10"/>
      <c r="AC47" s="10"/>
      <c r="AD47" s="10"/>
      <c r="AE47" s="10"/>
      <c r="AF47" s="10"/>
      <c r="AG47" s="10"/>
      <c r="AH47" s="4"/>
      <c r="AI47" s="4"/>
      <c r="AJ47" s="4"/>
      <c r="AK47" s="4"/>
      <c r="AL47" s="4"/>
      <c r="AM47" s="4"/>
      <c r="AN47" s="4"/>
      <c r="AO47" s="4"/>
    </row>
    <row r="48" spans="1:41" ht="15.5" x14ac:dyDescent="0.35">
      <c r="A48" s="10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10"/>
      <c r="Z48" s="10"/>
      <c r="AA48" s="10"/>
      <c r="AB48" s="10"/>
      <c r="AC48" s="10"/>
      <c r="AD48" s="10"/>
      <c r="AE48" s="10"/>
      <c r="AF48" s="10"/>
      <c r="AG48" s="10"/>
      <c r="AH48" s="4"/>
      <c r="AI48" s="4"/>
      <c r="AJ48" s="4"/>
      <c r="AK48" s="4"/>
      <c r="AL48" s="4"/>
      <c r="AM48" s="4"/>
      <c r="AN48" s="4"/>
      <c r="AO48" s="4"/>
    </row>
    <row r="49" spans="1:41" ht="15.5" x14ac:dyDescent="0.35">
      <c r="A49" s="10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10"/>
      <c r="Z49" s="10"/>
      <c r="AA49" s="10"/>
      <c r="AB49" s="10"/>
      <c r="AC49" s="10"/>
      <c r="AD49" s="10"/>
      <c r="AE49" s="10"/>
      <c r="AF49" s="10"/>
      <c r="AG49" s="10"/>
      <c r="AH49" s="4"/>
      <c r="AI49" s="4"/>
      <c r="AJ49" s="4"/>
      <c r="AK49" s="4"/>
      <c r="AL49" s="4"/>
      <c r="AM49" s="4"/>
      <c r="AN49" s="4"/>
      <c r="AO49" s="4"/>
    </row>
    <row r="50" spans="1:41" ht="15.5" x14ac:dyDescent="0.35">
      <c r="A50" s="10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10"/>
      <c r="Z50" s="10"/>
      <c r="AA50" s="10"/>
      <c r="AB50" s="10"/>
      <c r="AC50" s="10"/>
      <c r="AD50" s="10"/>
      <c r="AE50" s="10"/>
      <c r="AF50" s="10"/>
      <c r="AG50" s="10"/>
      <c r="AH50" s="4"/>
      <c r="AI50" s="4"/>
      <c r="AJ50" s="4"/>
      <c r="AK50" s="4"/>
      <c r="AL50" s="4"/>
      <c r="AM50" s="4"/>
      <c r="AN50" s="4"/>
      <c r="AO50" s="4"/>
    </row>
    <row r="51" spans="1:41" ht="15.5" x14ac:dyDescent="0.35">
      <c r="A51" s="10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10"/>
      <c r="Z51" s="10"/>
      <c r="AA51" s="10"/>
      <c r="AB51" s="10"/>
      <c r="AC51" s="10"/>
      <c r="AD51" s="10"/>
      <c r="AE51" s="10"/>
      <c r="AF51" s="10"/>
      <c r="AG51" s="10"/>
      <c r="AH51" s="4"/>
      <c r="AI51" s="4"/>
      <c r="AJ51" s="4"/>
      <c r="AK51" s="4"/>
      <c r="AL51" s="4"/>
      <c r="AM51" s="4"/>
      <c r="AN51" s="4"/>
      <c r="AO51" s="4"/>
    </row>
    <row r="52" spans="1:41" ht="15.5" x14ac:dyDescent="0.35">
      <c r="A52" s="10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0"/>
      <c r="Z52" s="10"/>
      <c r="AA52" s="10"/>
      <c r="AB52" s="10"/>
      <c r="AC52" s="10"/>
      <c r="AD52" s="10"/>
      <c r="AE52" s="10"/>
      <c r="AF52" s="10"/>
      <c r="AG52" s="10"/>
      <c r="AH52" s="4"/>
      <c r="AI52" s="4"/>
      <c r="AJ52" s="4"/>
      <c r="AK52" s="4"/>
      <c r="AL52" s="4"/>
      <c r="AM52" s="4"/>
      <c r="AN52" s="4"/>
      <c r="AO52" s="4"/>
    </row>
    <row r="53" spans="1:41" ht="15.5" x14ac:dyDescent="0.35">
      <c r="A53" s="10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10"/>
      <c r="Z53" s="10"/>
      <c r="AA53" s="10"/>
      <c r="AB53" s="10"/>
      <c r="AC53" s="10"/>
      <c r="AD53" s="10"/>
      <c r="AE53" s="10"/>
      <c r="AF53" s="10"/>
      <c r="AG53" s="10"/>
      <c r="AH53" s="4"/>
      <c r="AI53" s="4"/>
      <c r="AJ53" s="4"/>
      <c r="AK53" s="4"/>
      <c r="AL53" s="4"/>
      <c r="AM53" s="4"/>
      <c r="AN53" s="4"/>
      <c r="AO53" s="4"/>
    </row>
    <row r="54" spans="1:41" ht="15.5" x14ac:dyDescent="0.35">
      <c r="A54" s="10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10"/>
      <c r="Z54" s="10"/>
      <c r="AA54" s="10"/>
      <c r="AB54" s="10"/>
      <c r="AC54" s="10"/>
      <c r="AD54" s="10"/>
      <c r="AE54" s="10"/>
      <c r="AF54" s="10"/>
      <c r="AG54" s="10"/>
      <c r="AH54" s="4"/>
      <c r="AI54" s="4"/>
      <c r="AJ54" s="4"/>
      <c r="AK54" s="4"/>
      <c r="AL54" s="4"/>
      <c r="AM54" s="4"/>
      <c r="AN54" s="4"/>
      <c r="AO54" s="4"/>
    </row>
    <row r="55" spans="1:41" ht="15.5" x14ac:dyDescent="0.35">
      <c r="A55" s="10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0"/>
      <c r="Z55" s="10"/>
      <c r="AA55" s="10"/>
      <c r="AB55" s="10"/>
      <c r="AC55" s="10"/>
      <c r="AD55" s="10"/>
      <c r="AE55" s="10"/>
      <c r="AF55" s="10"/>
      <c r="AG55" s="10"/>
      <c r="AH55" s="4"/>
      <c r="AI55" s="4"/>
      <c r="AJ55" s="4"/>
      <c r="AK55" s="4"/>
      <c r="AL55" s="4"/>
      <c r="AM55" s="4"/>
      <c r="AN55" s="4"/>
      <c r="AO55" s="4"/>
    </row>
    <row r="56" spans="1:41" ht="15.5" x14ac:dyDescent="0.35">
      <c r="A56" s="10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"/>
      <c r="Z56" s="10"/>
      <c r="AA56" s="10"/>
      <c r="AB56" s="10"/>
      <c r="AC56" s="10"/>
      <c r="AD56" s="10"/>
      <c r="AE56" s="10"/>
      <c r="AF56" s="10"/>
      <c r="AG56" s="10"/>
      <c r="AH56" s="4"/>
      <c r="AI56" s="4"/>
      <c r="AJ56" s="4"/>
      <c r="AK56" s="4"/>
      <c r="AL56" s="4"/>
      <c r="AM56" s="4"/>
      <c r="AN56" s="4"/>
      <c r="AO56" s="4"/>
    </row>
    <row r="57" spans="1:41" ht="15.5" x14ac:dyDescent="0.35">
      <c r="A57" s="10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"/>
      <c r="Z57" s="10"/>
      <c r="AA57" s="10"/>
      <c r="AB57" s="10"/>
      <c r="AC57" s="10"/>
      <c r="AD57" s="10"/>
      <c r="AE57" s="10"/>
      <c r="AF57" s="10"/>
      <c r="AG57" s="10"/>
      <c r="AH57" s="4"/>
      <c r="AI57" s="4"/>
      <c r="AJ57" s="4"/>
      <c r="AK57" s="4"/>
      <c r="AL57" s="4"/>
      <c r="AM57" s="4"/>
      <c r="AN57" s="4"/>
      <c r="AO57" s="4"/>
    </row>
    <row r="58" spans="1:41" ht="15.5" x14ac:dyDescent="0.35">
      <c r="A58" s="10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"/>
      <c r="Z58" s="10"/>
      <c r="AA58" s="10"/>
      <c r="AB58" s="10"/>
      <c r="AC58" s="10"/>
      <c r="AD58" s="10"/>
      <c r="AE58" s="10"/>
      <c r="AF58" s="10"/>
      <c r="AG58" s="10"/>
      <c r="AH58" s="4"/>
      <c r="AI58" s="4"/>
      <c r="AJ58" s="4"/>
      <c r="AK58" s="4"/>
      <c r="AL58" s="4"/>
      <c r="AM58" s="4"/>
      <c r="AN58" s="4"/>
      <c r="AO58" s="4"/>
    </row>
    <row r="59" spans="1:41" ht="15.5" x14ac:dyDescent="0.35">
      <c r="A59" s="10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"/>
      <c r="Z59" s="10"/>
      <c r="AA59" s="10"/>
      <c r="AB59" s="10"/>
      <c r="AC59" s="10"/>
      <c r="AD59" s="10"/>
      <c r="AE59" s="10"/>
      <c r="AF59" s="10"/>
      <c r="AG59" s="10"/>
      <c r="AH59" s="4"/>
      <c r="AI59" s="4"/>
      <c r="AJ59" s="4"/>
      <c r="AK59" s="4"/>
      <c r="AL59" s="4"/>
      <c r="AM59" s="4"/>
      <c r="AN59" s="4"/>
      <c r="AO59" s="4"/>
    </row>
    <row r="60" spans="1:41" ht="15.5" x14ac:dyDescent="0.35">
      <c r="A60" s="10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"/>
      <c r="Z60" s="10"/>
      <c r="AA60" s="10"/>
      <c r="AB60" s="10"/>
      <c r="AC60" s="10"/>
      <c r="AD60" s="10"/>
      <c r="AE60" s="10"/>
      <c r="AF60" s="10"/>
      <c r="AG60" s="10"/>
      <c r="AH60" s="4"/>
      <c r="AI60" s="4"/>
      <c r="AJ60" s="4"/>
      <c r="AK60" s="4"/>
      <c r="AL60" s="4"/>
      <c r="AM60" s="4"/>
      <c r="AN60" s="4"/>
      <c r="AO60" s="4"/>
    </row>
    <row r="61" spans="1:41" ht="15.5" x14ac:dyDescent="0.35">
      <c r="A61" s="10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"/>
      <c r="Z61" s="10"/>
      <c r="AA61" s="10"/>
      <c r="AB61" s="10"/>
      <c r="AC61" s="10"/>
      <c r="AD61" s="10"/>
      <c r="AE61" s="10"/>
      <c r="AF61" s="10"/>
      <c r="AG61" s="10"/>
      <c r="AH61" s="4"/>
      <c r="AI61" s="4"/>
      <c r="AJ61" s="4"/>
      <c r="AK61" s="4"/>
      <c r="AL61" s="4"/>
      <c r="AM61" s="4"/>
      <c r="AN61" s="4"/>
      <c r="AO61" s="4"/>
    </row>
    <row r="62" spans="1:41" ht="15.5" x14ac:dyDescent="0.35">
      <c r="A62" s="10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"/>
      <c r="Z62" s="10"/>
      <c r="AA62" s="10"/>
      <c r="AB62" s="10"/>
      <c r="AC62" s="10"/>
      <c r="AD62" s="10"/>
      <c r="AE62" s="10"/>
      <c r="AF62" s="10"/>
      <c r="AG62" s="10"/>
      <c r="AH62" s="4"/>
      <c r="AI62" s="4"/>
      <c r="AJ62" s="4"/>
      <c r="AK62" s="4"/>
      <c r="AL62" s="4"/>
      <c r="AM62" s="4"/>
      <c r="AN62" s="4"/>
      <c r="AO62" s="4"/>
    </row>
    <row r="63" spans="1:41" ht="15.5" x14ac:dyDescent="0.35">
      <c r="A63" s="10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"/>
      <c r="Z63" s="10"/>
      <c r="AA63" s="10"/>
      <c r="AB63" s="10"/>
      <c r="AC63" s="10"/>
      <c r="AD63" s="10"/>
      <c r="AE63" s="10"/>
      <c r="AF63" s="10"/>
      <c r="AG63" s="10"/>
      <c r="AH63" s="4"/>
      <c r="AI63" s="4"/>
      <c r="AJ63" s="4"/>
      <c r="AK63" s="4"/>
      <c r="AL63" s="4"/>
      <c r="AM63" s="4"/>
      <c r="AN63" s="4"/>
      <c r="AO63" s="4"/>
    </row>
    <row r="64" spans="1:41" ht="15.5" x14ac:dyDescent="0.35">
      <c r="A64" s="10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"/>
      <c r="Z64" s="10"/>
      <c r="AA64" s="10"/>
      <c r="AB64" s="10"/>
      <c r="AC64" s="10"/>
      <c r="AD64" s="10"/>
      <c r="AE64" s="10"/>
      <c r="AF64" s="10"/>
      <c r="AG64" s="10"/>
      <c r="AH64" s="4"/>
      <c r="AI64" s="4"/>
      <c r="AJ64" s="4"/>
      <c r="AK64" s="4"/>
      <c r="AL64" s="4"/>
      <c r="AM64" s="4"/>
      <c r="AN64" s="4"/>
      <c r="AO64" s="4"/>
    </row>
    <row r="65" spans="1:41" ht="15.5" x14ac:dyDescent="0.35">
      <c r="A65" s="10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"/>
      <c r="Z65" s="10"/>
      <c r="AA65" s="10"/>
      <c r="AB65" s="10"/>
      <c r="AC65" s="10"/>
      <c r="AD65" s="10"/>
      <c r="AE65" s="10"/>
      <c r="AF65" s="10"/>
      <c r="AG65" s="10"/>
      <c r="AH65" s="4"/>
      <c r="AI65" s="4"/>
      <c r="AJ65" s="4"/>
      <c r="AK65" s="4"/>
      <c r="AL65" s="4"/>
      <c r="AM65" s="4"/>
      <c r="AN65" s="4"/>
      <c r="AO65" s="4"/>
    </row>
    <row r="66" spans="1:41" ht="15.5" x14ac:dyDescent="0.35">
      <c r="A66" s="10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"/>
      <c r="Z66" s="10"/>
      <c r="AA66" s="10"/>
      <c r="AB66" s="10"/>
      <c r="AC66" s="10"/>
      <c r="AD66" s="10"/>
      <c r="AE66" s="10"/>
      <c r="AF66" s="10"/>
      <c r="AG66" s="10"/>
      <c r="AH66" s="4"/>
      <c r="AI66" s="4"/>
      <c r="AJ66" s="4"/>
      <c r="AK66" s="4"/>
      <c r="AL66" s="4"/>
      <c r="AM66" s="4"/>
      <c r="AN66" s="4"/>
      <c r="AO66" s="4"/>
    </row>
    <row r="67" spans="1:41" ht="15.5" x14ac:dyDescent="0.35">
      <c r="A67" s="10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"/>
      <c r="Z67" s="10"/>
      <c r="AA67" s="10"/>
      <c r="AB67" s="10"/>
      <c r="AC67" s="10"/>
      <c r="AD67" s="10"/>
      <c r="AE67" s="10"/>
      <c r="AF67" s="10"/>
      <c r="AG67" s="10"/>
      <c r="AH67" s="4"/>
      <c r="AI67" s="4"/>
      <c r="AJ67" s="4"/>
      <c r="AK67" s="4"/>
      <c r="AL67" s="4"/>
      <c r="AM67" s="4"/>
      <c r="AN67" s="4"/>
      <c r="AO67" s="4"/>
    </row>
    <row r="68" spans="1:41" ht="15.5" x14ac:dyDescent="0.35">
      <c r="A68" s="10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"/>
      <c r="Z68" s="10"/>
      <c r="AA68" s="10"/>
      <c r="AB68" s="10"/>
      <c r="AC68" s="10"/>
      <c r="AD68" s="10"/>
      <c r="AE68" s="10"/>
      <c r="AF68" s="10"/>
      <c r="AG68" s="10"/>
      <c r="AH68" s="4"/>
      <c r="AI68" s="4"/>
      <c r="AJ68" s="4"/>
      <c r="AK68" s="4"/>
      <c r="AL68" s="4"/>
      <c r="AM68" s="4"/>
      <c r="AN68" s="4"/>
      <c r="AO68" s="4"/>
    </row>
    <row r="69" spans="1:41" ht="15.5" x14ac:dyDescent="0.35">
      <c r="A69" s="10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"/>
      <c r="Z69" s="10"/>
      <c r="AA69" s="10"/>
      <c r="AB69" s="10"/>
      <c r="AC69" s="10"/>
      <c r="AD69" s="10"/>
      <c r="AE69" s="10"/>
      <c r="AF69" s="10"/>
      <c r="AG69" s="10"/>
      <c r="AH69" s="4"/>
      <c r="AI69" s="4"/>
      <c r="AJ69" s="4"/>
      <c r="AK69" s="4"/>
      <c r="AL69" s="4"/>
      <c r="AM69" s="4"/>
      <c r="AN69" s="4"/>
      <c r="AO69" s="4"/>
    </row>
    <row r="70" spans="1:41" ht="15.5" x14ac:dyDescent="0.35">
      <c r="A70" s="10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"/>
      <c r="Z70" s="10"/>
      <c r="AA70" s="10"/>
      <c r="AB70" s="10"/>
      <c r="AC70" s="10"/>
      <c r="AD70" s="10"/>
      <c r="AE70" s="10"/>
      <c r="AF70" s="10"/>
      <c r="AG70" s="10"/>
      <c r="AH70" s="4"/>
      <c r="AI70" s="4"/>
      <c r="AJ70" s="4"/>
      <c r="AK70" s="4"/>
      <c r="AL70" s="4"/>
      <c r="AM70" s="4"/>
      <c r="AN70" s="4"/>
      <c r="AO70" s="4"/>
    </row>
    <row r="71" spans="1:41" ht="15.5" x14ac:dyDescent="0.35">
      <c r="A71" s="10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"/>
      <c r="Z71" s="10"/>
      <c r="AA71" s="10"/>
      <c r="AB71" s="10"/>
      <c r="AC71" s="10"/>
      <c r="AD71" s="10"/>
      <c r="AE71" s="10"/>
      <c r="AF71" s="10"/>
      <c r="AG71" s="10"/>
      <c r="AH71" s="4"/>
      <c r="AI71" s="4"/>
      <c r="AJ71" s="4"/>
      <c r="AK71" s="4"/>
      <c r="AL71" s="4"/>
      <c r="AM71" s="4"/>
      <c r="AN71" s="4"/>
      <c r="AO71" s="4"/>
    </row>
    <row r="72" spans="1:41" ht="15.5" x14ac:dyDescent="0.35">
      <c r="A72" s="10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"/>
      <c r="Z72" s="10"/>
      <c r="AA72" s="10"/>
      <c r="AB72" s="10"/>
      <c r="AC72" s="10"/>
      <c r="AD72" s="10"/>
      <c r="AE72" s="10"/>
      <c r="AF72" s="10"/>
      <c r="AG72" s="10"/>
      <c r="AH72" s="4"/>
      <c r="AI72" s="4"/>
      <c r="AJ72" s="4"/>
      <c r="AK72" s="4"/>
      <c r="AL72" s="4"/>
      <c r="AM72" s="4"/>
      <c r="AN72" s="4"/>
      <c r="AO72" s="4"/>
    </row>
    <row r="73" spans="1:41" ht="15.5" x14ac:dyDescent="0.35">
      <c r="A73" s="10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"/>
      <c r="Z73" s="10"/>
      <c r="AA73" s="10"/>
      <c r="AB73" s="10"/>
      <c r="AC73" s="10"/>
      <c r="AD73" s="10"/>
      <c r="AE73" s="10"/>
      <c r="AF73" s="10"/>
      <c r="AG73" s="10"/>
      <c r="AH73" s="4"/>
      <c r="AI73" s="4"/>
      <c r="AJ73" s="4"/>
      <c r="AK73" s="4"/>
      <c r="AL73" s="4"/>
      <c r="AM73" s="4"/>
      <c r="AN73" s="4"/>
      <c r="AO73" s="4"/>
    </row>
    <row r="74" spans="1:41" ht="15.5" x14ac:dyDescent="0.35">
      <c r="A74" s="10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"/>
      <c r="Z74" s="10"/>
      <c r="AA74" s="10"/>
      <c r="AB74" s="10"/>
      <c r="AC74" s="10"/>
      <c r="AD74" s="10"/>
      <c r="AE74" s="10"/>
      <c r="AF74" s="10"/>
      <c r="AG74" s="10"/>
      <c r="AH74" s="4"/>
      <c r="AI74" s="4"/>
      <c r="AJ74" s="4"/>
      <c r="AK74" s="4"/>
      <c r="AL74" s="4"/>
      <c r="AM74" s="4"/>
      <c r="AN74" s="4"/>
      <c r="AO74" s="4"/>
    </row>
    <row r="75" spans="1:41" ht="15.5" x14ac:dyDescent="0.35">
      <c r="A75" s="10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"/>
      <c r="Z75" s="10"/>
      <c r="AA75" s="10"/>
      <c r="AB75" s="10"/>
      <c r="AC75" s="10"/>
      <c r="AD75" s="10"/>
      <c r="AE75" s="10"/>
      <c r="AF75" s="10"/>
      <c r="AG75" s="10"/>
      <c r="AH75" s="4"/>
      <c r="AI75" s="4"/>
      <c r="AJ75" s="4"/>
      <c r="AK75" s="4"/>
      <c r="AL75" s="4"/>
      <c r="AM75" s="4"/>
      <c r="AN75" s="4"/>
      <c r="AO75" s="4"/>
    </row>
    <row r="76" spans="1:41" ht="15.5" x14ac:dyDescent="0.35">
      <c r="A76" s="10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"/>
      <c r="Z76" s="10"/>
      <c r="AA76" s="10"/>
      <c r="AB76" s="10"/>
      <c r="AC76" s="10"/>
      <c r="AD76" s="10"/>
      <c r="AE76" s="10"/>
      <c r="AF76" s="10"/>
      <c r="AG76" s="10"/>
      <c r="AH76" s="4"/>
      <c r="AI76" s="4"/>
      <c r="AJ76" s="4"/>
      <c r="AK76" s="4"/>
      <c r="AL76" s="4"/>
      <c r="AM76" s="4"/>
      <c r="AN76" s="4"/>
      <c r="AO76" s="4"/>
    </row>
    <row r="77" spans="1:41" ht="15.5" x14ac:dyDescent="0.35">
      <c r="A77" s="10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"/>
      <c r="Z77" s="10"/>
      <c r="AA77" s="10"/>
      <c r="AB77" s="10"/>
      <c r="AC77" s="10"/>
      <c r="AD77" s="10"/>
      <c r="AE77" s="10"/>
      <c r="AF77" s="10"/>
      <c r="AG77" s="10"/>
      <c r="AH77" s="4"/>
      <c r="AI77" s="4"/>
      <c r="AJ77" s="4"/>
      <c r="AK77" s="4"/>
      <c r="AL77" s="4"/>
      <c r="AM77" s="4"/>
      <c r="AN77" s="4"/>
      <c r="AO77" s="4"/>
    </row>
    <row r="78" spans="1:41" ht="15.5" x14ac:dyDescent="0.35">
      <c r="A78" s="10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"/>
      <c r="Z78" s="10"/>
      <c r="AA78" s="10"/>
      <c r="AB78" s="10"/>
      <c r="AC78" s="10"/>
      <c r="AD78" s="10"/>
      <c r="AE78" s="10"/>
      <c r="AF78" s="10"/>
      <c r="AG78" s="10"/>
      <c r="AH78" s="4"/>
      <c r="AI78" s="4"/>
      <c r="AJ78" s="4"/>
      <c r="AK78" s="4"/>
      <c r="AL78" s="4"/>
      <c r="AM78" s="4"/>
      <c r="AN78" s="4"/>
      <c r="AO78" s="4"/>
    </row>
    <row r="79" spans="1:41" ht="15.5" x14ac:dyDescent="0.35">
      <c r="A79" s="10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"/>
      <c r="Z79" s="10"/>
      <c r="AA79" s="10"/>
      <c r="AB79" s="10"/>
      <c r="AC79" s="10"/>
      <c r="AD79" s="10"/>
      <c r="AE79" s="10"/>
      <c r="AF79" s="10"/>
      <c r="AG79" s="10"/>
      <c r="AH79" s="4"/>
      <c r="AI79" s="4"/>
      <c r="AJ79" s="4"/>
      <c r="AK79" s="4"/>
      <c r="AL79" s="4"/>
      <c r="AM79" s="4"/>
      <c r="AN79" s="4"/>
      <c r="AO79" s="4"/>
    </row>
    <row r="80" spans="1:41" ht="15.5" x14ac:dyDescent="0.35">
      <c r="A80" s="10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"/>
      <c r="Z80" s="10"/>
      <c r="AA80" s="10"/>
      <c r="AB80" s="10"/>
      <c r="AC80" s="10"/>
      <c r="AD80" s="10"/>
      <c r="AE80" s="10"/>
      <c r="AF80" s="10"/>
      <c r="AG80" s="10"/>
      <c r="AH80" s="4"/>
      <c r="AI80" s="4"/>
      <c r="AJ80" s="4"/>
      <c r="AK80" s="4"/>
      <c r="AL80" s="4"/>
      <c r="AM80" s="4"/>
      <c r="AN80" s="4"/>
      <c r="AO80" s="4"/>
    </row>
    <row r="81" spans="1:41" ht="15.5" x14ac:dyDescent="0.35">
      <c r="A81" s="10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"/>
      <c r="Z81" s="10"/>
      <c r="AA81" s="10"/>
      <c r="AB81" s="10"/>
      <c r="AC81" s="10"/>
      <c r="AD81" s="10"/>
      <c r="AE81" s="10"/>
      <c r="AF81" s="10"/>
      <c r="AG81" s="10"/>
      <c r="AH81" s="4"/>
      <c r="AI81" s="4"/>
      <c r="AJ81" s="4"/>
      <c r="AK81" s="4"/>
      <c r="AL81" s="4"/>
      <c r="AM81" s="4"/>
      <c r="AN81" s="4"/>
      <c r="AO81" s="4"/>
    </row>
    <row r="82" spans="1:41" ht="15.5" x14ac:dyDescent="0.35">
      <c r="A82" s="10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"/>
      <c r="Z82" s="10"/>
      <c r="AA82" s="10"/>
      <c r="AB82" s="10"/>
      <c r="AC82" s="10"/>
      <c r="AD82" s="10"/>
      <c r="AE82" s="10"/>
      <c r="AF82" s="10"/>
      <c r="AG82" s="10"/>
      <c r="AH82" s="4"/>
      <c r="AI82" s="4"/>
      <c r="AJ82" s="4"/>
      <c r="AK82" s="4"/>
      <c r="AL82" s="4"/>
      <c r="AM82" s="4"/>
      <c r="AN82" s="4"/>
      <c r="AO82" s="4"/>
    </row>
    <row r="83" spans="1:41" ht="15.5" x14ac:dyDescent="0.35">
      <c r="A83" s="10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"/>
      <c r="Z83" s="10"/>
      <c r="AA83" s="10"/>
      <c r="AB83" s="10"/>
      <c r="AC83" s="10"/>
      <c r="AD83" s="10"/>
      <c r="AE83" s="10"/>
      <c r="AF83" s="10"/>
      <c r="AG83" s="10"/>
      <c r="AH83" s="4"/>
      <c r="AI83" s="4"/>
      <c r="AJ83" s="4"/>
      <c r="AK83" s="4"/>
      <c r="AL83" s="4"/>
      <c r="AM83" s="4"/>
      <c r="AN83" s="4"/>
      <c r="AO83" s="4"/>
    </row>
    <row r="84" spans="1:41" ht="15.5" x14ac:dyDescent="0.35">
      <c r="A84" s="10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"/>
      <c r="Z84" s="10"/>
      <c r="AA84" s="10"/>
      <c r="AB84" s="10"/>
      <c r="AC84" s="10"/>
      <c r="AD84" s="10"/>
      <c r="AE84" s="10"/>
      <c r="AF84" s="10"/>
      <c r="AG84" s="10"/>
      <c r="AH84" s="4"/>
      <c r="AI84" s="4"/>
      <c r="AJ84" s="4"/>
      <c r="AK84" s="4"/>
      <c r="AL84" s="4"/>
      <c r="AM84" s="4"/>
      <c r="AN84" s="4"/>
      <c r="AO84" s="4"/>
    </row>
    <row r="85" spans="1:41" ht="15.5" x14ac:dyDescent="0.35">
      <c r="A85" s="10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"/>
      <c r="Z85" s="10"/>
      <c r="AA85" s="10"/>
      <c r="AB85" s="10"/>
      <c r="AC85" s="10"/>
      <c r="AD85" s="10"/>
      <c r="AE85" s="10"/>
      <c r="AF85" s="10"/>
      <c r="AG85" s="10"/>
      <c r="AH85" s="4"/>
      <c r="AI85" s="4"/>
      <c r="AJ85" s="4"/>
      <c r="AK85" s="4"/>
      <c r="AL85" s="4"/>
      <c r="AM85" s="4"/>
      <c r="AN85" s="4"/>
      <c r="AO85" s="4"/>
    </row>
    <row r="86" spans="1:41" ht="15.5" x14ac:dyDescent="0.35">
      <c r="A86" s="10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"/>
      <c r="Z86" s="10"/>
      <c r="AA86" s="10"/>
      <c r="AB86" s="10"/>
      <c r="AC86" s="10"/>
      <c r="AD86" s="10"/>
      <c r="AE86" s="10"/>
      <c r="AF86" s="10"/>
      <c r="AG86" s="10"/>
      <c r="AH86" s="4"/>
      <c r="AI86" s="4"/>
      <c r="AJ86" s="4"/>
      <c r="AK86" s="4"/>
      <c r="AL86" s="4"/>
      <c r="AM86" s="4"/>
      <c r="AN86" s="4"/>
      <c r="AO86" s="4"/>
    </row>
    <row r="87" spans="1:41" ht="15.5" x14ac:dyDescent="0.35">
      <c r="A87" s="10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"/>
      <c r="Z87" s="10"/>
      <c r="AA87" s="10"/>
      <c r="AB87" s="10"/>
      <c r="AC87" s="10"/>
      <c r="AD87" s="10"/>
      <c r="AE87" s="10"/>
      <c r="AF87" s="10"/>
      <c r="AG87" s="10"/>
      <c r="AH87" s="4"/>
      <c r="AI87" s="4"/>
      <c r="AJ87" s="4"/>
      <c r="AK87" s="4"/>
      <c r="AL87" s="4"/>
      <c r="AM87" s="4"/>
      <c r="AN87" s="4"/>
      <c r="AO87" s="4"/>
    </row>
    <row r="88" spans="1:41" ht="15.5" x14ac:dyDescent="0.35">
      <c r="A88" s="10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"/>
      <c r="Z88" s="10"/>
      <c r="AA88" s="10"/>
      <c r="AB88" s="10"/>
      <c r="AC88" s="10"/>
      <c r="AD88" s="10"/>
      <c r="AE88" s="10"/>
      <c r="AF88" s="10"/>
      <c r="AG88" s="10"/>
      <c r="AH88" s="4"/>
      <c r="AI88" s="4"/>
      <c r="AJ88" s="4"/>
      <c r="AK88" s="4"/>
      <c r="AL88" s="4"/>
      <c r="AM88" s="4"/>
      <c r="AN88" s="4"/>
      <c r="AO88" s="4"/>
    </row>
    <row r="89" spans="1:41" ht="15.5" x14ac:dyDescent="0.35">
      <c r="A89" s="10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"/>
      <c r="Z89" s="10"/>
      <c r="AA89" s="10"/>
      <c r="AB89" s="10"/>
      <c r="AC89" s="10"/>
      <c r="AD89" s="10"/>
      <c r="AE89" s="10"/>
      <c r="AF89" s="10"/>
      <c r="AG89" s="10"/>
      <c r="AH89" s="4"/>
      <c r="AI89" s="4"/>
      <c r="AJ89" s="4"/>
      <c r="AK89" s="4"/>
      <c r="AL89" s="4"/>
      <c r="AM89" s="4"/>
      <c r="AN89" s="4"/>
      <c r="AO89" s="4"/>
    </row>
    <row r="90" spans="1:41" ht="15.5" x14ac:dyDescent="0.35">
      <c r="A90" s="10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"/>
      <c r="Z90" s="10"/>
      <c r="AA90" s="10"/>
      <c r="AB90" s="10"/>
      <c r="AC90" s="10"/>
      <c r="AD90" s="10"/>
      <c r="AE90" s="10"/>
      <c r="AF90" s="10"/>
      <c r="AG90" s="10"/>
      <c r="AH90" s="4"/>
      <c r="AI90" s="4"/>
      <c r="AJ90" s="4"/>
      <c r="AK90" s="4"/>
      <c r="AL90" s="4"/>
      <c r="AM90" s="4"/>
      <c r="AN90" s="4"/>
      <c r="AO90" s="4"/>
    </row>
    <row r="91" spans="1:41" ht="15.5" x14ac:dyDescent="0.35">
      <c r="A91" s="10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"/>
      <c r="Z91" s="10"/>
      <c r="AA91" s="10"/>
      <c r="AB91" s="10"/>
      <c r="AC91" s="10"/>
      <c r="AD91" s="10"/>
      <c r="AE91" s="10"/>
      <c r="AF91" s="10"/>
      <c r="AG91" s="10"/>
      <c r="AH91" s="4"/>
      <c r="AI91" s="4"/>
      <c r="AJ91" s="4"/>
      <c r="AK91" s="4"/>
      <c r="AL91" s="4"/>
      <c r="AM91" s="4"/>
      <c r="AN91" s="4"/>
      <c r="AO91" s="4"/>
    </row>
    <row r="92" spans="1:41" ht="15.5" x14ac:dyDescent="0.35">
      <c r="A92" s="10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"/>
      <c r="Z92" s="10"/>
      <c r="AA92" s="10"/>
      <c r="AB92" s="10"/>
      <c r="AC92" s="10"/>
      <c r="AD92" s="10"/>
      <c r="AE92" s="10"/>
      <c r="AF92" s="10"/>
      <c r="AG92" s="10"/>
      <c r="AH92" s="4"/>
      <c r="AI92" s="4"/>
      <c r="AJ92" s="4"/>
      <c r="AK92" s="4"/>
      <c r="AL92" s="4"/>
      <c r="AM92" s="4"/>
      <c r="AN92" s="4"/>
      <c r="AO92" s="4"/>
    </row>
    <row r="93" spans="1:41" ht="15.5" x14ac:dyDescent="0.35">
      <c r="A93" s="10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10"/>
      <c r="Z93" s="10"/>
      <c r="AA93" s="10"/>
      <c r="AB93" s="10"/>
      <c r="AC93" s="10"/>
      <c r="AD93" s="10"/>
      <c r="AE93" s="10"/>
      <c r="AF93" s="10"/>
      <c r="AG93" s="10"/>
      <c r="AH93" s="4"/>
      <c r="AI93" s="4"/>
      <c r="AJ93" s="4"/>
      <c r="AK93" s="4"/>
      <c r="AL93" s="4"/>
      <c r="AM93" s="4"/>
      <c r="AN93" s="4"/>
      <c r="AO93" s="4"/>
    </row>
    <row r="94" spans="1:41" ht="15.5" x14ac:dyDescent="0.35">
      <c r="A94" s="10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10"/>
      <c r="Z94" s="10"/>
      <c r="AA94" s="10"/>
      <c r="AB94" s="10"/>
      <c r="AC94" s="10"/>
      <c r="AD94" s="10"/>
      <c r="AE94" s="10"/>
      <c r="AF94" s="10"/>
      <c r="AG94" s="10"/>
      <c r="AH94" s="4"/>
      <c r="AI94" s="4"/>
      <c r="AJ94" s="4"/>
      <c r="AK94" s="4"/>
      <c r="AL94" s="4"/>
      <c r="AM94" s="4"/>
      <c r="AN94" s="4"/>
      <c r="AO94" s="4"/>
    </row>
    <row r="95" spans="1:41" ht="15.5" x14ac:dyDescent="0.35">
      <c r="A95" s="10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10"/>
      <c r="Z95" s="10"/>
      <c r="AA95" s="10"/>
      <c r="AB95" s="10"/>
      <c r="AC95" s="10"/>
      <c r="AD95" s="10"/>
      <c r="AE95" s="10"/>
      <c r="AF95" s="10"/>
      <c r="AG95" s="10"/>
      <c r="AH95" s="4"/>
      <c r="AI95" s="4"/>
      <c r="AJ95" s="4"/>
      <c r="AK95" s="4"/>
      <c r="AL95" s="4"/>
      <c r="AM95" s="4"/>
      <c r="AN95" s="4"/>
      <c r="AO95" s="4"/>
    </row>
    <row r="96" spans="1:41" ht="15.5" x14ac:dyDescent="0.35">
      <c r="A96" s="10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10"/>
      <c r="Z96" s="10"/>
      <c r="AA96" s="10"/>
      <c r="AB96" s="10"/>
      <c r="AC96" s="10"/>
      <c r="AD96" s="10"/>
      <c r="AE96" s="10"/>
      <c r="AF96" s="10"/>
      <c r="AG96" s="10"/>
      <c r="AH96" s="4"/>
      <c r="AI96" s="4"/>
      <c r="AJ96" s="4"/>
      <c r="AK96" s="4"/>
      <c r="AL96" s="4"/>
      <c r="AM96" s="4"/>
      <c r="AN96" s="4"/>
      <c r="AO96" s="4"/>
    </row>
    <row r="97" spans="1:41" ht="15.5" x14ac:dyDescent="0.35">
      <c r="A97" s="10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10"/>
      <c r="Z97" s="10"/>
      <c r="AA97" s="10"/>
      <c r="AB97" s="10"/>
      <c r="AC97" s="10"/>
      <c r="AD97" s="10"/>
      <c r="AE97" s="10"/>
      <c r="AF97" s="10"/>
      <c r="AG97" s="10"/>
      <c r="AH97" s="4"/>
      <c r="AI97" s="4"/>
      <c r="AJ97" s="4"/>
      <c r="AK97" s="4"/>
      <c r="AL97" s="4"/>
      <c r="AM97" s="4"/>
      <c r="AN97" s="4"/>
      <c r="AO97" s="4"/>
    </row>
    <row r="98" spans="1:41" ht="15.5" x14ac:dyDescent="0.35">
      <c r="A98" s="10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10"/>
      <c r="Z98" s="10"/>
      <c r="AA98" s="10"/>
      <c r="AB98" s="10"/>
      <c r="AC98" s="10"/>
      <c r="AD98" s="10"/>
      <c r="AE98" s="10"/>
      <c r="AF98" s="10"/>
      <c r="AG98" s="10"/>
      <c r="AH98" s="4"/>
      <c r="AI98" s="4"/>
      <c r="AJ98" s="4"/>
      <c r="AK98" s="4"/>
      <c r="AL98" s="4"/>
      <c r="AM98" s="4"/>
      <c r="AN98" s="4"/>
      <c r="AO98" s="4"/>
    </row>
    <row r="99" spans="1:41" ht="15.5" x14ac:dyDescent="0.35">
      <c r="A99" s="10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10"/>
      <c r="Z99" s="10"/>
      <c r="AA99" s="10"/>
      <c r="AB99" s="10"/>
      <c r="AC99" s="10"/>
      <c r="AD99" s="10"/>
      <c r="AE99" s="10"/>
      <c r="AF99" s="10"/>
      <c r="AG99" s="10"/>
      <c r="AH99" s="4"/>
      <c r="AI99" s="4"/>
      <c r="AJ99" s="4"/>
      <c r="AK99" s="4"/>
      <c r="AL99" s="4"/>
      <c r="AM99" s="4"/>
      <c r="AN99" s="4"/>
      <c r="AO99" s="4"/>
    </row>
    <row r="100" spans="1:41" ht="15.5" x14ac:dyDescent="0.35">
      <c r="A100" s="10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10"/>
      <c r="Z100" s="10"/>
      <c r="AA100" s="10"/>
      <c r="AB100" s="10"/>
      <c r="AC100" s="10"/>
      <c r="AD100" s="10"/>
      <c r="AE100" s="10"/>
      <c r="AF100" s="10"/>
      <c r="AG100" s="10"/>
      <c r="AH100" s="4"/>
      <c r="AI100" s="4"/>
      <c r="AJ100" s="4"/>
      <c r="AK100" s="4"/>
      <c r="AL100" s="4"/>
      <c r="AM100" s="4"/>
      <c r="AN100" s="4"/>
      <c r="AO100" s="4"/>
    </row>
    <row r="101" spans="1:41" ht="15.5" x14ac:dyDescent="0.35">
      <c r="A101" s="10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10"/>
      <c r="Z101" s="10"/>
      <c r="AA101" s="10"/>
      <c r="AB101" s="10"/>
      <c r="AC101" s="10"/>
      <c r="AD101" s="10"/>
      <c r="AE101" s="10"/>
      <c r="AF101" s="10"/>
      <c r="AG101" s="10"/>
      <c r="AH101" s="4"/>
      <c r="AI101" s="4"/>
      <c r="AJ101" s="4"/>
      <c r="AK101" s="4"/>
      <c r="AL101" s="4"/>
      <c r="AM101" s="4"/>
      <c r="AN101" s="4"/>
      <c r="AO101" s="4"/>
    </row>
    <row r="102" spans="1:41" ht="15.5" x14ac:dyDescent="0.35">
      <c r="A102" s="10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10"/>
      <c r="Z102" s="10"/>
      <c r="AA102" s="10"/>
      <c r="AB102" s="10"/>
      <c r="AC102" s="10"/>
      <c r="AD102" s="10"/>
      <c r="AE102" s="10"/>
      <c r="AF102" s="10"/>
      <c r="AG102" s="10"/>
      <c r="AH102" s="4"/>
      <c r="AI102" s="4"/>
      <c r="AJ102" s="4"/>
      <c r="AK102" s="4"/>
      <c r="AL102" s="4"/>
      <c r="AM102" s="4"/>
      <c r="AN102" s="4"/>
      <c r="AO102" s="4"/>
    </row>
    <row r="103" spans="1:41" ht="15.5" x14ac:dyDescent="0.35">
      <c r="A103" s="10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10"/>
      <c r="Z103" s="10"/>
      <c r="AA103" s="10"/>
      <c r="AB103" s="10"/>
      <c r="AC103" s="10"/>
      <c r="AD103" s="10"/>
      <c r="AE103" s="10"/>
      <c r="AF103" s="10"/>
      <c r="AG103" s="10"/>
      <c r="AH103" s="4"/>
      <c r="AI103" s="4"/>
      <c r="AJ103" s="4"/>
      <c r="AK103" s="4"/>
      <c r="AL103" s="4"/>
      <c r="AM103" s="4"/>
      <c r="AN103" s="4"/>
      <c r="AO103" s="4"/>
    </row>
    <row r="104" spans="1:41" ht="15.5" x14ac:dyDescent="0.35">
      <c r="A104" s="10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10"/>
      <c r="Z104" s="10"/>
      <c r="AA104" s="10"/>
      <c r="AB104" s="10"/>
      <c r="AC104" s="10"/>
      <c r="AD104" s="10"/>
      <c r="AE104" s="10"/>
      <c r="AF104" s="10"/>
      <c r="AG104" s="10"/>
      <c r="AH104" s="4"/>
      <c r="AI104" s="4"/>
      <c r="AJ104" s="4"/>
      <c r="AK104" s="4"/>
      <c r="AL104" s="4"/>
      <c r="AM104" s="4"/>
      <c r="AN104" s="4"/>
      <c r="AO104" s="4"/>
    </row>
    <row r="105" spans="1:41" ht="15.5" x14ac:dyDescent="0.35">
      <c r="A105" s="10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10"/>
      <c r="Z105" s="10"/>
      <c r="AA105" s="10"/>
      <c r="AB105" s="10"/>
      <c r="AC105" s="10"/>
      <c r="AD105" s="10"/>
      <c r="AE105" s="10"/>
      <c r="AF105" s="10"/>
      <c r="AG105" s="10"/>
      <c r="AH105" s="4"/>
      <c r="AI105" s="4"/>
      <c r="AJ105" s="4"/>
      <c r="AK105" s="4"/>
      <c r="AL105" s="4"/>
      <c r="AM105" s="4"/>
      <c r="AN105" s="4"/>
      <c r="AO105" s="4"/>
    </row>
    <row r="106" spans="1:41" ht="15.5" x14ac:dyDescent="0.35">
      <c r="A106" s="10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10"/>
      <c r="Z106" s="10"/>
      <c r="AA106" s="10"/>
      <c r="AB106" s="10"/>
      <c r="AC106" s="10"/>
      <c r="AD106" s="10"/>
      <c r="AE106" s="10"/>
      <c r="AF106" s="10"/>
      <c r="AG106" s="10"/>
      <c r="AH106" s="4"/>
      <c r="AI106" s="4"/>
      <c r="AJ106" s="4"/>
      <c r="AK106" s="4"/>
      <c r="AL106" s="4"/>
      <c r="AM106" s="4"/>
      <c r="AN106" s="4"/>
      <c r="AO106" s="4"/>
    </row>
    <row r="107" spans="1:41" ht="15.5" x14ac:dyDescent="0.35">
      <c r="A107" s="10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10"/>
      <c r="Z107" s="10"/>
      <c r="AA107" s="10"/>
      <c r="AB107" s="10"/>
      <c r="AC107" s="10"/>
      <c r="AD107" s="10"/>
      <c r="AE107" s="10"/>
      <c r="AF107" s="10"/>
      <c r="AG107" s="10"/>
      <c r="AH107" s="4"/>
      <c r="AI107" s="4"/>
      <c r="AJ107" s="4"/>
      <c r="AK107" s="4"/>
      <c r="AL107" s="4"/>
      <c r="AM107" s="4"/>
      <c r="AN107" s="4"/>
      <c r="AO107" s="4"/>
    </row>
    <row r="108" spans="1:41" ht="15.5" x14ac:dyDescent="0.35">
      <c r="A108" s="10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10"/>
      <c r="Z108" s="10"/>
      <c r="AA108" s="10"/>
      <c r="AB108" s="10"/>
      <c r="AC108" s="10"/>
      <c r="AD108" s="10"/>
      <c r="AE108" s="10"/>
      <c r="AF108" s="10"/>
      <c r="AG108" s="10"/>
      <c r="AH108" s="4"/>
      <c r="AI108" s="4"/>
      <c r="AJ108" s="4"/>
      <c r="AK108" s="4"/>
      <c r="AL108" s="4"/>
      <c r="AM108" s="4"/>
      <c r="AN108" s="4"/>
      <c r="AO108" s="4"/>
    </row>
    <row r="109" spans="1:41" ht="15.5" x14ac:dyDescent="0.35">
      <c r="A109" s="10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10"/>
      <c r="Z109" s="10"/>
      <c r="AA109" s="10"/>
      <c r="AB109" s="10"/>
      <c r="AC109" s="10"/>
      <c r="AD109" s="10"/>
      <c r="AE109" s="10"/>
      <c r="AF109" s="10"/>
      <c r="AG109" s="10"/>
      <c r="AH109" s="4"/>
      <c r="AI109" s="4"/>
      <c r="AJ109" s="4"/>
      <c r="AK109" s="4"/>
      <c r="AL109" s="4"/>
      <c r="AM109" s="4"/>
      <c r="AN109" s="4"/>
      <c r="AO109" s="4"/>
    </row>
    <row r="110" spans="1:41" ht="15.5" x14ac:dyDescent="0.35">
      <c r="A110" s="10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10"/>
      <c r="Z110" s="10"/>
      <c r="AA110" s="10"/>
      <c r="AB110" s="10"/>
      <c r="AC110" s="10"/>
      <c r="AD110" s="10"/>
      <c r="AE110" s="10"/>
      <c r="AF110" s="10"/>
      <c r="AG110" s="10"/>
      <c r="AH110" s="4"/>
      <c r="AI110" s="4"/>
      <c r="AJ110" s="4"/>
      <c r="AK110" s="4"/>
      <c r="AL110" s="4"/>
      <c r="AM110" s="4"/>
      <c r="AN110" s="4"/>
      <c r="AO110" s="4"/>
    </row>
    <row r="111" spans="1:41" ht="15.5" x14ac:dyDescent="0.35">
      <c r="A111" s="10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10"/>
      <c r="Z111" s="10"/>
      <c r="AA111" s="10"/>
      <c r="AB111" s="10"/>
      <c r="AC111" s="10"/>
      <c r="AD111" s="10"/>
      <c r="AE111" s="10"/>
      <c r="AF111" s="10"/>
      <c r="AG111" s="10"/>
      <c r="AH111" s="4"/>
      <c r="AI111" s="4"/>
      <c r="AJ111" s="4"/>
      <c r="AK111" s="4"/>
      <c r="AL111" s="4"/>
      <c r="AM111" s="4"/>
      <c r="AN111" s="4"/>
      <c r="AO111" s="4"/>
    </row>
    <row r="112" spans="1:41" ht="15.5" x14ac:dyDescent="0.35">
      <c r="A112" s="10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10"/>
      <c r="Z112" s="10"/>
      <c r="AA112" s="10"/>
      <c r="AB112" s="10"/>
      <c r="AC112" s="10"/>
      <c r="AD112" s="10"/>
      <c r="AE112" s="10"/>
      <c r="AF112" s="10"/>
      <c r="AG112" s="10"/>
      <c r="AH112" s="4"/>
      <c r="AI112" s="4"/>
      <c r="AJ112" s="4"/>
      <c r="AK112" s="4"/>
      <c r="AL112" s="4"/>
      <c r="AM112" s="4"/>
      <c r="AN112" s="4"/>
      <c r="AO112" s="4"/>
    </row>
    <row r="113" spans="1:41" ht="15.5" x14ac:dyDescent="0.35">
      <c r="A113" s="10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10"/>
      <c r="Z113" s="10"/>
      <c r="AA113" s="10"/>
      <c r="AB113" s="10"/>
      <c r="AC113" s="10"/>
      <c r="AD113" s="10"/>
      <c r="AE113" s="10"/>
      <c r="AF113" s="10"/>
      <c r="AG113" s="10"/>
      <c r="AH113" s="4"/>
      <c r="AI113" s="4"/>
      <c r="AJ113" s="4"/>
      <c r="AK113" s="4"/>
      <c r="AL113" s="4"/>
      <c r="AM113" s="4"/>
      <c r="AN113" s="4"/>
      <c r="AO113" s="4"/>
    </row>
    <row r="114" spans="1:41" ht="15.5" x14ac:dyDescent="0.35">
      <c r="A114" s="10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10"/>
      <c r="Z114" s="10"/>
      <c r="AA114" s="10"/>
      <c r="AB114" s="10"/>
      <c r="AC114" s="10"/>
      <c r="AD114" s="10"/>
      <c r="AE114" s="10"/>
      <c r="AF114" s="10"/>
      <c r="AG114" s="10"/>
      <c r="AH114" s="4"/>
      <c r="AI114" s="4"/>
      <c r="AJ114" s="4"/>
      <c r="AK114" s="4"/>
      <c r="AL114" s="4"/>
      <c r="AM114" s="4"/>
      <c r="AN114" s="4"/>
      <c r="AO114" s="4"/>
    </row>
    <row r="115" spans="1:41" ht="15.5" x14ac:dyDescent="0.35">
      <c r="A115" s="10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10"/>
      <c r="Z115" s="10"/>
      <c r="AA115" s="10"/>
      <c r="AB115" s="10"/>
      <c r="AC115" s="10"/>
      <c r="AD115" s="10"/>
      <c r="AE115" s="10"/>
      <c r="AF115" s="10"/>
      <c r="AG115" s="10"/>
      <c r="AH115" s="4"/>
      <c r="AI115" s="4"/>
      <c r="AJ115" s="4"/>
      <c r="AK115" s="4"/>
      <c r="AL115" s="4"/>
      <c r="AM115" s="4"/>
      <c r="AN115" s="4"/>
      <c r="AO115" s="4"/>
    </row>
    <row r="116" spans="1:41" ht="15.5" x14ac:dyDescent="0.35">
      <c r="A116" s="10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10"/>
      <c r="Z116" s="10"/>
      <c r="AA116" s="10"/>
      <c r="AB116" s="10"/>
      <c r="AC116" s="10"/>
      <c r="AD116" s="10"/>
      <c r="AE116" s="10"/>
      <c r="AF116" s="10"/>
      <c r="AG116" s="10"/>
      <c r="AH116" s="4"/>
      <c r="AI116" s="4"/>
      <c r="AJ116" s="4"/>
      <c r="AK116" s="4"/>
      <c r="AL116" s="4"/>
      <c r="AM116" s="4"/>
      <c r="AN116" s="4"/>
      <c r="AO116" s="4"/>
    </row>
    <row r="117" spans="1:41" ht="15.5" x14ac:dyDescent="0.35">
      <c r="A117" s="10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10"/>
      <c r="Z117" s="10"/>
      <c r="AA117" s="10"/>
      <c r="AB117" s="10"/>
      <c r="AC117" s="10"/>
      <c r="AD117" s="10"/>
      <c r="AE117" s="10"/>
      <c r="AF117" s="10"/>
      <c r="AG117" s="10"/>
      <c r="AH117" s="4"/>
      <c r="AI117" s="4"/>
      <c r="AJ117" s="4"/>
      <c r="AK117" s="4"/>
      <c r="AL117" s="4"/>
      <c r="AM117" s="4"/>
      <c r="AN117" s="4"/>
      <c r="AO117" s="4"/>
    </row>
    <row r="118" spans="1:41" ht="15.5" x14ac:dyDescent="0.35">
      <c r="A118" s="10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10"/>
      <c r="Z118" s="10"/>
      <c r="AA118" s="10"/>
      <c r="AB118" s="10"/>
      <c r="AC118" s="10"/>
      <c r="AD118" s="10"/>
      <c r="AE118" s="10"/>
      <c r="AF118" s="10"/>
      <c r="AG118" s="10"/>
      <c r="AH118" s="4"/>
      <c r="AI118" s="4"/>
      <c r="AJ118" s="4"/>
      <c r="AK118" s="4"/>
      <c r="AL118" s="4"/>
      <c r="AM118" s="4"/>
      <c r="AN118" s="4"/>
      <c r="AO118" s="4"/>
    </row>
    <row r="119" spans="1:41" ht="15.5" x14ac:dyDescent="0.35">
      <c r="A119" s="10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10"/>
      <c r="Z119" s="10"/>
      <c r="AA119" s="10"/>
      <c r="AB119" s="10"/>
      <c r="AC119" s="10"/>
      <c r="AD119" s="10"/>
      <c r="AE119" s="10"/>
      <c r="AF119" s="10"/>
      <c r="AG119" s="10"/>
      <c r="AH119" s="4"/>
      <c r="AI119" s="4"/>
      <c r="AJ119" s="4"/>
      <c r="AK119" s="4"/>
      <c r="AL119" s="4"/>
      <c r="AM119" s="4"/>
      <c r="AN119" s="4"/>
      <c r="AO119" s="4"/>
    </row>
    <row r="120" spans="1:41" ht="15.5" x14ac:dyDescent="0.35">
      <c r="A120" s="10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10"/>
      <c r="Z120" s="10"/>
      <c r="AA120" s="10"/>
      <c r="AB120" s="10"/>
      <c r="AC120" s="10"/>
      <c r="AD120" s="10"/>
      <c r="AE120" s="10"/>
      <c r="AF120" s="10"/>
      <c r="AG120" s="10"/>
      <c r="AH120" s="4"/>
      <c r="AI120" s="4"/>
      <c r="AJ120" s="4"/>
      <c r="AK120" s="4"/>
      <c r="AL120" s="4"/>
      <c r="AM120" s="4"/>
      <c r="AN120" s="4"/>
      <c r="AO120" s="4"/>
    </row>
    <row r="121" spans="1:41" ht="15.5" x14ac:dyDescent="0.35">
      <c r="A121" s="10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10"/>
      <c r="Z121" s="10"/>
      <c r="AA121" s="10"/>
      <c r="AB121" s="10"/>
      <c r="AC121" s="10"/>
      <c r="AD121" s="10"/>
      <c r="AE121" s="10"/>
      <c r="AF121" s="10"/>
      <c r="AG121" s="10"/>
      <c r="AH121" s="4"/>
      <c r="AI121" s="4"/>
      <c r="AJ121" s="4"/>
      <c r="AK121" s="4"/>
      <c r="AL121" s="4"/>
      <c r="AM121" s="4"/>
      <c r="AN121" s="4"/>
      <c r="AO121" s="4"/>
    </row>
    <row r="122" spans="1:41" ht="15.5" x14ac:dyDescent="0.35">
      <c r="A122" s="10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10"/>
      <c r="Z122" s="10"/>
      <c r="AA122" s="10"/>
      <c r="AB122" s="10"/>
      <c r="AC122" s="10"/>
      <c r="AD122" s="10"/>
      <c r="AE122" s="10"/>
      <c r="AF122" s="10"/>
      <c r="AG122" s="10"/>
      <c r="AH122" s="4"/>
      <c r="AI122" s="4"/>
      <c r="AJ122" s="4"/>
      <c r="AK122" s="4"/>
      <c r="AL122" s="4"/>
      <c r="AM122" s="4"/>
      <c r="AN122" s="4"/>
      <c r="AO122" s="4"/>
    </row>
    <row r="123" spans="1:41" ht="15.5" x14ac:dyDescent="0.35">
      <c r="A123" s="10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10"/>
      <c r="Z123" s="10"/>
      <c r="AA123" s="10"/>
      <c r="AB123" s="10"/>
      <c r="AC123" s="10"/>
      <c r="AD123" s="10"/>
      <c r="AE123" s="10"/>
      <c r="AF123" s="10"/>
      <c r="AG123" s="10"/>
      <c r="AH123" s="4"/>
      <c r="AI123" s="4"/>
      <c r="AJ123" s="4"/>
      <c r="AK123" s="4"/>
      <c r="AL123" s="4"/>
      <c r="AM123" s="4"/>
      <c r="AN123" s="4"/>
      <c r="AO123" s="4"/>
    </row>
    <row r="124" spans="1:41" ht="15.5" x14ac:dyDescent="0.35">
      <c r="A124" s="10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10"/>
      <c r="Z124" s="10"/>
      <c r="AA124" s="10"/>
      <c r="AB124" s="10"/>
      <c r="AC124" s="10"/>
      <c r="AD124" s="10"/>
      <c r="AE124" s="10"/>
      <c r="AF124" s="10"/>
      <c r="AG124" s="10"/>
      <c r="AH124" s="4"/>
      <c r="AI124" s="4"/>
      <c r="AJ124" s="4"/>
      <c r="AK124" s="4"/>
      <c r="AL124" s="4"/>
      <c r="AM124" s="4"/>
      <c r="AN124" s="4"/>
      <c r="AO124" s="4"/>
    </row>
    <row r="125" spans="1:41" ht="15.5" x14ac:dyDescent="0.35">
      <c r="A125" s="10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10"/>
      <c r="Z125" s="10"/>
      <c r="AA125" s="10"/>
      <c r="AB125" s="10"/>
      <c r="AC125" s="10"/>
      <c r="AD125" s="10"/>
      <c r="AE125" s="10"/>
      <c r="AF125" s="10"/>
      <c r="AG125" s="10"/>
      <c r="AH125" s="4"/>
      <c r="AI125" s="4"/>
      <c r="AJ125" s="4"/>
      <c r="AK125" s="4"/>
      <c r="AL125" s="4"/>
      <c r="AM125" s="4"/>
      <c r="AN125" s="4"/>
      <c r="AO125" s="4"/>
    </row>
    <row r="126" spans="1:41" ht="15.5" x14ac:dyDescent="0.35">
      <c r="A126" s="10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10"/>
      <c r="Z126" s="10"/>
      <c r="AA126" s="10"/>
      <c r="AB126" s="10"/>
      <c r="AC126" s="10"/>
      <c r="AD126" s="10"/>
      <c r="AE126" s="10"/>
      <c r="AF126" s="10"/>
      <c r="AG126" s="10"/>
      <c r="AH126" s="4"/>
      <c r="AI126" s="4"/>
      <c r="AJ126" s="4"/>
      <c r="AK126" s="4"/>
      <c r="AL126" s="4"/>
      <c r="AM126" s="4"/>
      <c r="AN126" s="4"/>
      <c r="AO126" s="4"/>
    </row>
    <row r="127" spans="1:41" ht="15.5" x14ac:dyDescent="0.35">
      <c r="A127" s="10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10"/>
      <c r="Z127" s="10"/>
      <c r="AA127" s="10"/>
      <c r="AB127" s="10"/>
      <c r="AC127" s="10"/>
      <c r="AD127" s="10"/>
      <c r="AE127" s="10"/>
      <c r="AF127" s="10"/>
      <c r="AG127" s="10"/>
      <c r="AH127" s="4"/>
      <c r="AI127" s="4"/>
      <c r="AJ127" s="4"/>
      <c r="AK127" s="4"/>
      <c r="AL127" s="4"/>
      <c r="AM127" s="4"/>
      <c r="AN127" s="4"/>
      <c r="AO127" s="4"/>
    </row>
    <row r="128" spans="1:41" ht="15.5" x14ac:dyDescent="0.35">
      <c r="A128" s="10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10"/>
      <c r="Z128" s="10"/>
      <c r="AA128" s="10"/>
      <c r="AB128" s="10"/>
      <c r="AC128" s="10"/>
      <c r="AD128" s="10"/>
      <c r="AE128" s="10"/>
      <c r="AF128" s="10"/>
      <c r="AG128" s="10"/>
      <c r="AH128" s="4"/>
      <c r="AI128" s="4"/>
      <c r="AJ128" s="4"/>
      <c r="AK128" s="4"/>
      <c r="AL128" s="4"/>
      <c r="AM128" s="4"/>
      <c r="AN128" s="4"/>
      <c r="AO128" s="4"/>
    </row>
    <row r="129" spans="1:41" ht="15.5" x14ac:dyDescent="0.35">
      <c r="A129" s="10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10"/>
      <c r="Z129" s="10"/>
      <c r="AA129" s="10"/>
      <c r="AB129" s="10"/>
      <c r="AC129" s="10"/>
      <c r="AD129" s="10"/>
      <c r="AE129" s="10"/>
      <c r="AF129" s="10"/>
      <c r="AG129" s="10"/>
      <c r="AH129" s="4"/>
      <c r="AI129" s="4"/>
      <c r="AJ129" s="4"/>
      <c r="AK129" s="4"/>
      <c r="AL129" s="4"/>
      <c r="AM129" s="4"/>
      <c r="AN129" s="4"/>
      <c r="AO129" s="4"/>
    </row>
    <row r="130" spans="1:41" ht="15.5" x14ac:dyDescent="0.35">
      <c r="A130" s="10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10"/>
      <c r="Z130" s="10"/>
      <c r="AA130" s="10"/>
      <c r="AB130" s="10"/>
      <c r="AC130" s="10"/>
      <c r="AD130" s="10"/>
      <c r="AE130" s="10"/>
      <c r="AF130" s="10"/>
      <c r="AG130" s="10"/>
      <c r="AH130" s="4"/>
      <c r="AI130" s="4"/>
      <c r="AJ130" s="4"/>
      <c r="AK130" s="4"/>
      <c r="AL130" s="4"/>
      <c r="AM130" s="4"/>
      <c r="AN130" s="4"/>
      <c r="AO130" s="4"/>
    </row>
    <row r="131" spans="1:41" ht="15.5" x14ac:dyDescent="0.35">
      <c r="A131" s="10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10"/>
      <c r="Z131" s="10"/>
      <c r="AA131" s="10"/>
      <c r="AB131" s="10"/>
      <c r="AC131" s="10"/>
      <c r="AD131" s="10"/>
      <c r="AE131" s="10"/>
      <c r="AF131" s="10"/>
      <c r="AG131" s="10"/>
      <c r="AH131" s="4"/>
      <c r="AI131" s="4"/>
      <c r="AJ131" s="4"/>
      <c r="AK131" s="4"/>
      <c r="AL131" s="4"/>
      <c r="AM131" s="4"/>
      <c r="AN131" s="4"/>
      <c r="AO131" s="4"/>
    </row>
    <row r="132" spans="1:41" ht="15.5" x14ac:dyDescent="0.35">
      <c r="A132" s="10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10"/>
      <c r="Z132" s="10"/>
      <c r="AA132" s="10"/>
      <c r="AB132" s="10"/>
      <c r="AC132" s="10"/>
      <c r="AD132" s="10"/>
      <c r="AE132" s="10"/>
      <c r="AF132" s="10"/>
      <c r="AG132" s="10"/>
      <c r="AH132" s="4"/>
      <c r="AI132" s="4"/>
      <c r="AJ132" s="4"/>
      <c r="AK132" s="4"/>
      <c r="AL132" s="4"/>
      <c r="AM132" s="4"/>
      <c r="AN132" s="4"/>
      <c r="AO132" s="4"/>
    </row>
    <row r="133" spans="1:41" ht="15.5" x14ac:dyDescent="0.35">
      <c r="A133" s="10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10"/>
      <c r="Z133" s="10"/>
      <c r="AA133" s="10"/>
      <c r="AB133" s="10"/>
      <c r="AC133" s="10"/>
      <c r="AD133" s="10"/>
      <c r="AE133" s="10"/>
      <c r="AF133" s="10"/>
      <c r="AG133" s="10"/>
      <c r="AH133" s="4"/>
      <c r="AI133" s="4"/>
      <c r="AJ133" s="4"/>
      <c r="AK133" s="4"/>
      <c r="AL133" s="4"/>
      <c r="AM133" s="4"/>
      <c r="AN133" s="4"/>
      <c r="AO133" s="4"/>
    </row>
    <row r="134" spans="1:41" ht="15.5" x14ac:dyDescent="0.35">
      <c r="A134" s="10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10"/>
      <c r="Z134" s="10"/>
      <c r="AA134" s="10"/>
      <c r="AB134" s="10"/>
      <c r="AC134" s="10"/>
      <c r="AD134" s="10"/>
      <c r="AE134" s="10"/>
      <c r="AF134" s="10"/>
      <c r="AG134" s="10"/>
      <c r="AH134" s="4"/>
      <c r="AI134" s="4"/>
      <c r="AJ134" s="4"/>
      <c r="AK134" s="4"/>
      <c r="AL134" s="4"/>
      <c r="AM134" s="4"/>
      <c r="AN134" s="4"/>
      <c r="AO134" s="4"/>
    </row>
    <row r="135" spans="1:41" ht="15.5" x14ac:dyDescent="0.35">
      <c r="A135" s="10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10"/>
      <c r="Z135" s="10"/>
      <c r="AA135" s="10"/>
      <c r="AB135" s="10"/>
      <c r="AC135" s="10"/>
      <c r="AD135" s="10"/>
      <c r="AE135" s="10"/>
      <c r="AF135" s="10"/>
      <c r="AG135" s="10"/>
      <c r="AH135" s="4"/>
      <c r="AI135" s="4"/>
      <c r="AJ135" s="4"/>
      <c r="AK135" s="4"/>
      <c r="AL135" s="4"/>
      <c r="AM135" s="4"/>
      <c r="AN135" s="4"/>
      <c r="AO135" s="4"/>
    </row>
    <row r="136" spans="1:41" ht="15.5" x14ac:dyDescent="0.35">
      <c r="A136" s="10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10"/>
      <c r="Z136" s="10"/>
      <c r="AA136" s="10"/>
      <c r="AB136" s="10"/>
      <c r="AC136" s="10"/>
      <c r="AD136" s="10"/>
      <c r="AE136" s="10"/>
      <c r="AF136" s="10"/>
      <c r="AG136" s="10"/>
      <c r="AH136" s="4"/>
      <c r="AI136" s="4"/>
      <c r="AJ136" s="4"/>
      <c r="AK136" s="4"/>
      <c r="AL136" s="4"/>
      <c r="AM136" s="4"/>
      <c r="AN136" s="4"/>
      <c r="AO136" s="4"/>
    </row>
    <row r="137" spans="1:41" ht="15.5" x14ac:dyDescent="0.35">
      <c r="A137" s="10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10"/>
      <c r="Z137" s="10"/>
      <c r="AA137" s="10"/>
      <c r="AB137" s="10"/>
      <c r="AC137" s="10"/>
      <c r="AD137" s="10"/>
      <c r="AE137" s="10"/>
      <c r="AF137" s="10"/>
      <c r="AG137" s="10"/>
      <c r="AH137" s="4"/>
      <c r="AI137" s="4"/>
      <c r="AJ137" s="4"/>
      <c r="AK137" s="4"/>
      <c r="AL137" s="4"/>
      <c r="AM137" s="4"/>
      <c r="AN137" s="4"/>
      <c r="AO137" s="4"/>
    </row>
    <row r="138" spans="1:41" ht="15.5" x14ac:dyDescent="0.35">
      <c r="A138" s="10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10"/>
      <c r="Z138" s="10"/>
      <c r="AA138" s="10"/>
      <c r="AB138" s="10"/>
      <c r="AC138" s="10"/>
      <c r="AD138" s="10"/>
      <c r="AE138" s="10"/>
      <c r="AF138" s="10"/>
      <c r="AG138" s="10"/>
      <c r="AH138" s="4"/>
      <c r="AI138" s="4"/>
      <c r="AJ138" s="4"/>
      <c r="AK138" s="4"/>
      <c r="AL138" s="4"/>
      <c r="AM138" s="4"/>
      <c r="AN138" s="4"/>
      <c r="AO138" s="4"/>
    </row>
    <row r="139" spans="1:41" ht="15.5" x14ac:dyDescent="0.35">
      <c r="A139" s="10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10"/>
      <c r="Z139" s="10"/>
      <c r="AA139" s="10"/>
      <c r="AB139" s="10"/>
      <c r="AC139" s="10"/>
      <c r="AD139" s="10"/>
      <c r="AE139" s="10"/>
      <c r="AF139" s="10"/>
      <c r="AG139" s="10"/>
      <c r="AH139" s="4"/>
      <c r="AI139" s="4"/>
      <c r="AJ139" s="4"/>
      <c r="AK139" s="4"/>
      <c r="AL139" s="4"/>
      <c r="AM139" s="4"/>
      <c r="AN139" s="4"/>
      <c r="AO139" s="4"/>
    </row>
    <row r="140" spans="1:41" ht="15.5" x14ac:dyDescent="0.35">
      <c r="A140" s="10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10"/>
      <c r="Z140" s="10"/>
      <c r="AA140" s="10"/>
      <c r="AB140" s="10"/>
      <c r="AC140" s="10"/>
      <c r="AD140" s="10"/>
      <c r="AE140" s="10"/>
      <c r="AF140" s="10"/>
      <c r="AG140" s="10"/>
      <c r="AH140" s="4"/>
      <c r="AI140" s="4"/>
      <c r="AJ140" s="4"/>
      <c r="AK140" s="4"/>
      <c r="AL140" s="4"/>
      <c r="AM140" s="4"/>
      <c r="AN140" s="4"/>
      <c r="AO140" s="4"/>
    </row>
    <row r="141" spans="1:41" ht="15.5" x14ac:dyDescent="0.35">
      <c r="A141" s="10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10"/>
      <c r="Z141" s="10"/>
      <c r="AA141" s="10"/>
      <c r="AB141" s="10"/>
      <c r="AC141" s="10"/>
      <c r="AD141" s="10"/>
      <c r="AE141" s="10"/>
      <c r="AF141" s="10"/>
      <c r="AG141" s="10"/>
      <c r="AH141" s="4"/>
      <c r="AI141" s="4"/>
      <c r="AJ141" s="4"/>
      <c r="AK141" s="4"/>
      <c r="AL141" s="4"/>
      <c r="AM141" s="4"/>
      <c r="AN141" s="4"/>
      <c r="AO141" s="4"/>
    </row>
    <row r="142" spans="1:41" ht="15.5" x14ac:dyDescent="0.35">
      <c r="A142" s="10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10"/>
      <c r="Z142" s="10"/>
      <c r="AA142" s="10"/>
      <c r="AB142" s="10"/>
      <c r="AC142" s="10"/>
      <c r="AD142" s="10"/>
      <c r="AE142" s="10"/>
      <c r="AF142" s="10"/>
      <c r="AG142" s="10"/>
      <c r="AH142" s="4"/>
      <c r="AI142" s="4"/>
      <c r="AJ142" s="4"/>
      <c r="AK142" s="4"/>
      <c r="AL142" s="4"/>
      <c r="AM142" s="4"/>
      <c r="AN142" s="4"/>
      <c r="AO142" s="4"/>
    </row>
    <row r="143" spans="1:41" ht="15.5" x14ac:dyDescent="0.35">
      <c r="A143" s="10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10"/>
      <c r="Z143" s="10"/>
      <c r="AA143" s="10"/>
      <c r="AB143" s="10"/>
      <c r="AC143" s="10"/>
      <c r="AD143" s="10"/>
      <c r="AE143" s="10"/>
      <c r="AF143" s="10"/>
      <c r="AG143" s="10"/>
      <c r="AH143" s="4"/>
      <c r="AI143" s="4"/>
      <c r="AJ143" s="4"/>
      <c r="AK143" s="4"/>
      <c r="AL143" s="4"/>
      <c r="AM143" s="4"/>
      <c r="AN143" s="4"/>
      <c r="AO143" s="4"/>
    </row>
    <row r="144" spans="1:41" ht="15.5" x14ac:dyDescent="0.35">
      <c r="A144" s="10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10"/>
      <c r="Z144" s="10"/>
      <c r="AA144" s="10"/>
      <c r="AB144" s="10"/>
      <c r="AC144" s="10"/>
      <c r="AD144" s="10"/>
      <c r="AE144" s="10"/>
      <c r="AF144" s="10"/>
      <c r="AG144" s="10"/>
      <c r="AH144" s="4"/>
      <c r="AI144" s="4"/>
      <c r="AJ144" s="4"/>
      <c r="AK144" s="4"/>
      <c r="AL144" s="4"/>
      <c r="AM144" s="4"/>
      <c r="AN144" s="4"/>
      <c r="AO144" s="4"/>
    </row>
    <row r="145" spans="1:41" ht="15.5" x14ac:dyDescent="0.35">
      <c r="A145" s="10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10"/>
      <c r="Z145" s="10"/>
      <c r="AA145" s="10"/>
      <c r="AB145" s="10"/>
      <c r="AC145" s="10"/>
      <c r="AD145" s="10"/>
      <c r="AE145" s="10"/>
      <c r="AF145" s="10"/>
      <c r="AG145" s="10"/>
      <c r="AH145" s="4"/>
      <c r="AI145" s="4"/>
      <c r="AJ145" s="4"/>
      <c r="AK145" s="4"/>
      <c r="AL145" s="4"/>
      <c r="AM145" s="4"/>
      <c r="AN145" s="4"/>
      <c r="AO145" s="4"/>
    </row>
    <row r="146" spans="1:41" ht="15.5" x14ac:dyDescent="0.35">
      <c r="A146" s="10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10"/>
      <c r="Z146" s="10"/>
      <c r="AA146" s="10"/>
      <c r="AB146" s="10"/>
      <c r="AC146" s="10"/>
      <c r="AD146" s="10"/>
      <c r="AE146" s="10"/>
      <c r="AF146" s="10"/>
      <c r="AG146" s="10"/>
      <c r="AH146" s="4"/>
      <c r="AI146" s="4"/>
      <c r="AJ146" s="4"/>
      <c r="AK146" s="4"/>
      <c r="AL146" s="4"/>
      <c r="AM146" s="4"/>
      <c r="AN146" s="4"/>
      <c r="AO146" s="4"/>
    </row>
    <row r="147" spans="1:41" ht="15.5" x14ac:dyDescent="0.35">
      <c r="A147" s="10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10"/>
      <c r="Z147" s="10"/>
      <c r="AA147" s="10"/>
      <c r="AB147" s="10"/>
      <c r="AC147" s="10"/>
      <c r="AD147" s="10"/>
      <c r="AE147" s="10"/>
      <c r="AF147" s="10"/>
      <c r="AG147" s="10"/>
      <c r="AH147" s="4"/>
      <c r="AI147" s="4"/>
      <c r="AJ147" s="4"/>
      <c r="AK147" s="4"/>
      <c r="AL147" s="4"/>
      <c r="AM147" s="4"/>
      <c r="AN147" s="4"/>
      <c r="AO147" s="4"/>
    </row>
    <row r="148" spans="1:41" ht="15.5" x14ac:dyDescent="0.35">
      <c r="A148" s="10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10"/>
      <c r="Z148" s="10"/>
      <c r="AA148" s="10"/>
      <c r="AB148" s="10"/>
      <c r="AC148" s="10"/>
      <c r="AD148" s="10"/>
      <c r="AE148" s="10"/>
      <c r="AF148" s="10"/>
      <c r="AG148" s="10"/>
      <c r="AH148" s="4"/>
      <c r="AI148" s="4"/>
      <c r="AJ148" s="4"/>
      <c r="AK148" s="4"/>
      <c r="AL148" s="4"/>
      <c r="AM148" s="4"/>
      <c r="AN148" s="4"/>
      <c r="AO148" s="4"/>
    </row>
    <row r="149" spans="1:41" ht="15.5" x14ac:dyDescent="0.35">
      <c r="A149" s="10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10"/>
      <c r="Z149" s="10"/>
      <c r="AA149" s="10"/>
      <c r="AB149" s="10"/>
      <c r="AC149" s="10"/>
      <c r="AD149" s="10"/>
      <c r="AE149" s="10"/>
      <c r="AF149" s="10"/>
      <c r="AG149" s="10"/>
      <c r="AH149" s="4"/>
      <c r="AI149" s="4"/>
      <c r="AJ149" s="4"/>
      <c r="AK149" s="4"/>
      <c r="AL149" s="4"/>
      <c r="AM149" s="4"/>
      <c r="AN149" s="4"/>
      <c r="AO149" s="4"/>
    </row>
    <row r="150" spans="1:41" ht="15.5" x14ac:dyDescent="0.35">
      <c r="A150" s="10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10"/>
      <c r="Z150" s="10"/>
      <c r="AA150" s="10"/>
      <c r="AB150" s="10"/>
      <c r="AC150" s="10"/>
      <c r="AD150" s="10"/>
      <c r="AE150" s="10"/>
      <c r="AF150" s="10"/>
      <c r="AG150" s="10"/>
      <c r="AH150" s="4"/>
      <c r="AI150" s="4"/>
      <c r="AJ150" s="4"/>
      <c r="AK150" s="4"/>
      <c r="AL150" s="4"/>
      <c r="AM150" s="4"/>
      <c r="AN150" s="4"/>
      <c r="AO150" s="4"/>
    </row>
    <row r="151" spans="1:41" ht="15.5" x14ac:dyDescent="0.35">
      <c r="A151" s="10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10"/>
      <c r="Z151" s="10"/>
      <c r="AA151" s="10"/>
      <c r="AB151" s="10"/>
      <c r="AC151" s="10"/>
      <c r="AD151" s="10"/>
      <c r="AE151" s="10"/>
      <c r="AF151" s="10"/>
      <c r="AG151" s="10"/>
      <c r="AH151" s="4"/>
      <c r="AI151" s="4"/>
      <c r="AJ151" s="4"/>
      <c r="AK151" s="4"/>
      <c r="AL151" s="4"/>
      <c r="AM151" s="4"/>
      <c r="AN151" s="4"/>
      <c r="AO151" s="4"/>
    </row>
    <row r="152" spans="1:41" ht="15.5" x14ac:dyDescent="0.35">
      <c r="A152" s="10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10"/>
      <c r="Z152" s="10"/>
      <c r="AA152" s="10"/>
      <c r="AB152" s="10"/>
      <c r="AC152" s="10"/>
      <c r="AD152" s="10"/>
      <c r="AE152" s="10"/>
      <c r="AF152" s="10"/>
      <c r="AG152" s="10"/>
      <c r="AH152" s="4"/>
      <c r="AI152" s="4"/>
      <c r="AJ152" s="4"/>
      <c r="AK152" s="4"/>
      <c r="AL152" s="4"/>
      <c r="AM152" s="4"/>
      <c r="AN152" s="4"/>
      <c r="AO152" s="4"/>
    </row>
    <row r="153" spans="1:41" ht="15.5" x14ac:dyDescent="0.35">
      <c r="A153" s="10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10"/>
      <c r="Z153" s="10"/>
      <c r="AA153" s="10"/>
      <c r="AB153" s="10"/>
      <c r="AC153" s="10"/>
      <c r="AD153" s="10"/>
      <c r="AE153" s="10"/>
      <c r="AF153" s="10"/>
      <c r="AG153" s="10"/>
      <c r="AH153" s="4"/>
      <c r="AI153" s="4"/>
      <c r="AJ153" s="4"/>
      <c r="AK153" s="4"/>
      <c r="AL153" s="4"/>
      <c r="AM153" s="4"/>
      <c r="AN153" s="4"/>
      <c r="AO153" s="4"/>
    </row>
    <row r="154" spans="1:41" ht="15.5" x14ac:dyDescent="0.35">
      <c r="A154" s="10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10"/>
      <c r="Z154" s="10"/>
      <c r="AA154" s="10"/>
      <c r="AB154" s="10"/>
      <c r="AC154" s="10"/>
      <c r="AD154" s="10"/>
      <c r="AE154" s="10"/>
      <c r="AF154" s="10"/>
      <c r="AG154" s="10"/>
      <c r="AH154" s="4"/>
      <c r="AI154" s="4"/>
      <c r="AJ154" s="4"/>
      <c r="AK154" s="4"/>
      <c r="AL154" s="4"/>
      <c r="AM154" s="4"/>
      <c r="AN154" s="4"/>
      <c r="AO154" s="4"/>
    </row>
    <row r="155" spans="1:41" ht="15.5" x14ac:dyDescent="0.35">
      <c r="A155" s="10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10"/>
      <c r="Z155" s="10"/>
      <c r="AA155" s="10"/>
      <c r="AB155" s="10"/>
      <c r="AC155" s="10"/>
      <c r="AD155" s="10"/>
      <c r="AE155" s="10"/>
      <c r="AF155" s="10"/>
      <c r="AG155" s="10"/>
      <c r="AH155" s="4"/>
      <c r="AI155" s="4"/>
      <c r="AJ155" s="4"/>
      <c r="AK155" s="4"/>
      <c r="AL155" s="4"/>
      <c r="AM155" s="4"/>
      <c r="AN155" s="4"/>
      <c r="AO155" s="4"/>
    </row>
    <row r="156" spans="1:41" ht="15.5" x14ac:dyDescent="0.35">
      <c r="A156" s="10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10"/>
      <c r="Z156" s="10"/>
      <c r="AA156" s="10"/>
      <c r="AB156" s="10"/>
      <c r="AC156" s="10"/>
      <c r="AD156" s="10"/>
      <c r="AE156" s="10"/>
      <c r="AF156" s="10"/>
      <c r="AG156" s="10"/>
      <c r="AH156" s="4"/>
      <c r="AI156" s="4"/>
      <c r="AJ156" s="4"/>
      <c r="AK156" s="4"/>
      <c r="AL156" s="4"/>
      <c r="AM156" s="4"/>
      <c r="AN156" s="4"/>
      <c r="AO156" s="4"/>
    </row>
    <row r="157" spans="1:41" ht="15.5" x14ac:dyDescent="0.35">
      <c r="A157" s="10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10"/>
      <c r="Z157" s="10"/>
      <c r="AA157" s="10"/>
      <c r="AB157" s="10"/>
      <c r="AC157" s="10"/>
      <c r="AD157" s="10"/>
      <c r="AE157" s="10"/>
      <c r="AF157" s="10"/>
      <c r="AG157" s="10"/>
      <c r="AH157" s="4"/>
      <c r="AI157" s="4"/>
      <c r="AJ157" s="4"/>
      <c r="AK157" s="4"/>
      <c r="AL157" s="4"/>
      <c r="AM157" s="4"/>
      <c r="AN157" s="4"/>
      <c r="AO157" s="4"/>
    </row>
    <row r="158" spans="1:41" ht="15.5" x14ac:dyDescent="0.35">
      <c r="A158" s="10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10"/>
      <c r="Z158" s="10"/>
      <c r="AA158" s="10"/>
      <c r="AB158" s="10"/>
      <c r="AC158" s="10"/>
      <c r="AD158" s="10"/>
      <c r="AE158" s="10"/>
      <c r="AF158" s="10"/>
      <c r="AG158" s="10"/>
      <c r="AH158" s="4"/>
      <c r="AI158" s="4"/>
      <c r="AJ158" s="4"/>
      <c r="AK158" s="4"/>
      <c r="AL158" s="4"/>
      <c r="AM158" s="4"/>
      <c r="AN158" s="4"/>
      <c r="AO158" s="4"/>
    </row>
    <row r="159" spans="1:41" ht="15.5" x14ac:dyDescent="0.35">
      <c r="A159" s="10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10"/>
      <c r="Z159" s="10"/>
      <c r="AA159" s="10"/>
      <c r="AB159" s="10"/>
      <c r="AC159" s="10"/>
      <c r="AD159" s="10"/>
      <c r="AE159" s="10"/>
      <c r="AF159" s="10"/>
      <c r="AG159" s="10"/>
      <c r="AH159" s="4"/>
      <c r="AI159" s="4"/>
      <c r="AJ159" s="4"/>
      <c r="AK159" s="4"/>
      <c r="AL159" s="4"/>
      <c r="AM159" s="4"/>
      <c r="AN159" s="4"/>
      <c r="AO159" s="4"/>
    </row>
    <row r="160" spans="1:41" ht="15.5" x14ac:dyDescent="0.35">
      <c r="A160" s="10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10"/>
      <c r="Z160" s="10"/>
      <c r="AA160" s="10"/>
      <c r="AB160" s="10"/>
      <c r="AC160" s="10"/>
      <c r="AD160" s="10"/>
      <c r="AE160" s="10"/>
      <c r="AF160" s="10"/>
      <c r="AG160" s="10"/>
      <c r="AH160" s="4"/>
      <c r="AI160" s="4"/>
      <c r="AJ160" s="4"/>
      <c r="AK160" s="4"/>
      <c r="AL160" s="4"/>
      <c r="AM160" s="4"/>
      <c r="AN160" s="4"/>
      <c r="AO160" s="4"/>
    </row>
    <row r="161" spans="1:41" ht="15.5" x14ac:dyDescent="0.35">
      <c r="A161" s="10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10"/>
      <c r="Z161" s="10"/>
      <c r="AA161" s="10"/>
      <c r="AB161" s="10"/>
      <c r="AC161" s="10"/>
      <c r="AD161" s="10"/>
      <c r="AE161" s="10"/>
      <c r="AF161" s="10"/>
      <c r="AG161" s="10"/>
      <c r="AH161" s="4"/>
      <c r="AI161" s="4"/>
      <c r="AJ161" s="4"/>
      <c r="AK161" s="4"/>
      <c r="AL161" s="4"/>
      <c r="AM161" s="4"/>
      <c r="AN161" s="4"/>
      <c r="AO161" s="4"/>
    </row>
    <row r="162" spans="1:41" ht="15.5" x14ac:dyDescent="0.35">
      <c r="A162" s="10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10"/>
      <c r="Z162" s="10"/>
      <c r="AA162" s="10"/>
      <c r="AB162" s="10"/>
      <c r="AC162" s="10"/>
      <c r="AD162" s="10"/>
      <c r="AE162" s="10"/>
      <c r="AF162" s="10"/>
      <c r="AG162" s="10"/>
      <c r="AH162" s="4"/>
      <c r="AI162" s="4"/>
      <c r="AJ162" s="4"/>
      <c r="AK162" s="4"/>
      <c r="AL162" s="4"/>
      <c r="AM162" s="4"/>
      <c r="AN162" s="4"/>
      <c r="AO162" s="4"/>
    </row>
    <row r="163" spans="1:41" ht="15.5" x14ac:dyDescent="0.35">
      <c r="A163" s="10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10"/>
      <c r="Z163" s="10"/>
      <c r="AA163" s="10"/>
      <c r="AB163" s="10"/>
      <c r="AC163" s="10"/>
      <c r="AD163" s="10"/>
      <c r="AE163" s="10"/>
      <c r="AF163" s="10"/>
      <c r="AG163" s="10"/>
      <c r="AH163" s="4"/>
      <c r="AI163" s="4"/>
      <c r="AJ163" s="4"/>
      <c r="AK163" s="4"/>
      <c r="AL163" s="4"/>
      <c r="AM163" s="4"/>
      <c r="AN163" s="4"/>
      <c r="AO163" s="4"/>
    </row>
    <row r="164" spans="1:41" ht="15.5" x14ac:dyDescent="0.35">
      <c r="A164" s="10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10"/>
      <c r="Z164" s="10"/>
      <c r="AA164" s="10"/>
      <c r="AB164" s="10"/>
      <c r="AC164" s="10"/>
      <c r="AD164" s="10"/>
      <c r="AE164" s="10"/>
      <c r="AF164" s="10"/>
      <c r="AG164" s="10"/>
      <c r="AH164" s="4"/>
      <c r="AI164" s="4"/>
      <c r="AJ164" s="4"/>
      <c r="AK164" s="4"/>
      <c r="AL164" s="4"/>
      <c r="AM164" s="4"/>
      <c r="AN164" s="4"/>
      <c r="AO164" s="4"/>
    </row>
    <row r="165" spans="1:41" ht="15.5" x14ac:dyDescent="0.35">
      <c r="A165" s="10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10"/>
      <c r="Z165" s="10"/>
      <c r="AA165" s="10"/>
      <c r="AB165" s="10"/>
      <c r="AC165" s="10"/>
      <c r="AD165" s="10"/>
      <c r="AE165" s="10"/>
      <c r="AF165" s="10"/>
      <c r="AG165" s="10"/>
      <c r="AH165" s="4"/>
      <c r="AI165" s="4"/>
      <c r="AJ165" s="4"/>
      <c r="AK165" s="4"/>
      <c r="AL165" s="4"/>
      <c r="AM165" s="4"/>
      <c r="AN165" s="4"/>
      <c r="AO165" s="4"/>
    </row>
    <row r="166" spans="1:41" ht="15.5" x14ac:dyDescent="0.35">
      <c r="A166" s="10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10"/>
      <c r="Z166" s="10"/>
      <c r="AA166" s="10"/>
      <c r="AB166" s="10"/>
      <c r="AC166" s="10"/>
      <c r="AD166" s="10"/>
      <c r="AE166" s="10"/>
      <c r="AF166" s="10"/>
      <c r="AG166" s="10"/>
      <c r="AH166" s="4"/>
      <c r="AI166" s="4"/>
      <c r="AJ166" s="4"/>
      <c r="AK166" s="4"/>
      <c r="AL166" s="4"/>
      <c r="AM166" s="4"/>
      <c r="AN166" s="4"/>
      <c r="AO166" s="4"/>
    </row>
    <row r="167" spans="1:41" ht="15.5" x14ac:dyDescent="0.35">
      <c r="A167" s="10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10"/>
      <c r="Z167" s="10"/>
      <c r="AA167" s="10"/>
      <c r="AB167" s="10"/>
      <c r="AC167" s="10"/>
      <c r="AD167" s="10"/>
      <c r="AE167" s="10"/>
      <c r="AF167" s="10"/>
      <c r="AG167" s="10"/>
      <c r="AH167" s="4"/>
      <c r="AI167" s="4"/>
      <c r="AJ167" s="4"/>
      <c r="AK167" s="4"/>
      <c r="AL167" s="4"/>
      <c r="AM167" s="4"/>
      <c r="AN167" s="4"/>
      <c r="AO167" s="4"/>
    </row>
    <row r="168" spans="1:41" ht="15.5" x14ac:dyDescent="0.35">
      <c r="A168" s="10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10"/>
      <c r="Z168" s="10"/>
      <c r="AA168" s="10"/>
      <c r="AB168" s="10"/>
      <c r="AC168" s="10"/>
      <c r="AD168" s="10"/>
      <c r="AE168" s="10"/>
      <c r="AF168" s="10"/>
      <c r="AG168" s="10"/>
      <c r="AH168" s="4"/>
      <c r="AI168" s="4"/>
      <c r="AJ168" s="4"/>
      <c r="AK168" s="4"/>
      <c r="AL168" s="4"/>
      <c r="AM168" s="4"/>
      <c r="AN168" s="4"/>
      <c r="AO168" s="4"/>
    </row>
    <row r="169" spans="1:41" ht="15.5" x14ac:dyDescent="0.35">
      <c r="A169" s="10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10"/>
      <c r="Z169" s="10"/>
      <c r="AA169" s="10"/>
      <c r="AB169" s="10"/>
      <c r="AC169" s="10"/>
      <c r="AD169" s="10"/>
      <c r="AE169" s="10"/>
      <c r="AF169" s="10"/>
      <c r="AG169" s="10"/>
      <c r="AH169" s="4"/>
      <c r="AI169" s="4"/>
      <c r="AJ169" s="4"/>
      <c r="AK169" s="4"/>
      <c r="AL169" s="4"/>
      <c r="AM169" s="4"/>
      <c r="AN169" s="4"/>
      <c r="AO169" s="4"/>
    </row>
    <row r="170" spans="1:41" ht="15.5" x14ac:dyDescent="0.35">
      <c r="A170" s="10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10"/>
      <c r="Z170" s="10"/>
      <c r="AA170" s="10"/>
      <c r="AB170" s="10"/>
      <c r="AC170" s="10"/>
      <c r="AD170" s="10"/>
      <c r="AE170" s="10"/>
      <c r="AF170" s="10"/>
      <c r="AG170" s="10"/>
      <c r="AH170" s="4"/>
      <c r="AI170" s="4"/>
      <c r="AJ170" s="4"/>
      <c r="AK170" s="4"/>
      <c r="AL170" s="4"/>
      <c r="AM170" s="4"/>
      <c r="AN170" s="4"/>
      <c r="AO170" s="4"/>
    </row>
    <row r="171" spans="1:41" ht="15.5" x14ac:dyDescent="0.35">
      <c r="A171" s="10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10"/>
      <c r="Z171" s="10"/>
      <c r="AA171" s="10"/>
      <c r="AB171" s="10"/>
      <c r="AC171" s="10"/>
      <c r="AD171" s="10"/>
      <c r="AE171" s="10"/>
      <c r="AF171" s="10"/>
      <c r="AG171" s="10"/>
      <c r="AH171" s="4"/>
      <c r="AI171" s="4"/>
      <c r="AJ171" s="4"/>
      <c r="AK171" s="4"/>
      <c r="AL171" s="4"/>
      <c r="AM171" s="4"/>
      <c r="AN171" s="4"/>
      <c r="AO171" s="4"/>
    </row>
    <row r="172" spans="1:41" ht="15.5" x14ac:dyDescent="0.35">
      <c r="A172" s="10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10"/>
      <c r="Z172" s="10"/>
      <c r="AA172" s="10"/>
      <c r="AB172" s="10"/>
      <c r="AC172" s="10"/>
      <c r="AD172" s="10"/>
      <c r="AE172" s="10"/>
      <c r="AF172" s="10"/>
      <c r="AG172" s="10"/>
      <c r="AH172" s="4"/>
      <c r="AI172" s="4"/>
      <c r="AJ172" s="4"/>
      <c r="AK172" s="4"/>
      <c r="AL172" s="4"/>
      <c r="AM172" s="4"/>
      <c r="AN172" s="4"/>
      <c r="AO172" s="4"/>
    </row>
    <row r="173" spans="1:41" ht="15.5" x14ac:dyDescent="0.35">
      <c r="A173" s="10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10"/>
      <c r="Z173" s="10"/>
      <c r="AA173" s="10"/>
      <c r="AB173" s="10"/>
      <c r="AC173" s="10"/>
      <c r="AD173" s="10"/>
      <c r="AE173" s="10"/>
      <c r="AF173" s="10"/>
      <c r="AG173" s="10"/>
      <c r="AH173" s="4"/>
      <c r="AI173" s="4"/>
      <c r="AJ173" s="4"/>
      <c r="AK173" s="4"/>
      <c r="AL173" s="4"/>
      <c r="AM173" s="4"/>
      <c r="AN173" s="4"/>
      <c r="AO173" s="4"/>
    </row>
    <row r="174" spans="1:41" ht="15.5" x14ac:dyDescent="0.35">
      <c r="A174" s="10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10"/>
      <c r="Z174" s="10"/>
      <c r="AA174" s="10"/>
      <c r="AB174" s="10"/>
      <c r="AC174" s="10"/>
      <c r="AD174" s="10"/>
      <c r="AE174" s="10"/>
      <c r="AF174" s="10"/>
      <c r="AG174" s="10"/>
      <c r="AH174" s="4"/>
      <c r="AI174" s="4"/>
      <c r="AJ174" s="4"/>
      <c r="AK174" s="4"/>
      <c r="AL174" s="4"/>
      <c r="AM174" s="4"/>
      <c r="AN174" s="4"/>
      <c r="AO174" s="4"/>
    </row>
    <row r="175" spans="1:41" x14ac:dyDescent="0.35">
      <c r="A175" s="4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x14ac:dyDescent="0.35">
      <c r="A176" s="4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x14ac:dyDescent="0.35">
      <c r="A177" s="4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x14ac:dyDescent="0.35">
      <c r="A178" s="4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x14ac:dyDescent="0.35">
      <c r="A179" s="4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x14ac:dyDescent="0.35">
      <c r="A180" s="4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x14ac:dyDescent="0.35">
      <c r="A181" s="4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x14ac:dyDescent="0.35">
      <c r="A182" s="4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x14ac:dyDescent="0.35">
      <c r="A183" s="4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x14ac:dyDescent="0.35">
      <c r="A184" s="4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x14ac:dyDescent="0.35">
      <c r="A185" s="4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x14ac:dyDescent="0.35">
      <c r="A186" s="4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x14ac:dyDescent="0.35">
      <c r="A187" s="4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x14ac:dyDescent="0.35">
      <c r="A188" s="4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x14ac:dyDescent="0.35">
      <c r="A189" s="4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x14ac:dyDescent="0.35">
      <c r="A190" s="4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x14ac:dyDescent="0.35">
      <c r="A191" s="4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x14ac:dyDescent="0.35">
      <c r="A192" s="4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x14ac:dyDescent="0.35">
      <c r="A193" s="4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x14ac:dyDescent="0.35">
      <c r="A194" s="4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x14ac:dyDescent="0.35">
      <c r="A195" s="4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x14ac:dyDescent="0.35">
      <c r="A196" s="4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x14ac:dyDescent="0.35">
      <c r="A197" s="4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x14ac:dyDescent="0.35">
      <c r="A198" s="4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x14ac:dyDescent="0.35">
      <c r="A199" s="4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x14ac:dyDescent="0.35">
      <c r="A200" s="4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x14ac:dyDescent="0.35">
      <c r="A201" s="4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x14ac:dyDescent="0.35">
      <c r="A202" s="4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x14ac:dyDescent="0.35">
      <c r="A203" s="4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x14ac:dyDescent="0.35">
      <c r="A204" s="4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x14ac:dyDescent="0.35">
      <c r="A205" s="4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x14ac:dyDescent="0.35">
      <c r="A206" s="4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x14ac:dyDescent="0.35">
      <c r="A207" s="4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x14ac:dyDescent="0.35">
      <c r="A208" s="4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x14ac:dyDescent="0.35">
      <c r="A209" s="4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x14ac:dyDescent="0.35">
      <c r="A210" s="4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x14ac:dyDescent="0.35">
      <c r="A211" s="4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x14ac:dyDescent="0.35">
      <c r="A212" s="4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x14ac:dyDescent="0.35">
      <c r="A213" s="4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x14ac:dyDescent="0.35">
      <c r="A214" s="4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x14ac:dyDescent="0.35">
      <c r="A215" s="4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x14ac:dyDescent="0.35">
      <c r="A216" s="4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x14ac:dyDescent="0.35">
      <c r="A217" s="4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x14ac:dyDescent="0.35">
      <c r="A218" s="4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x14ac:dyDescent="0.35">
      <c r="A219" s="4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x14ac:dyDescent="0.35">
      <c r="A220" s="4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x14ac:dyDescent="0.35">
      <c r="A221" s="4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x14ac:dyDescent="0.35">
      <c r="A222" s="4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x14ac:dyDescent="0.35">
      <c r="A223" s="4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x14ac:dyDescent="0.35">
      <c r="A224" s="4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</sheetData>
  <sheetProtection algorithmName="SHA-512" hashValue="6wYObCBWaVVnIRlnmkwGSy3NCPvzXY1gS1L9Ge9v2o8caEOFL9v1zmVqbGrCLbYkHIIAwh6oFqfw/2zII84WdQ==" saltValue="WaNTSLn9LTC56fjSh2bm3w==" spinCount="100000" sheet="1" objects="1" scenarios="1"/>
  <mergeCells count="2">
    <mergeCell ref="F24:I24"/>
    <mergeCell ref="F19:I19"/>
  </mergeCells>
  <phoneticPr fontId="3" type="noConversion"/>
  <pageMargins left="0.7" right="0.7" top="0.75" bottom="0.75" header="0.3" footer="0.3"/>
  <ignoredErrors>
    <ignoredError sqref="D14 H14:O14" formulaRange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6"/>
  <sheetViews>
    <sheetView zoomScale="88" zoomScaleNormal="88" zoomScalePageLayoutView="88" workbookViewId="0"/>
  </sheetViews>
  <sheetFormatPr defaultColWidth="8.81640625" defaultRowHeight="14.5" x14ac:dyDescent="0.35"/>
  <cols>
    <col min="1" max="1" width="20.1796875" customWidth="1"/>
    <col min="2" max="2" width="14.26953125" bestFit="1" customWidth="1"/>
    <col min="3" max="6" width="13.1796875" bestFit="1" customWidth="1"/>
    <col min="7" max="7" width="13.54296875" bestFit="1" customWidth="1"/>
  </cols>
  <sheetData>
    <row r="1" spans="1:22" ht="20" x14ac:dyDescent="0.4">
      <c r="A1" s="8" t="s">
        <v>162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4"/>
      <c r="Q1" s="4"/>
      <c r="R1" s="4"/>
      <c r="S1" s="4"/>
      <c r="T1" s="4"/>
    </row>
    <row r="2" spans="1:22" s="2" customFormat="1" x14ac:dyDescent="0.35"/>
    <row r="3" spans="1:22" ht="15.5" x14ac:dyDescent="0.35">
      <c r="A3" s="14" t="s">
        <v>52</v>
      </c>
      <c r="B3" s="14"/>
      <c r="C3" s="14"/>
      <c r="D3" s="14"/>
      <c r="E3" s="14"/>
      <c r="F3" s="14"/>
      <c r="G3" s="14"/>
      <c r="H3" s="14"/>
      <c r="I3" s="14"/>
      <c r="J3" s="2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5" x14ac:dyDescent="0.35">
      <c r="A4" s="10"/>
      <c r="B4" s="23" t="s">
        <v>54</v>
      </c>
      <c r="C4" s="140" t="s">
        <v>53</v>
      </c>
      <c r="D4" s="140"/>
      <c r="E4" s="140"/>
      <c r="F4" s="140"/>
      <c r="G4" s="14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5" x14ac:dyDescent="0.35">
      <c r="A5" s="185"/>
      <c r="B5" s="182">
        <v>2006</v>
      </c>
      <c r="C5" s="182">
        <v>2007</v>
      </c>
      <c r="D5" s="182">
        <v>2008</v>
      </c>
      <c r="E5" s="182">
        <v>2009</v>
      </c>
      <c r="F5" s="182">
        <v>2010</v>
      </c>
      <c r="G5" s="182">
        <v>2011</v>
      </c>
      <c r="H5" s="185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5" x14ac:dyDescent="0.35">
      <c r="A6" s="185" t="s">
        <v>86</v>
      </c>
      <c r="B6" s="185"/>
      <c r="C6" s="184">
        <f>'Mercury Model'!F11</f>
        <v>47267.727036046948</v>
      </c>
      <c r="D6" s="184">
        <f>'Mercury Model'!G11</f>
        <v>51830.760756963013</v>
      </c>
      <c r="E6" s="184">
        <f>'Mercury Model'!H11</f>
        <v>58441.446811196642</v>
      </c>
      <c r="F6" s="184">
        <f>'Mercury Model'!I11</f>
        <v>65895.284103602433</v>
      </c>
      <c r="G6" s="184">
        <f>'Mercury Model'!J11</f>
        <v>74299.811247358957</v>
      </c>
      <c r="H6" s="185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7.5" x14ac:dyDescent="0.45">
      <c r="A7" s="185" t="s">
        <v>174</v>
      </c>
      <c r="B7" s="186"/>
      <c r="C7" s="186">
        <f>'Mercury Model'!F11*(1-'Mercury Model'!$F$55)</f>
        <v>28360.636221628167</v>
      </c>
      <c r="D7" s="186">
        <f>'Mercury Model'!G11*(1-'Mercury Model'!$F$55)</f>
        <v>31098.456454177805</v>
      </c>
      <c r="E7" s="186">
        <f>'Mercury Model'!H11*(1-'Mercury Model'!$F$55)</f>
        <v>35064.868086717986</v>
      </c>
      <c r="F7" s="186">
        <f>'Mercury Model'!I11*(1-'Mercury Model'!$F$55)</f>
        <v>39537.170462161455</v>
      </c>
      <c r="G7" s="186">
        <f>'Mercury Model'!J11*(1-'Mercury Model'!$F$55)</f>
        <v>44579.886748415374</v>
      </c>
      <c r="H7" s="185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5" x14ac:dyDescent="0.35">
      <c r="A8" s="185" t="s">
        <v>55</v>
      </c>
      <c r="B8" s="186"/>
      <c r="C8" s="186">
        <f>C7+'Mercury Model'!F10</f>
        <v>37251.840305368751</v>
      </c>
      <c r="D8" s="186">
        <f>D7+'Mercury Model'!G10</f>
        <v>42589.343654500604</v>
      </c>
      <c r="E8" s="186">
        <f>E7+'Mercury Model'!H10</f>
        <v>48021.345347008028</v>
      </c>
      <c r="F8" s="186">
        <f>F7+'Mercury Model'!I10</f>
        <v>54146.164534585841</v>
      </c>
      <c r="G8" s="186">
        <f>G7+'Mercury Model'!J10</f>
        <v>61052.165711327951</v>
      </c>
      <c r="H8" s="185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5" x14ac:dyDescent="0.35">
      <c r="A9" s="185" t="s">
        <v>56</v>
      </c>
      <c r="B9" s="186"/>
      <c r="C9" s="186">
        <f>'Mercury Model'!F26-'Mercury Model'!D26</f>
        <v>9537.118156105149</v>
      </c>
      <c r="D9" s="186">
        <f>'Mercury Model'!G26-'Mercury Model'!F26</f>
        <v>5376.6189737374661</v>
      </c>
      <c r="E9" s="186">
        <f>'Mercury Model'!H26-'Mercury Model'!G26</f>
        <v>6062.3727529512762</v>
      </c>
      <c r="F9" s="186">
        <f>'Mercury Model'!I26-'Mercury Model'!H26</f>
        <v>6835.5900939318817</v>
      </c>
      <c r="G9" s="186">
        <f>'Mercury Model'!J26-'Mercury Model'!I26</f>
        <v>7707.4264213649512</v>
      </c>
      <c r="H9" s="185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5" x14ac:dyDescent="0.35">
      <c r="A10" s="185" t="s">
        <v>57</v>
      </c>
      <c r="B10" s="184">
        <f>('Mercury Model'!D20+'Mercury Model'!D21+'Mercury Model'!D22)-'Mercury Model'!D33-'Mercury Model'!D34</f>
        <v>93944</v>
      </c>
      <c r="C10" s="186">
        <f>('Mercury Model'!F20+'Mercury Model'!F21+'Mercury Model'!F22)-'Mercury Model'!F33-'Mercury Model'!F34</f>
        <v>110115.79980808838</v>
      </c>
      <c r="D10" s="186">
        <f>('Mercury Model'!G20+'Mercury Model'!G21+'Mercury Model'!G22)-'Mercury Model'!G33-'Mercury Model'!G34</f>
        <v>124160.37433315588</v>
      </c>
      <c r="E10" s="186">
        <f>('Mercury Model'!H20+'Mercury Model'!H21+'Mercury Model'!H22)-'Mercury Model'!H33-'Mercury Model'!H34</f>
        <v>139996.24560159669</v>
      </c>
      <c r="F10" s="186">
        <f>('Mercury Model'!I20+'Mercury Model'!I21+'Mercury Model'!I22)-'Mercury Model'!I33-'Mercury Model'!I34</f>
        <v>157851.88219514617</v>
      </c>
      <c r="G10" s="186">
        <f>('Mercury Model'!J20+'Mercury Model'!J21+'Mercury Model'!J22)-'Mercury Model'!J33-'Mercury Model'!J34</f>
        <v>177984.89241961591</v>
      </c>
      <c r="H10" s="185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5" x14ac:dyDescent="0.35">
      <c r="A11" s="185" t="s">
        <v>58</v>
      </c>
      <c r="B11" s="186"/>
      <c r="C11" s="186">
        <f>C10-B10</f>
        <v>16171.799808088384</v>
      </c>
      <c r="D11" s="186">
        <f t="shared" ref="D11:G11" si="0">D10-C10</f>
        <v>14044.574525067495</v>
      </c>
      <c r="E11" s="186">
        <f t="shared" si="0"/>
        <v>15835.871268440809</v>
      </c>
      <c r="F11" s="186">
        <f t="shared" si="0"/>
        <v>17855.636593549483</v>
      </c>
      <c r="G11" s="186">
        <f t="shared" si="0"/>
        <v>20133.010224469734</v>
      </c>
      <c r="H11" s="185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5" x14ac:dyDescent="0.35">
      <c r="A12" s="185" t="s">
        <v>59</v>
      </c>
      <c r="B12" s="186"/>
      <c r="C12" s="186">
        <f>C8-C9-C11</f>
        <v>11542.922341175217</v>
      </c>
      <c r="D12" s="186">
        <f t="shared" ref="D12:G12" si="1">D8-D9-D11</f>
        <v>23168.150155695643</v>
      </c>
      <c r="E12" s="186">
        <f t="shared" si="1"/>
        <v>26123.101325615942</v>
      </c>
      <c r="F12" s="186">
        <f t="shared" si="1"/>
        <v>29454.937847104477</v>
      </c>
      <c r="G12" s="186">
        <f t="shared" si="1"/>
        <v>33211.729065493266</v>
      </c>
      <c r="H12" s="185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5" x14ac:dyDescent="0.35">
      <c r="A13" s="185" t="s">
        <v>175</v>
      </c>
      <c r="B13" s="186"/>
      <c r="C13" s="186"/>
      <c r="D13" s="186"/>
      <c r="E13" s="186"/>
      <c r="F13" s="186"/>
      <c r="G13" s="186">
        <f>G12*(1+'Cost of Capital'!B13)/('Cost of Capital'!B25-'Cost of Capital'!B13)</f>
        <v>384938.72002400103</v>
      </c>
      <c r="H13" s="185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5" x14ac:dyDescent="0.35">
      <c r="A14" s="185" t="s">
        <v>66</v>
      </c>
      <c r="B14" s="185"/>
      <c r="C14" s="229">
        <f>C12</f>
        <v>11542.922341175217</v>
      </c>
      <c r="D14" s="229">
        <f t="shared" ref="D14:F14" si="2">D12</f>
        <v>23168.150155695643</v>
      </c>
      <c r="E14" s="229">
        <f t="shared" si="2"/>
        <v>26123.101325615942</v>
      </c>
      <c r="F14" s="229">
        <f t="shared" si="2"/>
        <v>29454.937847104477</v>
      </c>
      <c r="G14" s="229">
        <f>G12+G13</f>
        <v>418150.4490894943</v>
      </c>
      <c r="H14" s="185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5" x14ac:dyDescent="0.35">
      <c r="A15" s="183" t="s">
        <v>67</v>
      </c>
      <c r="B15" s="190">
        <f>NPV('Cost of Capital'!B25,Valuation!C14:G14)</f>
        <v>318432.60784694203</v>
      </c>
      <c r="C15" s="185"/>
      <c r="D15" s="185"/>
      <c r="E15" s="185"/>
      <c r="F15" s="185"/>
      <c r="G15" s="185"/>
      <c r="H15" s="185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5" x14ac:dyDescent="0.35">
      <c r="A16" s="185"/>
      <c r="B16" s="185"/>
      <c r="C16" s="185"/>
      <c r="D16" s="185"/>
      <c r="E16" s="185"/>
      <c r="F16" s="185"/>
      <c r="G16" s="185"/>
      <c r="H16" s="185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5" x14ac:dyDescent="0.35">
      <c r="A17" s="180" t="s">
        <v>73</v>
      </c>
      <c r="B17" s="230"/>
      <c r="C17" s="230"/>
      <c r="D17" s="230"/>
      <c r="E17" s="230"/>
      <c r="F17" s="230"/>
      <c r="G17" s="230"/>
      <c r="H17" s="230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5" x14ac:dyDescent="0.35">
      <c r="A18" s="185"/>
      <c r="B18" s="182">
        <v>2006</v>
      </c>
      <c r="C18" s="182">
        <v>2007</v>
      </c>
      <c r="D18" s="182">
        <v>2008</v>
      </c>
      <c r="E18" s="182">
        <v>2009</v>
      </c>
      <c r="F18" s="182">
        <v>2010</v>
      </c>
      <c r="G18" s="182">
        <v>2011</v>
      </c>
      <c r="H18" s="185"/>
      <c r="I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5" x14ac:dyDescent="0.35">
      <c r="A19" s="185" t="s">
        <v>74</v>
      </c>
      <c r="B19" s="185"/>
      <c r="C19" s="184">
        <f>'Mercury Base Case'!B23</f>
        <v>479328</v>
      </c>
      <c r="D19" s="184">
        <f>'Mercury Base Case'!C23</f>
        <v>526566.04</v>
      </c>
      <c r="E19" s="184">
        <f>'Mercury Base Case'!D23</f>
        <v>570424.80079999997</v>
      </c>
      <c r="F19" s="184">
        <f>'Mercury Base Case'!E23</f>
        <v>609373.57681600004</v>
      </c>
      <c r="G19" s="184">
        <f>'Mercury Base Case'!F23</f>
        <v>637552.66835231998</v>
      </c>
      <c r="H19" s="185"/>
      <c r="I19" s="1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5" x14ac:dyDescent="0.35">
      <c r="A20" s="185" t="s">
        <v>86</v>
      </c>
      <c r="B20" s="185"/>
      <c r="C20" s="186">
        <f>'Mercury Base Case'!B26</f>
        <v>47005</v>
      </c>
      <c r="D20" s="186">
        <f>'Mercury Base Case'!C26</f>
        <v>56788.804000000004</v>
      </c>
      <c r="E20" s="186">
        <f>'Mercury Base Case'!D26</f>
        <v>61432.880079999974</v>
      </c>
      <c r="F20" s="186">
        <f>'Mercury Base Case'!E26</f>
        <v>65591.457681600004</v>
      </c>
      <c r="G20" s="186">
        <f>'Mercury Base Case'!F26</f>
        <v>68595.566835231963</v>
      </c>
      <c r="H20" s="185"/>
      <c r="I20" s="1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7.5" x14ac:dyDescent="0.45">
      <c r="A21" s="185" t="s">
        <v>174</v>
      </c>
      <c r="B21" s="185"/>
      <c r="C21" s="186">
        <f>C20*(1-'Cost of Capital'!$B$12)</f>
        <v>28203</v>
      </c>
      <c r="D21" s="186">
        <f>D20*(1-'Cost of Capital'!$B$12)</f>
        <v>34073.282400000004</v>
      </c>
      <c r="E21" s="186">
        <f>E20*(1-'Cost of Capital'!$B$12)</f>
        <v>36859.728047999983</v>
      </c>
      <c r="F21" s="186">
        <f>F20*(1-'Cost of Capital'!$B$12)</f>
        <v>39354.874608960003</v>
      </c>
      <c r="G21" s="186">
        <f>G20*(1-'Cost of Capital'!$B$12)</f>
        <v>41157.340101139176</v>
      </c>
      <c r="H21" s="185"/>
      <c r="I21" s="1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5" x14ac:dyDescent="0.35">
      <c r="A22" s="185" t="s">
        <v>55</v>
      </c>
      <c r="B22" s="185"/>
      <c r="C22" s="186">
        <f>C21+'Mercury Base Case'!B29</f>
        <v>37790</v>
      </c>
      <c r="D22" s="186">
        <f>D21+'Mercury Base Case'!C29</f>
        <v>43854.282400000004</v>
      </c>
      <c r="E22" s="186">
        <f>E21+'Mercury Base Case'!D29</f>
        <v>47502.728047999983</v>
      </c>
      <c r="F22" s="186">
        <f>F21+'Mercury Base Case'!E29</f>
        <v>50760.874608960003</v>
      </c>
      <c r="G22" s="186">
        <f>G21+'Mercury Base Case'!F29</f>
        <v>53111.340101139176</v>
      </c>
      <c r="H22" s="185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5" x14ac:dyDescent="0.35">
      <c r="A23" s="185" t="s">
        <v>56</v>
      </c>
      <c r="B23" s="185"/>
      <c r="C23" s="186">
        <f>'Mercury Base Case'!B28</f>
        <v>11983</v>
      </c>
      <c r="D23" s="186">
        <f>'Mercury Base Case'!C28</f>
        <v>12226</v>
      </c>
      <c r="E23" s="186">
        <f>'Mercury Base Case'!D28</f>
        <v>13303</v>
      </c>
      <c r="F23" s="186">
        <f>'Mercury Base Case'!E28</f>
        <v>14258</v>
      </c>
      <c r="G23" s="186">
        <f>'Mercury Base Case'!F28</f>
        <v>14943</v>
      </c>
      <c r="H23" s="185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5" x14ac:dyDescent="0.35">
      <c r="A24" s="185" t="s">
        <v>57</v>
      </c>
      <c r="B24" s="229">
        <f>B10</f>
        <v>93944</v>
      </c>
      <c r="C24" s="186">
        <f>('Mercury BS'!B5+'Mercury BS'!B6+'Mercury BS'!B7)-'Mercury BS'!B17-'Mercury BS'!B18</f>
        <v>94211</v>
      </c>
      <c r="D24" s="186">
        <f>('Mercury BS'!C5+'Mercury BS'!C6+'Mercury BS'!C7)-'Mercury BS'!C17-'Mercury BS'!C18</f>
        <v>96566</v>
      </c>
      <c r="E24" s="186">
        <f>('Mercury BS'!D5+'Mercury BS'!D6+'Mercury BS'!D7)-'Mercury BS'!D17-'Mercury BS'!D18</f>
        <v>105069</v>
      </c>
      <c r="F24" s="186">
        <f>('Mercury BS'!E5+'Mercury BS'!E6+'Mercury BS'!E7)-'Mercury BS'!E17-'Mercury BS'!E18</f>
        <v>112603</v>
      </c>
      <c r="G24" s="186">
        <f>('Mercury BS'!F5+'Mercury BS'!F6+'Mercury BS'!F7)-'Mercury BS'!F17-'Mercury BS'!F18</f>
        <v>118010</v>
      </c>
      <c r="H24" s="185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5" x14ac:dyDescent="0.35">
      <c r="A25" s="185" t="s">
        <v>58</v>
      </c>
      <c r="B25" s="185"/>
      <c r="C25" s="186">
        <f>C24-B24</f>
        <v>267</v>
      </c>
      <c r="D25" s="186">
        <f t="shared" ref="D25:G25" si="3">D24-C24</f>
        <v>2355</v>
      </c>
      <c r="E25" s="186">
        <f t="shared" si="3"/>
        <v>8503</v>
      </c>
      <c r="F25" s="186">
        <f t="shared" si="3"/>
        <v>7534</v>
      </c>
      <c r="G25" s="186">
        <f t="shared" si="3"/>
        <v>5407</v>
      </c>
      <c r="H25" s="185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5" x14ac:dyDescent="0.35">
      <c r="A26" s="185" t="s">
        <v>59</v>
      </c>
      <c r="B26" s="185"/>
      <c r="C26" s="186">
        <f>C22-C23-C25</f>
        <v>25540</v>
      </c>
      <c r="D26" s="186">
        <f t="shared" ref="D26:G26" si="4">D22-D23-D25</f>
        <v>29273.282400000004</v>
      </c>
      <c r="E26" s="186">
        <f t="shared" si="4"/>
        <v>25696.728047999983</v>
      </c>
      <c r="F26" s="186">
        <f t="shared" si="4"/>
        <v>28968.874608960003</v>
      </c>
      <c r="G26" s="186">
        <f t="shared" si="4"/>
        <v>32761.340101139176</v>
      </c>
      <c r="H26" s="185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5" x14ac:dyDescent="0.35">
      <c r="A27" s="185" t="s">
        <v>175</v>
      </c>
      <c r="B27" s="185"/>
      <c r="C27" s="186"/>
      <c r="D27" s="186"/>
      <c r="E27" s="186"/>
      <c r="F27" s="186"/>
      <c r="G27" s="186">
        <f>(G26*(1+'Cost of Capital'!B13)/('Cost of Capital'!B25-'Cost of Capital'!B13))</f>
        <v>379718.5114913616</v>
      </c>
      <c r="H27" s="185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5" x14ac:dyDescent="0.35">
      <c r="A28" s="185" t="s">
        <v>66</v>
      </c>
      <c r="B28" s="185"/>
      <c r="C28" s="184">
        <f>C26</f>
        <v>25540</v>
      </c>
      <c r="D28" s="184">
        <f t="shared" ref="D28:F28" si="5">D26</f>
        <v>29273.282400000004</v>
      </c>
      <c r="E28" s="184">
        <f t="shared" si="5"/>
        <v>25696.728047999983</v>
      </c>
      <c r="F28" s="184">
        <f t="shared" si="5"/>
        <v>28968.874608960003</v>
      </c>
      <c r="G28" s="184">
        <f>G26+G27</f>
        <v>412479.85159250075</v>
      </c>
      <c r="H28" s="185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5" x14ac:dyDescent="0.35">
      <c r="A29" s="183" t="s">
        <v>67</v>
      </c>
      <c r="B29" s="190">
        <f>NPV('Cost of Capital'!B25,Valuation!C28:G28)</f>
        <v>332006.64519933332</v>
      </c>
      <c r="C29" s="185"/>
      <c r="D29" s="185"/>
      <c r="E29" s="185"/>
      <c r="F29" s="185"/>
      <c r="G29" s="185"/>
      <c r="H29" s="185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5" x14ac:dyDescent="0.35">
      <c r="A30" s="185"/>
      <c r="B30" s="185"/>
      <c r="C30" s="185"/>
      <c r="D30" s="185"/>
      <c r="E30" s="185"/>
      <c r="F30" s="185"/>
      <c r="G30" s="185"/>
      <c r="H30" s="185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5" x14ac:dyDescent="0.35">
      <c r="A31" s="185"/>
      <c r="B31" s="185"/>
      <c r="C31" s="185"/>
      <c r="D31" s="185"/>
      <c r="E31" s="185"/>
      <c r="F31" s="185"/>
      <c r="G31" s="185"/>
      <c r="H31" s="185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5" x14ac:dyDescent="0.35">
      <c r="A32" s="185"/>
      <c r="B32" s="185"/>
      <c r="C32" s="185"/>
      <c r="D32" s="185"/>
      <c r="E32" s="185"/>
      <c r="F32" s="185"/>
      <c r="G32" s="185"/>
      <c r="H32" s="185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5" x14ac:dyDescent="0.35">
      <c r="A33" s="180" t="s">
        <v>163</v>
      </c>
      <c r="B33" s="230"/>
      <c r="C33" s="230"/>
      <c r="D33" s="230"/>
      <c r="E33" s="230"/>
      <c r="F33" s="230"/>
      <c r="G33" s="230"/>
      <c r="H33" s="23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5" x14ac:dyDescent="0.35">
      <c r="A34" s="185"/>
      <c r="B34" s="182">
        <f>B18</f>
        <v>2006</v>
      </c>
      <c r="C34" s="182">
        <f t="shared" ref="C34:G34" si="6">C18</f>
        <v>2007</v>
      </c>
      <c r="D34" s="182">
        <f t="shared" si="6"/>
        <v>2008</v>
      </c>
      <c r="E34" s="182">
        <f t="shared" si="6"/>
        <v>2009</v>
      </c>
      <c r="F34" s="182">
        <f t="shared" si="6"/>
        <v>2010</v>
      </c>
      <c r="G34" s="182">
        <f t="shared" si="6"/>
        <v>2011</v>
      </c>
      <c r="H34" s="185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5" x14ac:dyDescent="0.35">
      <c r="A35" s="185" t="str">
        <f>A20</f>
        <v>EBIT</v>
      </c>
      <c r="B35" s="185"/>
      <c r="C35" s="229">
        <f>C20</f>
        <v>47005</v>
      </c>
      <c r="D35" s="229">
        <f t="shared" ref="D35:G35" si="7">D20</f>
        <v>56788.804000000004</v>
      </c>
      <c r="E35" s="229">
        <f t="shared" si="7"/>
        <v>61432.880079999974</v>
      </c>
      <c r="F35" s="229">
        <f t="shared" si="7"/>
        <v>65591.457681600004</v>
      </c>
      <c r="G35" s="229">
        <f t="shared" si="7"/>
        <v>68595.566835231963</v>
      </c>
      <c r="H35" s="185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5" x14ac:dyDescent="0.35">
      <c r="A36" s="185" t="str">
        <f>A21</f>
        <v>EBIT(1-TC)</v>
      </c>
      <c r="B36" s="185"/>
      <c r="C36" s="186">
        <f>C21</f>
        <v>28203</v>
      </c>
      <c r="D36" s="186">
        <f t="shared" ref="D36:G36" si="8">D21</f>
        <v>34073.282400000004</v>
      </c>
      <c r="E36" s="186">
        <f t="shared" si="8"/>
        <v>36859.728047999983</v>
      </c>
      <c r="F36" s="186">
        <f t="shared" si="8"/>
        <v>39354.874608960003</v>
      </c>
      <c r="G36" s="186">
        <f t="shared" si="8"/>
        <v>41157.340101139176</v>
      </c>
      <c r="H36" s="185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5" x14ac:dyDescent="0.35">
      <c r="A37" s="185" t="str">
        <f t="shared" ref="A37:A38" si="9">A22</f>
        <v>Op Cash Flows</v>
      </c>
      <c r="B37" s="185"/>
      <c r="C37" s="186">
        <f>C22</f>
        <v>37790</v>
      </c>
      <c r="D37" s="186">
        <f t="shared" ref="D37:G37" si="10">D22</f>
        <v>43854.282400000004</v>
      </c>
      <c r="E37" s="186">
        <f t="shared" si="10"/>
        <v>47502.728047999983</v>
      </c>
      <c r="F37" s="186">
        <f t="shared" si="10"/>
        <v>50760.874608960003</v>
      </c>
      <c r="G37" s="186">
        <f t="shared" si="10"/>
        <v>53111.340101139176</v>
      </c>
      <c r="H37" s="185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5" x14ac:dyDescent="0.35">
      <c r="A38" s="185" t="str">
        <f t="shared" si="9"/>
        <v>CAPEX</v>
      </c>
      <c r="B38" s="185"/>
      <c r="C38" s="186">
        <f>C23</f>
        <v>11983</v>
      </c>
      <c r="D38" s="186">
        <f t="shared" ref="D38:G38" si="11">D23</f>
        <v>12226</v>
      </c>
      <c r="E38" s="186">
        <f t="shared" si="11"/>
        <v>13303</v>
      </c>
      <c r="F38" s="186">
        <f t="shared" si="11"/>
        <v>14258</v>
      </c>
      <c r="G38" s="186">
        <f t="shared" si="11"/>
        <v>14943</v>
      </c>
      <c r="H38" s="185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5" x14ac:dyDescent="0.35">
      <c r="A39" s="185"/>
      <c r="B39" s="185"/>
      <c r="C39" s="186"/>
      <c r="D39" s="186"/>
      <c r="E39" s="186"/>
      <c r="F39" s="186"/>
      <c r="G39" s="186"/>
      <c r="H39" s="185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5" x14ac:dyDescent="0.35">
      <c r="A40" s="185" t="s">
        <v>1</v>
      </c>
      <c r="B40" s="185"/>
      <c r="C40" s="186">
        <f>(C19*'Cost of Capital'!$B$29)/365</f>
        <v>55286.873424657533</v>
      </c>
      <c r="D40" s="186">
        <f>(D19*'Cost of Capital'!$B$29)/365</f>
        <v>60735.425435616446</v>
      </c>
      <c r="E40" s="186">
        <f>(E19*'Cost of Capital'!$B$29)/365</f>
        <v>65794.203051178076</v>
      </c>
      <c r="F40" s="186">
        <f>(F19*'Cost of Capital'!$B$29)/365</f>
        <v>70286.650914941376</v>
      </c>
      <c r="G40" s="186">
        <f>(G19*'Cost of Capital'!$B$29)/365</f>
        <v>73536.896815431974</v>
      </c>
      <c r="H40" s="185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5" x14ac:dyDescent="0.35">
      <c r="A41" s="185" t="str">
        <f>A24</f>
        <v>WC</v>
      </c>
      <c r="B41" s="229">
        <f>B24</f>
        <v>93944</v>
      </c>
      <c r="C41" s="186">
        <f>('Mercury BS'!B5+'Mercury BS'!B6+Valuation!C40)-'Mercury BS'!B17-'Mercury BS'!B18</f>
        <v>65727.873424657533</v>
      </c>
      <c r="D41" s="186">
        <f>('Mercury BS'!C5+'Mercury BS'!C6+Valuation!D40)-'Mercury BS'!C17-'Mercury BS'!C18</f>
        <v>71836.425435616446</v>
      </c>
      <c r="E41" s="186">
        <f>('Mercury BS'!D5+'Mercury BS'!D6+Valuation!E40)-'Mercury BS'!D17-'Mercury BS'!D18</f>
        <v>77864.203051178076</v>
      </c>
      <c r="F41" s="186">
        <f>('Mercury BS'!E5+'Mercury BS'!E6+Valuation!F40)-'Mercury BS'!E17-'Mercury BS'!E18</f>
        <v>83217.650914941391</v>
      </c>
      <c r="G41" s="186">
        <f>('Mercury BS'!F5+'Mercury BS'!F6+Valuation!G40)-'Mercury BS'!F17-'Mercury BS'!F18</f>
        <v>87086.896815431974</v>
      </c>
      <c r="H41" s="185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5" x14ac:dyDescent="0.35">
      <c r="A42" s="185" t="str">
        <f>A25</f>
        <v>Investment in WC</v>
      </c>
      <c r="B42" s="185"/>
      <c r="C42" s="186">
        <f>C41-B41</f>
        <v>-28216.126575342467</v>
      </c>
      <c r="D42" s="186">
        <f t="shared" ref="D42:G42" si="12">D41-C41</f>
        <v>6108.5520109589124</v>
      </c>
      <c r="E42" s="186">
        <f t="shared" si="12"/>
        <v>6027.7776155616302</v>
      </c>
      <c r="F42" s="186">
        <f t="shared" si="12"/>
        <v>5353.4478637633147</v>
      </c>
      <c r="G42" s="186">
        <f t="shared" si="12"/>
        <v>3869.2459004905832</v>
      </c>
      <c r="H42" s="185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5" x14ac:dyDescent="0.35">
      <c r="A43" s="185" t="str">
        <f>A26</f>
        <v>FCF</v>
      </c>
      <c r="B43" s="185"/>
      <c r="C43" s="186">
        <f>C37-C38-C42</f>
        <v>54023.126575342467</v>
      </c>
      <c r="D43" s="186">
        <f t="shared" ref="D43:G43" si="13">D37-D38-D42</f>
        <v>25519.730389041091</v>
      </c>
      <c r="E43" s="186">
        <f t="shared" si="13"/>
        <v>28171.950432438352</v>
      </c>
      <c r="F43" s="186">
        <f t="shared" si="13"/>
        <v>31149.426745196688</v>
      </c>
      <c r="G43" s="186">
        <f t="shared" si="13"/>
        <v>34299.094200648593</v>
      </c>
      <c r="H43" s="185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5" x14ac:dyDescent="0.35">
      <c r="A44" s="185" t="str">
        <f>A27</f>
        <v>PV</v>
      </c>
      <c r="B44" s="185"/>
      <c r="C44" s="186"/>
      <c r="D44" s="186"/>
      <c r="E44" s="186"/>
      <c r="F44" s="186"/>
      <c r="G44" s="186">
        <f>(G43*(1+'Cost of Capital'!B13))/('Cost of Capital'!B25-'Cost of Capital'!B13)</f>
        <v>397541.76584856509</v>
      </c>
      <c r="H44" s="185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5" x14ac:dyDescent="0.35">
      <c r="A45" s="185" t="str">
        <f>A28</f>
        <v>Net FCF</v>
      </c>
      <c r="B45" s="185"/>
      <c r="C45" s="229">
        <f>C43</f>
        <v>54023.126575342467</v>
      </c>
      <c r="D45" s="229">
        <f t="shared" ref="D45:F45" si="14">D43</f>
        <v>25519.730389041091</v>
      </c>
      <c r="E45" s="229">
        <f t="shared" si="14"/>
        <v>28171.950432438352</v>
      </c>
      <c r="F45" s="229">
        <f t="shared" si="14"/>
        <v>31149.426745196688</v>
      </c>
      <c r="G45" s="229">
        <f>G43+G44</f>
        <v>431840.86004921369</v>
      </c>
      <c r="H45" s="185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5" x14ac:dyDescent="0.35">
      <c r="A46" s="183" t="str">
        <f>A29</f>
        <v>Enterprise Value</v>
      </c>
      <c r="B46" s="190">
        <f>NPV('Cost of Capital'!B25,Valuation!C45:G45)</f>
        <v>369516.04675629397</v>
      </c>
      <c r="C46" s="185"/>
      <c r="D46" s="185"/>
      <c r="E46" s="185"/>
      <c r="F46" s="185"/>
      <c r="G46" s="185"/>
      <c r="H46" s="185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5" x14ac:dyDescent="0.35">
      <c r="A47" s="185"/>
      <c r="B47" s="184"/>
      <c r="C47" s="185"/>
      <c r="D47" s="185"/>
      <c r="E47" s="185"/>
      <c r="F47" s="185"/>
      <c r="G47" s="185"/>
      <c r="H47" s="185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5" x14ac:dyDescent="0.35">
      <c r="A48" s="185"/>
      <c r="B48" s="185"/>
      <c r="C48" s="185"/>
      <c r="D48" s="185"/>
      <c r="E48" s="185"/>
      <c r="F48" s="185"/>
      <c r="G48" s="185"/>
      <c r="H48" s="185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5" x14ac:dyDescent="0.35">
      <c r="A49" s="185"/>
      <c r="B49" s="185"/>
      <c r="C49" s="185"/>
      <c r="D49" s="185"/>
      <c r="E49" s="185"/>
      <c r="F49" s="185"/>
      <c r="G49" s="185"/>
      <c r="H49" s="185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5" x14ac:dyDescent="0.35">
      <c r="A50" s="185"/>
      <c r="B50" s="185"/>
      <c r="C50" s="185"/>
      <c r="D50" s="185"/>
      <c r="E50" s="185"/>
      <c r="F50" s="185"/>
      <c r="G50" s="185"/>
      <c r="H50" s="185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5" x14ac:dyDescent="0.35">
      <c r="A51" s="185"/>
      <c r="B51" s="185"/>
      <c r="C51" s="185"/>
      <c r="D51" s="185"/>
      <c r="E51" s="185"/>
      <c r="F51" s="185"/>
      <c r="G51" s="185"/>
      <c r="H51" s="185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5" x14ac:dyDescent="0.35">
      <c r="A52" s="185"/>
      <c r="B52" s="185"/>
      <c r="C52" s="185"/>
      <c r="D52" s="185"/>
      <c r="E52" s="185"/>
      <c r="F52" s="185"/>
      <c r="G52" s="185"/>
      <c r="H52" s="185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5" x14ac:dyDescent="0.35">
      <c r="A53" s="185"/>
      <c r="B53" s="185"/>
      <c r="C53" s="185"/>
      <c r="D53" s="185"/>
      <c r="E53" s="185"/>
      <c r="F53" s="185"/>
      <c r="G53" s="185"/>
      <c r="H53" s="185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5" x14ac:dyDescent="0.35">
      <c r="A54" s="185"/>
      <c r="B54" s="185"/>
      <c r="C54" s="185"/>
      <c r="D54" s="185"/>
      <c r="E54" s="185"/>
      <c r="F54" s="185"/>
      <c r="G54" s="185"/>
      <c r="H54" s="185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5" x14ac:dyDescent="0.35">
      <c r="A55" s="185"/>
      <c r="B55" s="185"/>
      <c r="C55" s="185"/>
      <c r="D55" s="185"/>
      <c r="E55" s="185"/>
      <c r="F55" s="185"/>
      <c r="G55" s="185"/>
      <c r="H55" s="185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5" x14ac:dyDescent="0.35">
      <c r="A56" s="185"/>
      <c r="B56" s="185"/>
      <c r="C56" s="185"/>
      <c r="D56" s="185"/>
      <c r="E56" s="185"/>
      <c r="F56" s="185"/>
      <c r="G56" s="185"/>
      <c r="H56" s="185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5" x14ac:dyDescent="0.35">
      <c r="A57" s="185"/>
      <c r="B57" s="185"/>
      <c r="C57" s="185"/>
      <c r="D57" s="185"/>
      <c r="E57" s="185"/>
      <c r="F57" s="185"/>
      <c r="G57" s="185"/>
      <c r="H57" s="185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5" x14ac:dyDescent="0.35">
      <c r="A58" s="185"/>
      <c r="B58" s="185"/>
      <c r="C58" s="185"/>
      <c r="D58" s="185"/>
      <c r="E58" s="185"/>
      <c r="F58" s="185"/>
      <c r="G58" s="185"/>
      <c r="H58" s="185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5" x14ac:dyDescent="0.35">
      <c r="A59" s="185"/>
      <c r="B59" s="185"/>
      <c r="C59" s="185"/>
      <c r="D59" s="185"/>
      <c r="E59" s="185"/>
      <c r="F59" s="185"/>
      <c r="G59" s="185"/>
      <c r="H59" s="185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5" x14ac:dyDescent="0.35">
      <c r="A60" s="185"/>
      <c r="B60" s="185"/>
      <c r="C60" s="185"/>
      <c r="D60" s="185"/>
      <c r="E60" s="185"/>
      <c r="F60" s="185"/>
      <c r="G60" s="185"/>
      <c r="H60" s="185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5" x14ac:dyDescent="0.35">
      <c r="A61" s="185"/>
      <c r="B61" s="185"/>
      <c r="C61" s="185"/>
      <c r="D61" s="185"/>
      <c r="E61" s="185"/>
      <c r="F61" s="185"/>
      <c r="G61" s="185"/>
      <c r="H61" s="185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5" x14ac:dyDescent="0.35">
      <c r="A62" s="185"/>
      <c r="B62" s="185"/>
      <c r="C62" s="185"/>
      <c r="D62" s="185"/>
      <c r="E62" s="185"/>
      <c r="F62" s="185"/>
      <c r="G62" s="185"/>
      <c r="H62" s="185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5" x14ac:dyDescent="0.35">
      <c r="A63" s="185"/>
      <c r="B63" s="185"/>
      <c r="C63" s="185"/>
      <c r="D63" s="185"/>
      <c r="E63" s="185"/>
      <c r="F63" s="185"/>
      <c r="G63" s="185"/>
      <c r="H63" s="185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5" x14ac:dyDescent="0.35">
      <c r="A64" s="185"/>
      <c r="B64" s="185"/>
      <c r="C64" s="185"/>
      <c r="D64" s="185"/>
      <c r="E64" s="185"/>
      <c r="F64" s="185"/>
      <c r="G64" s="185"/>
      <c r="H64" s="185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5" x14ac:dyDescent="0.35">
      <c r="A65" s="185"/>
      <c r="B65" s="185"/>
      <c r="C65" s="185"/>
      <c r="D65" s="185"/>
      <c r="E65" s="185"/>
      <c r="F65" s="185"/>
      <c r="G65" s="185"/>
      <c r="H65" s="185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5" x14ac:dyDescent="0.35">
      <c r="A66" s="185"/>
      <c r="B66" s="185"/>
      <c r="C66" s="185"/>
      <c r="D66" s="185"/>
      <c r="E66" s="185"/>
      <c r="F66" s="185"/>
      <c r="G66" s="185"/>
      <c r="H66" s="185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5" x14ac:dyDescent="0.35">
      <c r="A67" s="185"/>
      <c r="B67" s="185"/>
      <c r="C67" s="185"/>
      <c r="D67" s="185"/>
      <c r="E67" s="185"/>
      <c r="F67" s="185"/>
      <c r="G67" s="185"/>
      <c r="H67" s="185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5" x14ac:dyDescent="0.35">
      <c r="A68" s="185"/>
      <c r="B68" s="185"/>
      <c r="C68" s="185"/>
      <c r="D68" s="185"/>
      <c r="E68" s="185"/>
      <c r="F68" s="185"/>
      <c r="G68" s="185"/>
      <c r="H68" s="185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5" x14ac:dyDescent="0.35">
      <c r="A69" s="185"/>
      <c r="B69" s="185"/>
      <c r="C69" s="185"/>
      <c r="D69" s="185"/>
      <c r="E69" s="185"/>
      <c r="F69" s="185"/>
      <c r="G69" s="185"/>
      <c r="H69" s="185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5" x14ac:dyDescent="0.35">
      <c r="A70" s="185"/>
      <c r="B70" s="185"/>
      <c r="C70" s="185"/>
      <c r="D70" s="185"/>
      <c r="E70" s="185"/>
      <c r="F70" s="185"/>
      <c r="G70" s="185"/>
      <c r="H70" s="185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5" x14ac:dyDescent="0.35">
      <c r="A71" s="185"/>
      <c r="B71" s="185"/>
      <c r="C71" s="185"/>
      <c r="D71" s="185"/>
      <c r="E71" s="185"/>
      <c r="F71" s="185"/>
      <c r="G71" s="185"/>
      <c r="H71" s="185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5" x14ac:dyDescent="0.35">
      <c r="A72" s="185"/>
      <c r="B72" s="185"/>
      <c r="C72" s="185"/>
      <c r="D72" s="185"/>
      <c r="E72" s="185"/>
      <c r="F72" s="185"/>
      <c r="G72" s="185"/>
      <c r="H72" s="185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5" x14ac:dyDescent="0.35">
      <c r="A73" s="185"/>
      <c r="B73" s="185"/>
      <c r="C73" s="185"/>
      <c r="D73" s="185"/>
      <c r="E73" s="185"/>
      <c r="F73" s="185"/>
      <c r="G73" s="185"/>
      <c r="H73" s="185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5" x14ac:dyDescent="0.35">
      <c r="A74" s="185"/>
      <c r="B74" s="185"/>
      <c r="C74" s="185"/>
      <c r="D74" s="185"/>
      <c r="E74" s="185"/>
      <c r="F74" s="185"/>
      <c r="G74" s="185"/>
      <c r="H74" s="185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5" x14ac:dyDescent="0.35">
      <c r="A75" s="185"/>
      <c r="B75" s="185"/>
      <c r="C75" s="185"/>
      <c r="D75" s="185"/>
      <c r="E75" s="185"/>
      <c r="F75" s="185"/>
      <c r="G75" s="185"/>
      <c r="H75" s="185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5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5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5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5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5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5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5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5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5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5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5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5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5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5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5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5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5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5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5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5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5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5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5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5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5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5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5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5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5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5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5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5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5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5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5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5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5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5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5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5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5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5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5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5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5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5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5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5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5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5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5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5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5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5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5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5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5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5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5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5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5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5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5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5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5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5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5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5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5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5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5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5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5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5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5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5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5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5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5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5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5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5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5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5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5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5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5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5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5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5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5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5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5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5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5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5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5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5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5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5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5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5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5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5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5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5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5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5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5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5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5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5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5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5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5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5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5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5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5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5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5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5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5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5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5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5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5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5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5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5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5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5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5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5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5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5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5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5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5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5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5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5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5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5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5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5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.5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.5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.5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.5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.5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.5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.5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.5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.5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5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.5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.5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.5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.5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.5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.5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.5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.5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.5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.5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.5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.5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.5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.5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.5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.5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.5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.5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.5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.5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.5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.5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.5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.5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.5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.5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.5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.5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.5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.5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.5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.5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.5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.5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.5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.5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.5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</sheetData>
  <sheetProtection algorithmName="SHA-512" hashValue="yZG2cJi4GyN6z6oyugS3XwHPbl2ydfFlLpx0PYOekv1bSpEbfOKQImw77NP+2rMiLkCpmgYuWhvPAeeMfo1d5Q==" saltValue="OdIHZgRHf3415xS8KoMnnQ==" spinCount="100000" sheet="1" objects="1" scenarios="1"/>
  <mergeCells count="1">
    <mergeCell ref="C4:G4"/>
  </mergeCells>
  <phoneticPr fontId="3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43"/>
  <sheetViews>
    <sheetView workbookViewId="0"/>
  </sheetViews>
  <sheetFormatPr defaultColWidth="8.81640625" defaultRowHeight="14.5" x14ac:dyDescent="0.35"/>
  <cols>
    <col min="1" max="1" width="28.26953125" bestFit="1" customWidth="1"/>
    <col min="2" max="2" width="14.453125" customWidth="1"/>
    <col min="3" max="3" width="5.54296875" customWidth="1"/>
    <col min="4" max="4" width="7.26953125" customWidth="1"/>
    <col min="5" max="5" width="5.1796875" customWidth="1"/>
    <col min="6" max="6" width="33.1796875" customWidth="1"/>
    <col min="7" max="7" width="12.453125" bestFit="1" customWidth="1"/>
    <col min="10" max="10" width="14.26953125" customWidth="1"/>
    <col min="11" max="16" width="15.81640625" bestFit="1" customWidth="1"/>
    <col min="17" max="17" width="15.7265625" bestFit="1" customWidth="1"/>
  </cols>
  <sheetData>
    <row r="1" spans="1:49" ht="20" x14ac:dyDescent="0.4">
      <c r="A1" s="8" t="s">
        <v>160</v>
      </c>
      <c r="B1" s="4"/>
      <c r="C1" s="4"/>
      <c r="D1" s="4"/>
      <c r="E1" s="4"/>
      <c r="F1" s="21"/>
      <c r="G1" s="21"/>
      <c r="H1" s="21"/>
      <c r="I1" s="21"/>
      <c r="J1" s="21"/>
      <c r="K1" s="21"/>
      <c r="L1" s="21"/>
      <c r="M1" s="2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2" customFormat="1" x14ac:dyDescent="0.35">
      <c r="H2" s="19"/>
      <c r="I2" s="19"/>
      <c r="J2" s="19"/>
      <c r="K2" s="19"/>
    </row>
    <row r="3" spans="1:49" ht="15.5" x14ac:dyDescent="0.35">
      <c r="A3" s="183" t="s">
        <v>161</v>
      </c>
      <c r="B3" s="231"/>
      <c r="C3" s="185"/>
      <c r="D3" s="185"/>
      <c r="E3" s="185"/>
      <c r="F3" s="180" t="s">
        <v>68</v>
      </c>
      <c r="G3" s="230"/>
      <c r="H3" s="185"/>
      <c r="I3" s="185"/>
      <c r="J3" s="232" t="s">
        <v>220</v>
      </c>
      <c r="K3" s="161"/>
      <c r="L3" s="185"/>
      <c r="M3" s="185"/>
      <c r="N3" s="185"/>
      <c r="O3" s="185"/>
      <c r="P3" s="185"/>
      <c r="Q3" s="185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9" ht="15" customHeight="1" x14ac:dyDescent="0.35">
      <c r="A4" s="185" t="s">
        <v>42</v>
      </c>
      <c r="B4" s="233">
        <f>'Mercury Model'!F45</f>
        <v>0.12754368173817565</v>
      </c>
      <c r="C4" s="185"/>
      <c r="D4" s="185"/>
      <c r="E4" s="185"/>
      <c r="F4" s="183" t="s">
        <v>69</v>
      </c>
      <c r="G4" s="200" t="s">
        <v>70</v>
      </c>
      <c r="H4" s="185"/>
      <c r="I4" s="185"/>
      <c r="J4" s="161" t="s">
        <v>221</v>
      </c>
      <c r="K4" s="234">
        <f>B22</f>
        <v>1.3687722473519801</v>
      </c>
      <c r="L4" s="185"/>
      <c r="M4" s="185"/>
      <c r="N4" s="185"/>
      <c r="O4" s="185"/>
      <c r="P4" s="185"/>
      <c r="Q4" s="185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9" ht="15.5" x14ac:dyDescent="0.35">
      <c r="A5" s="185" t="s">
        <v>43</v>
      </c>
      <c r="B5" s="233">
        <f>'Mercury Model'!F46</f>
        <v>0.57022455903253133</v>
      </c>
      <c r="C5" s="185"/>
      <c r="D5" s="185"/>
      <c r="E5" s="185"/>
      <c r="F5" s="185" t="s">
        <v>158</v>
      </c>
      <c r="G5" s="184">
        <f>Valuation!B15</f>
        <v>318432.60784694203</v>
      </c>
      <c r="H5" s="185"/>
      <c r="I5" s="185"/>
      <c r="J5" s="161" t="s">
        <v>222</v>
      </c>
      <c r="K5" s="235">
        <v>0.05</v>
      </c>
      <c r="L5" s="185"/>
      <c r="M5" s="185"/>
      <c r="N5" s="185"/>
      <c r="O5" s="185"/>
      <c r="P5" s="185"/>
      <c r="Q5" s="185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9" ht="15.5" x14ac:dyDescent="0.35">
      <c r="A6" s="185" t="s">
        <v>173</v>
      </c>
      <c r="B6" s="233">
        <f>'Mercury Model'!F47</f>
        <v>0.31424770044280226</v>
      </c>
      <c r="C6" s="185"/>
      <c r="D6" s="185"/>
      <c r="E6" s="185"/>
      <c r="F6" s="185" t="s">
        <v>71</v>
      </c>
      <c r="G6" s="184">
        <f>Valuation!B29</f>
        <v>332006.64519933332</v>
      </c>
      <c r="H6" s="185"/>
      <c r="I6" s="185"/>
      <c r="J6" s="161" t="s">
        <v>223</v>
      </c>
      <c r="K6" s="236">
        <v>4.7300000000000002E-2</v>
      </c>
      <c r="L6" s="185"/>
      <c r="M6" s="185"/>
      <c r="N6" s="185"/>
      <c r="O6" s="185"/>
      <c r="P6" s="185"/>
      <c r="Q6" s="185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9" ht="15.5" x14ac:dyDescent="0.35">
      <c r="A7" s="185" t="s">
        <v>46</v>
      </c>
      <c r="B7" s="237">
        <f>'Mercury Model'!F49</f>
        <v>3.8954665931934578E-2</v>
      </c>
      <c r="C7" s="185"/>
      <c r="D7" s="185"/>
      <c r="E7" s="185"/>
      <c r="F7" s="185" t="s">
        <v>72</v>
      </c>
      <c r="G7" s="184">
        <f>Valuation!B46</f>
        <v>369516.04675629397</v>
      </c>
      <c r="H7" s="185"/>
      <c r="I7" s="185"/>
      <c r="J7" s="161" t="s">
        <v>225</v>
      </c>
      <c r="K7" s="238">
        <f>K6+K4*K5</f>
        <v>0.115738612367599</v>
      </c>
      <c r="L7" s="185"/>
      <c r="M7" s="185"/>
      <c r="N7" s="185"/>
      <c r="O7" s="185"/>
      <c r="P7" s="185"/>
      <c r="Q7" s="185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9" ht="15.5" x14ac:dyDescent="0.35">
      <c r="A8" s="185" t="s">
        <v>172</v>
      </c>
      <c r="B8" s="237">
        <f>'Mercury Model'!F50</f>
        <v>9.9907730608115544E-2</v>
      </c>
      <c r="C8" s="185"/>
      <c r="D8" s="185"/>
      <c r="E8" s="185"/>
      <c r="F8" s="185" t="s">
        <v>77</v>
      </c>
      <c r="G8" s="184">
        <f>G7-G5</f>
        <v>51083.438909351942</v>
      </c>
      <c r="H8" s="185"/>
      <c r="I8" s="185"/>
      <c r="J8" s="161" t="s">
        <v>227</v>
      </c>
      <c r="K8" s="161">
        <v>0.16550000000000001</v>
      </c>
      <c r="L8" s="185"/>
      <c r="M8" s="185"/>
      <c r="N8" s="185"/>
      <c r="O8" s="185"/>
      <c r="P8" s="185"/>
      <c r="Q8" s="185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9" ht="15.5" x14ac:dyDescent="0.35">
      <c r="A9" s="185" t="s">
        <v>94</v>
      </c>
      <c r="B9" s="237">
        <f>'Mercury Model'!F51</f>
        <v>0.17477076362549707</v>
      </c>
      <c r="C9" s="185"/>
      <c r="D9" s="185"/>
      <c r="E9" s="185"/>
      <c r="F9" s="185" t="s">
        <v>2</v>
      </c>
      <c r="G9" s="184">
        <f>G7-G6</f>
        <v>37509.401556960656</v>
      </c>
      <c r="H9" s="185"/>
      <c r="I9" s="185"/>
      <c r="J9" s="161" t="s">
        <v>228</v>
      </c>
      <c r="K9" s="236">
        <v>0.121</v>
      </c>
      <c r="L9" s="185"/>
      <c r="M9" s="185"/>
      <c r="N9" s="185"/>
      <c r="O9" s="185"/>
      <c r="P9" s="185"/>
      <c r="Q9" s="185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9" ht="15.5" x14ac:dyDescent="0.35">
      <c r="A10" s="185" t="s">
        <v>48</v>
      </c>
      <c r="B10" s="237">
        <f>'Mercury Model'!F52</f>
        <v>8.6719698096412001E-2</v>
      </c>
      <c r="C10" s="185"/>
      <c r="D10" s="185"/>
      <c r="E10" s="185"/>
      <c r="F10" s="185"/>
      <c r="G10" s="185"/>
      <c r="H10" s="180"/>
      <c r="I10" s="180"/>
      <c r="J10" s="161" t="s">
        <v>229</v>
      </c>
      <c r="K10" s="239">
        <f>K8*K9</f>
        <v>2.0025500000000002E-2</v>
      </c>
      <c r="L10" s="185"/>
      <c r="M10" s="185"/>
      <c r="N10" s="185"/>
      <c r="O10" s="185"/>
      <c r="P10" s="185"/>
      <c r="Q10" s="185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9" ht="15.5" x14ac:dyDescent="0.35">
      <c r="A11" s="185" t="s">
        <v>49</v>
      </c>
      <c r="B11" s="237">
        <f>'Mercury Model'!F53</f>
        <v>3.9402033817591671E-2</v>
      </c>
      <c r="C11" s="185"/>
      <c r="D11" s="185"/>
      <c r="E11" s="185"/>
      <c r="F11" s="185"/>
      <c r="G11" s="180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9" ht="15.5" x14ac:dyDescent="0.35">
      <c r="A12" s="185" t="s">
        <v>148</v>
      </c>
      <c r="B12" s="240">
        <f>'Mercury Model'!F55</f>
        <v>0.4</v>
      </c>
      <c r="C12" s="185"/>
      <c r="D12" s="185"/>
      <c r="E12" s="185"/>
      <c r="F12" s="180" t="s">
        <v>12</v>
      </c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9" ht="15.5" x14ac:dyDescent="0.35">
      <c r="A13" s="185" t="s">
        <v>179</v>
      </c>
      <c r="B13" s="241">
        <v>0.02</v>
      </c>
      <c r="C13" s="185"/>
      <c r="D13" s="185"/>
      <c r="E13" s="185"/>
      <c r="F13" s="185" t="s">
        <v>8</v>
      </c>
      <c r="G13" s="184">
        <f>Comps!J27</f>
        <v>441116.3666666667</v>
      </c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9" ht="15.5" x14ac:dyDescent="0.35">
      <c r="A14" s="197"/>
      <c r="B14" s="197"/>
      <c r="C14" s="185"/>
      <c r="D14" s="185"/>
      <c r="E14" s="185"/>
      <c r="F14" s="185" t="s">
        <v>6</v>
      </c>
      <c r="G14" s="184">
        <f>Comps!J28</f>
        <v>537197.29999999993</v>
      </c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9" ht="15.5" x14ac:dyDescent="0.35">
      <c r="A15" s="185"/>
      <c r="B15" s="185"/>
      <c r="C15" s="185"/>
      <c r="D15" s="185"/>
      <c r="E15" s="185"/>
      <c r="F15" s="188" t="s">
        <v>7</v>
      </c>
      <c r="G15" s="242">
        <f>Comps!J29</f>
        <v>554313.5</v>
      </c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9" ht="15.5" x14ac:dyDescent="0.35">
      <c r="A16" s="183" t="s">
        <v>60</v>
      </c>
      <c r="B16" s="185"/>
      <c r="C16" s="185"/>
      <c r="D16" s="185"/>
      <c r="E16" s="185"/>
      <c r="F16" s="183" t="s">
        <v>13</v>
      </c>
      <c r="G16" s="243">
        <f>AVERAGE(G13:G15)</f>
        <v>510875.72222222219</v>
      </c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16" thickBot="1" x14ac:dyDescent="0.4">
      <c r="A17" s="185" t="s">
        <v>61</v>
      </c>
      <c r="B17" s="241">
        <v>0.2</v>
      </c>
      <c r="C17" s="185"/>
      <c r="D17" s="185"/>
      <c r="E17" s="185"/>
      <c r="F17" s="183" t="s">
        <v>159</v>
      </c>
      <c r="G17" s="243">
        <f>MEDIAN(G13:G15)</f>
        <v>537197.29999999993</v>
      </c>
      <c r="H17" s="185"/>
      <c r="I17" s="185"/>
      <c r="J17" s="244">
        <f>G23</f>
        <v>3709693.4833035176</v>
      </c>
      <c r="K17" s="245">
        <v>5.0000000000000001E-3</v>
      </c>
      <c r="L17" s="246">
        <v>0.01</v>
      </c>
      <c r="M17" s="246">
        <v>1.4999999999999999E-2</v>
      </c>
      <c r="N17" s="246">
        <v>0.02</v>
      </c>
      <c r="O17" s="246">
        <v>2.5000000000000001E-2</v>
      </c>
      <c r="P17" s="246">
        <v>0.03</v>
      </c>
      <c r="Q17" s="246">
        <v>3.5000000000000003E-2</v>
      </c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ht="17.5" x14ac:dyDescent="0.45">
      <c r="A18" s="185" t="s">
        <v>170</v>
      </c>
      <c r="B18" s="241">
        <f>Rates!B11</f>
        <v>0.06</v>
      </c>
      <c r="C18" s="185"/>
      <c r="D18" s="185"/>
      <c r="E18" s="185"/>
      <c r="F18" s="185"/>
      <c r="G18" s="229"/>
      <c r="H18" s="185"/>
      <c r="I18" s="185"/>
      <c r="J18" s="247">
        <v>7.0000000000000007E-2</v>
      </c>
      <c r="K18" s="248">
        <f t="dataTable" ref="K18:Q24" dt2D="1" dtr="1" r1="K10" r2="B25"/>
        <v>5021100</v>
      </c>
      <c r="L18" s="249">
        <v>5439525</v>
      </c>
      <c r="M18" s="249">
        <v>5934027.2727272715</v>
      </c>
      <c r="N18" s="249">
        <v>6527430</v>
      </c>
      <c r="O18" s="249">
        <v>7252699.9999999991</v>
      </c>
      <c r="P18" s="249">
        <v>8159287.4999999981</v>
      </c>
      <c r="Q18" s="249">
        <v>9324900</v>
      </c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ht="15.5" x14ac:dyDescent="0.35">
      <c r="A19" s="185" t="s">
        <v>62</v>
      </c>
      <c r="B19" s="185">
        <f>B17/(1-B17)</f>
        <v>0.25</v>
      </c>
      <c r="C19" s="185"/>
      <c r="D19" s="185"/>
      <c r="E19" s="185"/>
      <c r="F19" s="197"/>
      <c r="G19" s="197"/>
      <c r="H19" s="185"/>
      <c r="I19" s="185"/>
      <c r="J19" s="250">
        <v>0.08</v>
      </c>
      <c r="K19" s="251">
        <v>4351620</v>
      </c>
      <c r="L19" s="252">
        <v>4662450</v>
      </c>
      <c r="M19" s="253">
        <v>5021100</v>
      </c>
      <c r="N19" s="253">
        <v>5439525</v>
      </c>
      <c r="O19" s="253">
        <v>5934027.2727272725</v>
      </c>
      <c r="P19" s="253">
        <v>6527430</v>
      </c>
      <c r="Q19" s="253">
        <v>7252700</v>
      </c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16" thickBot="1" x14ac:dyDescent="0.4">
      <c r="A20" s="185" t="s">
        <v>63</v>
      </c>
      <c r="B20" s="192">
        <f>Rates!B7</f>
        <v>4.7300000000000002E-2</v>
      </c>
      <c r="C20" s="185"/>
      <c r="D20" s="185"/>
      <c r="E20" s="185"/>
      <c r="F20" s="231" t="s">
        <v>178</v>
      </c>
      <c r="G20" s="254">
        <f>'Mercury Model'!D9*Comps!M14</f>
        <v>326371.5</v>
      </c>
      <c r="H20" s="255" t="s">
        <v>28</v>
      </c>
      <c r="I20" s="185"/>
      <c r="J20" s="250">
        <v>0.09</v>
      </c>
      <c r="K20" s="251">
        <v>3839664.7058823532</v>
      </c>
      <c r="L20" s="253">
        <v>4079643.75</v>
      </c>
      <c r="M20" s="252">
        <v>4351620</v>
      </c>
      <c r="N20" s="256">
        <v>4662450.0000000009</v>
      </c>
      <c r="O20" s="253">
        <v>5021100</v>
      </c>
      <c r="P20" s="253">
        <v>5439525</v>
      </c>
      <c r="Q20" s="253">
        <v>5934027.2727272734</v>
      </c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6" thickBot="1" x14ac:dyDescent="0.4">
      <c r="A21" s="185" t="s">
        <v>64</v>
      </c>
      <c r="B21" s="241">
        <v>0.05</v>
      </c>
      <c r="C21" s="185"/>
      <c r="D21" s="185"/>
      <c r="E21" s="185"/>
      <c r="F21" s="197"/>
      <c r="G21" s="197"/>
      <c r="H21" s="185"/>
      <c r="I21" s="185"/>
      <c r="J21" s="250">
        <v>0.1</v>
      </c>
      <c r="K21" s="251">
        <v>3435489.4736842103</v>
      </c>
      <c r="L21" s="253">
        <v>3626349.9999999995</v>
      </c>
      <c r="M21" s="257">
        <v>3839664.7058823528</v>
      </c>
      <c r="N21" s="258">
        <v>4079643.75</v>
      </c>
      <c r="O21" s="259">
        <v>4351619.9999999991</v>
      </c>
      <c r="P21" s="253">
        <v>4662450</v>
      </c>
      <c r="Q21" s="253">
        <v>5021100</v>
      </c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5" x14ac:dyDescent="0.35">
      <c r="A22" s="185" t="s">
        <v>169</v>
      </c>
      <c r="B22" s="260">
        <f>Comps!P13</f>
        <v>1.3687722473519801</v>
      </c>
      <c r="C22" s="185"/>
      <c r="D22" s="185"/>
      <c r="E22" s="185"/>
      <c r="F22" s="197"/>
      <c r="G22" s="197"/>
      <c r="H22" s="185"/>
      <c r="I22" s="185"/>
      <c r="J22" s="250">
        <v>0.11</v>
      </c>
      <c r="K22" s="251">
        <v>3108300</v>
      </c>
      <c r="L22" s="253">
        <v>3263715</v>
      </c>
      <c r="M22" s="253">
        <v>3435489.4736842103</v>
      </c>
      <c r="N22" s="261">
        <v>3626350</v>
      </c>
      <c r="O22" s="252">
        <v>3839664.7058823532</v>
      </c>
      <c r="P22" s="253">
        <v>4079643.75</v>
      </c>
      <c r="Q22" s="253">
        <v>4351620</v>
      </c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5" x14ac:dyDescent="0.35">
      <c r="A23" s="185" t="s">
        <v>167</v>
      </c>
      <c r="B23" s="260">
        <f>B22*(1+(1-B12)*B19)</f>
        <v>1.5740880844547771</v>
      </c>
      <c r="C23" s="185"/>
      <c r="D23" s="185"/>
      <c r="E23" s="185"/>
      <c r="F23" s="262" t="s">
        <v>254</v>
      </c>
      <c r="G23" s="263">
        <f>G20/(B25-K10)</f>
        <v>3709693.4833035176</v>
      </c>
      <c r="H23" s="185"/>
      <c r="I23" s="185"/>
      <c r="J23" s="250">
        <v>0.12</v>
      </c>
      <c r="K23" s="251">
        <v>2838013.0434782612</v>
      </c>
      <c r="L23" s="253">
        <v>2967013.6363636362</v>
      </c>
      <c r="M23" s="253">
        <v>3108300</v>
      </c>
      <c r="N23" s="253">
        <v>3263715.0000000005</v>
      </c>
      <c r="O23" s="253">
        <v>3435489.4736842103</v>
      </c>
      <c r="P23" s="252">
        <v>3626350</v>
      </c>
      <c r="Q23" s="253">
        <v>3839664.7058823532</v>
      </c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7.5" x14ac:dyDescent="0.45">
      <c r="A24" s="185" t="s">
        <v>171</v>
      </c>
      <c r="B24" s="237">
        <f>B20+B23*B21</f>
        <v>0.12600440422273887</v>
      </c>
      <c r="C24" s="185"/>
      <c r="D24" s="185"/>
      <c r="E24" s="185"/>
      <c r="F24" s="197"/>
      <c r="G24" s="197"/>
      <c r="H24" s="185"/>
      <c r="I24" s="185"/>
      <c r="J24" s="250">
        <v>0.13</v>
      </c>
      <c r="K24" s="251">
        <v>2610972</v>
      </c>
      <c r="L24" s="253">
        <v>2719762.5</v>
      </c>
      <c r="M24" s="253">
        <v>2838013.0434782607</v>
      </c>
      <c r="N24" s="253">
        <v>2967013.6363636362</v>
      </c>
      <c r="O24" s="253">
        <v>3108299.9999999995</v>
      </c>
      <c r="P24" s="253">
        <v>3263715</v>
      </c>
      <c r="Q24" s="252">
        <v>3435489.4736842103</v>
      </c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5" x14ac:dyDescent="0.35">
      <c r="A25" s="264" t="s">
        <v>65</v>
      </c>
      <c r="B25" s="265">
        <f>B17*B18*(1-B12)+(1-B17)*B24</f>
        <v>0.10800352337819109</v>
      </c>
      <c r="C25" s="185"/>
      <c r="D25" s="185"/>
      <c r="E25" s="185"/>
      <c r="F25" s="197"/>
      <c r="G25" s="197"/>
      <c r="H25" s="185"/>
      <c r="I25" s="185"/>
      <c r="J25" s="220"/>
      <c r="K25" s="220"/>
      <c r="L25" s="220"/>
      <c r="M25" s="220"/>
      <c r="N25" s="220"/>
      <c r="O25" s="220"/>
      <c r="P25" s="220"/>
      <c r="Q25" s="220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5" x14ac:dyDescent="0.35">
      <c r="A26" s="185"/>
      <c r="B26" s="185"/>
      <c r="C26" s="185"/>
      <c r="D26" s="185"/>
      <c r="E26" s="185"/>
      <c r="F26" s="197"/>
      <c r="G26" s="197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5" x14ac:dyDescent="0.35">
      <c r="A27" s="183" t="s">
        <v>75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5" x14ac:dyDescent="0.35">
      <c r="A28" s="185" t="s">
        <v>76</v>
      </c>
      <c r="B28" s="185">
        <v>63.79</v>
      </c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5" x14ac:dyDescent="0.35">
      <c r="A29" s="185" t="s">
        <v>0</v>
      </c>
      <c r="B29" s="185">
        <v>42.1</v>
      </c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5" x14ac:dyDescent="0.35">
      <c r="A30" s="266"/>
      <c r="B30" s="266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5" x14ac:dyDescent="0.35">
      <c r="A31" s="185"/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5" x14ac:dyDescent="0.35">
      <c r="A32" s="185"/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5" x14ac:dyDescent="0.35">
      <c r="A33" s="185"/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5" x14ac:dyDescent="0.35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5" x14ac:dyDescent="0.35">
      <c r="A35" s="185"/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5" x14ac:dyDescent="0.35">
      <c r="A36" s="185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5" x14ac:dyDescent="0.35">
      <c r="A37" s="185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5" x14ac:dyDescent="0.35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5" x14ac:dyDescent="0.35">
      <c r="A39" s="185"/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5" x14ac:dyDescent="0.35">
      <c r="A40" s="185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5" x14ac:dyDescent="0.35">
      <c r="A41" s="185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5" x14ac:dyDescent="0.35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5" x14ac:dyDescent="0.35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5" x14ac:dyDescent="0.35">
      <c r="A44" s="185"/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5" x14ac:dyDescent="0.35">
      <c r="A45" s="185"/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5" x14ac:dyDescent="0.35">
      <c r="A46" s="185"/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5" x14ac:dyDescent="0.35">
      <c r="A47" s="185"/>
      <c r="B47" s="185"/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5" x14ac:dyDescent="0.35">
      <c r="A48" s="185"/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5" x14ac:dyDescent="0.35">
      <c r="A49" s="185"/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5" x14ac:dyDescent="0.35">
      <c r="A50" s="185"/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5" x14ac:dyDescent="0.35">
      <c r="A51" s="185"/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5" x14ac:dyDescent="0.35">
      <c r="A52" s="185"/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5" x14ac:dyDescent="0.35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5" x14ac:dyDescent="0.35">
      <c r="A54" s="185"/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5" x14ac:dyDescent="0.3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5" x14ac:dyDescent="0.35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5" x14ac:dyDescent="0.35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5" x14ac:dyDescent="0.35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5" x14ac:dyDescent="0.35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5" x14ac:dyDescent="0.35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5" x14ac:dyDescent="0.35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5" x14ac:dyDescent="0.35">
      <c r="A62" s="185"/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5" x14ac:dyDescent="0.35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5" x14ac:dyDescent="0.35">
      <c r="A64" s="185"/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5" x14ac:dyDescent="0.3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5" x14ac:dyDescent="0.35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5" x14ac:dyDescent="0.35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  <c r="AF67" s="197"/>
      <c r="AG67" s="197"/>
      <c r="AH67" s="197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5" x14ac:dyDescent="0.35">
      <c r="A68" s="185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7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5" x14ac:dyDescent="0.35">
      <c r="A69" s="185"/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  <c r="AF69" s="197"/>
      <c r="AG69" s="197"/>
      <c r="AH69" s="197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5" x14ac:dyDescent="0.35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  <c r="AF70" s="197"/>
      <c r="AG70" s="197"/>
      <c r="AH70" s="197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5" x14ac:dyDescent="0.35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5" x14ac:dyDescent="0.35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  <c r="AF72" s="197"/>
      <c r="AG72" s="197"/>
      <c r="AH72" s="197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5" x14ac:dyDescent="0.35">
      <c r="A73" s="185"/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5" x14ac:dyDescent="0.35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  <c r="AF74" s="197"/>
      <c r="AG74" s="197"/>
      <c r="AH74" s="197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5" x14ac:dyDescent="0.3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5" x14ac:dyDescent="0.35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  <c r="AF76" s="197"/>
      <c r="AG76" s="197"/>
      <c r="AH76" s="197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5" x14ac:dyDescent="0.35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  <c r="AF77" s="197"/>
      <c r="AG77" s="197"/>
      <c r="AH77" s="197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5" x14ac:dyDescent="0.35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  <c r="AF78" s="197"/>
      <c r="AG78" s="197"/>
      <c r="AH78" s="197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5" x14ac:dyDescent="0.35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5" x14ac:dyDescent="0.3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  <c r="AF80" s="197"/>
      <c r="AG80" s="197"/>
      <c r="AH80" s="197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5" x14ac:dyDescent="0.35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7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5" x14ac:dyDescent="0.35">
      <c r="A82" s="185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  <c r="AF82" s="197"/>
      <c r="AG82" s="197"/>
      <c r="AH82" s="197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5" x14ac:dyDescent="0.35">
      <c r="A83" s="185"/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5" x14ac:dyDescent="0.35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  <c r="AF84" s="197"/>
      <c r="AG84" s="197"/>
      <c r="AH84" s="197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5" x14ac:dyDescent="0.35">
      <c r="A85" s="185"/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5" x14ac:dyDescent="0.35">
      <c r="A86" s="185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  <c r="AF86" s="197"/>
      <c r="AG86" s="197"/>
      <c r="AH86" s="197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5" x14ac:dyDescent="0.35">
      <c r="A87" s="185"/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197"/>
      <c r="AG87" s="197"/>
      <c r="AH87" s="197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5" x14ac:dyDescent="0.35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197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5" x14ac:dyDescent="0.35">
      <c r="A89" s="185"/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  <c r="AF89" s="197"/>
      <c r="AG89" s="197"/>
      <c r="AH89" s="197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5" x14ac:dyDescent="0.35">
      <c r="A90" s="185"/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  <c r="AF90" s="197"/>
      <c r="AG90" s="197"/>
      <c r="AH90" s="197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5" x14ac:dyDescent="0.35">
      <c r="A91" s="185"/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  <c r="AF91" s="197"/>
      <c r="AG91" s="197"/>
      <c r="AH91" s="197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5" x14ac:dyDescent="0.35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  <c r="AF92" s="197"/>
      <c r="AG92" s="197"/>
      <c r="AH92" s="197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5" x14ac:dyDescent="0.35">
      <c r="A93" s="185"/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  <c r="AF93" s="197"/>
      <c r="AG93" s="197"/>
      <c r="AH93" s="197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5" x14ac:dyDescent="0.35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  <c r="AF94" s="197"/>
      <c r="AG94" s="197"/>
      <c r="AH94" s="197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5" x14ac:dyDescent="0.3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  <c r="AF95" s="197"/>
      <c r="AG95" s="197"/>
      <c r="AH95" s="197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5" x14ac:dyDescent="0.35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  <c r="AF96" s="197"/>
      <c r="AG96" s="197"/>
      <c r="AH96" s="197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5" x14ac:dyDescent="0.35">
      <c r="A97" s="185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  <c r="AF97" s="197"/>
      <c r="AG97" s="197"/>
      <c r="AH97" s="197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5" x14ac:dyDescent="0.35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  <c r="AF98" s="197"/>
      <c r="AG98" s="197"/>
      <c r="AH98" s="197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5" x14ac:dyDescent="0.35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  <c r="AF99" s="197"/>
      <c r="AG99" s="197"/>
      <c r="AH99" s="197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5" x14ac:dyDescent="0.35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5" x14ac:dyDescent="0.35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5" x14ac:dyDescent="0.35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5" x14ac:dyDescent="0.35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5" x14ac:dyDescent="0.35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  <c r="AF104" s="197"/>
      <c r="AG104" s="197"/>
      <c r="AH104" s="197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5" x14ac:dyDescent="0.3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  <c r="AF105" s="197"/>
      <c r="AG105" s="197"/>
      <c r="AH105" s="197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5" x14ac:dyDescent="0.35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  <c r="AF106" s="197"/>
      <c r="AG106" s="197"/>
      <c r="AH106" s="197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5" x14ac:dyDescent="0.35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  <c r="AF107" s="197"/>
      <c r="AG107" s="197"/>
      <c r="AH107" s="197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5" x14ac:dyDescent="0.35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  <c r="AF108" s="197"/>
      <c r="AG108" s="197"/>
      <c r="AH108" s="197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5" x14ac:dyDescent="0.35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  <c r="AF109" s="197"/>
      <c r="AG109" s="197"/>
      <c r="AH109" s="197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5" x14ac:dyDescent="0.35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  <c r="AF110" s="197"/>
      <c r="AG110" s="197"/>
      <c r="AH110" s="197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5" x14ac:dyDescent="0.35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  <c r="AF111" s="197"/>
      <c r="AG111" s="197"/>
      <c r="AH111" s="197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5" x14ac:dyDescent="0.35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  <c r="AF112" s="197"/>
      <c r="AG112" s="197"/>
      <c r="AH112" s="197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5" x14ac:dyDescent="0.35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  <c r="AF113" s="197"/>
      <c r="AG113" s="197"/>
      <c r="AH113" s="197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5" x14ac:dyDescent="0.35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  <c r="AF114" s="197"/>
      <c r="AG114" s="197"/>
      <c r="AH114" s="197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5" x14ac:dyDescent="0.3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  <c r="AF115" s="197"/>
      <c r="AG115" s="197"/>
      <c r="AH115" s="197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5" x14ac:dyDescent="0.35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  <c r="AF116" s="197"/>
      <c r="AG116" s="197"/>
      <c r="AH116" s="197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5" x14ac:dyDescent="0.35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  <c r="AF117" s="197"/>
      <c r="AG117" s="197"/>
      <c r="AH117" s="197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5" x14ac:dyDescent="0.35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  <c r="AF118" s="197"/>
      <c r="AG118" s="197"/>
      <c r="AH118" s="197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5" x14ac:dyDescent="0.35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  <c r="AF119" s="197"/>
      <c r="AG119" s="197"/>
      <c r="AH119" s="197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5" x14ac:dyDescent="0.35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  <c r="AF120" s="197"/>
      <c r="AG120" s="197"/>
      <c r="AH120" s="197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5" x14ac:dyDescent="0.35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  <c r="AF121" s="197"/>
      <c r="AG121" s="197"/>
      <c r="AH121" s="197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5" x14ac:dyDescent="0.35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  <c r="AF122" s="197"/>
      <c r="AG122" s="197"/>
      <c r="AH122" s="197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5" x14ac:dyDescent="0.35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  <c r="AF123" s="197"/>
      <c r="AG123" s="197"/>
      <c r="AH123" s="197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5" x14ac:dyDescent="0.35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  <c r="AF124" s="197"/>
      <c r="AG124" s="197"/>
      <c r="AH124" s="197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5" x14ac:dyDescent="0.3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  <c r="AF125" s="197"/>
      <c r="AG125" s="197"/>
      <c r="AH125" s="197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5" x14ac:dyDescent="0.35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  <c r="AF126" s="197"/>
      <c r="AG126" s="197"/>
      <c r="AH126" s="197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5" x14ac:dyDescent="0.35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  <c r="AF127" s="197"/>
      <c r="AG127" s="197"/>
      <c r="AH127" s="197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5" x14ac:dyDescent="0.35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  <c r="AF128" s="197"/>
      <c r="AG128" s="197"/>
      <c r="AH128" s="197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5" x14ac:dyDescent="0.35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  <c r="AF129" s="197"/>
      <c r="AG129" s="197"/>
      <c r="AH129" s="197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5" x14ac:dyDescent="0.35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  <c r="AF130" s="197"/>
      <c r="AG130" s="197"/>
      <c r="AH130" s="197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5" x14ac:dyDescent="0.35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  <c r="AF131" s="197"/>
      <c r="AG131" s="197"/>
      <c r="AH131" s="197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5" x14ac:dyDescent="0.35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  <c r="AF132" s="197"/>
      <c r="AG132" s="197"/>
      <c r="AH132" s="197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5" x14ac:dyDescent="0.35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  <c r="AF133" s="197"/>
      <c r="AG133" s="197"/>
      <c r="AH133" s="197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5" x14ac:dyDescent="0.35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197"/>
      <c r="AG134" s="197"/>
      <c r="AH134" s="197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5" x14ac:dyDescent="0.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  <c r="AF135" s="197"/>
      <c r="AG135" s="197"/>
      <c r="AH135" s="197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5" x14ac:dyDescent="0.35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  <c r="AF136" s="197"/>
      <c r="AG136" s="197"/>
      <c r="AH136" s="197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5" x14ac:dyDescent="0.35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  <c r="AF137" s="197"/>
      <c r="AG137" s="197"/>
      <c r="AH137" s="197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5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5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5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5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5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5" x14ac:dyDescent="0.3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</sheetData>
  <sheetProtection algorithmName="SHA-512" hashValue="c4ANSkveG1wcjepYc95PpCfp+hPUQgZeF5crykZgv5EmXk764WAvjfSNYnG+cNUtrFL3zgrmt1dmJ7wzovue4g==" saltValue="8rYg6dj3u/z1/1WFCEhK5g==" spinCount="100000" sheet="1" objects="1" scenarios="1"/>
  <phoneticPr fontId="3" type="noConversion"/>
  <pageMargins left="0.7" right="0.7" top="0.75" bottom="0.75" header="0.3" footer="0.3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133"/>
  <sheetViews>
    <sheetView zoomScale="88" zoomScaleNormal="88" zoomScalePageLayoutView="88" workbookViewId="0"/>
  </sheetViews>
  <sheetFormatPr defaultColWidth="8.81640625" defaultRowHeight="14.5" x14ac:dyDescent="0.35"/>
  <cols>
    <col min="1" max="1" width="36.26953125" customWidth="1"/>
    <col min="2" max="2" width="12.453125" bestFit="1" customWidth="1"/>
    <col min="3" max="4" width="11.26953125" customWidth="1"/>
    <col min="5" max="5" width="4" customWidth="1"/>
    <col min="6" max="6" width="13.81640625" bestFit="1" customWidth="1"/>
    <col min="7" max="10" width="12.453125" bestFit="1" customWidth="1"/>
    <col min="12" max="16" width="10.81640625" bestFit="1" customWidth="1"/>
  </cols>
  <sheetData>
    <row r="1" spans="1:40" ht="20" x14ac:dyDescent="0.4">
      <c r="A1" s="8" t="s">
        <v>78</v>
      </c>
      <c r="B1" s="7"/>
      <c r="C1" s="7"/>
      <c r="D1" s="7"/>
      <c r="E1" s="7"/>
      <c r="F1" s="7"/>
      <c r="G1" s="7"/>
      <c r="H1" s="7"/>
      <c r="I1" s="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s="2" customFormat="1" x14ac:dyDescent="0.35">
      <c r="A2" s="9"/>
      <c r="B2" s="9"/>
      <c r="C2" s="9"/>
      <c r="D2" s="9"/>
      <c r="E2" s="9"/>
      <c r="F2" s="9"/>
      <c r="G2" s="9"/>
      <c r="H2" s="9"/>
      <c r="I2" s="9"/>
    </row>
    <row r="3" spans="1:40" s="4" customFormat="1" ht="17.5" x14ac:dyDescent="0.35">
      <c r="A3" s="18" t="s">
        <v>157</v>
      </c>
      <c r="B3" s="7"/>
      <c r="C3" s="7"/>
      <c r="D3" s="7"/>
      <c r="E3" s="7"/>
      <c r="F3" s="7"/>
      <c r="G3" s="7"/>
      <c r="H3" s="7"/>
      <c r="I3" s="7"/>
    </row>
    <row r="4" spans="1:40" ht="15.5" x14ac:dyDescent="0.35">
      <c r="A4" s="266"/>
      <c r="B4" s="182">
        <v>2004</v>
      </c>
      <c r="C4" s="182">
        <v>2005</v>
      </c>
      <c r="D4" s="182">
        <v>2006</v>
      </c>
      <c r="E4" s="267"/>
      <c r="F4" s="182">
        <v>2007</v>
      </c>
      <c r="G4" s="182">
        <v>2008</v>
      </c>
      <c r="H4" s="182">
        <v>2009</v>
      </c>
      <c r="I4" s="182">
        <v>2010</v>
      </c>
      <c r="J4" s="182">
        <v>2011</v>
      </c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.5" x14ac:dyDescent="0.35">
      <c r="A5" s="183" t="s">
        <v>79</v>
      </c>
      <c r="B5" s="184">
        <v>340578</v>
      </c>
      <c r="C5" s="184">
        <v>358750</v>
      </c>
      <c r="D5" s="184">
        <v>431121</v>
      </c>
      <c r="E5" s="268"/>
      <c r="F5" s="184">
        <f>D5*(1+$F$45)</f>
        <v>486107.75961464405</v>
      </c>
      <c r="G5" s="184">
        <f>F5*(1+$F$45)</f>
        <v>548107.73299739184</v>
      </c>
      <c r="H5" s="184">
        <f>G5*(1+$F$45)</f>
        <v>618015.41125304415</v>
      </c>
      <c r="I5" s="184">
        <f>H5*(1+$F$45)</f>
        <v>696839.37217519013</v>
      </c>
      <c r="J5" s="184">
        <f>I5*(1+$F$45)</f>
        <v>785716.83128253277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5" x14ac:dyDescent="0.35">
      <c r="A6" s="185" t="s">
        <v>81</v>
      </c>
      <c r="B6" s="186">
        <v>198115</v>
      </c>
      <c r="C6" s="186">
        <v>205820</v>
      </c>
      <c r="D6" s="186">
        <v>239383</v>
      </c>
      <c r="E6" s="269"/>
      <c r="F6" s="186">
        <f>$F$46*F5</f>
        <v>277190.58286855213</v>
      </c>
      <c r="G6" s="186">
        <f>$F$46*G5</f>
        <v>312544.49035075819</v>
      </c>
      <c r="H6" s="186">
        <f>$F$46*H5</f>
        <v>352407.5653570756</v>
      </c>
      <c r="I6" s="186">
        <f>$F$46*I5</f>
        <v>397354.92371510377</v>
      </c>
      <c r="J6" s="186">
        <f>$F$46*J5</f>
        <v>448035.03364252008</v>
      </c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5.5" x14ac:dyDescent="0.35">
      <c r="A7" s="183" t="s">
        <v>82</v>
      </c>
      <c r="B7" s="187">
        <f>B5-B6</f>
        <v>142463</v>
      </c>
      <c r="C7" s="187">
        <f t="shared" ref="C7:J7" si="0">C5-C6</f>
        <v>152930</v>
      </c>
      <c r="D7" s="187">
        <f t="shared" si="0"/>
        <v>191738</v>
      </c>
      <c r="E7" s="270"/>
      <c r="F7" s="187">
        <f t="shared" si="0"/>
        <v>208917.17674609192</v>
      </c>
      <c r="G7" s="187">
        <f t="shared" si="0"/>
        <v>235563.24264663365</v>
      </c>
      <c r="H7" s="187">
        <f t="shared" si="0"/>
        <v>265607.84589596855</v>
      </c>
      <c r="I7" s="187">
        <f t="shared" si="0"/>
        <v>299484.44846008637</v>
      </c>
      <c r="J7" s="187">
        <f t="shared" si="0"/>
        <v>337681.79764001269</v>
      </c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5.5" x14ac:dyDescent="0.35">
      <c r="A8" s="185" t="s">
        <v>83</v>
      </c>
      <c r="B8" s="186">
        <v>102410</v>
      </c>
      <c r="C8" s="186">
        <v>113892</v>
      </c>
      <c r="D8" s="186">
        <v>139933</v>
      </c>
      <c r="E8" s="269"/>
      <c r="F8" s="186">
        <f>$F$47*F5</f>
        <v>152758.24562630439</v>
      </c>
      <c r="G8" s="186">
        <f>$F$47*G5</f>
        <v>172241.59468934784</v>
      </c>
      <c r="H8" s="186">
        <f>$F$47*H5</f>
        <v>194209.92182448186</v>
      </c>
      <c r="I8" s="186">
        <f>$F$47*I5</f>
        <v>218980.17028405954</v>
      </c>
      <c r="J8" s="186">
        <f>$F$47*J5</f>
        <v>246909.70742974116</v>
      </c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5.5" x14ac:dyDescent="0.35">
      <c r="A9" s="183" t="s">
        <v>84</v>
      </c>
      <c r="B9" s="187">
        <f>B7-B8</f>
        <v>40053</v>
      </c>
      <c r="C9" s="187">
        <f t="shared" ref="C9:J9" si="1">C7-C8</f>
        <v>39038</v>
      </c>
      <c r="D9" s="187">
        <f t="shared" si="1"/>
        <v>51805</v>
      </c>
      <c r="E9" s="270"/>
      <c r="F9" s="187">
        <f t="shared" si="1"/>
        <v>56158.931119787536</v>
      </c>
      <c r="G9" s="187">
        <f t="shared" si="1"/>
        <v>63321.647957285808</v>
      </c>
      <c r="H9" s="187">
        <f t="shared" si="1"/>
        <v>71397.92407148669</v>
      </c>
      <c r="I9" s="187">
        <f t="shared" si="1"/>
        <v>80504.278176026826</v>
      </c>
      <c r="J9" s="187">
        <f t="shared" si="1"/>
        <v>90772.090210271534</v>
      </c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5" x14ac:dyDescent="0.35">
      <c r="A10" s="185" t="s">
        <v>85</v>
      </c>
      <c r="B10" s="186">
        <v>7699</v>
      </c>
      <c r="C10" s="186">
        <v>8001</v>
      </c>
      <c r="D10" s="186">
        <v>9506</v>
      </c>
      <c r="E10" s="269"/>
      <c r="F10" s="186">
        <f>$F$48*D26</f>
        <v>8891.2040837405857</v>
      </c>
      <c r="G10" s="186">
        <f>$F$48*F26</f>
        <v>11490.887200322797</v>
      </c>
      <c r="H10" s="186">
        <f>$F$48*G26</f>
        <v>12956.477260290045</v>
      </c>
      <c r="I10" s="186">
        <f>$F$48*H26</f>
        <v>14608.99407242439</v>
      </c>
      <c r="J10" s="186">
        <f>$F$48*I26</f>
        <v>16472.27896291258</v>
      </c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.5" x14ac:dyDescent="0.35">
      <c r="A11" s="183" t="s">
        <v>86</v>
      </c>
      <c r="B11" s="187">
        <f>B9-B10</f>
        <v>32354</v>
      </c>
      <c r="C11" s="187">
        <f t="shared" ref="C11:D11" si="2">C9-C10</f>
        <v>31037</v>
      </c>
      <c r="D11" s="187">
        <f t="shared" si="2"/>
        <v>42299</v>
      </c>
      <c r="E11" s="270"/>
      <c r="F11" s="187">
        <f>F5-F6-F8-F10</f>
        <v>47267.727036046948</v>
      </c>
      <c r="G11" s="187">
        <f t="shared" ref="G11:J11" si="3">G5-G6-G8-G10</f>
        <v>51830.760756963013</v>
      </c>
      <c r="H11" s="187">
        <f t="shared" si="3"/>
        <v>58441.446811196642</v>
      </c>
      <c r="I11" s="187">
        <f t="shared" si="3"/>
        <v>65895.284103602433</v>
      </c>
      <c r="J11" s="187">
        <f t="shared" si="3"/>
        <v>74299.811247358957</v>
      </c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.5" x14ac:dyDescent="0.35">
      <c r="A12" s="185" t="s">
        <v>87</v>
      </c>
      <c r="B12" s="186">
        <v>275</v>
      </c>
      <c r="C12" s="186">
        <v>305</v>
      </c>
      <c r="D12" s="186">
        <v>366</v>
      </c>
      <c r="E12" s="269"/>
      <c r="F12" s="186">
        <v>366</v>
      </c>
      <c r="G12" s="186">
        <v>366</v>
      </c>
      <c r="H12" s="186">
        <v>366</v>
      </c>
      <c r="I12" s="186">
        <v>366</v>
      </c>
      <c r="J12" s="186">
        <v>366</v>
      </c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5" x14ac:dyDescent="0.35">
      <c r="A13" s="183" t="s">
        <v>88</v>
      </c>
      <c r="B13" s="187">
        <f>B11-B12</f>
        <v>32079</v>
      </c>
      <c r="C13" s="187">
        <f t="shared" ref="C13:J13" si="4">C11-C12</f>
        <v>30732</v>
      </c>
      <c r="D13" s="187">
        <f t="shared" si="4"/>
        <v>41933</v>
      </c>
      <c r="E13" s="270"/>
      <c r="F13" s="187">
        <f t="shared" si="4"/>
        <v>46901.727036046948</v>
      </c>
      <c r="G13" s="187">
        <f t="shared" si="4"/>
        <v>51464.760756963013</v>
      </c>
      <c r="H13" s="187">
        <f t="shared" si="4"/>
        <v>58075.446811196642</v>
      </c>
      <c r="I13" s="187">
        <f t="shared" si="4"/>
        <v>65529.284103602433</v>
      </c>
      <c r="J13" s="187">
        <f t="shared" si="4"/>
        <v>73933.811247358957</v>
      </c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5.5" x14ac:dyDescent="0.35">
      <c r="A14" s="185" t="s">
        <v>89</v>
      </c>
      <c r="B14" s="186">
        <v>12190</v>
      </c>
      <c r="C14" s="186">
        <v>11689</v>
      </c>
      <c r="D14" s="186">
        <v>15934</v>
      </c>
      <c r="E14" s="269"/>
      <c r="F14" s="186">
        <f>F13*$F$55</f>
        <v>18760.69081441878</v>
      </c>
      <c r="G14" s="186">
        <f t="shared" ref="G14:J14" si="5">G13*$F$55</f>
        <v>20585.904302785206</v>
      </c>
      <c r="H14" s="186">
        <f t="shared" si="5"/>
        <v>23230.178724478657</v>
      </c>
      <c r="I14" s="186">
        <f t="shared" si="5"/>
        <v>26211.713641440976</v>
      </c>
      <c r="J14" s="186">
        <f t="shared" si="5"/>
        <v>29573.524498943585</v>
      </c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5.5" x14ac:dyDescent="0.35">
      <c r="A15" s="183" t="s">
        <v>90</v>
      </c>
      <c r="B15" s="243">
        <f>B13-B14</f>
        <v>19889</v>
      </c>
      <c r="C15" s="243">
        <f t="shared" ref="C15:J15" si="6">C13-C14</f>
        <v>19043</v>
      </c>
      <c r="D15" s="243">
        <f t="shared" si="6"/>
        <v>25999</v>
      </c>
      <c r="E15" s="271"/>
      <c r="F15" s="243">
        <f t="shared" si="6"/>
        <v>28141.036221628168</v>
      </c>
      <c r="G15" s="243">
        <f t="shared" si="6"/>
        <v>30878.856454177807</v>
      </c>
      <c r="H15" s="243">
        <f t="shared" si="6"/>
        <v>34845.268086717988</v>
      </c>
      <c r="I15" s="243">
        <f t="shared" si="6"/>
        <v>39317.570462161457</v>
      </c>
      <c r="J15" s="243">
        <f t="shared" si="6"/>
        <v>44360.286748415368</v>
      </c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5" x14ac:dyDescent="0.35">
      <c r="A16" s="185"/>
      <c r="B16" s="185"/>
      <c r="C16" s="185"/>
      <c r="D16" s="185"/>
      <c r="E16" s="272"/>
      <c r="F16" s="185"/>
      <c r="G16" s="185"/>
      <c r="H16" s="185"/>
      <c r="I16" s="185"/>
      <c r="J16" s="185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5" x14ac:dyDescent="0.35">
      <c r="A17" s="185"/>
      <c r="B17" s="185"/>
      <c r="C17" s="185"/>
      <c r="D17" s="185"/>
      <c r="E17" s="272"/>
      <c r="F17" s="185"/>
      <c r="G17" s="185"/>
      <c r="H17" s="185"/>
      <c r="I17" s="185"/>
      <c r="J17" s="185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7.5" x14ac:dyDescent="0.35">
      <c r="A18" s="273" t="s">
        <v>154</v>
      </c>
      <c r="B18" s="274"/>
      <c r="C18" s="274"/>
      <c r="D18" s="274"/>
      <c r="E18" s="275"/>
      <c r="F18" s="274"/>
      <c r="G18" s="274"/>
      <c r="H18" s="274"/>
      <c r="I18" s="274"/>
      <c r="J18" s="274"/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5" x14ac:dyDescent="0.35">
      <c r="A19" s="183" t="s">
        <v>91</v>
      </c>
      <c r="B19" s="182">
        <v>2004</v>
      </c>
      <c r="C19" s="182">
        <v>2005</v>
      </c>
      <c r="D19" s="182">
        <v>2006</v>
      </c>
      <c r="E19" s="275"/>
      <c r="F19" s="182">
        <v>2007</v>
      </c>
      <c r="G19" s="182">
        <v>2008</v>
      </c>
      <c r="H19" s="182">
        <v>2009</v>
      </c>
      <c r="I19" s="182">
        <v>2010</v>
      </c>
      <c r="J19" s="182">
        <v>2011</v>
      </c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5.5" x14ac:dyDescent="0.35">
      <c r="A20" s="185" t="s">
        <v>92</v>
      </c>
      <c r="B20" s="184">
        <v>12203</v>
      </c>
      <c r="C20" s="184">
        <v>20187</v>
      </c>
      <c r="D20" s="184">
        <v>10676</v>
      </c>
      <c r="E20" s="268"/>
      <c r="F20" s="229">
        <f>$F$49*F5</f>
        <v>18936.165382709616</v>
      </c>
      <c r="G20" s="229">
        <f>$F$49*G5</f>
        <v>21351.353633623392</v>
      </c>
      <c r="H20" s="229">
        <f>$F$49*H5</f>
        <v>24074.583886149496</v>
      </c>
      <c r="I20" s="229">
        <f>$F$49*I5</f>
        <v>27145.144951303559</v>
      </c>
      <c r="J20" s="229">
        <f>$F$49*J5</f>
        <v>30607.336679709268</v>
      </c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5.5" x14ac:dyDescent="0.35">
      <c r="A21" s="185" t="s">
        <v>93</v>
      </c>
      <c r="B21" s="186">
        <v>29115</v>
      </c>
      <c r="C21" s="186">
        <v>38654</v>
      </c>
      <c r="D21" s="186">
        <v>45910</v>
      </c>
      <c r="E21" s="269"/>
      <c r="F21" s="186">
        <f>$F$50*F5</f>
        <v>48565.923094094447</v>
      </c>
      <c r="G21" s="186">
        <f>$F$50*G5</f>
        <v>54760.199732528345</v>
      </c>
      <c r="H21" s="186">
        <f>$F$50*H5</f>
        <v>61744.517219132875</v>
      </c>
      <c r="I21" s="186">
        <f>$F$50*I5</f>
        <v>69619.640272407269</v>
      </c>
      <c r="J21" s="186">
        <f>$F$50*J5</f>
        <v>78499.185514037454</v>
      </c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5" x14ac:dyDescent="0.35">
      <c r="A22" s="185" t="s">
        <v>94</v>
      </c>
      <c r="B22" s="186">
        <v>53552</v>
      </c>
      <c r="C22" s="186">
        <v>70818</v>
      </c>
      <c r="D22" s="186">
        <v>73149</v>
      </c>
      <c r="E22" s="269"/>
      <c r="F22" s="186">
        <f>$F$51*F5</f>
        <v>84957.424352130911</v>
      </c>
      <c r="G22" s="186">
        <f>$F$51*G5</f>
        <v>95793.207044994226</v>
      </c>
      <c r="H22" s="186">
        <f>$F$51*H5</f>
        <v>108011.02535702015</v>
      </c>
      <c r="I22" s="186">
        <f>$F$51*I5</f>
        <v>121787.14919936993</v>
      </c>
      <c r="J22" s="186">
        <f>$F$51*J5</f>
        <v>137320.33059665409</v>
      </c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5.5" x14ac:dyDescent="0.35">
      <c r="A23" s="185" t="s">
        <v>95</v>
      </c>
      <c r="B23" s="186">
        <v>7809</v>
      </c>
      <c r="C23" s="186">
        <v>15810</v>
      </c>
      <c r="D23" s="186">
        <v>10172</v>
      </c>
      <c r="E23" s="269"/>
      <c r="F23" s="186">
        <v>14474</v>
      </c>
      <c r="G23" s="186">
        <v>14474</v>
      </c>
      <c r="H23" s="186">
        <v>16069</v>
      </c>
      <c r="I23" s="186">
        <v>17222</v>
      </c>
      <c r="J23" s="186">
        <v>18049</v>
      </c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5.5" x14ac:dyDescent="0.35">
      <c r="A24" s="183" t="s">
        <v>96</v>
      </c>
      <c r="B24" s="190">
        <f>B20+B21+B22+B23</f>
        <v>102679</v>
      </c>
      <c r="C24" s="190">
        <f t="shared" ref="C24:J24" si="7">C20+C21+C22+C23</f>
        <v>145469</v>
      </c>
      <c r="D24" s="190">
        <f t="shared" si="7"/>
        <v>139907</v>
      </c>
      <c r="E24" s="276"/>
      <c r="F24" s="190">
        <f t="shared" si="7"/>
        <v>166933.51282893497</v>
      </c>
      <c r="G24" s="190">
        <f t="shared" si="7"/>
        <v>186378.76041114598</v>
      </c>
      <c r="H24" s="190">
        <f t="shared" si="7"/>
        <v>209899.12646230252</v>
      </c>
      <c r="I24" s="190">
        <f t="shared" si="7"/>
        <v>235773.93442308076</v>
      </c>
      <c r="J24" s="190">
        <f t="shared" si="7"/>
        <v>264475.85279040085</v>
      </c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5" x14ac:dyDescent="0.35">
      <c r="A25" s="185"/>
      <c r="B25" s="185"/>
      <c r="C25" s="185"/>
      <c r="D25" s="185"/>
      <c r="E25" s="272"/>
      <c r="F25" s="185"/>
      <c r="G25" s="185"/>
      <c r="H25" s="185"/>
      <c r="I25" s="185"/>
      <c r="J25" s="185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5.5" x14ac:dyDescent="0.35">
      <c r="A26" s="185" t="s">
        <v>97</v>
      </c>
      <c r="B26" s="184">
        <v>33090</v>
      </c>
      <c r="C26" s="184">
        <v>31334</v>
      </c>
      <c r="D26" s="184">
        <v>32618</v>
      </c>
      <c r="E26" s="268"/>
      <c r="F26" s="229">
        <f>$F$52*F5</f>
        <v>42155.118156105149</v>
      </c>
      <c r="G26" s="229">
        <f>$F$52*G5</f>
        <v>47531.737129842615</v>
      </c>
      <c r="H26" s="229">
        <f>$F$52*H5</f>
        <v>53594.109882793891</v>
      </c>
      <c r="I26" s="229">
        <f>$F$52*I5</f>
        <v>60429.699976725773</v>
      </c>
      <c r="J26" s="229">
        <f>$F$52*J5</f>
        <v>68137.126398090724</v>
      </c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5" x14ac:dyDescent="0.35">
      <c r="A27" s="185" t="s">
        <v>98</v>
      </c>
      <c r="B27" s="186">
        <v>1031</v>
      </c>
      <c r="C27" s="186">
        <v>35740</v>
      </c>
      <c r="D27" s="186">
        <v>43853</v>
      </c>
      <c r="E27" s="269"/>
      <c r="F27" s="186">
        <v>43853</v>
      </c>
      <c r="G27" s="186">
        <v>43853</v>
      </c>
      <c r="H27" s="186">
        <v>43853</v>
      </c>
      <c r="I27" s="186">
        <v>43853</v>
      </c>
      <c r="J27" s="186">
        <v>43853</v>
      </c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5" x14ac:dyDescent="0.35">
      <c r="A28" s="185" t="s">
        <v>99</v>
      </c>
      <c r="B28" s="186">
        <v>554</v>
      </c>
      <c r="C28" s="186">
        <v>34605</v>
      </c>
      <c r="D28" s="186">
        <v>43051</v>
      </c>
      <c r="E28" s="269"/>
      <c r="F28" s="186">
        <v>43051</v>
      </c>
      <c r="G28" s="186">
        <v>43051</v>
      </c>
      <c r="H28" s="186">
        <v>43051</v>
      </c>
      <c r="I28" s="186">
        <v>43051</v>
      </c>
      <c r="J28" s="186">
        <v>43051</v>
      </c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5.5" x14ac:dyDescent="0.35">
      <c r="A29" s="185" t="s">
        <v>100</v>
      </c>
      <c r="B29" s="186">
        <v>5657</v>
      </c>
      <c r="C29" s="186">
        <v>11884</v>
      </c>
      <c r="D29" s="186">
        <v>11162</v>
      </c>
      <c r="E29" s="269"/>
      <c r="F29" s="186">
        <v>11162</v>
      </c>
      <c r="G29" s="186">
        <v>11162</v>
      </c>
      <c r="H29" s="186">
        <v>11162</v>
      </c>
      <c r="I29" s="186">
        <v>11162</v>
      </c>
      <c r="J29" s="186">
        <v>11162</v>
      </c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5.5" x14ac:dyDescent="0.35">
      <c r="A30" s="183" t="s">
        <v>101</v>
      </c>
      <c r="B30" s="243">
        <f>B24+B26+B27+B28+B29</f>
        <v>143011</v>
      </c>
      <c r="C30" s="243">
        <f t="shared" ref="C30:J30" si="8">C24+C26+C27+C28+C29</f>
        <v>259032</v>
      </c>
      <c r="D30" s="243">
        <f t="shared" si="8"/>
        <v>270591</v>
      </c>
      <c r="E30" s="271"/>
      <c r="F30" s="243">
        <f t="shared" si="8"/>
        <v>307154.6309850401</v>
      </c>
      <c r="G30" s="243">
        <f t="shared" si="8"/>
        <v>331976.49754098861</v>
      </c>
      <c r="H30" s="243">
        <f t="shared" si="8"/>
        <v>361559.23634509643</v>
      </c>
      <c r="I30" s="243">
        <f t="shared" si="8"/>
        <v>394269.63439980656</v>
      </c>
      <c r="J30" s="243">
        <f t="shared" si="8"/>
        <v>430678.97918849159</v>
      </c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5.5" x14ac:dyDescent="0.35">
      <c r="A31" s="185"/>
      <c r="B31" s="185"/>
      <c r="C31" s="185"/>
      <c r="D31" s="185"/>
      <c r="E31" s="272"/>
      <c r="F31" s="185"/>
      <c r="G31" s="185"/>
      <c r="H31" s="185"/>
      <c r="I31" s="185"/>
      <c r="J31" s="185"/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5.5" x14ac:dyDescent="0.35">
      <c r="A32" s="183" t="s">
        <v>102</v>
      </c>
      <c r="B32" s="185"/>
      <c r="C32" s="185"/>
      <c r="D32" s="185"/>
      <c r="E32" s="272"/>
      <c r="F32" s="185"/>
      <c r="G32" s="185"/>
      <c r="H32" s="185"/>
      <c r="I32" s="185"/>
      <c r="J32" s="185"/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5.5" x14ac:dyDescent="0.35">
      <c r="A33" s="185" t="s">
        <v>103</v>
      </c>
      <c r="B33" s="184">
        <v>12838</v>
      </c>
      <c r="C33" s="184">
        <v>14753</v>
      </c>
      <c r="D33" s="184">
        <v>16981</v>
      </c>
      <c r="E33" s="268"/>
      <c r="F33" s="229">
        <f>$F$53*F5</f>
        <v>19153.634383329929</v>
      </c>
      <c r="G33" s="229">
        <f>$F$53*G5</f>
        <v>21596.55943124674</v>
      </c>
      <c r="H33" s="229">
        <f>$F$53*H5</f>
        <v>24351.06413398527</v>
      </c>
      <c r="I33" s="229">
        <f>$F$53*I5</f>
        <v>27456.888507876189</v>
      </c>
      <c r="J33" s="229">
        <f>$F$53*J5</f>
        <v>30958.841157245326</v>
      </c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5.5" x14ac:dyDescent="0.35">
      <c r="A34" s="185" t="s">
        <v>104</v>
      </c>
      <c r="B34" s="186">
        <v>13040</v>
      </c>
      <c r="C34" s="186">
        <v>21955</v>
      </c>
      <c r="D34" s="186">
        <v>18810</v>
      </c>
      <c r="E34" s="269"/>
      <c r="F34" s="186">
        <f>$F$54*F5</f>
        <v>23190.078637516664</v>
      </c>
      <c r="G34" s="186">
        <f>$F$54*G5</f>
        <v>26147.826646743357</v>
      </c>
      <c r="H34" s="186">
        <f>$F$54*H5</f>
        <v>29482.816726720583</v>
      </c>
      <c r="I34" s="186">
        <f>$F$54*I5</f>
        <v>33243.163720058394</v>
      </c>
      <c r="J34" s="186">
        <f>$F$54*J5</f>
        <v>37483.11921353959</v>
      </c>
      <c r="K34" s="1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5.5" x14ac:dyDescent="0.35">
      <c r="A35" s="183" t="s">
        <v>105</v>
      </c>
      <c r="B35" s="243">
        <f>B33+B34</f>
        <v>25878</v>
      </c>
      <c r="C35" s="243">
        <f t="shared" ref="C35:J35" si="9">C33+C34</f>
        <v>36708</v>
      </c>
      <c r="D35" s="243">
        <f t="shared" si="9"/>
        <v>35791</v>
      </c>
      <c r="E35" s="271"/>
      <c r="F35" s="243">
        <f t="shared" si="9"/>
        <v>42343.713020846597</v>
      </c>
      <c r="G35" s="243">
        <f t="shared" si="9"/>
        <v>47744.386077990101</v>
      </c>
      <c r="H35" s="243">
        <f t="shared" si="9"/>
        <v>53833.880860705853</v>
      </c>
      <c r="I35" s="243">
        <f t="shared" si="9"/>
        <v>60700.052227934582</v>
      </c>
      <c r="J35" s="243">
        <f t="shared" si="9"/>
        <v>68441.960370784916</v>
      </c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5.5" x14ac:dyDescent="0.35">
      <c r="A36" s="185"/>
      <c r="B36" s="185"/>
      <c r="C36" s="185"/>
      <c r="D36" s="185"/>
      <c r="E36" s="272"/>
      <c r="F36" s="185"/>
      <c r="G36" s="185"/>
      <c r="H36" s="185"/>
      <c r="I36" s="185"/>
      <c r="J36" s="185"/>
      <c r="K36" s="1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5.5" x14ac:dyDescent="0.35">
      <c r="A37" s="185" t="s">
        <v>106</v>
      </c>
      <c r="B37" s="186">
        <v>1635</v>
      </c>
      <c r="C37" s="186">
        <v>13795</v>
      </c>
      <c r="D37" s="186">
        <v>11654</v>
      </c>
      <c r="E37" s="268"/>
      <c r="F37" s="277">
        <f>$D$37</f>
        <v>11654</v>
      </c>
      <c r="G37" s="277">
        <f t="shared" ref="G37:J37" si="10">$D$37</f>
        <v>11654</v>
      </c>
      <c r="H37" s="277">
        <f t="shared" si="10"/>
        <v>11654</v>
      </c>
      <c r="I37" s="277">
        <f t="shared" si="10"/>
        <v>11654</v>
      </c>
      <c r="J37" s="277">
        <f t="shared" si="10"/>
        <v>11654</v>
      </c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5" x14ac:dyDescent="0.35">
      <c r="A38" s="185" t="s">
        <v>107</v>
      </c>
      <c r="B38" s="186">
        <v>8131</v>
      </c>
      <c r="C38" s="186">
        <v>9256</v>
      </c>
      <c r="D38" s="186">
        <v>9080</v>
      </c>
      <c r="E38" s="268"/>
      <c r="F38" s="277">
        <f>$D$38</f>
        <v>9080</v>
      </c>
      <c r="G38" s="277">
        <f t="shared" ref="G38:J38" si="11">$D$38</f>
        <v>9080</v>
      </c>
      <c r="H38" s="277">
        <f t="shared" si="11"/>
        <v>9080</v>
      </c>
      <c r="I38" s="277">
        <f t="shared" si="11"/>
        <v>9080</v>
      </c>
      <c r="J38" s="277">
        <f t="shared" si="11"/>
        <v>9080</v>
      </c>
      <c r="K38" s="1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5.5" x14ac:dyDescent="0.35">
      <c r="A39" s="185"/>
      <c r="B39" s="184"/>
      <c r="C39" s="184"/>
      <c r="D39" s="184"/>
      <c r="E39" s="268"/>
      <c r="F39" s="185"/>
      <c r="G39" s="185"/>
      <c r="H39" s="185"/>
      <c r="I39" s="185"/>
      <c r="J39" s="185"/>
      <c r="K39" s="1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.5" x14ac:dyDescent="0.35">
      <c r="A40" s="185" t="s">
        <v>108</v>
      </c>
      <c r="B40" s="186">
        <v>107367</v>
      </c>
      <c r="C40" s="186">
        <v>199274</v>
      </c>
      <c r="D40" s="186">
        <v>214067</v>
      </c>
      <c r="E40" s="268"/>
      <c r="F40" s="277">
        <v>244077</v>
      </c>
      <c r="G40" s="277">
        <v>263498</v>
      </c>
      <c r="H40" s="277">
        <v>286991</v>
      </c>
      <c r="I40" s="277">
        <v>312836</v>
      </c>
      <c r="J40" s="277">
        <v>341503</v>
      </c>
      <c r="K40" s="11"/>
      <c r="L40" s="27"/>
      <c r="M40" s="27"/>
      <c r="N40" s="27"/>
      <c r="O40" s="27"/>
      <c r="P40" s="27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5.5" x14ac:dyDescent="0.35">
      <c r="A41" s="183" t="s">
        <v>109</v>
      </c>
      <c r="B41" s="243">
        <f>B35+B37+B38+B40</f>
        <v>143011</v>
      </c>
      <c r="C41" s="243">
        <f t="shared" ref="C41:J41" si="12">C35+C37+C38+C40</f>
        <v>259033</v>
      </c>
      <c r="D41" s="243">
        <f t="shared" si="12"/>
        <v>270592</v>
      </c>
      <c r="E41" s="271"/>
      <c r="F41" s="243">
        <f t="shared" si="12"/>
        <v>307154.7130208466</v>
      </c>
      <c r="G41" s="243">
        <f t="shared" si="12"/>
        <v>331976.38607799012</v>
      </c>
      <c r="H41" s="243">
        <f t="shared" si="12"/>
        <v>361558.88086070586</v>
      </c>
      <c r="I41" s="243">
        <f t="shared" si="12"/>
        <v>394270.05222793459</v>
      </c>
      <c r="J41" s="243">
        <f t="shared" si="12"/>
        <v>430678.96037078492</v>
      </c>
      <c r="K41" s="1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5.5" x14ac:dyDescent="0.35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5.5" x14ac:dyDescent="0.35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5.5" x14ac:dyDescent="0.35">
      <c r="A44" s="183" t="s">
        <v>41</v>
      </c>
      <c r="B44" s="182">
        <v>2004</v>
      </c>
      <c r="C44" s="182">
        <v>2005</v>
      </c>
      <c r="D44" s="182">
        <v>2006</v>
      </c>
      <c r="E44" s="182"/>
      <c r="F44" s="182" t="s">
        <v>51</v>
      </c>
      <c r="G44" s="185"/>
      <c r="H44" s="185"/>
      <c r="I44" s="185"/>
      <c r="J44" s="185"/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5.5" x14ac:dyDescent="0.35">
      <c r="A45" s="185" t="s">
        <v>42</v>
      </c>
      <c r="B45" s="185"/>
      <c r="C45" s="192">
        <f>(C5-B5)/(B5)</f>
        <v>5.3356353023389647E-2</v>
      </c>
      <c r="D45" s="192">
        <f>(D5-C5)/C5</f>
        <v>0.20173101045296168</v>
      </c>
      <c r="E45" s="192"/>
      <c r="F45" s="237">
        <f>AVERAGE(C45:D45)</f>
        <v>0.12754368173817565</v>
      </c>
      <c r="G45" s="185"/>
      <c r="H45" s="185"/>
      <c r="I45" s="185"/>
      <c r="J45" s="185"/>
      <c r="K45" s="1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5.5" x14ac:dyDescent="0.35">
      <c r="A46" s="185" t="s">
        <v>43</v>
      </c>
      <c r="B46" s="192">
        <f>B6/B5</f>
        <v>0.58170228259018497</v>
      </c>
      <c r="C46" s="192">
        <f>C6/C5</f>
        <v>0.57371428571428573</v>
      </c>
      <c r="D46" s="192">
        <f>D6/D5</f>
        <v>0.55525710879312307</v>
      </c>
      <c r="E46" s="192"/>
      <c r="F46" s="237">
        <f>AVERAGE(B46:D46)</f>
        <v>0.57022455903253133</v>
      </c>
      <c r="G46" s="185"/>
      <c r="H46" s="185"/>
      <c r="I46" s="185"/>
      <c r="J46" s="185"/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5.5" x14ac:dyDescent="0.35">
      <c r="A47" s="185" t="s">
        <v>44</v>
      </c>
      <c r="B47" s="192">
        <f>B8/B5</f>
        <v>0.30069470136062809</v>
      </c>
      <c r="C47" s="192">
        <f>C8/C5</f>
        <v>0.31746898954703834</v>
      </c>
      <c r="D47" s="192">
        <f>D8/D5</f>
        <v>0.32457941042074034</v>
      </c>
      <c r="E47" s="192"/>
      <c r="F47" s="237">
        <f t="shared" ref="F47:F54" si="13">AVERAGE(B47:D47)</f>
        <v>0.31424770044280226</v>
      </c>
      <c r="G47" s="185"/>
      <c r="H47" s="185"/>
      <c r="I47" s="185"/>
      <c r="J47" s="185"/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5.5" x14ac:dyDescent="0.35">
      <c r="A48" s="185" t="s">
        <v>45</v>
      </c>
      <c r="B48" s="185"/>
      <c r="C48" s="192">
        <f>C10/B26</f>
        <v>0.24179510426110606</v>
      </c>
      <c r="D48" s="192">
        <f>D10/C26</f>
        <v>0.30337652390374675</v>
      </c>
      <c r="E48" s="192"/>
      <c r="F48" s="237">
        <f t="shared" si="13"/>
        <v>0.27258581408242644</v>
      </c>
      <c r="G48" s="185"/>
      <c r="H48" s="185"/>
      <c r="I48" s="185"/>
      <c r="J48" s="185"/>
      <c r="K48" s="1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5.5" x14ac:dyDescent="0.35">
      <c r="A49" s="185" t="s">
        <v>46</v>
      </c>
      <c r="B49" s="192">
        <f>B20/B5</f>
        <v>3.5830265020054146E-2</v>
      </c>
      <c r="C49" s="192">
        <f t="shared" ref="C49:D49" si="14">C20/C5</f>
        <v>5.6270383275261321E-2</v>
      </c>
      <c r="D49" s="192">
        <f t="shared" si="14"/>
        <v>2.4763349500488262E-2</v>
      </c>
      <c r="E49" s="192"/>
      <c r="F49" s="237">
        <f t="shared" si="13"/>
        <v>3.8954665931934578E-2</v>
      </c>
      <c r="G49" s="185"/>
      <c r="H49" s="185"/>
      <c r="I49" s="185"/>
      <c r="J49" s="185"/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5.5" x14ac:dyDescent="0.35">
      <c r="A50" s="185" t="s">
        <v>47</v>
      </c>
      <c r="B50" s="192">
        <f>B21/B5</f>
        <v>8.5487024998678718E-2</v>
      </c>
      <c r="C50" s="192">
        <f t="shared" ref="C50:D50" si="15">C21/C5</f>
        <v>0.10774634146341464</v>
      </c>
      <c r="D50" s="192">
        <f t="shared" si="15"/>
        <v>0.10648982536225329</v>
      </c>
      <c r="E50" s="192"/>
      <c r="F50" s="237">
        <f t="shared" si="13"/>
        <v>9.9907730608115544E-2</v>
      </c>
      <c r="G50" s="185"/>
      <c r="H50" s="185"/>
      <c r="I50" s="185"/>
      <c r="J50" s="185"/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5.5" x14ac:dyDescent="0.35">
      <c r="A51" s="185" t="s">
        <v>94</v>
      </c>
      <c r="B51" s="192">
        <f>B22/B5</f>
        <v>0.15723857677242806</v>
      </c>
      <c r="C51" s="192">
        <f t="shared" ref="C51:D51" si="16">C22/C5</f>
        <v>0.19740209059233449</v>
      </c>
      <c r="D51" s="192">
        <f t="shared" si="16"/>
        <v>0.16967162351172874</v>
      </c>
      <c r="E51" s="192"/>
      <c r="F51" s="237">
        <f t="shared" si="13"/>
        <v>0.17477076362549707</v>
      </c>
      <c r="G51" s="185"/>
      <c r="H51" s="185"/>
      <c r="I51" s="185"/>
      <c r="J51" s="185"/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5.5" x14ac:dyDescent="0.35">
      <c r="A52" s="185" t="s">
        <v>48</v>
      </c>
      <c r="B52" s="192">
        <f>B26/B5</f>
        <v>9.7158360199425683E-2</v>
      </c>
      <c r="C52" s="192">
        <f t="shared" ref="C52:D52" si="17">C26/C5</f>
        <v>8.734216027874564E-2</v>
      </c>
      <c r="D52" s="192">
        <f t="shared" si="17"/>
        <v>7.5658573811064639E-2</v>
      </c>
      <c r="E52" s="192"/>
      <c r="F52" s="237">
        <f t="shared" si="13"/>
        <v>8.6719698096412001E-2</v>
      </c>
      <c r="G52" s="185"/>
      <c r="H52" s="185"/>
      <c r="I52" s="185"/>
      <c r="J52" s="185"/>
      <c r="K52" s="1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5.5" x14ac:dyDescent="0.35">
      <c r="A53" s="185" t="s">
        <v>49</v>
      </c>
      <c r="B53" s="192">
        <f>B33/B5</f>
        <v>3.7694742467217497E-2</v>
      </c>
      <c r="C53" s="192">
        <f t="shared" ref="C53:D53" si="18">C33/C5</f>
        <v>4.1123344947735195E-2</v>
      </c>
      <c r="D53" s="192">
        <f t="shared" si="18"/>
        <v>3.9388014037822328E-2</v>
      </c>
      <c r="E53" s="192"/>
      <c r="F53" s="237">
        <f t="shared" si="13"/>
        <v>3.9402033817591671E-2</v>
      </c>
      <c r="G53" s="185"/>
      <c r="H53" s="185"/>
      <c r="I53" s="185"/>
      <c r="J53" s="185"/>
      <c r="K53" s="1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5.5" x14ac:dyDescent="0.35">
      <c r="A54" s="185" t="s">
        <v>50</v>
      </c>
      <c r="B54" s="192">
        <f>B34/B5</f>
        <v>3.8287851828362369E-2</v>
      </c>
      <c r="C54" s="192">
        <f t="shared" ref="C54:D54" si="19">C34/C5</f>
        <v>6.1198606271777006E-2</v>
      </c>
      <c r="D54" s="192">
        <f t="shared" si="19"/>
        <v>4.3630442497581884E-2</v>
      </c>
      <c r="E54" s="192"/>
      <c r="F54" s="237">
        <f t="shared" si="13"/>
        <v>4.7705633532573753E-2</v>
      </c>
      <c r="G54" s="185"/>
      <c r="H54" s="185"/>
      <c r="I54" s="185"/>
      <c r="J54" s="185"/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5.5" x14ac:dyDescent="0.35">
      <c r="A55" s="185" t="s">
        <v>148</v>
      </c>
      <c r="B55" s="185"/>
      <c r="C55" s="185"/>
      <c r="D55" s="185"/>
      <c r="E55" s="185"/>
      <c r="F55" s="241">
        <v>0.4</v>
      </c>
      <c r="G55" s="185"/>
      <c r="H55" s="185"/>
      <c r="I55" s="185"/>
      <c r="J55" s="185"/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5.5" x14ac:dyDescent="0.35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5.5" x14ac:dyDescent="0.35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5.5" x14ac:dyDescent="0.35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5.5" x14ac:dyDescent="0.35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15.5" x14ac:dyDescent="0.35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15.5" x14ac:dyDescent="0.35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5.5" x14ac:dyDescent="0.35">
      <c r="A62" s="185"/>
      <c r="B62" s="185"/>
      <c r="C62" s="185"/>
      <c r="D62" s="185"/>
      <c r="E62" s="185"/>
      <c r="F62" s="185"/>
      <c r="G62" s="185"/>
      <c r="H62" s="185"/>
      <c r="I62" s="185"/>
      <c r="J62" s="185"/>
      <c r="K62" s="1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5.5" x14ac:dyDescent="0.35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5.5" x14ac:dyDescent="0.35">
      <c r="A64" s="185"/>
      <c r="B64" s="185"/>
      <c r="C64" s="185"/>
      <c r="D64" s="185"/>
      <c r="E64" s="185"/>
      <c r="F64" s="185"/>
      <c r="G64" s="185"/>
      <c r="H64" s="185"/>
      <c r="I64" s="185"/>
      <c r="J64" s="185"/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5.5" x14ac:dyDescent="0.3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5.5" x14ac:dyDescent="0.35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15.5" x14ac:dyDescent="0.35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5.5" x14ac:dyDescent="0.35">
      <c r="A68" s="185"/>
      <c r="B68" s="185"/>
      <c r="C68" s="185"/>
      <c r="D68" s="185"/>
      <c r="E68" s="185"/>
      <c r="F68" s="185"/>
      <c r="G68" s="185"/>
      <c r="H68" s="185"/>
      <c r="I68" s="185"/>
      <c r="J68" s="185"/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5.5" x14ac:dyDescent="0.35">
      <c r="A69" s="185"/>
      <c r="B69" s="185"/>
      <c r="C69" s="185"/>
      <c r="D69" s="185"/>
      <c r="E69" s="185"/>
      <c r="F69" s="185"/>
      <c r="G69" s="185"/>
      <c r="H69" s="185"/>
      <c r="I69" s="185"/>
      <c r="J69" s="185"/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5.5" x14ac:dyDescent="0.35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5.5" x14ac:dyDescent="0.35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5.5" x14ac:dyDescent="0.35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5.5" x14ac:dyDescent="0.35">
      <c r="A73" s="185"/>
      <c r="B73" s="185"/>
      <c r="C73" s="185"/>
      <c r="D73" s="185"/>
      <c r="E73" s="185"/>
      <c r="F73" s="185"/>
      <c r="G73" s="185"/>
      <c r="H73" s="185"/>
      <c r="I73" s="185"/>
      <c r="J73" s="185"/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5.5" x14ac:dyDescent="0.35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5.5" x14ac:dyDescent="0.3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5.5" x14ac:dyDescent="0.35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5.5" x14ac:dyDescent="0.35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5.5" x14ac:dyDescent="0.35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5.5" x14ac:dyDescent="0.35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5.5" x14ac:dyDescent="0.35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5.5" x14ac:dyDescent="0.35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5.5" x14ac:dyDescent="0.35">
      <c r="A82" s="185"/>
      <c r="B82" s="185"/>
      <c r="C82" s="185"/>
      <c r="D82" s="185"/>
      <c r="E82" s="185"/>
      <c r="F82" s="185"/>
      <c r="G82" s="185"/>
      <c r="H82" s="185"/>
      <c r="I82" s="185"/>
      <c r="J82" s="185"/>
      <c r="K82" s="1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5.5" x14ac:dyDescent="0.35">
      <c r="A83" s="185"/>
      <c r="B83" s="185"/>
      <c r="C83" s="185"/>
      <c r="D83" s="185"/>
      <c r="E83" s="185"/>
      <c r="F83" s="185"/>
      <c r="G83" s="185"/>
      <c r="H83" s="185"/>
      <c r="I83" s="185"/>
      <c r="J83" s="185"/>
      <c r="K83" s="1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5.5" x14ac:dyDescent="0.35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5.5" x14ac:dyDescent="0.35">
      <c r="A85" s="185"/>
      <c r="B85" s="185"/>
      <c r="C85" s="185"/>
      <c r="D85" s="185"/>
      <c r="E85" s="185"/>
      <c r="F85" s="185"/>
      <c r="G85" s="185"/>
      <c r="H85" s="185"/>
      <c r="I85" s="185"/>
      <c r="J85" s="185"/>
      <c r="K85" s="1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5.5" x14ac:dyDescent="0.35">
      <c r="A86" s="185"/>
      <c r="B86" s="185"/>
      <c r="C86" s="185"/>
      <c r="D86" s="185"/>
      <c r="E86" s="185"/>
      <c r="F86" s="185"/>
      <c r="G86" s="185"/>
      <c r="H86" s="185"/>
      <c r="I86" s="185"/>
      <c r="J86" s="185"/>
      <c r="K86" s="1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5.5" x14ac:dyDescent="0.35">
      <c r="A87" s="185"/>
      <c r="B87" s="185"/>
      <c r="C87" s="185"/>
      <c r="D87" s="185"/>
      <c r="E87" s="185"/>
      <c r="F87" s="185"/>
      <c r="G87" s="185"/>
      <c r="H87" s="185"/>
      <c r="I87" s="185"/>
      <c r="J87" s="185"/>
      <c r="K87" s="1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5.5" x14ac:dyDescent="0.35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5.5" x14ac:dyDescent="0.35">
      <c r="A89" s="185"/>
      <c r="B89" s="185"/>
      <c r="C89" s="185"/>
      <c r="D89" s="185"/>
      <c r="E89" s="185"/>
      <c r="F89" s="185"/>
      <c r="G89" s="185"/>
      <c r="H89" s="185"/>
      <c r="I89" s="185"/>
      <c r="J89" s="185"/>
      <c r="K89" s="1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5.5" x14ac:dyDescent="0.35">
      <c r="A90" s="185"/>
      <c r="B90" s="185"/>
      <c r="C90" s="185"/>
      <c r="D90" s="185"/>
      <c r="E90" s="185"/>
      <c r="F90" s="185"/>
      <c r="G90" s="185"/>
      <c r="H90" s="185"/>
      <c r="I90" s="185"/>
      <c r="J90" s="185"/>
      <c r="K90" s="1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5.5" x14ac:dyDescent="0.35">
      <c r="A91" s="185"/>
      <c r="B91" s="185"/>
      <c r="C91" s="185"/>
      <c r="D91" s="185"/>
      <c r="E91" s="185"/>
      <c r="F91" s="185"/>
      <c r="G91" s="185"/>
      <c r="H91" s="185"/>
      <c r="I91" s="185"/>
      <c r="J91" s="185"/>
      <c r="K91" s="1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5.5" x14ac:dyDescent="0.35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5.5" x14ac:dyDescent="0.35">
      <c r="A93" s="185"/>
      <c r="B93" s="185"/>
      <c r="C93" s="185"/>
      <c r="D93" s="185"/>
      <c r="E93" s="185"/>
      <c r="F93" s="185"/>
      <c r="G93" s="185"/>
      <c r="H93" s="185"/>
      <c r="I93" s="185"/>
      <c r="J93" s="185"/>
      <c r="K93" s="1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5.5" x14ac:dyDescent="0.35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5.5" x14ac:dyDescent="0.3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5.5" x14ac:dyDescent="0.35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5.5" x14ac:dyDescent="0.35">
      <c r="A97" s="185"/>
      <c r="B97" s="185"/>
      <c r="C97" s="185"/>
      <c r="D97" s="185"/>
      <c r="E97" s="185"/>
      <c r="F97" s="185"/>
      <c r="G97" s="185"/>
      <c r="H97" s="185"/>
      <c r="I97" s="185"/>
      <c r="J97" s="185"/>
      <c r="K97" s="1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5.5" x14ac:dyDescent="0.35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5.5" x14ac:dyDescent="0.35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5.5" x14ac:dyDescent="0.35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5.5" x14ac:dyDescent="0.35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5.5" x14ac:dyDescent="0.35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5.5" x14ac:dyDescent="0.35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5.5" x14ac:dyDescent="0.35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5.5" x14ac:dyDescent="0.35">
      <c r="A105" s="278"/>
      <c r="B105" s="278"/>
      <c r="C105" s="278"/>
      <c r="D105" s="278"/>
      <c r="E105" s="278"/>
      <c r="F105" s="278"/>
      <c r="G105" s="278"/>
      <c r="H105" s="278"/>
      <c r="I105" s="278"/>
      <c r="J105" s="278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5.5" x14ac:dyDescent="0.35">
      <c r="A106" s="278"/>
      <c r="B106" s="278"/>
      <c r="C106" s="278"/>
      <c r="D106" s="278"/>
      <c r="E106" s="278"/>
      <c r="F106" s="278"/>
      <c r="G106" s="278"/>
      <c r="H106" s="278"/>
      <c r="I106" s="278"/>
      <c r="J106" s="278"/>
      <c r="K106" s="1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5.5" x14ac:dyDescent="0.35">
      <c r="A107" s="278"/>
      <c r="B107" s="278"/>
      <c r="C107" s="278"/>
      <c r="D107" s="278"/>
      <c r="E107" s="278"/>
      <c r="F107" s="278"/>
      <c r="G107" s="278"/>
      <c r="H107" s="278"/>
      <c r="I107" s="278"/>
      <c r="J107" s="278"/>
      <c r="K107" s="1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5.5" x14ac:dyDescent="0.35">
      <c r="A108" s="278"/>
      <c r="B108" s="278"/>
      <c r="C108" s="278"/>
      <c r="D108" s="278"/>
      <c r="E108" s="278"/>
      <c r="F108" s="278"/>
      <c r="G108" s="278"/>
      <c r="H108" s="278"/>
      <c r="I108" s="278"/>
      <c r="J108" s="278"/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5.5" x14ac:dyDescent="0.35">
      <c r="A109" s="278"/>
      <c r="B109" s="278"/>
      <c r="C109" s="278"/>
      <c r="D109" s="278"/>
      <c r="E109" s="278"/>
      <c r="F109" s="278"/>
      <c r="G109" s="278"/>
      <c r="H109" s="278"/>
      <c r="I109" s="278"/>
      <c r="J109" s="278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5.5" x14ac:dyDescent="0.35">
      <c r="A110" s="278"/>
      <c r="B110" s="278"/>
      <c r="C110" s="278"/>
      <c r="D110" s="278"/>
      <c r="E110" s="278"/>
      <c r="F110" s="278"/>
      <c r="G110" s="278"/>
      <c r="H110" s="278"/>
      <c r="I110" s="278"/>
      <c r="J110" s="278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5.5" x14ac:dyDescent="0.35">
      <c r="A111" s="278"/>
      <c r="B111" s="278"/>
      <c r="C111" s="278"/>
      <c r="D111" s="278"/>
      <c r="E111" s="278"/>
      <c r="F111" s="278"/>
      <c r="G111" s="278"/>
      <c r="H111" s="278"/>
      <c r="I111" s="278"/>
      <c r="J111" s="278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5.5" x14ac:dyDescent="0.35">
      <c r="A112" s="278"/>
      <c r="B112" s="278"/>
      <c r="C112" s="278"/>
      <c r="D112" s="278"/>
      <c r="E112" s="278"/>
      <c r="F112" s="278"/>
      <c r="G112" s="278"/>
      <c r="H112" s="278"/>
      <c r="I112" s="278"/>
      <c r="J112" s="278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5.5" x14ac:dyDescent="0.35">
      <c r="A113" s="278"/>
      <c r="B113" s="278"/>
      <c r="C113" s="278"/>
      <c r="D113" s="278"/>
      <c r="E113" s="278"/>
      <c r="F113" s="278"/>
      <c r="G113" s="278"/>
      <c r="H113" s="278"/>
      <c r="I113" s="278"/>
      <c r="J113" s="278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5.5" x14ac:dyDescent="0.35">
      <c r="A114" s="278"/>
      <c r="B114" s="278"/>
      <c r="C114" s="278"/>
      <c r="D114" s="278"/>
      <c r="E114" s="278"/>
      <c r="F114" s="278"/>
      <c r="G114" s="278"/>
      <c r="H114" s="278"/>
      <c r="I114" s="278"/>
      <c r="J114" s="278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5.5" x14ac:dyDescent="0.35">
      <c r="A115" s="278"/>
      <c r="B115" s="278"/>
      <c r="C115" s="278"/>
      <c r="D115" s="278"/>
      <c r="E115" s="278"/>
      <c r="F115" s="278"/>
      <c r="G115" s="278"/>
      <c r="H115" s="278"/>
      <c r="I115" s="278"/>
      <c r="J115" s="278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5.5" x14ac:dyDescent="0.35">
      <c r="A116" s="278"/>
      <c r="B116" s="278"/>
      <c r="C116" s="278"/>
      <c r="D116" s="278"/>
      <c r="E116" s="278"/>
      <c r="F116" s="278"/>
      <c r="G116" s="278"/>
      <c r="H116" s="278"/>
      <c r="I116" s="278"/>
      <c r="J116" s="278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5.5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5.5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.5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.5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.5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.5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.5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.5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.5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.5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.5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.5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.5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</sheetData>
  <sheetProtection algorithmName="SHA-512" hashValue="mu0LPnpuXhIQCs+TP97haPx6svllnlGKFgHa7X0P6sTQ9NONjCjsW73u5vdOa1rn6lEgRppCqfJqrhPGsLQ6tg==" saltValue="J5Rf8APr5a3avGMZEfESiw==" spinCount="100000" sheet="1" objects="1" scenarios="1"/>
  <phoneticPr fontId="3" type="noConversion"/>
  <pageMargins left="0.7" right="0.7" top="0.75" bottom="0.75" header="0.3" footer="0.3"/>
  <ignoredErrors>
    <ignoredError sqref="F8:J8 F14:J14" formula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79"/>
  <sheetViews>
    <sheetView workbookViewId="0"/>
  </sheetViews>
  <sheetFormatPr defaultColWidth="8.81640625" defaultRowHeight="14.5" x14ac:dyDescent="0.35"/>
  <cols>
    <col min="1" max="1" width="36.26953125" customWidth="1"/>
    <col min="2" max="5" width="11.453125" bestFit="1" customWidth="1"/>
    <col min="6" max="6" width="12.453125" bestFit="1" customWidth="1"/>
  </cols>
  <sheetData>
    <row r="1" spans="1:36" ht="20" x14ac:dyDescent="0.4">
      <c r="A1" s="279" t="s">
        <v>156</v>
      </c>
      <c r="B1" s="150"/>
      <c r="C1" s="197"/>
      <c r="D1" s="197"/>
      <c r="E1" s="197"/>
      <c r="F1" s="197"/>
      <c r="G1" s="197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2" customFormat="1" x14ac:dyDescent="0.35">
      <c r="A2" s="280"/>
      <c r="B2" s="281"/>
      <c r="C2" s="199"/>
      <c r="D2" s="199"/>
      <c r="E2" s="199"/>
      <c r="F2" s="199"/>
      <c r="G2" s="199"/>
    </row>
    <row r="3" spans="1:36" ht="15.5" x14ac:dyDescent="0.35">
      <c r="A3" s="180" t="s">
        <v>132</v>
      </c>
      <c r="B3" s="180"/>
      <c r="C3" s="180"/>
      <c r="D3" s="180"/>
      <c r="E3" s="180"/>
      <c r="F3" s="180"/>
      <c r="G3" s="180"/>
      <c r="H3" s="7"/>
      <c r="I3" s="7"/>
      <c r="J3" s="7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5" x14ac:dyDescent="0.35">
      <c r="A4" s="282" t="s">
        <v>91</v>
      </c>
      <c r="B4" s="283">
        <v>2007</v>
      </c>
      <c r="C4" s="283">
        <v>2008</v>
      </c>
      <c r="D4" s="283">
        <v>2009</v>
      </c>
      <c r="E4" s="283">
        <v>2010</v>
      </c>
      <c r="F4" s="283">
        <v>2011</v>
      </c>
      <c r="G4" s="185"/>
      <c r="H4" s="6"/>
      <c r="I4" s="6"/>
      <c r="J4" s="6"/>
      <c r="K4" s="6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5" x14ac:dyDescent="0.35">
      <c r="A5" s="220" t="s">
        <v>133</v>
      </c>
      <c r="B5" s="193">
        <v>4161</v>
      </c>
      <c r="C5" s="193">
        <v>4195</v>
      </c>
      <c r="D5" s="193">
        <v>4566</v>
      </c>
      <c r="E5" s="193">
        <v>4894</v>
      </c>
      <c r="F5" s="193">
        <v>5130</v>
      </c>
      <c r="G5" s="185"/>
      <c r="H5" s="6"/>
      <c r="I5" s="6"/>
      <c r="J5" s="6"/>
      <c r="K5" s="6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5" x14ac:dyDescent="0.35">
      <c r="A6" s="220" t="s">
        <v>134</v>
      </c>
      <c r="B6" s="193">
        <v>47888</v>
      </c>
      <c r="C6" s="193">
        <v>48857</v>
      </c>
      <c r="D6" s="193">
        <v>53164</v>
      </c>
      <c r="E6" s="193">
        <v>56978</v>
      </c>
      <c r="F6" s="193">
        <v>59715</v>
      </c>
      <c r="G6" s="185"/>
      <c r="H6" s="6"/>
      <c r="I6" s="6"/>
      <c r="J6" s="6"/>
      <c r="K6" s="6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5" x14ac:dyDescent="0.35">
      <c r="A7" s="220" t="s">
        <v>94</v>
      </c>
      <c r="B7" s="193">
        <v>83770</v>
      </c>
      <c r="C7" s="193">
        <v>85465</v>
      </c>
      <c r="D7" s="193">
        <v>92999</v>
      </c>
      <c r="E7" s="193">
        <v>99672</v>
      </c>
      <c r="F7" s="193">
        <v>104460</v>
      </c>
      <c r="G7" s="185"/>
      <c r="H7" s="6"/>
      <c r="I7" s="6"/>
      <c r="J7" s="6"/>
      <c r="K7" s="6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5" x14ac:dyDescent="0.35">
      <c r="A8" s="220" t="s">
        <v>135</v>
      </c>
      <c r="B8" s="193">
        <v>14474</v>
      </c>
      <c r="C8" s="193">
        <v>14767</v>
      </c>
      <c r="D8" s="193">
        <v>16069</v>
      </c>
      <c r="E8" s="193">
        <v>17222</v>
      </c>
      <c r="F8" s="193">
        <v>18049</v>
      </c>
      <c r="G8" s="185"/>
      <c r="H8" s="6"/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5" x14ac:dyDescent="0.35">
      <c r="A9" s="220"/>
      <c r="B9" s="193"/>
      <c r="C9" s="193"/>
      <c r="D9" s="193"/>
      <c r="E9" s="193"/>
      <c r="F9" s="193"/>
      <c r="G9" s="185"/>
      <c r="H9" s="6"/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5" x14ac:dyDescent="0.35">
      <c r="A10" s="220" t="s">
        <v>136</v>
      </c>
      <c r="B10" s="193">
        <v>35015</v>
      </c>
      <c r="C10" s="193">
        <v>37460</v>
      </c>
      <c r="D10" s="193">
        <v>40120</v>
      </c>
      <c r="E10" s="193">
        <v>42972</v>
      </c>
      <c r="F10" s="193">
        <v>45961</v>
      </c>
      <c r="G10" s="185"/>
      <c r="H10" s="6"/>
      <c r="I10" s="6"/>
      <c r="J10" s="6"/>
      <c r="K10" s="6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5" x14ac:dyDescent="0.35">
      <c r="A11" s="220" t="s">
        <v>98</v>
      </c>
      <c r="B11" s="193">
        <v>43853</v>
      </c>
      <c r="C11" s="193">
        <v>43853</v>
      </c>
      <c r="D11" s="193">
        <v>43853</v>
      </c>
      <c r="E11" s="193">
        <v>43853</v>
      </c>
      <c r="F11" s="193">
        <v>43853</v>
      </c>
      <c r="G11" s="185"/>
      <c r="H11" s="6"/>
      <c r="I11" s="6"/>
      <c r="J11" s="6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5" x14ac:dyDescent="0.35">
      <c r="A12" s="220" t="s">
        <v>99</v>
      </c>
      <c r="B12" s="193">
        <v>43051</v>
      </c>
      <c r="C12" s="193">
        <v>43051</v>
      </c>
      <c r="D12" s="193">
        <v>43051</v>
      </c>
      <c r="E12" s="193">
        <v>43051</v>
      </c>
      <c r="F12" s="193">
        <v>43051</v>
      </c>
      <c r="G12" s="185"/>
      <c r="H12" s="6"/>
      <c r="I12" s="6"/>
      <c r="J12" s="6"/>
      <c r="K12" s="6"/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5" x14ac:dyDescent="0.35">
      <c r="A13" s="220" t="s">
        <v>137</v>
      </c>
      <c r="B13" s="193">
        <v>11162</v>
      </c>
      <c r="C13" s="193">
        <v>11162</v>
      </c>
      <c r="D13" s="193">
        <v>11162</v>
      </c>
      <c r="E13" s="193">
        <v>11162</v>
      </c>
      <c r="F13" s="193">
        <v>11162</v>
      </c>
      <c r="G13" s="185"/>
      <c r="H13" s="6"/>
      <c r="I13" s="6"/>
      <c r="J13" s="6"/>
      <c r="K13" s="6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5" x14ac:dyDescent="0.35">
      <c r="A14" s="220"/>
      <c r="B14" s="193"/>
      <c r="C14" s="193"/>
      <c r="D14" s="193"/>
      <c r="E14" s="193"/>
      <c r="F14" s="193"/>
      <c r="G14" s="185"/>
      <c r="H14" s="6"/>
      <c r="I14" s="6"/>
      <c r="J14" s="6"/>
      <c r="K14" s="6"/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5" x14ac:dyDescent="0.35">
      <c r="A15" s="220"/>
      <c r="B15" s="193"/>
      <c r="C15" s="193"/>
      <c r="D15" s="193"/>
      <c r="E15" s="193"/>
      <c r="F15" s="193"/>
      <c r="G15" s="185"/>
      <c r="H15" s="6"/>
      <c r="I15" s="6"/>
      <c r="J15" s="6"/>
      <c r="K15" s="6"/>
      <c r="L15" s="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5" x14ac:dyDescent="0.35">
      <c r="A16" s="284" t="s">
        <v>138</v>
      </c>
      <c r="B16" s="193"/>
      <c r="C16" s="193"/>
      <c r="D16" s="193"/>
      <c r="E16" s="193"/>
      <c r="F16" s="193"/>
      <c r="G16" s="185"/>
      <c r="H16" s="6"/>
      <c r="I16" s="6"/>
      <c r="J16" s="6"/>
      <c r="K16" s="6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5" x14ac:dyDescent="0.35">
      <c r="A17" s="220" t="s">
        <v>103</v>
      </c>
      <c r="B17" s="193">
        <v>18830</v>
      </c>
      <c r="C17" s="193">
        <v>18985</v>
      </c>
      <c r="D17" s="193">
        <v>20664</v>
      </c>
      <c r="E17" s="193">
        <v>22149</v>
      </c>
      <c r="F17" s="193">
        <v>23214</v>
      </c>
      <c r="G17" s="185"/>
      <c r="H17" s="6"/>
      <c r="I17" s="6"/>
      <c r="J17" s="6"/>
      <c r="K17" s="6"/>
      <c r="L17" s="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5" x14ac:dyDescent="0.35">
      <c r="A18" s="220" t="s">
        <v>104</v>
      </c>
      <c r="B18" s="193">
        <v>22778</v>
      </c>
      <c r="C18" s="193">
        <v>22966</v>
      </c>
      <c r="D18" s="193">
        <v>24996</v>
      </c>
      <c r="E18" s="193">
        <v>26792</v>
      </c>
      <c r="F18" s="193">
        <v>28081</v>
      </c>
      <c r="G18" s="185"/>
      <c r="H18" s="6"/>
      <c r="I18" s="6"/>
      <c r="J18" s="6"/>
      <c r="K18" s="6"/>
      <c r="L18" s="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5" x14ac:dyDescent="0.35">
      <c r="A19" s="220"/>
      <c r="B19" s="193"/>
      <c r="C19" s="193"/>
      <c r="D19" s="193"/>
      <c r="E19" s="193"/>
      <c r="F19" s="193"/>
      <c r="G19" s="185"/>
      <c r="H19" s="6"/>
      <c r="I19" s="6"/>
      <c r="J19" s="6"/>
      <c r="K19" s="6"/>
      <c r="L19" s="6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5" x14ac:dyDescent="0.35">
      <c r="A20" s="220" t="s">
        <v>106</v>
      </c>
      <c r="B20" s="193">
        <v>11654</v>
      </c>
      <c r="C20" s="193">
        <v>11654</v>
      </c>
      <c r="D20" s="193">
        <v>11654</v>
      </c>
      <c r="E20" s="193">
        <v>11654</v>
      </c>
      <c r="F20" s="193">
        <v>11654</v>
      </c>
      <c r="G20" s="185"/>
      <c r="H20" s="6"/>
      <c r="I20" s="6"/>
      <c r="J20" s="6"/>
      <c r="K20" s="6"/>
      <c r="L20" s="6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5" x14ac:dyDescent="0.35">
      <c r="A21" s="220" t="s">
        <v>107</v>
      </c>
      <c r="B21" s="193">
        <v>9080</v>
      </c>
      <c r="C21" s="193">
        <v>9080</v>
      </c>
      <c r="D21" s="193">
        <v>9080</v>
      </c>
      <c r="E21" s="193">
        <v>9080</v>
      </c>
      <c r="F21" s="193">
        <v>9080</v>
      </c>
      <c r="G21" s="185"/>
      <c r="H21" s="6"/>
      <c r="I21" s="6"/>
      <c r="J21" s="6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5" x14ac:dyDescent="0.35">
      <c r="A22" s="285"/>
      <c r="B22" s="285"/>
      <c r="C22" s="285"/>
      <c r="D22" s="285"/>
      <c r="E22" s="285"/>
      <c r="F22" s="285"/>
      <c r="G22" s="27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5" x14ac:dyDescent="0.35">
      <c r="A23" s="285"/>
      <c r="B23" s="285"/>
      <c r="C23" s="285"/>
      <c r="D23" s="285"/>
      <c r="E23" s="285"/>
      <c r="F23" s="285"/>
      <c r="G23" s="27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5" x14ac:dyDescent="0.35">
      <c r="A24" s="285"/>
      <c r="B24" s="285"/>
      <c r="C24" s="285"/>
      <c r="D24" s="285"/>
      <c r="E24" s="285"/>
      <c r="F24" s="285"/>
      <c r="G24" s="27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5" x14ac:dyDescent="0.35">
      <c r="A25" s="16"/>
      <c r="B25" s="16"/>
      <c r="C25" s="16"/>
      <c r="D25" s="16"/>
      <c r="E25" s="16"/>
      <c r="F25" s="16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35">
      <c r="A26" s="17"/>
      <c r="B26" s="17"/>
      <c r="C26" s="17"/>
      <c r="D26" s="17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</sheetData>
  <sheetProtection algorithmName="SHA-512" hashValue="qv7xaNFEzW6NxOnvlxu1qInrVvqmge4+UAFozV8NOC1iUjpOjj9jTOdwEh6/pTF6sNumW+QxYCyxH34RdYD3Cg==" saltValue="6VS2INi8GATj7jcPIiqmVw==" spinCount="100000" sheet="1" objects="1" scenario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386"/>
  <sheetViews>
    <sheetView workbookViewId="0"/>
  </sheetViews>
  <sheetFormatPr defaultColWidth="8.81640625" defaultRowHeight="14.5" x14ac:dyDescent="0.35"/>
  <cols>
    <col min="1" max="1" width="27" customWidth="1"/>
    <col min="2" max="2" width="16.81640625" customWidth="1"/>
    <col min="3" max="3" width="14.453125" customWidth="1"/>
    <col min="4" max="4" width="18.1796875" customWidth="1"/>
    <col min="5" max="5" width="16.453125" customWidth="1"/>
    <col min="6" max="6" width="19.1796875" customWidth="1"/>
    <col min="7" max="7" width="19.26953125" customWidth="1"/>
  </cols>
  <sheetData>
    <row r="1" spans="1:65" ht="20" x14ac:dyDescent="0.4">
      <c r="A1" s="179" t="s">
        <v>123</v>
      </c>
      <c r="B1" s="286"/>
      <c r="C1" s="286"/>
      <c r="D1" s="286"/>
      <c r="E1" s="286"/>
      <c r="F1" s="286"/>
      <c r="G1" s="150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s="2" customFormat="1" x14ac:dyDescent="0.35">
      <c r="A2" s="281"/>
      <c r="B2" s="281"/>
      <c r="C2" s="281"/>
      <c r="D2" s="281"/>
      <c r="E2" s="281"/>
      <c r="F2" s="281"/>
      <c r="G2" s="281"/>
      <c r="H2" s="1"/>
      <c r="I2" s="1"/>
      <c r="J2" s="1"/>
      <c r="K2" s="1"/>
    </row>
    <row r="3" spans="1:65" ht="15.5" x14ac:dyDescent="0.35">
      <c r="A3" s="183" t="s">
        <v>116</v>
      </c>
      <c r="B3" s="231" t="s">
        <v>110</v>
      </c>
      <c r="C3" s="231" t="s">
        <v>111</v>
      </c>
      <c r="D3" s="231" t="s">
        <v>112</v>
      </c>
      <c r="E3" s="231" t="s">
        <v>113</v>
      </c>
      <c r="F3" s="231" t="s">
        <v>114</v>
      </c>
      <c r="G3" s="231" t="s">
        <v>115</v>
      </c>
      <c r="H3" s="10"/>
      <c r="I3" s="10"/>
      <c r="J3" s="10"/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ht="15.5" x14ac:dyDescent="0.35">
      <c r="A4" s="185" t="s">
        <v>117</v>
      </c>
      <c r="B4" s="287">
        <v>219093</v>
      </c>
      <c r="C4" s="287">
        <v>51663</v>
      </c>
      <c r="D4" s="287">
        <v>123563</v>
      </c>
      <c r="E4" s="287">
        <v>36802</v>
      </c>
      <c r="F4" s="287">
        <v>0</v>
      </c>
      <c r="G4" s="287">
        <f>B4+C4+D4+E4+F4</f>
        <v>431121</v>
      </c>
      <c r="H4" s="10"/>
      <c r="I4" s="10"/>
      <c r="J4" s="10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ht="15.5" x14ac:dyDescent="0.35">
      <c r="A5" s="185" t="s">
        <v>118</v>
      </c>
      <c r="B5" s="287">
        <v>31421</v>
      </c>
      <c r="C5" s="287">
        <v>8242</v>
      </c>
      <c r="D5" s="287">
        <v>12703</v>
      </c>
      <c r="E5" s="287">
        <v>-843</v>
      </c>
      <c r="F5" s="287">
        <v>-9224</v>
      </c>
      <c r="G5" s="287">
        <f>SUM(B5:F5)</f>
        <v>42299</v>
      </c>
      <c r="H5" s="10"/>
      <c r="I5" s="10"/>
      <c r="J5" s="10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ht="15.5" x14ac:dyDescent="0.35">
      <c r="A6" s="185" t="s">
        <v>101</v>
      </c>
      <c r="B6" s="287">
        <v>148576</v>
      </c>
      <c r="C6" s="287">
        <v>28457</v>
      </c>
      <c r="D6" s="287">
        <v>27978</v>
      </c>
      <c r="E6" s="287">
        <v>34701</v>
      </c>
      <c r="F6" s="287">
        <v>30880</v>
      </c>
      <c r="G6" s="287">
        <f>SUM(B6:F6)</f>
        <v>270592</v>
      </c>
      <c r="H6" s="10"/>
      <c r="I6" s="10"/>
      <c r="J6" s="10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.5" x14ac:dyDescent="0.35">
      <c r="A7" s="185" t="s">
        <v>121</v>
      </c>
      <c r="B7" s="288">
        <f>B5/B4</f>
        <v>0.14341398401592018</v>
      </c>
      <c r="C7" s="288">
        <f t="shared" ref="C7:G7" si="0">C5/C4</f>
        <v>0.1595339024059772</v>
      </c>
      <c r="D7" s="288">
        <f t="shared" si="0"/>
        <v>0.10280585612197826</v>
      </c>
      <c r="E7" s="288">
        <f t="shared" si="0"/>
        <v>-2.2906363784576927E-2</v>
      </c>
      <c r="F7" s="289">
        <v>-2.1</v>
      </c>
      <c r="G7" s="288">
        <f t="shared" si="0"/>
        <v>9.8113986560617553E-2</v>
      </c>
      <c r="H7" s="10"/>
      <c r="I7" s="10"/>
      <c r="J7" s="10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ht="15.5" x14ac:dyDescent="0.35">
      <c r="A8" s="185"/>
      <c r="B8" s="288"/>
      <c r="C8" s="288"/>
      <c r="D8" s="288"/>
      <c r="E8" s="288"/>
      <c r="F8" s="289"/>
      <c r="G8" s="288"/>
      <c r="H8" s="10"/>
      <c r="I8" s="10"/>
      <c r="J8" s="10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ht="15.5" x14ac:dyDescent="0.35">
      <c r="A9" s="183" t="s">
        <v>119</v>
      </c>
      <c r="B9" s="290"/>
      <c r="C9" s="290"/>
      <c r="D9" s="290"/>
      <c r="E9" s="290"/>
      <c r="F9" s="290"/>
      <c r="G9" s="290"/>
      <c r="H9" s="10"/>
      <c r="I9" s="10"/>
      <c r="J9" s="10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ht="15.5" x14ac:dyDescent="0.35">
      <c r="A10" s="185" t="s">
        <v>117</v>
      </c>
      <c r="B10" s="287">
        <v>151900</v>
      </c>
      <c r="C10" s="287">
        <v>55402</v>
      </c>
      <c r="D10" s="287">
        <v>108097</v>
      </c>
      <c r="E10" s="287">
        <v>43381</v>
      </c>
      <c r="F10" s="287">
        <v>0</v>
      </c>
      <c r="G10" s="291">
        <f>SUM(B10:F10)</f>
        <v>358780</v>
      </c>
      <c r="H10" s="10"/>
      <c r="I10" s="10"/>
      <c r="J10" s="10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ht="15.5" x14ac:dyDescent="0.35">
      <c r="A11" s="185" t="s">
        <v>118</v>
      </c>
      <c r="B11" s="287">
        <v>18398</v>
      </c>
      <c r="C11" s="287">
        <v>9077</v>
      </c>
      <c r="D11" s="287">
        <v>11631</v>
      </c>
      <c r="E11" s="287">
        <v>-1013</v>
      </c>
      <c r="F11" s="287">
        <v>-7027</v>
      </c>
      <c r="G11" s="291">
        <f t="shared" ref="G11:G18" si="1">SUM(B11:F11)</f>
        <v>31066</v>
      </c>
      <c r="H11" s="10"/>
      <c r="I11" s="10"/>
      <c r="J11" s="10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ht="15.5" x14ac:dyDescent="0.35">
      <c r="A12" s="185" t="s">
        <v>101</v>
      </c>
      <c r="B12" s="287">
        <v>173482</v>
      </c>
      <c r="C12" s="287">
        <v>30842</v>
      </c>
      <c r="D12" s="287">
        <v>24267</v>
      </c>
      <c r="E12" s="287">
        <v>12197</v>
      </c>
      <c r="F12" s="287">
        <v>18244</v>
      </c>
      <c r="G12" s="291">
        <f t="shared" si="1"/>
        <v>259032</v>
      </c>
      <c r="H12" s="10"/>
      <c r="I12" s="10"/>
      <c r="J12" s="10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ht="15.5" x14ac:dyDescent="0.35">
      <c r="A13" s="185" t="s">
        <v>122</v>
      </c>
      <c r="B13" s="288">
        <f>B11/B10</f>
        <v>0.1211191573403555</v>
      </c>
      <c r="C13" s="288">
        <f t="shared" ref="C13:G13" si="2">C11/C10</f>
        <v>0.16383885058301145</v>
      </c>
      <c r="D13" s="288">
        <f t="shared" si="2"/>
        <v>0.10759780567453306</v>
      </c>
      <c r="E13" s="288">
        <f t="shared" si="2"/>
        <v>-2.3351236716534888E-2</v>
      </c>
      <c r="F13" s="288">
        <v>-0.02</v>
      </c>
      <c r="G13" s="288">
        <f t="shared" si="2"/>
        <v>8.6587881152795587E-2</v>
      </c>
      <c r="H13" s="10"/>
      <c r="I13" s="10"/>
      <c r="J13" s="10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ht="15.5" x14ac:dyDescent="0.35">
      <c r="A14" s="185"/>
      <c r="B14" s="288"/>
      <c r="C14" s="288"/>
      <c r="D14" s="288"/>
      <c r="E14" s="288"/>
      <c r="F14" s="288"/>
      <c r="G14" s="288"/>
      <c r="H14" s="10"/>
      <c r="I14" s="10"/>
      <c r="J14" s="10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ht="15.5" x14ac:dyDescent="0.35">
      <c r="A15" s="183" t="s">
        <v>120</v>
      </c>
      <c r="B15" s="290"/>
      <c r="C15" s="290"/>
      <c r="D15" s="290"/>
      <c r="E15" s="290"/>
      <c r="F15" s="290"/>
      <c r="G15" s="291" t="s">
        <v>80</v>
      </c>
      <c r="H15" s="10"/>
      <c r="I15" s="10"/>
      <c r="J15" s="10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ht="15.5" x14ac:dyDescent="0.35">
      <c r="A16" s="185" t="s">
        <v>117</v>
      </c>
      <c r="B16" s="287">
        <v>131636</v>
      </c>
      <c r="C16" s="287">
        <v>58787</v>
      </c>
      <c r="D16" s="287">
        <v>95897</v>
      </c>
      <c r="E16" s="287">
        <v>54258</v>
      </c>
      <c r="F16" s="287">
        <v>0</v>
      </c>
      <c r="G16" s="291">
        <f t="shared" si="1"/>
        <v>340578</v>
      </c>
      <c r="H16" s="10"/>
      <c r="I16" s="10"/>
      <c r="J16" s="10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ht="15.5" x14ac:dyDescent="0.35">
      <c r="A17" s="185" t="s">
        <v>118</v>
      </c>
      <c r="B17" s="287">
        <v>17720</v>
      </c>
      <c r="C17" s="287">
        <v>9196</v>
      </c>
      <c r="D17" s="287">
        <v>9109</v>
      </c>
      <c r="E17" s="287">
        <v>462</v>
      </c>
      <c r="F17" s="287">
        <v>-4134</v>
      </c>
      <c r="G17" s="291">
        <f t="shared" si="1"/>
        <v>32353</v>
      </c>
      <c r="H17" s="10"/>
      <c r="I17" s="10"/>
      <c r="J17" s="10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ht="15.5" x14ac:dyDescent="0.35">
      <c r="A18" s="185" t="s">
        <v>101</v>
      </c>
      <c r="B18" s="287">
        <v>39543</v>
      </c>
      <c r="C18" s="287">
        <v>34966</v>
      </c>
      <c r="D18" s="287">
        <v>22526</v>
      </c>
      <c r="E18" s="287">
        <v>15056</v>
      </c>
      <c r="F18" s="287">
        <v>30919</v>
      </c>
      <c r="G18" s="291">
        <f t="shared" si="1"/>
        <v>143010</v>
      </c>
      <c r="H18" s="10"/>
      <c r="I18" s="10"/>
      <c r="J18" s="10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ht="15.5" x14ac:dyDescent="0.35">
      <c r="A19" s="185" t="s">
        <v>122</v>
      </c>
      <c r="B19" s="288">
        <f>B17/B16</f>
        <v>0.13461363152936887</v>
      </c>
      <c r="C19" s="288">
        <f t="shared" ref="C19:G19" si="3">C17/C16</f>
        <v>0.15642914249749093</v>
      </c>
      <c r="D19" s="288">
        <f t="shared" si="3"/>
        <v>9.498733015631354E-2</v>
      </c>
      <c r="E19" s="288">
        <f t="shared" si="3"/>
        <v>8.5148733827269708E-3</v>
      </c>
      <c r="F19" s="288">
        <v>-1.2E-2</v>
      </c>
      <c r="G19" s="288">
        <f t="shared" si="3"/>
        <v>9.4994391886733726E-2</v>
      </c>
      <c r="H19" s="10"/>
      <c r="I19" s="10"/>
      <c r="J19" s="10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ht="15.5" x14ac:dyDescent="0.35">
      <c r="A20" s="185"/>
      <c r="B20" s="290"/>
      <c r="C20" s="290"/>
      <c r="D20" s="290"/>
      <c r="E20" s="290"/>
      <c r="F20" s="290"/>
      <c r="G20" s="290"/>
      <c r="H20" s="10"/>
      <c r="I20" s="10"/>
      <c r="J20" s="10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ht="15.5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ht="15.5" x14ac:dyDescent="0.3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ht="15.5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ht="15.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ht="15.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ht="15.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ht="15.5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1:6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1:6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1:6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1:6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1:6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1:6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1:6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1:6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1:6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1:6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 spans="1:6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1:6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1:6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1:6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1:6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1:6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1:6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1:6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1:6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1:6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1:6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1:6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1:6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1:6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1:6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1:6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1:6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1:6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1:6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1:6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1:6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1:6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1:6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1:6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1:6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1:6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1:6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1:6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1:6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1:6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 spans="1:6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1:6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1:6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 spans="1:6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1:6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1:6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 spans="1:6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1:6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1:6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 spans="1:6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1:6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1:6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 spans="1:6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1:6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1:6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 spans="1:6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1:6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1:6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 spans="1:6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1:6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1:6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 spans="1:6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1:6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1:6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 spans="1:6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1:6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1:6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 spans="1:6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1:6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1:6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 spans="1:6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1:6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1:6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spans="1:6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1:6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1:6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1:6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1:6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1:6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spans="1:6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1:6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1:6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spans="1:6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1:6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1:6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1:6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1:6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1:6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1:6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1:6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1:6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1:6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1:6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1:6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1:6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1:6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1:6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1:6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1:6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1:6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1:6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 spans="1:6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1:6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1:6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 spans="1:6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1:6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1:6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1:6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1:6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1:6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 spans="1:6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1:6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1:6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 spans="1:6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1:6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1:6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 spans="1:6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1:6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1:6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 spans="1:6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1:6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1:6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 spans="1:6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1:6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1:6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 spans="1:6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1:6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1:6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 spans="1:6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1:6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1:6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 spans="1:6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1:6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1:6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 spans="1:6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1:6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1:6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 spans="1:6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1:6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1:6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 spans="1:6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1:6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1:6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 spans="1:6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1:6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1:6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1:6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1:6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1:6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1:6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1:6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1:6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1:6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1:6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1:6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1:6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1:6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 spans="1:6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1:6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1:6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1:6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1:6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1:6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1:6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1:6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1:6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 spans="1:6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1:6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1:6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 spans="1:6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1:6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1:6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 spans="1:6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1:6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1:6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 spans="1:6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1:6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1:6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 spans="1:6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1:6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1:6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 spans="1:6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1:6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1:6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 spans="1:6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1:6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1:6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 spans="1:6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1:6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1:6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 spans="1:6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1:6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1:6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 spans="1:6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1:6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1:6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 spans="1:6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1:6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1:6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 spans="1:6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1:6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1:6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 spans="1:6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1:6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1:6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1:6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1:6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1:6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 spans="1:6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1:6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1:6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 spans="1:6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1:6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1:6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1:6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1:6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1:6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1:6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1:6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1:6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1:6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1:6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1:6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1:6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1:6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1:6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1:6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1:6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1:6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1:6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1:6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1:6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1:6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1:6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1:6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1:6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1:6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1:6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 spans="1:6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1:6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1:6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 spans="1:6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1:6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1:6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 spans="1:6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1:6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1:6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 spans="1:6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1:6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1:6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 spans="1:6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1:6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1:6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 spans="1:6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1:6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1:6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 spans="1:6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1:6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1:6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 spans="1:6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1:6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1:6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 spans="1:6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1:6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1:6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 spans="1:6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1:6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 spans="1:6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1:6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1:6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 spans="1:6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1:6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</sheetData>
  <sheetProtection algorithmName="SHA-512" hashValue="ev64pBxfOQRADVG2zfBytLGq9zYwu39/NmgTRQW/7xER5QdCoCVAyJuLxhQzPEHoFpvyxgguCsqi68UCbZE3Ig==" saltValue="WAVweUBjajfSqXg/s0cO7Q==" spinCount="100000" sheet="1" objects="1" scenarios="1"/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417"/>
  <sheetViews>
    <sheetView workbookViewId="0"/>
  </sheetViews>
  <sheetFormatPr defaultColWidth="8.81640625" defaultRowHeight="14.5" x14ac:dyDescent="0.35"/>
  <cols>
    <col min="1" max="1" width="26.81640625" customWidth="1"/>
    <col min="2" max="6" width="12.7265625" bestFit="1" customWidth="1"/>
  </cols>
  <sheetData>
    <row r="1" spans="1:62" ht="20" x14ac:dyDescent="0.4">
      <c r="A1" s="8" t="s">
        <v>155</v>
      </c>
      <c r="B1" s="8"/>
      <c r="C1" s="8"/>
      <c r="D1" s="8"/>
      <c r="E1" s="8"/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s="2" customFormat="1" x14ac:dyDescent="0.35">
      <c r="A2" s="3"/>
      <c r="B2" s="3"/>
      <c r="C2" s="3"/>
      <c r="D2" s="3"/>
      <c r="E2" s="3"/>
      <c r="F2" s="3"/>
    </row>
    <row r="3" spans="1:62" ht="15.5" x14ac:dyDescent="0.35">
      <c r="A3" s="283" t="s">
        <v>110</v>
      </c>
      <c r="B3" s="283">
        <v>2007</v>
      </c>
      <c r="C3" s="283">
        <v>2008</v>
      </c>
      <c r="D3" s="283">
        <v>2009</v>
      </c>
      <c r="E3" s="283">
        <v>2010</v>
      </c>
      <c r="F3" s="283">
        <v>2011</v>
      </c>
      <c r="G3" s="27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5.5" x14ac:dyDescent="0.35">
      <c r="A4" s="220" t="s">
        <v>117</v>
      </c>
      <c r="B4" s="193">
        <v>251957</v>
      </c>
      <c r="C4" s="193">
        <v>282192</v>
      </c>
      <c r="D4" s="193">
        <v>310411</v>
      </c>
      <c r="E4" s="193">
        <v>335244</v>
      </c>
      <c r="F4" s="193">
        <v>352006</v>
      </c>
      <c r="G4" s="27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ht="15.5" x14ac:dyDescent="0.35">
      <c r="A5" s="220" t="s">
        <v>124</v>
      </c>
      <c r="B5" s="194">
        <v>218435</v>
      </c>
      <c r="C5" s="194">
        <v>244647</v>
      </c>
      <c r="D5" s="194">
        <v>269112</v>
      </c>
      <c r="E5" s="194">
        <v>290641</v>
      </c>
      <c r="F5" s="194">
        <v>305173</v>
      </c>
      <c r="G5" s="27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ht="15.5" x14ac:dyDescent="0.35">
      <c r="A6" s="220" t="s">
        <v>118</v>
      </c>
      <c r="B6" s="292">
        <f>B4-B5</f>
        <v>33522</v>
      </c>
      <c r="C6" s="292">
        <f t="shared" ref="C6:F6" si="0">C4-C5</f>
        <v>37545</v>
      </c>
      <c r="D6" s="292">
        <f t="shared" si="0"/>
        <v>41299</v>
      </c>
      <c r="E6" s="292">
        <f t="shared" si="0"/>
        <v>44603</v>
      </c>
      <c r="F6" s="292">
        <f t="shared" si="0"/>
        <v>46833</v>
      </c>
      <c r="G6" s="27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ht="15.5" x14ac:dyDescent="0.35">
      <c r="A7" s="220"/>
      <c r="B7" s="220"/>
      <c r="C7" s="220"/>
      <c r="D7" s="220"/>
      <c r="E7" s="220"/>
      <c r="F7" s="220"/>
      <c r="G7" s="27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.5" x14ac:dyDescent="0.35">
      <c r="A8" s="218" t="s">
        <v>111</v>
      </c>
      <c r="B8" s="220"/>
      <c r="C8" s="220"/>
      <c r="D8" s="220"/>
      <c r="E8" s="220"/>
      <c r="F8" s="220"/>
      <c r="G8" s="27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ht="15.5" x14ac:dyDescent="0.35">
      <c r="A9" s="220" t="s">
        <v>117</v>
      </c>
      <c r="B9" s="193">
        <v>52179</v>
      </c>
      <c r="C9" s="193">
        <v>53223</v>
      </c>
      <c r="D9" s="193">
        <v>54287</v>
      </c>
      <c r="E9" s="193">
        <v>55916</v>
      </c>
      <c r="F9" s="193">
        <v>57594</v>
      </c>
      <c r="G9" s="27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ht="15.5" x14ac:dyDescent="0.35">
      <c r="A10" s="220" t="s">
        <v>125</v>
      </c>
      <c r="B10" s="194">
        <v>43834</v>
      </c>
      <c r="C10" s="194">
        <v>44711</v>
      </c>
      <c r="D10" s="194">
        <v>45605</v>
      </c>
      <c r="E10" s="194">
        <v>46973</v>
      </c>
      <c r="F10" s="194">
        <v>48382</v>
      </c>
      <c r="G10" s="27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ht="15.5" x14ac:dyDescent="0.35">
      <c r="A11" s="220" t="s">
        <v>118</v>
      </c>
      <c r="B11" s="193">
        <f>B9-B10</f>
        <v>8345</v>
      </c>
      <c r="C11" s="193">
        <f t="shared" ref="C11:F11" si="1">C9-C10</f>
        <v>8512</v>
      </c>
      <c r="D11" s="193">
        <f t="shared" si="1"/>
        <v>8682</v>
      </c>
      <c r="E11" s="193">
        <f t="shared" si="1"/>
        <v>8943</v>
      </c>
      <c r="F11" s="193">
        <f t="shared" si="1"/>
        <v>9212</v>
      </c>
      <c r="G11" s="27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ht="15.5" x14ac:dyDescent="0.35">
      <c r="A12" s="220"/>
      <c r="B12" s="193"/>
      <c r="C12" s="193"/>
      <c r="D12" s="193"/>
      <c r="E12" s="193"/>
      <c r="F12" s="193"/>
      <c r="G12" s="27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ht="15.5" x14ac:dyDescent="0.35">
      <c r="A13" s="218" t="s">
        <v>126</v>
      </c>
      <c r="B13" s="193"/>
      <c r="C13" s="193"/>
      <c r="D13" s="193"/>
      <c r="E13" s="193"/>
      <c r="F13" s="193"/>
      <c r="G13" s="27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ht="15.5" x14ac:dyDescent="0.35">
      <c r="A14" s="220" t="s">
        <v>117</v>
      </c>
      <c r="B14" s="193">
        <v>138390</v>
      </c>
      <c r="C14" s="193">
        <v>153613</v>
      </c>
      <c r="D14" s="193">
        <v>167438</v>
      </c>
      <c r="E14" s="193">
        <v>179159</v>
      </c>
      <c r="F14" s="193">
        <v>188117</v>
      </c>
      <c r="G14" s="27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ht="15.5" x14ac:dyDescent="0.35">
      <c r="A15" s="220" t="s">
        <v>125</v>
      </c>
      <c r="B15" s="194">
        <v>124302</v>
      </c>
      <c r="C15" s="194">
        <v>137976</v>
      </c>
      <c r="D15" s="194">
        <v>150393</v>
      </c>
      <c r="E15" s="194">
        <v>160921</v>
      </c>
      <c r="F15" s="194">
        <v>168967</v>
      </c>
      <c r="G15" s="27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ht="15.5" x14ac:dyDescent="0.35">
      <c r="A16" s="220" t="s">
        <v>118</v>
      </c>
      <c r="B16" s="193">
        <f>B14-B15</f>
        <v>14088</v>
      </c>
      <c r="C16" s="193">
        <f t="shared" ref="C16:F16" si="2">C14-C15</f>
        <v>15637</v>
      </c>
      <c r="D16" s="193">
        <f t="shared" si="2"/>
        <v>17045</v>
      </c>
      <c r="E16" s="193">
        <f t="shared" si="2"/>
        <v>18238</v>
      </c>
      <c r="F16" s="193">
        <f t="shared" si="2"/>
        <v>19150</v>
      </c>
      <c r="G16" s="27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5.5" x14ac:dyDescent="0.35">
      <c r="A17" s="220"/>
      <c r="B17" s="220"/>
      <c r="C17" s="220"/>
      <c r="D17" s="220"/>
      <c r="E17" s="220"/>
      <c r="F17" s="220"/>
      <c r="G17" s="27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5.5" x14ac:dyDescent="0.35">
      <c r="A18" s="218" t="s">
        <v>113</v>
      </c>
      <c r="B18" s="220"/>
      <c r="C18" s="220"/>
      <c r="D18" s="220"/>
      <c r="E18" s="220"/>
      <c r="F18" s="220"/>
      <c r="G18" s="27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5.5" x14ac:dyDescent="0.35">
      <c r="A19" s="220" t="s">
        <v>117</v>
      </c>
      <c r="B19" s="193">
        <v>36802</v>
      </c>
      <c r="C19" s="293">
        <f>B19*(1+'Cost of Capital'!$B$13)</f>
        <v>37538.04</v>
      </c>
      <c r="D19" s="293">
        <f>C19*(1+'Cost of Capital'!$B$13)</f>
        <v>38288.800800000005</v>
      </c>
      <c r="E19" s="293">
        <f>D19*(1+'Cost of Capital'!$B$13)</f>
        <v>39054.576816000008</v>
      </c>
      <c r="F19" s="293">
        <f>E19*(1+'Cost of Capital'!$B$13)</f>
        <v>39835.668352320012</v>
      </c>
      <c r="G19" s="27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5.5" x14ac:dyDescent="0.35">
      <c r="A20" s="188" t="s">
        <v>124</v>
      </c>
      <c r="B20" s="189">
        <v>37265</v>
      </c>
      <c r="C20" s="294">
        <f>C19*0.9</f>
        <v>33784.236000000004</v>
      </c>
      <c r="D20" s="294">
        <f t="shared" ref="D20:F20" si="3">D19*0.9</f>
        <v>34459.920720000002</v>
      </c>
      <c r="E20" s="294">
        <f t="shared" si="3"/>
        <v>35149.119134400011</v>
      </c>
      <c r="F20" s="294">
        <f t="shared" si="3"/>
        <v>35852.101517088013</v>
      </c>
      <c r="G20" s="27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5.5" x14ac:dyDescent="0.35">
      <c r="A21" s="218" t="s">
        <v>118</v>
      </c>
      <c r="B21" s="195">
        <f>B19-B20</f>
        <v>-463</v>
      </c>
      <c r="C21" s="295">
        <f t="shared" ref="C21:F21" si="4">C19-C20</f>
        <v>3753.8039999999964</v>
      </c>
      <c r="D21" s="295">
        <f t="shared" si="4"/>
        <v>3828.8800800000026</v>
      </c>
      <c r="E21" s="295">
        <f t="shared" si="4"/>
        <v>3905.4576815999972</v>
      </c>
      <c r="F21" s="295">
        <f t="shared" si="4"/>
        <v>3983.566835231999</v>
      </c>
      <c r="G21" s="27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5.5" x14ac:dyDescent="0.35">
      <c r="A22" s="220"/>
      <c r="B22" s="220"/>
      <c r="C22" s="220"/>
      <c r="D22" s="220"/>
      <c r="E22" s="220"/>
      <c r="F22" s="220"/>
      <c r="G22" s="27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5.5" x14ac:dyDescent="0.35">
      <c r="A23" s="218" t="s">
        <v>127</v>
      </c>
      <c r="B23" s="292">
        <f t="shared" ref="B23:F24" si="5">B4+B9+B14+B19</f>
        <v>479328</v>
      </c>
      <c r="C23" s="292">
        <f t="shared" si="5"/>
        <v>526566.04</v>
      </c>
      <c r="D23" s="292">
        <f t="shared" si="5"/>
        <v>570424.80079999997</v>
      </c>
      <c r="E23" s="292">
        <f t="shared" si="5"/>
        <v>609373.57681600004</v>
      </c>
      <c r="F23" s="292">
        <f t="shared" si="5"/>
        <v>637552.66835231998</v>
      </c>
      <c r="G23" s="27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ht="15.5" x14ac:dyDescent="0.35">
      <c r="A24" s="220" t="s">
        <v>125</v>
      </c>
      <c r="B24" s="194">
        <f t="shared" si="5"/>
        <v>423836</v>
      </c>
      <c r="C24" s="194">
        <f t="shared" si="5"/>
        <v>461118.23600000003</v>
      </c>
      <c r="D24" s="194">
        <f t="shared" si="5"/>
        <v>499569.92071999999</v>
      </c>
      <c r="E24" s="194">
        <f t="shared" si="5"/>
        <v>533684.11913440004</v>
      </c>
      <c r="F24" s="194">
        <f t="shared" si="5"/>
        <v>558374.10151708801</v>
      </c>
      <c r="G24" s="27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ht="15.5" x14ac:dyDescent="0.35">
      <c r="A25" s="220" t="s">
        <v>128</v>
      </c>
      <c r="B25" s="220">
        <v>8487</v>
      </c>
      <c r="C25" s="220">
        <v>8659</v>
      </c>
      <c r="D25" s="220">
        <v>9422</v>
      </c>
      <c r="E25" s="220">
        <v>10098</v>
      </c>
      <c r="F25" s="220">
        <v>10583</v>
      </c>
      <c r="G25" s="27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ht="15.5" x14ac:dyDescent="0.35">
      <c r="A26" s="218" t="s">
        <v>129</v>
      </c>
      <c r="B26" s="292">
        <f>B23-B24-B25</f>
        <v>47005</v>
      </c>
      <c r="C26" s="292">
        <f t="shared" ref="C26:F26" si="6">C23-C24-C25</f>
        <v>56788.804000000004</v>
      </c>
      <c r="D26" s="292">
        <f t="shared" si="6"/>
        <v>61432.880079999974</v>
      </c>
      <c r="E26" s="292">
        <f t="shared" si="6"/>
        <v>65591.457681600004</v>
      </c>
      <c r="F26" s="292">
        <f t="shared" si="6"/>
        <v>68595.566835231963</v>
      </c>
      <c r="G26" s="27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ht="15.5" x14ac:dyDescent="0.35">
      <c r="A27" s="220"/>
      <c r="B27" s="220"/>
      <c r="C27" s="220"/>
      <c r="D27" s="220"/>
      <c r="E27" s="220"/>
      <c r="F27" s="220"/>
      <c r="G27" s="27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ht="15.5" x14ac:dyDescent="0.35">
      <c r="A28" s="220" t="s">
        <v>131</v>
      </c>
      <c r="B28" s="193">
        <v>11983</v>
      </c>
      <c r="C28" s="193">
        <v>12226</v>
      </c>
      <c r="D28" s="193">
        <v>13303</v>
      </c>
      <c r="E28" s="193">
        <v>14258</v>
      </c>
      <c r="F28" s="193">
        <v>14943</v>
      </c>
      <c r="G28" s="27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ht="15.5" x14ac:dyDescent="0.35">
      <c r="A29" s="220" t="s">
        <v>130</v>
      </c>
      <c r="B29" s="193">
        <v>9587</v>
      </c>
      <c r="C29" s="193">
        <v>9781</v>
      </c>
      <c r="D29" s="193">
        <v>10643</v>
      </c>
      <c r="E29" s="193">
        <v>11406</v>
      </c>
      <c r="F29" s="193">
        <v>11954</v>
      </c>
      <c r="G29" s="27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ht="15.5" x14ac:dyDescent="0.35">
      <c r="A30" s="12"/>
      <c r="B30" s="12"/>
      <c r="C30" s="12"/>
      <c r="D30" s="12"/>
      <c r="E30" s="12"/>
      <c r="F30" s="12"/>
      <c r="G30" s="1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ht="15.5" x14ac:dyDescent="0.35">
      <c r="A31" s="12"/>
      <c r="B31" s="12"/>
      <c r="C31" s="12"/>
      <c r="D31" s="12"/>
      <c r="E31" s="12"/>
      <c r="F31" s="12"/>
      <c r="G31" s="1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ht="15.5" x14ac:dyDescent="0.35">
      <c r="A32" s="11"/>
      <c r="B32" s="11"/>
      <c r="C32" s="11"/>
      <c r="D32" s="11"/>
      <c r="E32" s="11"/>
      <c r="F32" s="11"/>
      <c r="G32" s="1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1:62" ht="15.5" x14ac:dyDescent="0.35">
      <c r="A33" s="11"/>
      <c r="B33" s="11"/>
      <c r="C33" s="11"/>
      <c r="D33" s="11"/>
      <c r="E33" s="11"/>
      <c r="F33" s="11"/>
      <c r="G33" s="1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1:62" ht="15.5" x14ac:dyDescent="0.35">
      <c r="A34" s="11"/>
      <c r="B34" s="11"/>
      <c r="C34" s="11"/>
      <c r="D34" s="11"/>
      <c r="E34" s="11"/>
      <c r="F34" s="11"/>
      <c r="G34" s="1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1:62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1:62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1:6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spans="1:62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1:62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spans="1:62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1:62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spans="1:62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spans="1:6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1:62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spans="1:62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spans="1:62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spans="1:62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 spans="1:62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spans="1:62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spans="1:62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spans="1:6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 spans="1:6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 spans="1:62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spans="1:6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  <row r="55" spans="1:62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spans="1:62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spans="1:62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spans="1:6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spans="1:62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spans="1:62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spans="1:62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spans="1:62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spans="1:62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spans="1:62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spans="1:62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</row>
    <row r="66" spans="1:62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1:62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</row>
    <row r="68" spans="1:62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</row>
    <row r="69" spans="1:6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</row>
    <row r="70" spans="1:62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</row>
    <row r="71" spans="1:62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</row>
    <row r="72" spans="1:62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</row>
    <row r="73" spans="1:62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</row>
    <row r="74" spans="1:62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</row>
    <row r="75" spans="1:62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</row>
    <row r="76" spans="1:62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</row>
    <row r="77" spans="1:62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</row>
    <row r="78" spans="1:6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</row>
    <row r="79" spans="1:62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</row>
    <row r="80" spans="1:62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</row>
    <row r="81" spans="1:62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</row>
    <row r="82" spans="1:62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</row>
    <row r="83" spans="1:62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</row>
    <row r="84" spans="1:62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</row>
    <row r="85" spans="1:62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</row>
    <row r="86" spans="1:62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</row>
    <row r="87" spans="1:62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</row>
    <row r="88" spans="1:62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</row>
    <row r="89" spans="1:62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</row>
    <row r="90" spans="1:62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</row>
    <row r="91" spans="1:62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</row>
    <row r="92" spans="1:6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</row>
    <row r="93" spans="1:62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</row>
    <row r="94" spans="1:62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</row>
    <row r="95" spans="1:62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</row>
    <row r="96" spans="1:62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</row>
    <row r="97" spans="1:62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</row>
    <row r="98" spans="1:62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</row>
    <row r="99" spans="1:62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</row>
    <row r="100" spans="1:62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</row>
    <row r="101" spans="1:62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</row>
    <row r="102" spans="1:62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</row>
    <row r="103" spans="1:62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</row>
    <row r="104" spans="1:62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</row>
    <row r="105" spans="1:6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</row>
    <row r="106" spans="1:62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</row>
    <row r="107" spans="1:62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</row>
    <row r="108" spans="1:62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</row>
    <row r="109" spans="1:62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</row>
    <row r="110" spans="1:62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</row>
    <row r="111" spans="1:62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</row>
    <row r="112" spans="1:62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</row>
    <row r="113" spans="1:62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spans="1:62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</row>
    <row r="115" spans="1:62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</row>
    <row r="116" spans="1:62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</row>
    <row r="117" spans="1:62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</row>
    <row r="118" spans="1:62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</row>
    <row r="119" spans="1:62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</row>
    <row r="120" spans="1:62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</row>
    <row r="121" spans="1:62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</row>
    <row r="122" spans="1:62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</row>
    <row r="123" spans="1:62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</row>
    <row r="124" spans="1:62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</row>
    <row r="125" spans="1:62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</row>
    <row r="126" spans="1:6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</row>
    <row r="127" spans="1:62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</row>
    <row r="128" spans="1:62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</row>
    <row r="129" spans="1:6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</row>
    <row r="130" spans="1:62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</row>
    <row r="131" spans="1:62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</row>
    <row r="132" spans="1:62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</row>
    <row r="133" spans="1:62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</row>
    <row r="134" spans="1:62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</row>
    <row r="135" spans="1:62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</row>
    <row r="136" spans="1:62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</row>
    <row r="137" spans="1:62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</row>
    <row r="138" spans="1:62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</row>
    <row r="139" spans="1:62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</row>
    <row r="140" spans="1:62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</row>
    <row r="141" spans="1:62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</row>
    <row r="142" spans="1:62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</row>
    <row r="143" spans="1:62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</row>
    <row r="144" spans="1:62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</row>
    <row r="145" spans="1:62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</row>
    <row r="146" spans="1:6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</row>
    <row r="147" spans="1:62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</row>
    <row r="148" spans="1:62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</row>
    <row r="149" spans="1:62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</row>
    <row r="150" spans="1:62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</row>
    <row r="151" spans="1:62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</row>
    <row r="152" spans="1:62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</row>
    <row r="153" spans="1:62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</row>
    <row r="154" spans="1:62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</row>
    <row r="155" spans="1:62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</row>
    <row r="156" spans="1:6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</row>
    <row r="157" spans="1:62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</row>
    <row r="158" spans="1:62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</row>
    <row r="159" spans="1:62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</row>
    <row r="160" spans="1:62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</row>
    <row r="161" spans="1:62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</row>
    <row r="162" spans="1:62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</row>
    <row r="163" spans="1:62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</row>
    <row r="164" spans="1:62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</row>
    <row r="165" spans="1:6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</row>
    <row r="166" spans="1:62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</row>
    <row r="167" spans="1:62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</row>
    <row r="168" spans="1:62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</row>
    <row r="169" spans="1:62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</row>
    <row r="170" spans="1:62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</row>
    <row r="171" spans="1:62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</row>
    <row r="172" spans="1:62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</row>
    <row r="173" spans="1:62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</row>
    <row r="174" spans="1:62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</row>
    <row r="175" spans="1:62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</row>
    <row r="176" spans="1:62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</row>
    <row r="177" spans="1:62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</row>
    <row r="178" spans="1:6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</row>
    <row r="179" spans="1:62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</row>
    <row r="180" spans="1:62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</row>
    <row r="181" spans="1:62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</row>
    <row r="182" spans="1:62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</row>
    <row r="183" spans="1:62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</row>
    <row r="184" spans="1:6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</row>
    <row r="185" spans="1:62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</row>
    <row r="186" spans="1:62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</row>
    <row r="187" spans="1:62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</row>
    <row r="188" spans="1:62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</row>
    <row r="189" spans="1:62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</row>
    <row r="190" spans="1:62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</row>
    <row r="191" spans="1:62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</row>
    <row r="192" spans="1:62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</row>
    <row r="193" spans="1:62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</row>
    <row r="194" spans="1:62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</row>
    <row r="195" spans="1:62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</row>
    <row r="196" spans="1:62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</row>
    <row r="197" spans="1:62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</row>
    <row r="198" spans="1:6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</row>
    <row r="199" spans="1:62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</row>
    <row r="200" spans="1:62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</row>
    <row r="201" spans="1:6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</row>
    <row r="202" spans="1:62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</row>
    <row r="203" spans="1:62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</row>
    <row r="204" spans="1:62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</row>
    <row r="205" spans="1:62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</row>
    <row r="206" spans="1:62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</row>
    <row r="207" spans="1:62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</row>
    <row r="208" spans="1:62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</row>
    <row r="209" spans="1:62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</row>
    <row r="210" spans="1:62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</row>
    <row r="211" spans="1:62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</row>
    <row r="212" spans="1:62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</row>
    <row r="213" spans="1:62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</row>
    <row r="214" spans="1:6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</row>
    <row r="215" spans="1:62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</row>
    <row r="216" spans="1:62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</row>
    <row r="217" spans="1:62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</row>
    <row r="218" spans="1:62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</row>
    <row r="219" spans="1:62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</row>
    <row r="220" spans="1:62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</row>
    <row r="221" spans="1:62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</row>
    <row r="222" spans="1:62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</row>
    <row r="223" spans="1:62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</row>
    <row r="224" spans="1:62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</row>
    <row r="225" spans="1:6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</row>
    <row r="226" spans="1:62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</row>
    <row r="227" spans="1:62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</row>
    <row r="228" spans="1:62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</row>
    <row r="229" spans="1:62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</row>
    <row r="230" spans="1:62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</row>
    <row r="231" spans="1:6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</row>
    <row r="232" spans="1:62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</row>
    <row r="233" spans="1:62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</row>
    <row r="234" spans="1:62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</row>
    <row r="235" spans="1:62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</row>
    <row r="236" spans="1:62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</row>
    <row r="237" spans="1:62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</row>
    <row r="238" spans="1:62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</row>
    <row r="239" spans="1:62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</row>
    <row r="240" spans="1:62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</row>
    <row r="241" spans="1:62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</row>
    <row r="242" spans="1:62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</row>
    <row r="243" spans="1:62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</row>
    <row r="244" spans="1:62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</row>
    <row r="245" spans="1:6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</row>
    <row r="246" spans="1:62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</row>
    <row r="247" spans="1:62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</row>
    <row r="248" spans="1:62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</row>
    <row r="249" spans="1:62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</row>
    <row r="250" spans="1:62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</row>
    <row r="251" spans="1:62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</row>
    <row r="252" spans="1:62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</row>
    <row r="253" spans="1:62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</row>
    <row r="254" spans="1:62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</row>
    <row r="255" spans="1:62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</row>
    <row r="256" spans="1:62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</row>
    <row r="257" spans="1:62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</row>
    <row r="258" spans="1:6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</row>
    <row r="259" spans="1:62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</row>
    <row r="260" spans="1:62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</row>
    <row r="261" spans="1:62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</row>
    <row r="262" spans="1:62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</row>
    <row r="263" spans="1:62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</row>
    <row r="264" spans="1:62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</row>
    <row r="265" spans="1:6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</row>
    <row r="266" spans="1:62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</row>
    <row r="267" spans="1:62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</row>
    <row r="268" spans="1:62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</row>
    <row r="269" spans="1:62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</row>
    <row r="270" spans="1:62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</row>
    <row r="271" spans="1:62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</row>
    <row r="272" spans="1:62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</row>
    <row r="273" spans="1:62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</row>
    <row r="274" spans="1:62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</row>
    <row r="275" spans="1:62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</row>
    <row r="276" spans="1:62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</row>
    <row r="277" spans="1:62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</row>
    <row r="278" spans="1:6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</row>
    <row r="279" spans="1:6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</row>
    <row r="280" spans="1:62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</row>
    <row r="281" spans="1:62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</row>
    <row r="282" spans="1:62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</row>
    <row r="283" spans="1:62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</row>
    <row r="284" spans="1:6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</row>
    <row r="285" spans="1:6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</row>
    <row r="286" spans="1:62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</row>
    <row r="287" spans="1:62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</row>
    <row r="288" spans="1:62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</row>
    <row r="289" spans="1:62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</row>
    <row r="290" spans="1:62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</row>
    <row r="291" spans="1:62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</row>
    <row r="292" spans="1:62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</row>
    <row r="293" spans="1:62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</row>
    <row r="294" spans="1:62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</row>
    <row r="295" spans="1:62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</row>
    <row r="296" spans="1:62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</row>
    <row r="297" spans="1:62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</row>
    <row r="298" spans="1:62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</row>
    <row r="299" spans="1:62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</row>
    <row r="300" spans="1:62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</row>
    <row r="301" spans="1:62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</row>
    <row r="302" spans="1:6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</row>
    <row r="303" spans="1:62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</row>
    <row r="304" spans="1:62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</row>
    <row r="305" spans="1:62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</row>
    <row r="306" spans="1:62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</row>
    <row r="307" spans="1:62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</row>
    <row r="308" spans="1:62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</row>
    <row r="309" spans="1:6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</row>
    <row r="310" spans="1:62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</row>
    <row r="311" spans="1:62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</row>
    <row r="312" spans="1:62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</row>
    <row r="313" spans="1:62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</row>
    <row r="314" spans="1:62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</row>
    <row r="315" spans="1:62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</row>
    <row r="316" spans="1:62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</row>
    <row r="317" spans="1:62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</row>
    <row r="318" spans="1:62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</row>
    <row r="319" spans="1:62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</row>
    <row r="320" spans="1:62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</row>
    <row r="321" spans="1:62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</row>
    <row r="322" spans="1:62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</row>
    <row r="323" spans="1:62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</row>
    <row r="324" spans="1:6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</row>
    <row r="325" spans="1:62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</row>
    <row r="326" spans="1:62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</row>
    <row r="327" spans="1:62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</row>
    <row r="328" spans="1:6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</row>
    <row r="329" spans="1:62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</row>
    <row r="330" spans="1:62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</row>
    <row r="331" spans="1:62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</row>
    <row r="332" spans="1:62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</row>
    <row r="333" spans="1:62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</row>
    <row r="334" spans="1:62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</row>
    <row r="335" spans="1:62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</row>
    <row r="336" spans="1:62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</row>
    <row r="337" spans="1:62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</row>
    <row r="338" spans="1:62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</row>
    <row r="339" spans="1:6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</row>
    <row r="340" spans="1:62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</row>
    <row r="341" spans="1:62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</row>
    <row r="342" spans="1:62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</row>
    <row r="343" spans="1:62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</row>
    <row r="344" spans="1:62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</row>
    <row r="345" spans="1:62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</row>
    <row r="346" spans="1:62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</row>
    <row r="347" spans="1:62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</row>
    <row r="348" spans="1:62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</row>
    <row r="349" spans="1:62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</row>
    <row r="350" spans="1:62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</row>
    <row r="351" spans="1:62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</row>
    <row r="352" spans="1:62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</row>
    <row r="353" spans="1:62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</row>
    <row r="354" spans="1:62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</row>
    <row r="355" spans="1:6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</row>
    <row r="356" spans="1:62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</row>
    <row r="357" spans="1:62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</row>
    <row r="358" spans="1:62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</row>
    <row r="359" spans="1:62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</row>
    <row r="360" spans="1:62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</row>
    <row r="361" spans="1:62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</row>
    <row r="362" spans="1:62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</row>
    <row r="363" spans="1:62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</row>
    <row r="364" spans="1:62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</row>
    <row r="365" spans="1:62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</row>
    <row r="366" spans="1:62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</row>
    <row r="367" spans="1:62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</row>
    <row r="368" spans="1:62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</row>
    <row r="369" spans="1:62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</row>
    <row r="370" spans="1:62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</row>
    <row r="371" spans="1:62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</row>
    <row r="372" spans="1:62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</row>
    <row r="373" spans="1:62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</row>
    <row r="374" spans="1:62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</row>
    <row r="375" spans="1:62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</row>
    <row r="376" spans="1:62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</row>
    <row r="377" spans="1:62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</row>
    <row r="378" spans="1:62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</row>
    <row r="379" spans="1:62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</row>
    <row r="380" spans="1:62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</row>
    <row r="381" spans="1:62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</row>
    <row r="382" spans="1:6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</row>
    <row r="383" spans="1:62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</row>
    <row r="384" spans="1:62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</row>
    <row r="385" spans="1:62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</row>
    <row r="386" spans="1:62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</row>
    <row r="387" spans="1:62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</row>
    <row r="388" spans="1:62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</row>
    <row r="389" spans="1:62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</row>
    <row r="390" spans="1:62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</row>
    <row r="391" spans="1:62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</row>
    <row r="392" spans="1:62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</row>
    <row r="393" spans="1:62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</row>
    <row r="394" spans="1:62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</row>
    <row r="395" spans="1:62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</row>
    <row r="396" spans="1:62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</row>
    <row r="397" spans="1:62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</row>
    <row r="398" spans="1:62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</row>
    <row r="399" spans="1:62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</row>
    <row r="400" spans="1:62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</row>
    <row r="401" spans="1:62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</row>
    <row r="402" spans="1:62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</row>
    <row r="403" spans="1:62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</row>
    <row r="404" spans="1:62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</row>
    <row r="405" spans="1:62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</row>
    <row r="406" spans="1:62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</row>
    <row r="407" spans="1:62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</row>
    <row r="408" spans="1:6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</row>
    <row r="409" spans="1:62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</row>
    <row r="410" spans="1:62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</row>
    <row r="411" spans="1:62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</row>
    <row r="412" spans="1:62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</row>
    <row r="413" spans="1:62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</row>
    <row r="414" spans="1:62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</row>
    <row r="415" spans="1:62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</row>
    <row r="416" spans="1:62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</row>
    <row r="417" spans="1:62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</row>
  </sheetData>
  <sheetProtection algorithmName="SHA-512" hashValue="xHWxVl6752KSer78uPhyLdEgC197JLC/0/AzGsFtYOewUOsJES7olwjFrdFCHT2lZomGAzGF7okol/I9t/85TA==" saltValue="Gk1Te3TLPMIQsfjvs4WRww==" spinCount="100000" sheet="1" objects="1" scenarios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COVER PG</vt:lpstr>
      <vt:lpstr>Ratios</vt:lpstr>
      <vt:lpstr>Rates</vt:lpstr>
      <vt:lpstr>WACC-CAPM</vt:lpstr>
      <vt:lpstr>DCF</vt:lpstr>
      <vt:lpstr>AGI IS</vt:lpstr>
      <vt:lpstr>AGI Bal.</vt:lpstr>
      <vt:lpstr>Comps</vt:lpstr>
      <vt:lpstr>Valuation</vt:lpstr>
      <vt:lpstr>Cost of Capital</vt:lpstr>
      <vt:lpstr>Mercury Model</vt:lpstr>
      <vt:lpstr>Mercury BS</vt:lpstr>
      <vt:lpstr>Mercury Segments</vt:lpstr>
      <vt:lpstr>Mercury Base Case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Brown</dc:creator>
  <cp:lastModifiedBy>Kyle W. Brown</cp:lastModifiedBy>
  <dcterms:created xsi:type="dcterms:W3CDTF">2013-12-31T23:39:25Z</dcterms:created>
  <dcterms:modified xsi:type="dcterms:W3CDTF">2020-11-11T02:47:59Z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2444892c-9610-40f9-8391-fa268074c883</vt:lpwstr>
  </property>
</Properties>
</file>