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gin-labs.m.storage.umich.edu\mattbov\windat.V2\Desktop\"/>
    </mc:Choice>
  </mc:AlternateContent>
  <bookViews>
    <workbookView xWindow="0" yWindow="0" windowWidth="28800" windowHeight="12435"/>
  </bookViews>
  <sheets>
    <sheet name="Data Input Templ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97" i="2" l="1"/>
  <c r="BM97" i="2"/>
  <c r="BM96" i="2"/>
  <c r="BL97" i="2"/>
  <c r="BL96" i="2"/>
  <c r="BL95" i="2"/>
  <c r="BK97" i="2"/>
  <c r="BK96" i="2"/>
  <c r="BK95" i="2"/>
  <c r="BK94" i="2"/>
  <c r="BJ97" i="2"/>
  <c r="BJ96" i="2"/>
  <c r="BJ95" i="2"/>
  <c r="BJ94" i="2"/>
  <c r="BJ93" i="2"/>
  <c r="BL93" i="2"/>
  <c r="BM93" i="2"/>
  <c r="BN93" i="2"/>
  <c r="BI97" i="2"/>
  <c r="BI96" i="2"/>
  <c r="BI95" i="2"/>
  <c r="BI94" i="2"/>
  <c r="BI93" i="2"/>
  <c r="BI92" i="2"/>
  <c r="BH97" i="2"/>
  <c r="BH96" i="2"/>
  <c r="BH95" i="2"/>
  <c r="BH94" i="2"/>
  <c r="BH93" i="2"/>
  <c r="BH92" i="2"/>
  <c r="BH91" i="2"/>
  <c r="BG97" i="2"/>
  <c r="BG96" i="2"/>
  <c r="BG95" i="2"/>
  <c r="BG94" i="2"/>
  <c r="BG93" i="2"/>
  <c r="BG92" i="2"/>
  <c r="BG91" i="2"/>
  <c r="BG90" i="2"/>
  <c r="BF97" i="2"/>
  <c r="BF96" i="2"/>
  <c r="BF95" i="2"/>
  <c r="BF94" i="2"/>
  <c r="BF93" i="2"/>
  <c r="BF92" i="2"/>
  <c r="BF91" i="2"/>
  <c r="BF90" i="2"/>
  <c r="BF89" i="2"/>
  <c r="BE97" i="2"/>
  <c r="BE96" i="2"/>
  <c r="BE95" i="2"/>
  <c r="BE94" i="2"/>
  <c r="BE93" i="2"/>
  <c r="BE92" i="2"/>
  <c r="BE91" i="2"/>
  <c r="BE90" i="2"/>
  <c r="BE89" i="2"/>
  <c r="BE88" i="2"/>
  <c r="BD97" i="2"/>
  <c r="BD96" i="2"/>
  <c r="BD95" i="2"/>
  <c r="BD94" i="2"/>
  <c r="BD93" i="2"/>
  <c r="BD92" i="2"/>
  <c r="BD91" i="2"/>
  <c r="BD90" i="2"/>
  <c r="BD89" i="2"/>
  <c r="BD88" i="2"/>
  <c r="BD87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D46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BO43" i="2"/>
  <c r="BO79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2" i="2"/>
  <c r="BO41" i="2"/>
  <c r="BO40" i="2"/>
  <c r="BO39" i="2"/>
  <c r="BO38" i="2"/>
  <c r="BO37" i="2"/>
  <c r="BO36" i="2"/>
  <c r="BO35" i="2"/>
  <c r="BN95" i="2"/>
  <c r="BN94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M94" i="2"/>
  <c r="BM92" i="2"/>
  <c r="BM91" i="2"/>
  <c r="BM90" i="2"/>
  <c r="BM89" i="2"/>
  <c r="BM88" i="2"/>
  <c r="BM87" i="2"/>
  <c r="BM86" i="2"/>
  <c r="BM85" i="2"/>
  <c r="BM84" i="2"/>
  <c r="BM83" i="2"/>
  <c r="BM82" i="2"/>
  <c r="BM81" i="2"/>
  <c r="BM80" i="2"/>
  <c r="BM79" i="2"/>
  <c r="BM78" i="2"/>
  <c r="BM77" i="2"/>
  <c r="BM76" i="2"/>
  <c r="BM75" i="2"/>
  <c r="BM74" i="2"/>
  <c r="BM73" i="2"/>
  <c r="BM72" i="2"/>
  <c r="BM71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E86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4" i="2"/>
  <c r="BE65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B3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59" i="2"/>
  <c r="BA61" i="2"/>
  <c r="BA60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I164" i="2"/>
  <c r="AT36" i="2"/>
  <c r="AT3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Q46" i="2"/>
  <c r="Q45" i="2"/>
  <c r="Q44" i="2"/>
  <c r="Q43" i="2"/>
  <c r="Q42" i="2"/>
  <c r="Q41" i="2"/>
  <c r="Q40" i="2"/>
  <c r="Q39" i="2"/>
  <c r="Q38" i="2"/>
  <c r="Q37" i="2"/>
  <c r="Q36" i="2"/>
  <c r="Q34" i="2"/>
  <c r="Q35" i="2"/>
  <c r="P45" i="2"/>
  <c r="P44" i="2"/>
  <c r="P43" i="2"/>
  <c r="P42" i="2"/>
  <c r="P41" i="2"/>
  <c r="P40" i="2"/>
  <c r="P39" i="2"/>
  <c r="P38" i="2"/>
  <c r="P37" i="2"/>
  <c r="P36" i="2"/>
  <c r="O34" i="2"/>
  <c r="P35" i="2"/>
  <c r="O44" i="2"/>
  <c r="O43" i="2"/>
  <c r="O42" i="2"/>
  <c r="O41" i="2"/>
  <c r="O40" i="2"/>
  <c r="O39" i="2"/>
  <c r="O38" i="2"/>
  <c r="O37" i="2"/>
  <c r="O36" i="2"/>
  <c r="O35" i="2"/>
  <c r="N43" i="2"/>
  <c r="N42" i="2"/>
  <c r="N41" i="2"/>
  <c r="N40" i="2"/>
  <c r="N39" i="2"/>
  <c r="N38" i="2"/>
  <c r="N37" i="2"/>
  <c r="N36" i="2"/>
  <c r="N35" i="2"/>
  <c r="M42" i="2"/>
  <c r="M41" i="2"/>
  <c r="M40" i="2"/>
  <c r="M39" i="2"/>
  <c r="M38" i="2"/>
  <c r="M37" i="2"/>
  <c r="M36" i="2"/>
  <c r="L41" i="2"/>
  <c r="L40" i="2"/>
  <c r="L39" i="2"/>
  <c r="L38" i="2"/>
  <c r="L37" i="2"/>
  <c r="L36" i="2"/>
  <c r="K40" i="2"/>
  <c r="K39" i="2"/>
  <c r="K38" i="2"/>
  <c r="K37" i="2"/>
  <c r="K36" i="2"/>
  <c r="J39" i="2"/>
  <c r="J38" i="2"/>
  <c r="J37" i="2"/>
  <c r="J36" i="2"/>
  <c r="I38" i="2"/>
  <c r="I37" i="2"/>
  <c r="I36" i="2"/>
  <c r="H37" i="2"/>
  <c r="H36" i="2"/>
  <c r="E168" i="2" l="1"/>
  <c r="D168" i="2"/>
  <c r="E167" i="2"/>
  <c r="D167" i="2"/>
  <c r="E166" i="2"/>
  <c r="D166" i="2"/>
  <c r="G165" i="2"/>
  <c r="F165" i="2"/>
  <c r="E165" i="2"/>
  <c r="C165" i="2"/>
  <c r="E164" i="2"/>
  <c r="D164" i="2"/>
  <c r="G163" i="2"/>
  <c r="F163" i="2"/>
  <c r="E163" i="2"/>
  <c r="C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H150" i="2"/>
  <c r="E150" i="2"/>
  <c r="D150" i="2"/>
  <c r="E149" i="2"/>
  <c r="D149" i="2"/>
  <c r="I149" i="2" l="1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5" i="2"/>
  <c r="I166" i="2"/>
  <c r="I167" i="2"/>
  <c r="I168" i="2"/>
  <c r="H148" i="2"/>
  <c r="E148" i="2"/>
  <c r="D148" i="2"/>
  <c r="H147" i="2"/>
  <c r="E147" i="2"/>
  <c r="D147" i="2"/>
  <c r="H146" i="2"/>
  <c r="E146" i="2"/>
  <c r="D146" i="2"/>
  <c r="H145" i="2"/>
  <c r="E145" i="2"/>
  <c r="D145" i="2"/>
  <c r="H144" i="2"/>
  <c r="E144" i="2"/>
  <c r="D144" i="2"/>
  <c r="H143" i="2"/>
  <c r="E143" i="2"/>
  <c r="D143" i="2"/>
  <c r="H142" i="2"/>
  <c r="E142" i="2"/>
  <c r="D142" i="2"/>
  <c r="H141" i="2"/>
  <c r="E141" i="2"/>
  <c r="D141" i="2"/>
  <c r="H140" i="2"/>
  <c r="E140" i="2"/>
  <c r="D140" i="2"/>
  <c r="H139" i="2"/>
  <c r="E139" i="2"/>
  <c r="D139" i="2"/>
  <c r="H138" i="2"/>
  <c r="E138" i="2"/>
  <c r="D138" i="2"/>
  <c r="H137" i="2"/>
  <c r="E137" i="2"/>
  <c r="D137" i="2"/>
  <c r="H136" i="2"/>
  <c r="E136" i="2"/>
  <c r="D136" i="2"/>
  <c r="H135" i="2"/>
  <c r="E135" i="2"/>
  <c r="D135" i="2"/>
  <c r="H134" i="2"/>
  <c r="E134" i="2"/>
  <c r="D134" i="2"/>
  <c r="H133" i="2"/>
  <c r="E133" i="2"/>
  <c r="D133" i="2"/>
  <c r="H132" i="2"/>
  <c r="E132" i="2"/>
  <c r="D132" i="2"/>
  <c r="H131" i="2"/>
  <c r="E131" i="2"/>
  <c r="D131" i="2"/>
  <c r="H130" i="2"/>
  <c r="E130" i="2"/>
  <c r="D130" i="2"/>
  <c r="H129" i="2"/>
  <c r="E129" i="2"/>
  <c r="D129" i="2"/>
  <c r="E128" i="2" l="1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D118" i="2"/>
  <c r="C118" i="2"/>
  <c r="E117" i="2"/>
  <c r="D117" i="2"/>
  <c r="C117" i="2"/>
  <c r="E116" i="2"/>
  <c r="D116" i="2"/>
  <c r="C116" i="2"/>
  <c r="E115" i="2"/>
  <c r="D115" i="2"/>
  <c r="C115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I111" i="2" l="1"/>
  <c r="D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70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06" i="2"/>
  <c r="I107" i="2"/>
  <c r="I108" i="2"/>
  <c r="I109" i="2"/>
  <c r="I110" i="2"/>
  <c r="I105" i="2"/>
  <c r="M11" i="2"/>
  <c r="E34" i="2" l="1"/>
  <c r="BA34" i="2"/>
  <c r="BC34" i="2"/>
  <c r="AB34" i="2"/>
  <c r="AW34" i="2"/>
  <c r="AO34" i="2"/>
  <c r="P34" i="2"/>
  <c r="AK34" i="2"/>
  <c r="T34" i="2"/>
  <c r="AS34" i="2"/>
  <c r="L34" i="2"/>
  <c r="AG34" i="2"/>
  <c r="J34" i="2"/>
  <c r="X34" i="2"/>
  <c r="H34" i="2"/>
  <c r="BN34" i="2"/>
  <c r="BJ34" i="2"/>
  <c r="BF34" i="2"/>
  <c r="BO34" i="2"/>
  <c r="BK34" i="2"/>
  <c r="BG34" i="2"/>
  <c r="BM34" i="2"/>
  <c r="BE34" i="2"/>
  <c r="BH34" i="2"/>
  <c r="BL34" i="2"/>
  <c r="BI34" i="2"/>
  <c r="K34" i="2"/>
  <c r="M34" i="2"/>
  <c r="R34" i="2"/>
  <c r="U34" i="2"/>
  <c r="Y34" i="2"/>
  <c r="AD34" i="2"/>
  <c r="AH34" i="2"/>
  <c r="AL34" i="2"/>
  <c r="AP34" i="2"/>
  <c r="AT34" i="2"/>
  <c r="AX34" i="2"/>
  <c r="G36" i="2"/>
  <c r="G34" i="2"/>
  <c r="F34" i="2"/>
  <c r="N34" i="2"/>
  <c r="V34" i="2"/>
  <c r="AA34" i="2"/>
  <c r="AE34" i="2"/>
  <c r="AI34" i="2"/>
  <c r="AM34" i="2"/>
  <c r="AQ34" i="2"/>
  <c r="AU34" i="2"/>
  <c r="AY34" i="2"/>
  <c r="K35" i="2"/>
  <c r="G35" i="2"/>
  <c r="L35" i="2"/>
  <c r="H35" i="2"/>
  <c r="J35" i="2"/>
  <c r="I35" i="2"/>
  <c r="F35" i="2"/>
  <c r="M35" i="2"/>
  <c r="I34" i="2"/>
  <c r="S34" i="2"/>
  <c r="W34" i="2"/>
  <c r="Z34" i="2"/>
  <c r="AF34" i="2"/>
  <c r="AJ34" i="2"/>
  <c r="AN34" i="2"/>
  <c r="AR34" i="2"/>
  <c r="AV34" i="2"/>
  <c r="AZ34" i="2"/>
  <c r="AC34" i="2"/>
</calcChain>
</file>

<file path=xl/sharedStrings.xml><?xml version="1.0" encoding="utf-8"?>
<sst xmlns="http://schemas.openxmlformats.org/spreadsheetml/2006/main" count="82" uniqueCount="81">
  <si>
    <t>RPI</t>
  </si>
  <si>
    <t>Seed</t>
  </si>
  <si>
    <t>Michigan</t>
  </si>
  <si>
    <t>Wofford</t>
  </si>
  <si>
    <t>Off Eff</t>
  </si>
  <si>
    <t>Def Eff</t>
  </si>
  <si>
    <t>Florida</t>
  </si>
  <si>
    <t>Albany</t>
  </si>
  <si>
    <t>Win% vs D1</t>
  </si>
  <si>
    <t>Win% Top 50 RPI</t>
  </si>
  <si>
    <t>ESPN RPI Page</t>
  </si>
  <si>
    <t>TeamRankings.com</t>
  </si>
  <si>
    <t>Sports-Reference.com</t>
  </si>
  <si>
    <t>FINAL NUMBER</t>
  </si>
  <si>
    <t>Avg Margin of Victory</t>
  </si>
  <si>
    <t>Arizona</t>
  </si>
  <si>
    <t>Wichita St</t>
  </si>
  <si>
    <t>Virginia</t>
  </si>
  <si>
    <t>Kansas</t>
  </si>
  <si>
    <t>Wisconsin</t>
  </si>
  <si>
    <t>Villanova</t>
  </si>
  <si>
    <t>Syracuse</t>
  </si>
  <si>
    <t>Creighton</t>
  </si>
  <si>
    <t>Duke</t>
  </si>
  <si>
    <t>Iowa St</t>
  </si>
  <si>
    <t>UCLA</t>
  </si>
  <si>
    <t>San Diego St</t>
  </si>
  <si>
    <t>Louisville</t>
  </si>
  <si>
    <t>Michigan St</t>
  </si>
  <si>
    <t>VCU</t>
  </si>
  <si>
    <t>Oklahoma</t>
  </si>
  <si>
    <t>Saint Louis</t>
  </si>
  <si>
    <t>Cincinnati</t>
  </si>
  <si>
    <t>Ohio State</t>
  </si>
  <si>
    <t>Baylor</t>
  </si>
  <si>
    <t>Umass</t>
  </si>
  <si>
    <t>UNC</t>
  </si>
  <si>
    <t>New Mexico</t>
  </si>
  <si>
    <t>Oregon</t>
  </si>
  <si>
    <t>Texas</t>
  </si>
  <si>
    <t>Uconn</t>
  </si>
  <si>
    <t>Colorado</t>
  </si>
  <si>
    <t>Gonzaga</t>
  </si>
  <si>
    <t>Kentucky</t>
  </si>
  <si>
    <t>Memphis</t>
  </si>
  <si>
    <t>Pittsburgh</t>
  </si>
  <si>
    <t>Kansas State</t>
  </si>
  <si>
    <t>Oklahoma St</t>
  </si>
  <si>
    <t>GW</t>
  </si>
  <si>
    <t>Stanford</t>
  </si>
  <si>
    <t>BYU</t>
  </si>
  <si>
    <t>Arizona St</t>
  </si>
  <si>
    <t>Saint Joseph's</t>
  </si>
  <si>
    <t>Dayton</t>
  </si>
  <si>
    <t>Nebraska</t>
  </si>
  <si>
    <t>Tennessee</t>
  </si>
  <si>
    <t>Providence</t>
  </si>
  <si>
    <t>Delaware</t>
  </si>
  <si>
    <t>SF Austin</t>
  </si>
  <si>
    <t>North Dakota St</t>
  </si>
  <si>
    <t>NC State</t>
  </si>
  <si>
    <t>Harvard</t>
  </si>
  <si>
    <t>Tulsa</t>
  </si>
  <si>
    <t>New Mexico St</t>
  </si>
  <si>
    <t>Manhattan</t>
  </si>
  <si>
    <t>W. Michigan</t>
  </si>
  <si>
    <t>UL-Lafayette</t>
  </si>
  <si>
    <t>Mercer</t>
  </si>
  <si>
    <t>NC Central</t>
  </si>
  <si>
    <t>Eastern Ky</t>
  </si>
  <si>
    <t>American</t>
  </si>
  <si>
    <t>UW-Milwaukee</t>
  </si>
  <si>
    <t>Weber St</t>
  </si>
  <si>
    <t>Cal Poly</t>
  </si>
  <si>
    <t>Coastal Carolina</t>
  </si>
  <si>
    <t>Team</t>
  </si>
  <si>
    <t>Sources</t>
  </si>
  <si>
    <t>HISTORICAL DATA</t>
  </si>
  <si>
    <t>The percentages below reflect the chance of the vertical axis teams winning.</t>
  </si>
  <si>
    <t xml:space="preserve">No available data = </t>
  </si>
  <si>
    <t>PROBABILITIES MUST BE CHANCE OF TEAM WITH LOWEST ID WINNING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</si>
</sst>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lightDown"/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13" xfId="0" applyBorder="1"/>
    <xf numFmtId="0" fontId="2" fillId="0" borderId="0" xfId="0" applyFont="1"/>
    <xf numFmtId="2" fontId="0" fillId="0" borderId="8" xfId="0" applyNumberFormat="1" applyBorder="1"/>
    <xf numFmtId="164" fontId="0" fillId="7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10" fontId="0" fillId="0" borderId="2" xfId="1" applyNumberFormat="1" applyFont="1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5" borderId="0" xfId="1" applyNumberFormat="1" applyFont="1" applyFill="1" applyBorder="1"/>
    <xf numFmtId="164" fontId="0" fillId="5" borderId="8" xfId="1" applyNumberFormat="1" applyFont="1" applyFill="1" applyBorder="1"/>
    <xf numFmtId="0" fontId="0" fillId="5" borderId="1" xfId="0" applyFill="1" applyBorder="1"/>
    <xf numFmtId="164" fontId="0" fillId="8" borderId="0" xfId="1" applyNumberFormat="1" applyFont="1" applyFill="1" applyBorder="1"/>
    <xf numFmtId="164" fontId="0" fillId="8" borderId="11" xfId="1" applyNumberFormat="1" applyFont="1" applyFill="1" applyBorder="1"/>
    <xf numFmtId="10" fontId="0" fillId="0" borderId="0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2" fontId="0" fillId="0" borderId="8" xfId="0" applyNumberFormat="1" applyBorder="1"/>
    <xf numFmtId="0" fontId="0" fillId="0" borderId="0" xfId="0" applyFill="1" applyBorder="1"/>
    <xf numFmtId="2" fontId="0" fillId="0" borderId="17" xfId="0" applyNumberForma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Fill="1" applyBorder="1"/>
    <xf numFmtId="0" fontId="0" fillId="0" borderId="16" xfId="0" applyBorder="1"/>
    <xf numFmtId="165" fontId="0" fillId="0" borderId="16" xfId="1" applyNumberFormat="1" applyFont="1" applyBorder="1"/>
    <xf numFmtId="0" fontId="0" fillId="9" borderId="2" xfId="0" applyFill="1" applyBorder="1"/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0" fillId="0" borderId="2" xfId="1" applyNumberFormat="1" applyFont="1" applyFill="1" applyBorder="1"/>
    <xf numFmtId="10" fontId="0" fillId="0" borderId="18" xfId="1" applyNumberFormat="1" applyFont="1" applyBorder="1"/>
    <xf numFmtId="0" fontId="0" fillId="0" borderId="2" xfId="1" applyNumberFormat="1" applyFont="1" applyBorder="1"/>
  </cellXfs>
  <cellStyles count="2">
    <cellStyle name="Normal" xfId="0" builtinId="0"/>
    <cellStyle name="Percent" xfId="1" builtinId="5"/>
  </cellStyles>
  <dxfs count="134"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169"/>
  <sheetViews>
    <sheetView tabSelected="1" topLeftCell="A94" zoomScale="60" zoomScaleNormal="60" workbookViewId="0">
      <selection activeCell="D120" sqref="D120"/>
    </sheetView>
  </sheetViews>
  <sheetFormatPr defaultRowHeight="15" x14ac:dyDescent="0.25"/>
  <cols>
    <col min="1" max="1" width="26.5703125" customWidth="1"/>
    <col min="2" max="2" width="7.28515625" bestFit="1" customWidth="1"/>
    <col min="3" max="3" width="15" customWidth="1"/>
    <col min="4" max="4" width="18.7109375" bestFit="1" customWidth="1"/>
    <col min="5" max="5" width="12.5703125" bestFit="1" customWidth="1"/>
    <col min="6" max="6" width="11.28515625" bestFit="1" customWidth="1"/>
    <col min="7" max="7" width="21.140625" bestFit="1" customWidth="1"/>
    <col min="8" max="8" width="24.7109375" bestFit="1" customWidth="1"/>
    <col min="9" max="9" width="18.7109375" bestFit="1" customWidth="1"/>
    <col min="10" max="12" width="10.5703125" bestFit="1" customWidth="1"/>
    <col min="13" max="13" width="11.28515625" bestFit="1" customWidth="1"/>
    <col min="14" max="14" width="8.42578125" bestFit="1" customWidth="1"/>
    <col min="15" max="15" width="8.7109375" bestFit="1" customWidth="1"/>
    <col min="16" max="16" width="8.42578125" bestFit="1" customWidth="1"/>
    <col min="17" max="17" width="14.42578125" bestFit="1" customWidth="1"/>
    <col min="18" max="18" width="10.85546875" bestFit="1" customWidth="1"/>
    <col min="19" max="19" width="13.28515625" bestFit="1" customWidth="1"/>
    <col min="20" max="20" width="8.42578125" bestFit="1" customWidth="1"/>
    <col min="21" max="21" width="11.85546875" bestFit="1" customWidth="1"/>
    <col min="22" max="22" width="12.5703125" bestFit="1" customWidth="1"/>
    <col min="23" max="23" width="11.28515625" bestFit="1" customWidth="1"/>
    <col min="24" max="24" width="12" bestFit="1" customWidth="1"/>
    <col min="25" max="27" width="8.42578125" bestFit="1" customWidth="1"/>
    <col min="28" max="28" width="13.7109375" bestFit="1" customWidth="1"/>
    <col min="29" max="29" width="9" bestFit="1" customWidth="1"/>
    <col min="30" max="31" width="8.42578125" bestFit="1" customWidth="1"/>
    <col min="32" max="32" width="11.140625" bestFit="1" customWidth="1"/>
    <col min="33" max="33" width="10.42578125" bestFit="1" customWidth="1"/>
    <col min="34" max="34" width="10.5703125" bestFit="1" customWidth="1"/>
    <col min="35" max="35" width="10.85546875" bestFit="1" customWidth="1"/>
    <col min="36" max="36" width="11.85546875" bestFit="1" customWidth="1"/>
    <col min="37" max="37" width="14.42578125" bestFit="1" customWidth="1"/>
    <col min="38" max="38" width="14.7109375" bestFit="1" customWidth="1"/>
    <col min="39" max="39" width="8.42578125" bestFit="1" customWidth="1"/>
    <col min="40" max="40" width="10.140625" bestFit="1" customWidth="1"/>
    <col min="41" max="41" width="8.42578125" bestFit="1" customWidth="1"/>
    <col min="42" max="42" width="11.85546875" bestFit="1" customWidth="1"/>
    <col min="43" max="43" width="16.28515625" bestFit="1" customWidth="1"/>
    <col min="44" max="44" width="8.7109375" bestFit="1" customWidth="1"/>
    <col min="45" max="45" width="11.140625" bestFit="1" customWidth="1"/>
    <col min="46" max="46" width="12.5703125" bestFit="1" customWidth="1"/>
    <col min="47" max="47" width="13" bestFit="1" customWidth="1"/>
    <col min="48" max="48" width="11.28515625" bestFit="1" customWidth="1"/>
    <col min="49" max="49" width="18" bestFit="1" customWidth="1"/>
    <col min="50" max="50" width="10.5703125" bestFit="1" customWidth="1"/>
    <col min="51" max="51" width="9.42578125" bestFit="1" customWidth="1"/>
    <col min="52" max="52" width="8.42578125" bestFit="1" customWidth="1"/>
    <col min="53" max="53" width="16.5703125" bestFit="1" customWidth="1"/>
    <col min="54" max="54" width="12.28515625" bestFit="1" customWidth="1"/>
    <col min="55" max="55" width="10.5703125" bestFit="1" customWidth="1"/>
    <col min="56" max="56" width="13.42578125" bestFit="1" customWidth="1"/>
    <col min="57" max="57" width="14" bestFit="1" customWidth="1"/>
    <col min="58" max="58" width="8.7109375" bestFit="1" customWidth="1"/>
    <col min="59" max="59" width="12.5703125" bestFit="1" customWidth="1"/>
    <col min="60" max="60" width="12" bestFit="1" customWidth="1"/>
    <col min="61" max="61" width="11.140625" bestFit="1" customWidth="1"/>
    <col min="62" max="62" width="9.7109375" bestFit="1" customWidth="1"/>
    <col min="63" max="63" width="16.28515625" bestFit="1" customWidth="1"/>
    <col min="64" max="64" width="8.42578125" bestFit="1" customWidth="1"/>
    <col min="65" max="65" width="10.42578125" bestFit="1" customWidth="1"/>
    <col min="66" max="66" width="9.85546875" bestFit="1" customWidth="1"/>
    <col min="67" max="67" width="18.42578125" bestFit="1" customWidth="1"/>
  </cols>
  <sheetData>
    <row r="3" spans="1:17" x14ac:dyDescent="0.25">
      <c r="A3" s="18" t="s">
        <v>77</v>
      </c>
    </row>
    <row r="4" spans="1:17" ht="15" customHeight="1" x14ac:dyDescent="0.25">
      <c r="A4" s="46" t="s">
        <v>78</v>
      </c>
      <c r="B4" s="46"/>
      <c r="C4" s="46"/>
      <c r="D4" s="46"/>
      <c r="E4" s="27"/>
      <c r="G4" s="1" t="s">
        <v>79</v>
      </c>
      <c r="H4" s="31"/>
    </row>
    <row r="5" spans="1:17" ht="15.75" thickBot="1" x14ac:dyDescent="0.3">
      <c r="A5" s="47"/>
      <c r="B5" s="47"/>
      <c r="C5" s="47"/>
      <c r="D5" s="47"/>
      <c r="E5" s="28"/>
    </row>
    <row r="6" spans="1:17" x14ac:dyDescent="0.25">
      <c r="A6" s="6" t="s">
        <v>1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17">
        <v>16</v>
      </c>
    </row>
    <row r="7" spans="1:17" x14ac:dyDescent="0.25">
      <c r="A7" s="9">
        <v>1</v>
      </c>
      <c r="B7" s="20">
        <v>0.5</v>
      </c>
      <c r="C7" s="21">
        <v>0.56399999999999995</v>
      </c>
      <c r="D7" s="21">
        <v>0.44400000000000001</v>
      </c>
      <c r="E7" s="21">
        <v>0.70299999999999996</v>
      </c>
      <c r="F7" s="21">
        <v>0.83299999999999996</v>
      </c>
      <c r="G7" s="21">
        <v>0.7</v>
      </c>
      <c r="H7" s="21">
        <v>1</v>
      </c>
      <c r="I7" s="21">
        <v>0.75</v>
      </c>
      <c r="J7" s="21">
        <v>0.93500000000000005</v>
      </c>
      <c r="K7" s="21">
        <v>1</v>
      </c>
      <c r="L7" s="21">
        <v>0.66700000000000004</v>
      </c>
      <c r="M7" s="22">
        <v>1</v>
      </c>
      <c r="N7" s="22">
        <v>1</v>
      </c>
      <c r="O7" s="29">
        <v>1</v>
      </c>
      <c r="P7" s="29">
        <v>1</v>
      </c>
      <c r="Q7" s="23">
        <v>1</v>
      </c>
    </row>
    <row r="8" spans="1:17" x14ac:dyDescent="0.25">
      <c r="A8" s="9">
        <v>2</v>
      </c>
      <c r="B8" s="32"/>
      <c r="C8" s="20">
        <v>0.5</v>
      </c>
      <c r="D8" s="21">
        <v>0.77800000000000002</v>
      </c>
      <c r="E8" s="21">
        <v>0.5</v>
      </c>
      <c r="F8" s="21">
        <v>0</v>
      </c>
      <c r="G8" s="21">
        <v>0.73899999999999999</v>
      </c>
      <c r="H8" s="21">
        <v>0.68</v>
      </c>
      <c r="I8" s="21">
        <v>0.5</v>
      </c>
      <c r="J8" s="29">
        <v>0.52</v>
      </c>
      <c r="K8" s="21">
        <v>0.53300000000000003</v>
      </c>
      <c r="L8" s="21">
        <v>0.88900000000000001</v>
      </c>
      <c r="M8" s="22">
        <v>1</v>
      </c>
      <c r="N8" s="29">
        <v>0.95</v>
      </c>
      <c r="O8" s="29">
        <v>0.95</v>
      </c>
      <c r="P8" s="22">
        <v>0.95199999999999996</v>
      </c>
      <c r="Q8" s="30">
        <v>1</v>
      </c>
    </row>
    <row r="9" spans="1:17" x14ac:dyDescent="0.25">
      <c r="A9" s="9">
        <v>3</v>
      </c>
      <c r="B9" s="32"/>
      <c r="C9" s="32"/>
      <c r="D9" s="20">
        <v>0.5</v>
      </c>
      <c r="E9" s="21">
        <v>0.75</v>
      </c>
      <c r="F9" s="22">
        <v>0.5</v>
      </c>
      <c r="G9" s="22">
        <v>0.5</v>
      </c>
      <c r="H9" s="22">
        <v>0.6</v>
      </c>
      <c r="I9" s="22">
        <v>1</v>
      </c>
      <c r="J9" s="22">
        <v>1</v>
      </c>
      <c r="K9" s="22">
        <v>0.7</v>
      </c>
      <c r="L9" s="22">
        <v>0.68200000000000005</v>
      </c>
      <c r="M9" s="29">
        <v>0.75</v>
      </c>
      <c r="N9" s="29">
        <v>0.81</v>
      </c>
      <c r="O9" s="22">
        <v>0.83299999999999996</v>
      </c>
      <c r="P9" s="29">
        <v>0.9</v>
      </c>
      <c r="Q9" s="30">
        <v>1</v>
      </c>
    </row>
    <row r="10" spans="1:17" x14ac:dyDescent="0.25">
      <c r="A10" s="9">
        <v>4</v>
      </c>
      <c r="B10" s="32"/>
      <c r="C10" s="32"/>
      <c r="D10" s="32"/>
      <c r="E10" s="20">
        <v>0.5</v>
      </c>
      <c r="F10" s="21">
        <v>0.56499999999999995</v>
      </c>
      <c r="G10" s="21">
        <v>0.5</v>
      </c>
      <c r="H10" s="22">
        <v>1</v>
      </c>
      <c r="I10" s="22">
        <v>0.4</v>
      </c>
      <c r="J10" s="22">
        <v>1</v>
      </c>
      <c r="K10" s="22">
        <v>1</v>
      </c>
      <c r="L10" s="29">
        <v>0.67</v>
      </c>
      <c r="M10" s="22">
        <v>0.54500000000000004</v>
      </c>
      <c r="N10" s="22">
        <v>0.79800000000000004</v>
      </c>
      <c r="O10" s="29">
        <v>0.86</v>
      </c>
      <c r="P10" s="29">
        <v>0.94</v>
      </c>
      <c r="Q10" s="30">
        <v>0.96</v>
      </c>
    </row>
    <row r="11" spans="1:17" x14ac:dyDescent="0.25">
      <c r="A11" s="9">
        <v>5</v>
      </c>
      <c r="B11" s="32"/>
      <c r="C11" s="32"/>
      <c r="D11" s="32"/>
      <c r="E11" s="32"/>
      <c r="F11" s="20">
        <v>0.5</v>
      </c>
      <c r="G11" s="29">
        <v>0.5</v>
      </c>
      <c r="H11" s="29">
        <v>0.75</v>
      </c>
      <c r="I11" s="21">
        <v>0.33300000000000002</v>
      </c>
      <c r="J11" s="22">
        <v>0</v>
      </c>
      <c r="K11" s="22">
        <v>1</v>
      </c>
      <c r="L11" s="29">
        <v>0.66</v>
      </c>
      <c r="M11" s="22">
        <f>0.679</f>
        <v>0.67900000000000005</v>
      </c>
      <c r="N11" s="22">
        <v>0.83299999999999996</v>
      </c>
      <c r="O11" s="29">
        <v>0.87</v>
      </c>
      <c r="P11" s="29">
        <v>0.92</v>
      </c>
      <c r="Q11" s="30">
        <v>0.93</v>
      </c>
    </row>
    <row r="12" spans="1:17" x14ac:dyDescent="0.25">
      <c r="A12" s="9">
        <v>6</v>
      </c>
      <c r="B12" s="32"/>
      <c r="C12" s="32"/>
      <c r="D12" s="32"/>
      <c r="E12" s="32"/>
      <c r="F12" s="32"/>
      <c r="G12" s="20">
        <v>0.5</v>
      </c>
      <c r="H12" s="22">
        <v>0.5</v>
      </c>
      <c r="I12" s="22">
        <v>0</v>
      </c>
      <c r="J12" s="29">
        <v>0.5</v>
      </c>
      <c r="K12" s="22">
        <v>0.66700000000000004</v>
      </c>
      <c r="L12" s="22">
        <v>0.70199999999999996</v>
      </c>
      <c r="M12" s="29">
        <v>0.74</v>
      </c>
      <c r="N12" s="29">
        <v>0.78</v>
      </c>
      <c r="O12" s="22">
        <v>0.81799999999999995</v>
      </c>
      <c r="P12" s="29">
        <v>0.89</v>
      </c>
      <c r="Q12" s="30">
        <v>0.92</v>
      </c>
    </row>
    <row r="13" spans="1:17" x14ac:dyDescent="0.25">
      <c r="A13" s="9">
        <v>7</v>
      </c>
      <c r="B13" s="32"/>
      <c r="C13" s="32"/>
      <c r="D13" s="32"/>
      <c r="E13" s="32"/>
      <c r="F13" s="32"/>
      <c r="G13" s="32"/>
      <c r="H13" s="20">
        <v>0.5</v>
      </c>
      <c r="I13" s="22">
        <v>0</v>
      </c>
      <c r="J13" s="29">
        <v>0.48</v>
      </c>
      <c r="K13" s="22">
        <v>0.60699999999999998</v>
      </c>
      <c r="L13" s="22">
        <v>0</v>
      </c>
      <c r="M13" s="29">
        <v>0.79</v>
      </c>
      <c r="N13" s="29">
        <v>0.84</v>
      </c>
      <c r="O13" s="22">
        <v>1</v>
      </c>
      <c r="P13" s="22">
        <v>1</v>
      </c>
      <c r="Q13" s="30">
        <v>1</v>
      </c>
    </row>
    <row r="14" spans="1:17" x14ac:dyDescent="0.25">
      <c r="A14" s="9">
        <v>8</v>
      </c>
      <c r="B14" s="32"/>
      <c r="C14" s="32"/>
      <c r="D14" s="32"/>
      <c r="E14" s="32"/>
      <c r="F14" s="32"/>
      <c r="G14" s="32"/>
      <c r="H14" s="32"/>
      <c r="I14" s="20">
        <v>0.5</v>
      </c>
      <c r="J14" s="22">
        <v>0.45200000000000001</v>
      </c>
      <c r="K14" s="29">
        <v>0.64</v>
      </c>
      <c r="L14" s="29">
        <v>0.65</v>
      </c>
      <c r="M14" s="22">
        <v>0</v>
      </c>
      <c r="N14" s="22">
        <v>1</v>
      </c>
      <c r="O14" s="29">
        <v>1</v>
      </c>
      <c r="P14" s="29">
        <v>0.91</v>
      </c>
      <c r="Q14" s="30">
        <v>0.93</v>
      </c>
    </row>
    <row r="15" spans="1:17" x14ac:dyDescent="0.25">
      <c r="A15" s="9">
        <v>9</v>
      </c>
      <c r="B15" s="32"/>
      <c r="C15" s="32"/>
      <c r="D15" s="32"/>
      <c r="E15" s="32"/>
      <c r="F15" s="32"/>
      <c r="G15" s="32"/>
      <c r="H15" s="32"/>
      <c r="I15" s="32"/>
      <c r="J15" s="20">
        <v>0.5</v>
      </c>
      <c r="K15" s="29">
        <v>0.67</v>
      </c>
      <c r="L15" s="29">
        <v>0.68</v>
      </c>
      <c r="M15" s="29">
        <v>0.75</v>
      </c>
      <c r="N15" s="29">
        <v>0.85</v>
      </c>
      <c r="O15" s="29">
        <v>0.86</v>
      </c>
      <c r="P15" s="29">
        <v>0.89</v>
      </c>
      <c r="Q15" s="30">
        <v>0.92</v>
      </c>
    </row>
    <row r="16" spans="1:17" x14ac:dyDescent="0.25">
      <c r="A16" s="9">
        <v>10</v>
      </c>
      <c r="B16" s="32"/>
      <c r="C16" s="32"/>
      <c r="D16" s="32"/>
      <c r="E16" s="32"/>
      <c r="F16" s="32"/>
      <c r="G16" s="32"/>
      <c r="H16" s="32"/>
      <c r="I16" s="32"/>
      <c r="J16" s="32"/>
      <c r="K16" s="20">
        <v>0.5</v>
      </c>
      <c r="L16" s="29">
        <v>0.65</v>
      </c>
      <c r="M16" s="29">
        <v>0.74</v>
      </c>
      <c r="N16" s="29">
        <v>0.78</v>
      </c>
      <c r="O16" s="22">
        <v>1</v>
      </c>
      <c r="P16" s="22">
        <v>1</v>
      </c>
      <c r="Q16" s="30">
        <v>1</v>
      </c>
    </row>
    <row r="17" spans="1:358" x14ac:dyDescent="0.25">
      <c r="A17" s="9">
        <v>11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20">
        <v>0.5</v>
      </c>
      <c r="M17" s="29">
        <v>0.7</v>
      </c>
      <c r="N17" s="29">
        <v>0.75</v>
      </c>
      <c r="O17" s="22">
        <v>1</v>
      </c>
      <c r="P17" s="29">
        <v>1</v>
      </c>
      <c r="Q17" s="30">
        <v>1</v>
      </c>
    </row>
    <row r="18" spans="1:358" x14ac:dyDescent="0.25">
      <c r="A18" s="9">
        <v>12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20">
        <v>0.5</v>
      </c>
      <c r="N18" s="22">
        <v>0.8</v>
      </c>
      <c r="O18" s="29">
        <v>0.83</v>
      </c>
      <c r="P18" s="29">
        <v>0.85</v>
      </c>
      <c r="Q18" s="30">
        <v>0.87</v>
      </c>
    </row>
    <row r="19" spans="1:358" x14ac:dyDescent="0.25">
      <c r="A19" s="9">
        <v>13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20">
        <v>0.5</v>
      </c>
      <c r="O19" s="29">
        <v>0.8</v>
      </c>
      <c r="P19" s="29">
        <v>0.83</v>
      </c>
      <c r="Q19" s="30">
        <v>0.85</v>
      </c>
    </row>
    <row r="20" spans="1:358" x14ac:dyDescent="0.25">
      <c r="A20" s="9">
        <v>14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0">
        <v>0.5</v>
      </c>
      <c r="P20" s="29">
        <v>0.78</v>
      </c>
      <c r="Q20" s="30">
        <v>0.82</v>
      </c>
    </row>
    <row r="21" spans="1:358" x14ac:dyDescent="0.25">
      <c r="A21" s="9">
        <v>15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0">
        <v>0.5</v>
      </c>
      <c r="Q21" s="30">
        <v>0.69</v>
      </c>
    </row>
    <row r="22" spans="1:358" ht="15.75" thickBot="1" x14ac:dyDescent="0.3">
      <c r="A22" s="12">
        <v>16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20">
        <v>0.5</v>
      </c>
    </row>
    <row r="25" spans="1:358" x14ac:dyDescent="0.25">
      <c r="C25" s="1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</row>
    <row r="26" spans="1:358" x14ac:dyDescent="0.25">
      <c r="C26" s="1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</row>
    <row r="27" spans="1:358" x14ac:dyDescent="0.25">
      <c r="O27" s="2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</row>
    <row r="28" spans="1:358" x14ac:dyDescent="0.25"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</row>
    <row r="29" spans="1:358" x14ac:dyDescent="0.25"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</row>
    <row r="30" spans="1:358" x14ac:dyDescent="0.25"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</row>
    <row r="31" spans="1:358" ht="27.75" customHeight="1" thickBot="1" x14ac:dyDescent="0.3">
      <c r="B31" s="48" t="s">
        <v>80</v>
      </c>
      <c r="C31" s="48"/>
      <c r="D31" t="str">
        <f>$A$105</f>
        <v>Florida</v>
      </c>
      <c r="E31" t="str">
        <f>$A$106</f>
        <v>Arizona</v>
      </c>
      <c r="F31" t="str">
        <f>$A$107</f>
        <v>Wichita St</v>
      </c>
      <c r="G31" t="str">
        <f>$A$108</f>
        <v>Virginia</v>
      </c>
      <c r="H31" t="str">
        <f>$A$109</f>
        <v>Kansas</v>
      </c>
      <c r="I31" t="str">
        <f>$A$110</f>
        <v>Wisconsin</v>
      </c>
      <c r="J31" t="str">
        <f>$A$111</f>
        <v>Michigan</v>
      </c>
      <c r="K31" t="str">
        <f>$A$112</f>
        <v>Villanova</v>
      </c>
      <c r="L31" t="str">
        <f>$A$113</f>
        <v>Syracuse</v>
      </c>
      <c r="M31" t="str">
        <f>$A$114</f>
        <v>Creighton</v>
      </c>
      <c r="N31" t="str">
        <f>$A$115</f>
        <v>Duke</v>
      </c>
      <c r="O31" t="str">
        <f>$A$116</f>
        <v>Iowa St</v>
      </c>
      <c r="P31" t="str">
        <f>$A$117</f>
        <v>UCLA</v>
      </c>
      <c r="Q31" t="str">
        <f>$A$118</f>
        <v>San Diego St</v>
      </c>
      <c r="R31" t="str">
        <f>$A$119</f>
        <v>Louisville</v>
      </c>
      <c r="S31" t="str">
        <f>$A$120</f>
        <v>Michigan St</v>
      </c>
      <c r="T31" t="str">
        <f>$A$121</f>
        <v>VCU</v>
      </c>
      <c r="U31" t="str">
        <f>$A$122</f>
        <v>Oklahoma</v>
      </c>
      <c r="V31" t="str">
        <f>$A$123</f>
        <v>Saint Louis</v>
      </c>
      <c r="W31" t="str">
        <f>$A$124</f>
        <v>Cincinnati</v>
      </c>
      <c r="X31" t="str">
        <f>$A$125</f>
        <v>Ohio State</v>
      </c>
      <c r="Y31" t="str">
        <f>$A$126</f>
        <v>Baylor</v>
      </c>
      <c r="Z31" t="str">
        <f>$A$127</f>
        <v>Umass</v>
      </c>
      <c r="AA31" t="str">
        <f>$A$128</f>
        <v>UNC</v>
      </c>
      <c r="AB31" t="str">
        <f>$A$129</f>
        <v>New Mexico</v>
      </c>
      <c r="AC31" t="str">
        <f>$A$130</f>
        <v>Oregon</v>
      </c>
      <c r="AD31" t="str">
        <f>$A$131</f>
        <v>Texas</v>
      </c>
      <c r="AE31" t="str">
        <f>$A$132</f>
        <v>Uconn</v>
      </c>
      <c r="AF31" t="str">
        <f>$A$133</f>
        <v>Colorado</v>
      </c>
      <c r="AG31" t="str">
        <f>$A$134</f>
        <v>Gonzaga</v>
      </c>
      <c r="AH31" t="str">
        <f>$A$135</f>
        <v>Kentucky</v>
      </c>
      <c r="AI31" t="str">
        <f>$A$136</f>
        <v>Memphis</v>
      </c>
      <c r="AJ31" t="str">
        <f>$A$137</f>
        <v>Pittsburgh</v>
      </c>
      <c r="AK31" t="str">
        <f>$A$138</f>
        <v>Oklahoma St</v>
      </c>
      <c r="AL31" t="str">
        <f>$A$139</f>
        <v>Kansas State</v>
      </c>
      <c r="AM31" t="str">
        <f>$A$140</f>
        <v>GW</v>
      </c>
      <c r="AN31" t="str">
        <f>$A$141</f>
        <v>Stanford</v>
      </c>
      <c r="AO31" t="str">
        <f>$A$142</f>
        <v>BYU</v>
      </c>
      <c r="AP31" t="str">
        <f>$A$143</f>
        <v>Arizona St</v>
      </c>
      <c r="AQ31" t="str">
        <f>$A$144</f>
        <v>Saint Joseph's</v>
      </c>
      <c r="AR31" t="str">
        <f>$A$145</f>
        <v>Dayton</v>
      </c>
      <c r="AS31" t="str">
        <f>$A$146</f>
        <v>Nebraska</v>
      </c>
      <c r="AT31" t="str">
        <f>$A$147</f>
        <v>Tennessee</v>
      </c>
      <c r="AU31" t="str">
        <f>$A$148</f>
        <v>Providence</v>
      </c>
      <c r="AV31" t="str">
        <f>$A$149</f>
        <v>SF Austin</v>
      </c>
      <c r="AW31" t="str">
        <f>$A$150</f>
        <v>North Dakota St</v>
      </c>
      <c r="AX31" t="str">
        <f>$A$151</f>
        <v>NC State</v>
      </c>
      <c r="AY31" t="str">
        <f>$A$152</f>
        <v>Harvard</v>
      </c>
      <c r="AZ31" t="str">
        <f>$A$153</f>
        <v>Tulsa</v>
      </c>
      <c r="BA31" t="str">
        <f>$A$154</f>
        <v>New Mexico St</v>
      </c>
      <c r="BB31" t="str">
        <f>$A$155</f>
        <v>Manhattan</v>
      </c>
      <c r="BC31" t="str">
        <f>$A$156</f>
        <v>Delaware</v>
      </c>
      <c r="BD31" t="str">
        <f>$A$157</f>
        <v>W. Michigan</v>
      </c>
      <c r="BE31" t="str">
        <f>$A$158</f>
        <v>UL-Lafayette</v>
      </c>
      <c r="BF31" t="str">
        <f>$A$159</f>
        <v>Mercer</v>
      </c>
      <c r="BG31" t="str">
        <f>$A$160</f>
        <v>NC Central</v>
      </c>
      <c r="BH31" t="str">
        <f>$A$161</f>
        <v>Eastern Ky</v>
      </c>
      <c r="BI31" t="str">
        <f>$A$162</f>
        <v>American</v>
      </c>
      <c r="BJ31" t="str">
        <f>$A$163</f>
        <v>Wofford</v>
      </c>
      <c r="BK31" t="str">
        <f>$A$164</f>
        <v>UW-Milwaukee</v>
      </c>
      <c r="BL31" t="str">
        <f>$A$165</f>
        <v>Albany</v>
      </c>
      <c r="BM31" t="str">
        <f>$A$166</f>
        <v>Weber St</v>
      </c>
      <c r="BN31" t="str">
        <f>$A$167</f>
        <v>Cal Poly</v>
      </c>
      <c r="BO31" t="str">
        <f>$A$168</f>
        <v>Coastal Carolina</v>
      </c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</row>
    <row r="32" spans="1:358" ht="51.75" customHeight="1" x14ac:dyDescent="0.25">
      <c r="B32" s="48"/>
      <c r="C32" s="48"/>
      <c r="D32" s="58">
        <v>1</v>
      </c>
      <c r="E32" s="58"/>
      <c r="F32" s="58"/>
      <c r="G32" s="58"/>
      <c r="H32" s="56">
        <v>2</v>
      </c>
      <c r="I32" s="56"/>
      <c r="J32" s="56"/>
      <c r="K32" s="56"/>
      <c r="L32" s="56">
        <v>3</v>
      </c>
      <c r="M32" s="56"/>
      <c r="N32" s="56"/>
      <c r="O32" s="56"/>
      <c r="P32" s="56">
        <v>4</v>
      </c>
      <c r="Q32" s="56"/>
      <c r="R32" s="56"/>
      <c r="S32" s="56"/>
      <c r="T32" s="56">
        <v>5</v>
      </c>
      <c r="U32" s="56"/>
      <c r="V32" s="56"/>
      <c r="W32" s="56"/>
      <c r="X32" s="56">
        <v>6</v>
      </c>
      <c r="Y32" s="56"/>
      <c r="Z32" s="56"/>
      <c r="AA32" s="56"/>
      <c r="AB32" s="56">
        <v>7</v>
      </c>
      <c r="AC32" s="56"/>
      <c r="AD32" s="56"/>
      <c r="AE32" s="56"/>
      <c r="AF32" s="56">
        <v>8</v>
      </c>
      <c r="AG32" s="56"/>
      <c r="AH32" s="56"/>
      <c r="AI32" s="56"/>
      <c r="AJ32" s="56">
        <v>9</v>
      </c>
      <c r="AK32" s="56"/>
      <c r="AL32" s="56"/>
      <c r="AM32" s="56"/>
      <c r="AN32" s="56">
        <v>10</v>
      </c>
      <c r="AO32" s="56"/>
      <c r="AP32" s="56"/>
      <c r="AQ32" s="56"/>
      <c r="AR32" s="56">
        <v>11</v>
      </c>
      <c r="AS32" s="56"/>
      <c r="AT32" s="56"/>
      <c r="AU32" s="56"/>
      <c r="AV32" s="56">
        <v>12</v>
      </c>
      <c r="AW32" s="56"/>
      <c r="AX32" s="56"/>
      <c r="AY32" s="56"/>
      <c r="AZ32" s="56">
        <v>13</v>
      </c>
      <c r="BA32" s="56"/>
      <c r="BB32" s="56"/>
      <c r="BC32" s="56"/>
      <c r="BD32" s="56">
        <v>14</v>
      </c>
      <c r="BE32" s="56"/>
      <c r="BF32" s="56"/>
      <c r="BG32" s="56"/>
      <c r="BH32" s="56">
        <v>15</v>
      </c>
      <c r="BI32" s="56"/>
      <c r="BJ32" s="56"/>
      <c r="BK32" s="56"/>
      <c r="BL32" s="56">
        <v>16</v>
      </c>
      <c r="BM32" s="56"/>
      <c r="BN32" s="56"/>
      <c r="BO32" s="57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</row>
    <row r="33" spans="1:358 16384:16384" x14ac:dyDescent="0.25">
      <c r="B33" s="48"/>
      <c r="C33" s="48"/>
      <c r="D33" s="25">
        <v>1</v>
      </c>
      <c r="E33" s="10">
        <v>2</v>
      </c>
      <c r="F33" s="10">
        <v>3</v>
      </c>
      <c r="G33" s="10">
        <v>4</v>
      </c>
      <c r="H33" s="10">
        <v>5</v>
      </c>
      <c r="I33" s="10">
        <v>6</v>
      </c>
      <c r="J33" s="10">
        <v>7</v>
      </c>
      <c r="K33" s="10">
        <v>8</v>
      </c>
      <c r="L33" s="10">
        <v>9</v>
      </c>
      <c r="M33" s="10">
        <v>10</v>
      </c>
      <c r="N33" s="10">
        <v>11</v>
      </c>
      <c r="O33" s="10">
        <v>12</v>
      </c>
      <c r="P33" s="10">
        <v>13</v>
      </c>
      <c r="Q33" s="10">
        <v>14</v>
      </c>
      <c r="R33" s="10">
        <v>15</v>
      </c>
      <c r="S33" s="10">
        <v>16</v>
      </c>
      <c r="T33" s="10">
        <v>17</v>
      </c>
      <c r="U33" s="10">
        <v>18</v>
      </c>
      <c r="V33" s="10">
        <v>19</v>
      </c>
      <c r="W33" s="10">
        <v>20</v>
      </c>
      <c r="X33" s="10">
        <v>21</v>
      </c>
      <c r="Y33" s="10">
        <v>22</v>
      </c>
      <c r="Z33" s="10">
        <v>23</v>
      </c>
      <c r="AA33" s="10">
        <v>24</v>
      </c>
      <c r="AB33" s="10">
        <v>25</v>
      </c>
      <c r="AC33" s="10">
        <v>26</v>
      </c>
      <c r="AD33" s="10">
        <v>27</v>
      </c>
      <c r="AE33" s="10">
        <v>28</v>
      </c>
      <c r="AF33" s="10">
        <v>29</v>
      </c>
      <c r="AG33" s="10">
        <v>30</v>
      </c>
      <c r="AH33" s="10">
        <v>31</v>
      </c>
      <c r="AI33" s="10">
        <v>32</v>
      </c>
      <c r="AJ33" s="10">
        <v>33</v>
      </c>
      <c r="AK33" s="10">
        <v>34</v>
      </c>
      <c r="AL33" s="10">
        <v>35</v>
      </c>
      <c r="AM33" s="10">
        <v>36</v>
      </c>
      <c r="AN33" s="10">
        <v>37</v>
      </c>
      <c r="AO33" s="10">
        <v>38</v>
      </c>
      <c r="AP33" s="10">
        <v>39</v>
      </c>
      <c r="AQ33" s="10">
        <v>40</v>
      </c>
      <c r="AR33" s="10">
        <v>41</v>
      </c>
      <c r="AS33" s="10">
        <v>42</v>
      </c>
      <c r="AT33" s="10">
        <v>43</v>
      </c>
      <c r="AU33" s="10">
        <v>44</v>
      </c>
      <c r="AV33" s="10">
        <v>45</v>
      </c>
      <c r="AW33" s="10">
        <v>46</v>
      </c>
      <c r="AX33" s="10">
        <v>47</v>
      </c>
      <c r="AY33" s="10">
        <v>48</v>
      </c>
      <c r="AZ33" s="10">
        <v>49</v>
      </c>
      <c r="BA33" s="10">
        <v>50</v>
      </c>
      <c r="BB33" s="10">
        <v>51</v>
      </c>
      <c r="BC33" s="10">
        <v>52</v>
      </c>
      <c r="BD33" s="10">
        <v>53</v>
      </c>
      <c r="BE33" s="10">
        <v>54</v>
      </c>
      <c r="BF33" s="10">
        <v>55</v>
      </c>
      <c r="BG33" s="10">
        <v>56</v>
      </c>
      <c r="BH33" s="10">
        <v>57</v>
      </c>
      <c r="BI33" s="10">
        <v>58</v>
      </c>
      <c r="BJ33" s="10">
        <v>59</v>
      </c>
      <c r="BK33" s="10">
        <v>60</v>
      </c>
      <c r="BL33" s="10">
        <v>61</v>
      </c>
      <c r="BM33" s="10">
        <v>62</v>
      </c>
      <c r="BN33" s="10">
        <v>63</v>
      </c>
      <c r="BO33" s="26">
        <v>64</v>
      </c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</row>
    <row r="34" spans="1:358 16384:16384" x14ac:dyDescent="0.25">
      <c r="A34" t="str">
        <f>$A$105</f>
        <v>Florida</v>
      </c>
      <c r="B34" s="54">
        <v>1</v>
      </c>
      <c r="C34" s="3">
        <v>1</v>
      </c>
      <c r="D34" s="45">
        <v>0</v>
      </c>
      <c r="E34" s="24">
        <f>($I$105+40*($B$7-0.5))/($I$105+$I$106)</f>
        <v>0.50358809794463466</v>
      </c>
      <c r="F34" s="24">
        <f>($I$105+40*($B$7-0.5))/($I$105+$I$107)</f>
        <v>0.48458091421565591</v>
      </c>
      <c r="G34" s="24">
        <f>($I$105+40*($B$7-0.5))/($I$105+$I$108)</f>
        <v>0.53795825980005796</v>
      </c>
      <c r="H34" s="24">
        <f>($I$105+40*($C$7-0.5))/($I$105+$I$109)</f>
        <v>0.55744893931665351</v>
      </c>
      <c r="I34" s="24">
        <f>($I$105+40*($C$7-0.5))/($I$105+$I$110)</f>
        <v>0.56225817542219791</v>
      </c>
      <c r="J34" s="24">
        <f>($I$105+40*($C$7-0.5))/($I$105+$I$111)</f>
        <v>0.55631310535717793</v>
      </c>
      <c r="K34" s="24">
        <f>($I$105+40*($C$7-0.5))/($I$105+$I$112)</f>
        <v>0.54840365630727272</v>
      </c>
      <c r="L34" s="24">
        <f>($I$105+40*($D$7-0.5))/($I$105+$I$113)</f>
        <v>0.49894636040511792</v>
      </c>
      <c r="M34" s="24">
        <f>($I$105+40*($D$7-0.5))/($I$105+$I$114)</f>
        <v>0.60699286010441567</v>
      </c>
      <c r="N34" s="24">
        <f>($I$105+40*($D$7-0.5))/($I$105+$I$115)</f>
        <v>0.48735334597898999</v>
      </c>
      <c r="O34" s="24">
        <f>($I$105+40*($D$7-0.5))/($I$105+$I$116)</f>
        <v>0.51165149982659897</v>
      </c>
      <c r="P34" s="24">
        <f>($I$105+40*($E$7-0.5))/($I$105+$I$117)</f>
        <v>0.61441858615051292</v>
      </c>
      <c r="Q34" s="24">
        <f>($I$105+40*($E$7-0.5))/($I$105+$I$118)</f>
        <v>0.64980094092207252</v>
      </c>
      <c r="R34" s="24">
        <f>($I$105+40*($E$7-0.5))/($I$105+$I$119)</f>
        <v>0.61130785829615097</v>
      </c>
      <c r="S34" s="24">
        <f>($I$105+40*($E$7-0.5))/($I$105+$I$120)</f>
        <v>0.62562854321829275</v>
      </c>
      <c r="T34" s="24">
        <f>($I$105+40*($F$7-0.5))/($I$105+$I$121)</f>
        <v>0.68236738726749646</v>
      </c>
      <c r="U34" s="24">
        <f>($I$105+40*($F$7-0.5))/($I$105+$I$122)</f>
        <v>0.68381408130996713</v>
      </c>
      <c r="V34" s="24">
        <f>($I$105+40*($F$7-0.5))/($I$105+$I$123)</f>
        <v>0.65148064106111292</v>
      </c>
      <c r="W34" s="24">
        <f>($I$105+40*($F$7-0.5))/($I$105+$I$124)</f>
        <v>0.6755367068095901</v>
      </c>
      <c r="X34" s="24">
        <f>($I$105+40*($G$7-0.5))/($I$105+$I$125)</f>
        <v>0.62698745552611301</v>
      </c>
      <c r="Y34" s="24">
        <f>($I$105+40*($G$7-0.5))/($I$105+$I$126)</f>
        <v>0.6452520097405785</v>
      </c>
      <c r="Z34" s="24">
        <f>($I$105+40*($G$7-0.5))/($I$105+$I$127)</f>
        <v>0.62382472867739325</v>
      </c>
      <c r="AA34" s="24">
        <f>($I$105+40*($G$7-0.5))/($I$105+$I$128)</f>
        <v>0.63930977096704877</v>
      </c>
      <c r="AB34" s="24">
        <f>($I$105+40*($H$7-0.5))/($I$105+$I$129)</f>
        <v>0.70694195551219008</v>
      </c>
      <c r="AC34" s="24">
        <f>($I$105+40*($H$7-0.5))/($I$105+$I$130)</f>
        <v>0.73863962625028212</v>
      </c>
      <c r="AD34" s="24">
        <f>($I$105+40*($H$7-0.5))/($I$105+$I$131)</f>
        <v>0.75194710496489436</v>
      </c>
      <c r="AE34" s="24">
        <f>($I$105+40*($H$7-0.5))/($I$105+$I$132)</f>
        <v>0.7221584070487993</v>
      </c>
      <c r="AF34" s="24">
        <f>($I$105+40*($I$7-0.5))/($I$105+$I$133)</f>
        <v>0.65772027510182429</v>
      </c>
      <c r="AG34" s="24">
        <f>($I$105+40*($I$7-0.5))/($I$105+$I$134)</f>
        <v>0.61254093685816791</v>
      </c>
      <c r="AH34" s="24">
        <f>($I$105+40*($I$7-0.5))/($I$105+$I$135)</f>
        <v>0.63707297290239395</v>
      </c>
      <c r="AI34" s="24">
        <f>($I$105+40*($I$7-0.5))/($I$105+$I$136)</f>
        <v>0.64679431936016973</v>
      </c>
      <c r="AJ34" s="24">
        <f>($I$105+40*($J$7-0.5))/($I$105+$I$137)</f>
        <v>0.71579255754738802</v>
      </c>
      <c r="AK34" s="24">
        <f>($I$105+40*($J$7-0.5))/($I$105+$I$138)</f>
        <v>0.7284786649701035</v>
      </c>
      <c r="AL34" s="24">
        <f>($I$105+40*($J$7-0.5))/($I$105+$I$139)</f>
        <v>0.73845786935484059</v>
      </c>
      <c r="AM34" s="24">
        <f>($I$105+40*($J$7-0.5))/($I$105+$I$140)</f>
        <v>0.71365520036393815</v>
      </c>
      <c r="AN34" s="24">
        <f>($I$105+40*($K$7-0.5))/($I$105+$I$141)</f>
        <v>0.76300247958066703</v>
      </c>
      <c r="AO34" s="24">
        <f>($I$105+40*($K$7-0.5))/($I$105+$I$142)</f>
        <v>0.75369703641219854</v>
      </c>
      <c r="AP34" s="24">
        <f>($I$105+40*($K$7-0.5))/($I$105+$I$143)</f>
        <v>0.76112706946340192</v>
      </c>
      <c r="AQ34" s="24">
        <f>($I$105+40*($K$7-0.5))/($I$105+$I$144)</f>
        <v>0.74142086191141554</v>
      </c>
      <c r="AR34" s="24">
        <f>($I$105+40*($L$7-0.5))/($I$105+$I$145)</f>
        <v>0.61778166228025888</v>
      </c>
      <c r="AS34" s="24">
        <f>($I$105+40*($L$7-0.5))/($I$105+$I$146)</f>
        <v>0.63734585868141225</v>
      </c>
      <c r="AT34" s="24">
        <f>($I$105+40*($L$7-0.5))/($I$105+$I$147)</f>
        <v>0.62062649087087951</v>
      </c>
      <c r="AU34" s="24">
        <f>($I$105+40*($L$7-0.5))/($I$105+$I$148)</f>
        <v>0.62443048429428993</v>
      </c>
      <c r="AV34" s="24">
        <f>($I$105+40*($M$7-0.5))/($I$105+$I$149)</f>
        <v>0.83250353554212941</v>
      </c>
      <c r="AW34" s="24">
        <f>($I$105+40*($M$7-0.5))/($I$105+$I$150)</f>
        <v>0.84117731504750892</v>
      </c>
      <c r="AX34" s="24">
        <f>($I$105+40*($M$7-0.5))/($I$105+$I$151)</f>
        <v>0.82756014170682457</v>
      </c>
      <c r="AY34" s="24">
        <f>($I$105+40*($M$7-0.5))/($I$105+$I$152)</f>
        <v>0.83384704213993543</v>
      </c>
      <c r="AZ34" s="24">
        <f>($I$105+40*($N$7-0.5))/($I$105+$I$153)</f>
        <v>0.82136925518117376</v>
      </c>
      <c r="BA34" s="24">
        <f>($I$105+40*($N$7-0.5))/($I$105+$I$154)</f>
        <v>0.80683841591604788</v>
      </c>
      <c r="BB34" s="24">
        <f>($I105+40*($N7-0.5))/($I105+$I155)</f>
        <v>0.85551960407886629</v>
      </c>
      <c r="BC34" s="24">
        <f>($I$105+40*($N$7-0.5))/($I$105+$I$156)</f>
        <v>0.8674104919395379</v>
      </c>
      <c r="BD34" s="24">
        <f>($I$105+40*($O$7-0.5))/($I$105+$I$157)</f>
        <v>0.79482543463186084</v>
      </c>
      <c r="BE34" s="24">
        <f>($I$105+40*($O$7-0.5))/($I$105+$I$158)</f>
        <v>0.87332287255732233</v>
      </c>
      <c r="BF34" s="24">
        <f>($I$105+40*($O$7-0.5))/($I$105+$I$159)</f>
        <v>0.85041097585241687</v>
      </c>
      <c r="BG34" s="24">
        <f>($I$105+40*($O$7-0.5))/($I$105+$I$160)</f>
        <v>0.84216133361028345</v>
      </c>
      <c r="BH34" s="24">
        <f>($I$105+40*($P$7-0.5))/($I$105+$I$161)</f>
        <v>0.86641703559799887</v>
      </c>
      <c r="BI34" s="24">
        <f>($I$105+40*($P$7-0.5))/($I$105+$I$162)</f>
        <v>0.88434303094454536</v>
      </c>
      <c r="BJ34" s="24">
        <f>($I$105+40*($P$7-0.5))/($I$105+$I$163)</f>
        <v>0.891657228631898</v>
      </c>
      <c r="BK34" s="24">
        <f>($I$105+40*($P$7-0.5))/($I$105+$I$164)</f>
        <v>0.89895291192005589</v>
      </c>
      <c r="BL34" s="24">
        <f>($I$105+40*($Q$7-0.5))/($I$105+$I$165)</f>
        <v>0.90338694108644946</v>
      </c>
      <c r="BM34" s="24">
        <f>($I$105+40*($Q$7-0.5))/($I$105+$I$166)</f>
        <v>0.88524997212495227</v>
      </c>
      <c r="BN34" s="24">
        <f>($I$105+40*($Q$7-0.5))/($I$105+$I$167)</f>
        <v>0.92803923714147774</v>
      </c>
      <c r="BO34" s="24">
        <f>($I$105+40*($Q$7-0.5))/($I$105+$I$168)</f>
        <v>0.8991507944032352</v>
      </c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</row>
    <row r="35" spans="1:358 16384:16384" x14ac:dyDescent="0.25">
      <c r="A35" t="str">
        <f>$A$106</f>
        <v>Arizona</v>
      </c>
      <c r="B35" s="54"/>
      <c r="C35" s="3">
        <v>2</v>
      </c>
      <c r="D35" s="24">
        <f>($I$105+40*($B$7-0.5))/($I$105+$I$106)</f>
        <v>0.50358809794463466</v>
      </c>
      <c r="E35" s="3">
        <v>0</v>
      </c>
      <c r="F35" s="24">
        <f>($I$106+40*($B$7-0.5))/($I$106+$I$107)</f>
        <v>0.48099702164457442</v>
      </c>
      <c r="G35" s="24">
        <f>($I$106+40*($B$7-0.5))/($I$106+$I$108)</f>
        <v>0.53438889664487255</v>
      </c>
      <c r="H35" s="24">
        <f>($I$106+40*($C$7-0.5))/($I$106+$I$109)</f>
        <v>0.55406376200804763</v>
      </c>
      <c r="I35" s="24">
        <f>($I$106+40*($C$7-0.5))/($I$106+$I$110)</f>
        <v>0.55888067489772064</v>
      </c>
      <c r="J35" s="24">
        <f>($I$106+40*($C$7-0.5))/($I$106+$I$111)</f>
        <v>0.55292620776878609</v>
      </c>
      <c r="K35" s="24">
        <f>($I$106+40*($C$7-0.5))/($I$106+$I$112)</f>
        <v>0.54500576251625166</v>
      </c>
      <c r="L35" s="24">
        <f>($I$106+40*($D$7-0.5))/($I$106+$I$113)</f>
        <v>0.49520521517715771</v>
      </c>
      <c r="M35" s="24">
        <f>($I$106+40*($D$7-0.5))/($I$106+$I$114)</f>
        <v>0.60341722428067823</v>
      </c>
      <c r="N35" s="24">
        <f>($I$106+40*($D$7-0.5))/($I$106+$I$115)</f>
        <v>0.48361522606070234</v>
      </c>
      <c r="O35" s="24">
        <f>($I$106+40*($D$7-0.5))/($I$106+$I$116)</f>
        <v>0.50791165849958497</v>
      </c>
      <c r="P35" s="24">
        <f>($I$106+40*($E$7-0.5))/($I$106+$I$117)</f>
        <v>0.61145344184895112</v>
      </c>
      <c r="Q35" s="24">
        <f>($I$106+40*($E$7-0.5))/($I$106+$I$118)</f>
        <v>0.64695154317795012</v>
      </c>
      <c r="R35" s="24">
        <f>($I$106+40*($E$7-0.5))/($I$106+$I$119)</f>
        <v>0.60833404137592118</v>
      </c>
      <c r="S35" s="24">
        <f>($I$106+40*($E$7-0.5))/($I$106+$I$120)</f>
        <v>0.62269666708114368</v>
      </c>
      <c r="T35" s="24">
        <f>($I$106+40*($F$7-0.5))/($I$106+$I$121)</f>
        <v>0.67986024305721726</v>
      </c>
      <c r="U35" s="24">
        <f>($I$106+40*($F$7-0.5))/($I$106+$I$122)</f>
        <v>0.68131302310836894</v>
      </c>
      <c r="V35" s="24">
        <f>($I$106+40*($F$7-0.5))/($I$106+$I$123)</f>
        <v>0.64885515781801084</v>
      </c>
      <c r="W35" s="24">
        <f>($I$106+40*($F$7-0.5))/($I$106+$I$124)</f>
        <v>0.67300148374923974</v>
      </c>
      <c r="X35" s="24">
        <f>($I$106+40*($G$7-0.5))/($I$106+$I$125)</f>
        <v>0.62405421731513411</v>
      </c>
      <c r="Y35" s="24">
        <f>($I$106+40*($G$7-0.5))/($I$106+$I$126)</f>
        <v>0.6423804764808555</v>
      </c>
      <c r="Z35" s="24">
        <f>($I$106+40*($G$7-0.5))/($I$106+$I$127)</f>
        <v>0.62088165830173092</v>
      </c>
      <c r="AA35" s="24">
        <f>($I$106+40*($G$7-0.5))/($I$106+$I$128)</f>
        <v>0.63641724086057938</v>
      </c>
      <c r="AB35" s="24">
        <f>($I$106+40*($H$7-0.5))/($I$106+$I$129)</f>
        <v>0.70475954350616776</v>
      </c>
      <c r="AC35" s="24">
        <f>($I$106+40*($H$7-0.5))/($I$106+$I$130)</f>
        <v>0.73660531818075892</v>
      </c>
      <c r="AD35" s="24">
        <f>($I$106+40*($H$7-0.5))/($I$106+$I$131)</f>
        <v>0.74998131608747298</v>
      </c>
      <c r="AE35" s="24">
        <f>($I$106+40*($H$7-0.5))/($I$106+$I$132)</f>
        <v>0.72004443768398085</v>
      </c>
      <c r="AF35" s="24">
        <f>($I$106+40*($I$7-0.5))/($I$106+$I$133)</f>
        <v>0.65498312954069771</v>
      </c>
      <c r="AG35" s="24">
        <f>($I$106+40*($I$7-0.5))/($I$106+$I$134)</f>
        <v>0.60965691905767472</v>
      </c>
      <c r="AH35" s="24">
        <f>($I$106+40*($I$7-0.5))/($I$106+$I$135)</f>
        <v>0.63426252867394695</v>
      </c>
      <c r="AI35" s="24">
        <f>($I$106+40*($I$7-0.5))/($I$106+$I$136)</f>
        <v>0.64401709044811928</v>
      </c>
      <c r="AJ35" s="24">
        <f>($I$106+40*($J$7-0.5))/($I$106+$I$137)</f>
        <v>0.71357192241113432</v>
      </c>
      <c r="AK35" s="24">
        <f>($I$106+40*($J$7-0.5))/($I$106+$I$138)</f>
        <v>0.72631925290105803</v>
      </c>
      <c r="AL35" s="24">
        <f>($I$106+40*($J$7-0.5))/($I$106+$I$139)</f>
        <v>0.73634909833607376</v>
      </c>
      <c r="AM35" s="24">
        <f>($I$106+40*($J$7-0.5))/($I$106+$I$140)</f>
        <v>0.71142459786247447</v>
      </c>
      <c r="AN35" s="24">
        <f>($I$106+40*($K$7-0.5))/($I$106+$I$141)</f>
        <v>0.76109646754918969</v>
      </c>
      <c r="AO35" s="24">
        <f>($I$106+40*($K$7-0.5))/($I$106+$I$142)</f>
        <v>0.75174053693368792</v>
      </c>
      <c r="AP35" s="24">
        <f>($I$106+40*($K$7-0.5))/($I$106+$I$143)</f>
        <v>0.75921073457286581</v>
      </c>
      <c r="AQ35" s="24">
        <f>($I$106+40*($K$7-0.5))/($I$106+$I$144)</f>
        <v>0.73940056411420096</v>
      </c>
      <c r="AR35" s="24">
        <f>($I$106+40*($L$7-0.5))/($I$106+$I$145)</f>
        <v>0.61475675899027626</v>
      </c>
      <c r="AS35" s="24">
        <f>($I$106+40*($L$7-0.5))/($I$106+$I$146)</f>
        <v>0.63438415482565313</v>
      </c>
      <c r="AT35" s="24">
        <f>($I$106+40*($L$7-0.5))/($I$106+$I$147)</f>
        <v>0.61761016610247832</v>
      </c>
      <c r="AU35" s="24">
        <f>($I$106+40*($L$7-0.5))/($I$106+$I$148)</f>
        <v>0.62142595539712209</v>
      </c>
      <c r="AV35" s="24">
        <f>($I$106+40*($M$7-0.5))/($I$106+$I$149)</f>
        <v>0.83103269401373636</v>
      </c>
      <c r="AW35" s="24">
        <f>($I$106+40*($M$7-0.5))/($I$106+$I$150)</f>
        <v>0.83976798090100679</v>
      </c>
      <c r="AX35" s="24">
        <f>($I$106+40*($M$7-0.5))/($I$106+$I$151)</f>
        <v>0.82605496069788753</v>
      </c>
      <c r="AY35" s="59">
        <f>($I$106+40*($M$7-0.5))/($I$106+$I$152)</f>
        <v>0.83238562304778962</v>
      </c>
      <c r="AZ35" s="24">
        <f>($I$106+40*($N$7-0.5))/($I$106+$I$153)</f>
        <v>0.81982180099087265</v>
      </c>
      <c r="BA35" s="24">
        <f>($I$106+40*($N$7-0.5))/($I$106+$I$154)</f>
        <v>0.80519493780812457</v>
      </c>
      <c r="BB35" s="24">
        <f>($I$106+40*($N$7-0.5))/($I$106+$I$155)</f>
        <v>0.85421548127106073</v>
      </c>
      <c r="BC35" s="24">
        <f>($I$106+40*($N$7-0.5))/($I$106+$I$156)</f>
        <v>0.86619691330959903</v>
      </c>
      <c r="BD35" s="24">
        <f>($I$106+40*($O$7-0.5))/($I$106+$I$157)</f>
        <v>0.79310595568595277</v>
      </c>
      <c r="BE35" s="24">
        <f>($I$106+40*($O$7-0.5))/($I$106+$I$158)</f>
        <v>0.87215543347882096</v>
      </c>
      <c r="BF35" s="24">
        <f>(I106+40*($O$7-0.5))/(I106+I$159)</f>
        <v>0.84906887615095328</v>
      </c>
      <c r="BG35" s="24">
        <f>($I$106+40*($O$7-0.5))/($I$106+$I$160)</f>
        <v>0.84075907828669916</v>
      </c>
      <c r="BH35" s="24">
        <f>($I$106+40*($P$7-0.5))/($I$106+$I$161)</f>
        <v>0.86519577710445283</v>
      </c>
      <c r="BI35" s="24">
        <f>($I$106+40*($P$7-0.5))/($I$106+$I$162)</f>
        <v>0.88326357665172461</v>
      </c>
      <c r="BJ35" s="24">
        <f>($I$106+40*($P$7-0.5))/($I$106+$I$163)</f>
        <v>0.89063759748318394</v>
      </c>
      <c r="BK35" s="24">
        <f>($I$106+40*($P$7-0.5))/($I$106+$I$164)</f>
        <v>0.89799408678809833</v>
      </c>
      <c r="BL35" s="24">
        <f>($I$106+40*($Q$7-0.5))/($I$106+$I$165)</f>
        <v>0.90246562504999139</v>
      </c>
      <c r="BM35" s="24">
        <f>($I$106+40*($Q$7-0.5))/($I$106+$I$166)</f>
        <v>0.88417787391309344</v>
      </c>
      <c r="BN35" s="24">
        <f>($I$106+40*($Q$7-0.5))/($I$106+$I$167)</f>
        <v>0.92733409914475318</v>
      </c>
      <c r="BO35" s="24">
        <f>($I$106+40*($Q$7-0.5))/($I$106+$I$168)</f>
        <v>0.8981936343094058</v>
      </c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XFD35" s="34"/>
    </row>
    <row r="36" spans="1:358 16384:16384" x14ac:dyDescent="0.25">
      <c r="A36" t="str">
        <f>$A$107</f>
        <v>Wichita St</v>
      </c>
      <c r="B36" s="54"/>
      <c r="C36" s="3">
        <v>3</v>
      </c>
      <c r="D36" s="24">
        <f>($I$105+40*($B$7-0.5))/($I$105+$I$107)</f>
        <v>0.48458091421565591</v>
      </c>
      <c r="E36" s="24">
        <f>($I$106+40*($B$7-0.5))/($I$106+$I$107)</f>
        <v>0.48099702164457442</v>
      </c>
      <c r="F36" s="3">
        <v>0</v>
      </c>
      <c r="G36" s="24">
        <f>($I$107+40*($B$7-0.5))/($I$107+$I$108)</f>
        <v>0.55325267432900971</v>
      </c>
      <c r="H36" s="24">
        <f>($I$107+40*($C$7-0.5))/($I$107+$I$109)</f>
        <v>0.57195991403160307</v>
      </c>
      <c r="I36" s="24">
        <f>($I$107+40*($C$7-0.5))/($I$107+$I$110)</f>
        <v>0.57673119308985565</v>
      </c>
      <c r="J36" s="24">
        <f>($I$107+40*($C$7-0.5))/($I$107+$I$111)</f>
        <v>0.57083265059442279</v>
      </c>
      <c r="K36" s="24">
        <f>($I$107+40*($C$7-0.5))/($I$107+$I$112)</f>
        <v>0.5629787042280574</v>
      </c>
      <c r="L36" s="24">
        <f>($I$107+40*($D$7-0.5))/($I$107+$I$113)</f>
        <v>0.51499861983146733</v>
      </c>
      <c r="M36" s="24">
        <f>($I$107+40*($D$7-0.5))/($I$107+$I$114)</f>
        <v>0.62220462336465809</v>
      </c>
      <c r="N36" s="24">
        <f>($I$107+40*($D$7-0.5))/($I$107+$I$115)</f>
        <v>0.50340735746491982</v>
      </c>
      <c r="O36" s="24">
        <f>($I$107+40*($D$7-0.5))/($I$107+$I$116)</f>
        <v>0.52768203611598841</v>
      </c>
      <c r="P36" s="24">
        <f>($I$107+40*($E$7-0.5))/($I$107+$I$117)</f>
        <v>0.62712631641520367</v>
      </c>
      <c r="Q36" s="24">
        <f>($I$107+40*($E$7-0.5))/($I$107+$I$118)</f>
        <v>0.66198408539834885</v>
      </c>
      <c r="R36" s="24">
        <f>($I$107+40*($E$7-0.5))/($I$107+$I$119)</f>
        <v>0.62405538008226313</v>
      </c>
      <c r="S36" s="24">
        <f>($I$107+40*($E$7-0.5))/($I$107+$I$120)</f>
        <v>0.63818438321353843</v>
      </c>
      <c r="T36" s="24">
        <f>($I$107+40*($F$7-0.5))/($I$107+$I$121)</f>
        <v>0.69310082670775974</v>
      </c>
      <c r="U36" s="24">
        <f>($I$107+40*($F$7-0.5))/($I$107+$I$122)</f>
        <v>0.69452051946375903</v>
      </c>
      <c r="V36" s="24">
        <f>($I$107+40*($F$7-0.5))/($I$107+$I$123)</f>
        <v>0.66274194739744341</v>
      </c>
      <c r="W36" s="24">
        <f>($I$107+40*($F$7-0.5))/($I$107+$I$124)</f>
        <v>0.68639488632874812</v>
      </c>
      <c r="X36" s="24">
        <f>($I$107+40*($G$7-0.5))/($I$107+$I$125)</f>
        <v>0.63954701006844716</v>
      </c>
      <c r="Y36" s="24">
        <f>($I$107+40*($G$7-0.5))/($I$107+$I$126)</f>
        <v>0.65753249390101665</v>
      </c>
      <c r="Z36" s="24">
        <f>($I$107+40*($G$7-0.5))/($I$107+$I$127)</f>
        <v>0.63642902328079054</v>
      </c>
      <c r="AA36" s="24">
        <f>($I$107+40*($G$7-0.5))/($I$107+$I$128)</f>
        <v>0.65168491817669916</v>
      </c>
      <c r="AB36" s="24">
        <f>($I$107+40*($H$7-0.5))/($I$107+$I$129)</f>
        <v>0.71630706547432466</v>
      </c>
      <c r="AC36" s="24">
        <f>($I$107+40*($H$7-0.5))/($I$107+$I$130)</f>
        <v>0.74735379540013658</v>
      </c>
      <c r="AD36" s="24">
        <f>($I$107+40*($H$7-0.5))/($I$107+$I$131)</f>
        <v>0.76036152978773441</v>
      </c>
      <c r="AE36" s="24">
        <f>($I$107+40*($H$7-0.5))/($I$107+$I$132)</f>
        <v>0.73122212923017682</v>
      </c>
      <c r="AF36" s="24">
        <f>($I$107+40*($I$7-0.5))/($I$107+$I$133)</f>
        <v>0.66943202597689533</v>
      </c>
      <c r="AG36" s="24">
        <f>($I$107+40*($I$7-0.5))/($I$107+$I$134)</f>
        <v>0.62491699456106165</v>
      </c>
      <c r="AH36" s="24">
        <f>($I$107+40*($I$7-0.5))/($I$107+$I$135)</f>
        <v>0.64911430847829887</v>
      </c>
      <c r="AI36" s="24">
        <f>($I$107+40*($I$7-0.5))/($I$107+$I$136)</f>
        <v>0.6586859174984816</v>
      </c>
      <c r="AJ36" s="24">
        <f>($I$107+40*($J$7-0.5))/($I$107+$I$137)</f>
        <v>0.72530338736128563</v>
      </c>
      <c r="AK36" s="24">
        <f>($I$107+40*($J$7-0.5))/($I$107+$I$138)</f>
        <v>0.73772051850356657</v>
      </c>
      <c r="AL36" s="24">
        <f>($I$107+40*($J$7-0.5))/($I$107+$I$139)</f>
        <v>0.74747780033925071</v>
      </c>
      <c r="AM36" s="24">
        <f>($I$107+40*($J$7-0.5))/($I$107+$I$140)</f>
        <v>0.72320989737024211</v>
      </c>
      <c r="AN36" s="24">
        <f>($I$107+40*($K$7-0.5))/($I$107+$I$141)</f>
        <v>0.77115601669505152</v>
      </c>
      <c r="AO36" s="24">
        <f>($I$107+40*($K$7-0.5))/($I$107+$I$142)</f>
        <v>0.76207088308943949</v>
      </c>
      <c r="AP36" s="24">
        <f>($I$107+40*($K$7-0.5))/($I$107+$I$143)</f>
        <v>0.76932562102774871</v>
      </c>
      <c r="AQ36" s="24">
        <f>($I$107+40*($K$7-0.5))/($I$107+$I$144)</f>
        <v>0.75007367667862779</v>
      </c>
      <c r="AR36" s="24">
        <f>($I$107+40*($L$7-0.5))/($I$107+$I$145)</f>
        <v>0.63073028695540612</v>
      </c>
      <c r="AS36" s="24">
        <f>($I$107+40*($L$7-0.5))/($I$107+$I$146)</f>
        <v>0.65000718601205576</v>
      </c>
      <c r="AT36" s="24">
        <f>($I$107+40*($L$7-0.5))/($I$107+$I$147)</f>
        <v>0.63353590922705882</v>
      </c>
      <c r="AU36" s="24">
        <f>($I$107+40*($L$7-0.5))/($I$107+$I$148)</f>
        <v>0.63728611015609182</v>
      </c>
      <c r="AV36" s="24">
        <f>($I$107+40*($M$7-0.5))/($I$107+$I$149)</f>
        <v>0.83877124965567063</v>
      </c>
      <c r="AW36" s="24">
        <f>($I$107+40*($M$7-0.5))/($I$107+$I$150)</f>
        <v>0.84718003726076496</v>
      </c>
      <c r="AX36" s="24">
        <f>($I$107+40*($M$7-0.5))/($I$107+$I$151)</f>
        <v>0.83397594708576184</v>
      </c>
      <c r="AY36" s="59">
        <f>($I$107+40*($M$7-0.5))/($I$107+$I$152)</f>
        <v>0.84007414001507197</v>
      </c>
      <c r="AZ36" s="24">
        <f>($I$107+40*($N$7-0.5))/($I$107+$I$153)</f>
        <v>0.82796751642281419</v>
      </c>
      <c r="BA36" s="24">
        <f>($I$107+40*($N$7-0.5))/($I$107+$I$154)</f>
        <v>0.81385177494767214</v>
      </c>
      <c r="BB36" s="24">
        <f>($I$107+40*($N$7-0.5))/($I$107+$I$155)</f>
        <v>0.86106978669471168</v>
      </c>
      <c r="BC36" s="24">
        <f>($I$107+40*($N$7-0.5))/($I$107+$I$156)</f>
        <v>0.87257192612691503</v>
      </c>
      <c r="BD36" s="24">
        <f>($I$107+40*($O$7-0.5))/($I$107+$I$157)</f>
        <v>0.802168017617649</v>
      </c>
      <c r="BE36" s="24">
        <f>($I$107+40*($O$7-0.5))/($I$107+$I$158)</f>
        <v>0.87828644523986221</v>
      </c>
      <c r="BF36" s="24">
        <f>($I$107+40*($O$7-0.5))/($I$107+$I$159)</f>
        <v>0.85612440181063643</v>
      </c>
      <c r="BG36" s="24">
        <f>($I$107+40*($O$7-0.5))/($I$107+$I$160)</f>
        <v>0.84813357921800703</v>
      </c>
      <c r="BH36" s="24">
        <f>($I$107+40*($P$7-0.5))/($I$107+$I$161)</f>
        <v>0.87161141881774051</v>
      </c>
      <c r="BI36" s="24">
        <f>($I$107+40*($P$7-0.5))/($I$107+$I$162)</f>
        <v>0.8889297192885538</v>
      </c>
      <c r="BJ36" s="24">
        <f>($I$107+40*($P$7-0.5))/($I$107+$I$163)</f>
        <v>0.8959879686922847</v>
      </c>
      <c r="BK36" s="24">
        <f>($I$107+40*($P$7-0.5))/($I$107+$I$164)</f>
        <v>0.90302374195709678</v>
      </c>
      <c r="BL36" s="24">
        <f>($I$107+40*($Q$7-0.5))/($I$107+$I$165)</f>
        <v>0.90729756070613454</v>
      </c>
      <c r="BM36" s="24">
        <f>($I$107+40*($Q$7-0.5))/($I$107+$I$166)</f>
        <v>0.8898051750192566</v>
      </c>
      <c r="BN36" s="24">
        <f>($I$107+40*($Q$7-0.5))/($I$107+$I$167)</f>
        <v>0.93102818670610554</v>
      </c>
      <c r="BO36" s="24">
        <f>($I$107+40*($Q$7-0.5))/($I$107+$I$168)</f>
        <v>0.90321451075583514</v>
      </c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</row>
    <row r="37" spans="1:358 16384:16384" x14ac:dyDescent="0.25">
      <c r="A37" t="str">
        <f>$A$108</f>
        <v>Virginia</v>
      </c>
      <c r="B37" s="54"/>
      <c r="C37" s="3">
        <v>4</v>
      </c>
      <c r="D37" s="24">
        <f>($I$105+40*($B$7-0.5))/($I$105+$I$108)</f>
        <v>0.53795825980005796</v>
      </c>
      <c r="E37" s="24">
        <f>($I$106+40*($B$7-0.5))/($I$106+$I$108)</f>
        <v>0.53438889664487255</v>
      </c>
      <c r="F37" s="24">
        <f>($I$107+40*($B$7-0.5))/($I$107+$I$108)</f>
        <v>0.55325267432900971</v>
      </c>
      <c r="G37" s="3">
        <v>0</v>
      </c>
      <c r="H37" s="24">
        <f>($I$108+40*($C$7-0.5))/($I$108+$I$109)</f>
        <v>0.52147552206548564</v>
      </c>
      <c r="I37" s="24">
        <f>($I$108+40*($C$7-0.5))/($I$108+$I$110)</f>
        <v>0.52634351985741834</v>
      </c>
      <c r="J37" s="24">
        <f>($I$108+40*($C$7-0.5))/($I$108+$I$111)</f>
        <v>0.52032680643365037</v>
      </c>
      <c r="K37" s="24">
        <f>($I$108+40*($C$7-0.5))/($I$108+$I$112)</f>
        <v>0.51233819182674312</v>
      </c>
      <c r="L37" s="24">
        <f>($I$108+40*($D$7-0.5))/($I$108+$I$113)</f>
        <v>0.45925942659615437</v>
      </c>
      <c r="M37" s="24">
        <f>($I$108+40*($D$7-0.5))/($I$108+$I$114)</f>
        <v>0.56846213111991495</v>
      </c>
      <c r="N37" s="24">
        <f>($I$108+40*($D$7-0.5))/($I$108+$I$115)</f>
        <v>0.44776448409072356</v>
      </c>
      <c r="O37" s="24">
        <f>($I$108+40*($D$7-0.5))/($I$108+$I$116)</f>
        <v>0.47190577707971704</v>
      </c>
      <c r="P37" s="24">
        <f>($I$108+40*($E$7-0.5))/($I$108+$I$117)</f>
        <v>0.58289645827409942</v>
      </c>
      <c r="Q37" s="24">
        <f>($I$108+40*($E$7-0.5))/($I$108+$I$118)</f>
        <v>0.61937949734105591</v>
      </c>
      <c r="R37" s="24">
        <f>($I$108+40*($E$7-0.5))/($I$108+$I$119)</f>
        <v>0.57970538219804835</v>
      </c>
      <c r="S37" s="24">
        <f>($I$108+40*($E$7-0.5))/($I$108+$I$120)</f>
        <v>0.59441790628957436</v>
      </c>
      <c r="T37" s="24">
        <f>($I$108+40*($F$7-0.5))/($I$108+$I$121)</f>
        <v>0.65566235608306134</v>
      </c>
      <c r="U37" s="24">
        <f>($I$108+40*($F$7-0.5))/($I$108+$I$122)</f>
        <v>0.65716957215581484</v>
      </c>
      <c r="V37" s="24">
        <f>($I$108+40*($F$7-0.5))/($I$108+$I$123)</f>
        <v>0.62361118115755654</v>
      </c>
      <c r="W37" s="24">
        <f>($I$108+40*($F$7-0.5))/($I$108+$I$124)</f>
        <v>0.64855316776680505</v>
      </c>
      <c r="X37" s="24">
        <f>($I$108+40*($G$7-0.5))/($I$108+$I$125)</f>
        <v>0.59575269883343085</v>
      </c>
      <c r="Y37" s="24">
        <f>($I$108+40*($G$7-0.5))/($I$108+$I$126)</f>
        <v>0.61460657295325927</v>
      </c>
      <c r="Z37" s="24">
        <f>($I$108+40*($G$7-0.5))/($I$108+$I$127)</f>
        <v>0.59249726300284966</v>
      </c>
      <c r="AA37" s="24">
        <f>($I$108+40*($G$7-0.5))/($I$108+$I$128)</f>
        <v>0.60846249201461289</v>
      </c>
      <c r="AB37" s="24">
        <f>($I$108+40*($H$7-0.5))/($I$108+$I$129)</f>
        <v>0.68379473479650188</v>
      </c>
      <c r="AC37" s="24">
        <f>($I$108+40*($H$7-0.5))/($I$108+$I$130)</f>
        <v>0.71699377930569774</v>
      </c>
      <c r="AD37" s="24">
        <f>($I$108+40*($H$7-0.5))/($I$108+$I$131)</f>
        <v>0.73100201044805513</v>
      </c>
      <c r="AE37" s="24">
        <f>($I$108+40*($H$7-0.5))/($I$108+$I$132)</f>
        <v>0.69970252319773818</v>
      </c>
      <c r="AF37" s="24">
        <f>($I$108+40*($I$7-0.5))/($I$108+$I$133)</f>
        <v>0.62853641829071549</v>
      </c>
      <c r="AG37" s="24">
        <f>($I$108+40*($I$7-0.5))/($I$108+$I$134)</f>
        <v>0.58195336029658418</v>
      </c>
      <c r="AH37" s="24">
        <f>($I$108+40*($I$7-0.5))/($I$108+$I$135)</f>
        <v>0.60718008359132158</v>
      </c>
      <c r="AI37" s="24">
        <f>($I$108+40*($I$7-0.5))/($I$108+$I$136)</f>
        <v>0.6172210412274507</v>
      </c>
      <c r="AJ37" s="24">
        <f>($I$108+40*($J$7-0.5))/($I$108+$I$137)</f>
        <v>0.69215735770803088</v>
      </c>
      <c r="AK37" s="24">
        <f>($I$108+40*($J$7-0.5))/($I$108+$I$138)</f>
        <v>0.70546435142770814</v>
      </c>
      <c r="AL37" s="24">
        <f>($I$108+40*($J$7-0.5))/($I$108+$I$139)</f>
        <v>0.71595959726199221</v>
      </c>
      <c r="AM37" s="24">
        <f>($I$108+40*($J$7-0.5))/($I$108+$I$140)</f>
        <v>0.68991925368990847</v>
      </c>
      <c r="AN37" s="24">
        <f>($I$108+40*($K$7-0.5))/($I$108+$I$141)</f>
        <v>0.74267142211311254</v>
      </c>
      <c r="AO37" s="24">
        <f>($I$108+40*($K$7-0.5))/($I$108+$I$142)</f>
        <v>0.73284720599853448</v>
      </c>
      <c r="AP37" s="24">
        <f>($I$108+40*($K$7-0.5))/($I$108+$I$143)</f>
        <v>0.74068980533134066</v>
      </c>
      <c r="AQ37" s="24">
        <f>($I$108+40*($K$7-0.5))/($I$108+$I$144)</f>
        <v>0.71991801428323099</v>
      </c>
      <c r="AR37" s="24">
        <f>($I$108+40*($L$7-0.5))/($I$108+$I$145)</f>
        <v>0.58555524744778575</v>
      </c>
      <c r="AS37" s="24">
        <f>($I$108+40*($L$7-0.5))/($I$108+$I$146)</f>
        <v>0.60571620543421145</v>
      </c>
      <c r="AT37" s="59">
        <f>($I$108+40*($L$7-0.5))/($I$108+$I$147)</f>
        <v>0.58848015905302697</v>
      </c>
      <c r="AU37" s="24">
        <f>($I$108+40*($L$7-0.5))/($I$108+$I$148)</f>
        <v>0.59239478857655414</v>
      </c>
      <c r="AV37" s="24">
        <f>($I$108+40*($M$7-0.5))/($I$108+$I$149)</f>
        <v>0.81670237748792374</v>
      </c>
      <c r="AW37" s="24">
        <f>($I$108+40*($M$7-0.5))/($I$108+$I$150)</f>
        <v>0.82602341751537289</v>
      </c>
      <c r="AX37" s="24">
        <f>($I$108+40*($M$7-0.5))/($I$108+$I$151)</f>
        <v>0.81139828704948758</v>
      </c>
      <c r="AY37" s="59">
        <f>($I$108+40*($M$7-0.5))/($I$108+$I$152)</f>
        <v>0.81814494068336763</v>
      </c>
      <c r="AZ37" s="24">
        <f>($I$108+40*($N$7-0.5))/($I$108+$I$153)</f>
        <v>0.80476405062262824</v>
      </c>
      <c r="BA37" s="24">
        <f>($I$108+40*($N$7-0.5))/($I$108+$I$154)</f>
        <v>0.78922906761987888</v>
      </c>
      <c r="BB37" s="24">
        <f>($I$108+40*($N$7-0.5))/($I$108+$I$155)</f>
        <v>0.84147626930521924</v>
      </c>
      <c r="BC37" s="24">
        <f>($I$108+40*($N$7-0.5))/($I$108+$I$156)</f>
        <v>0.85432613733129137</v>
      </c>
      <c r="BD37" s="59">
        <f>($I$108+40*($O$7-0.5))/($I$108+$I$157)</f>
        <v>0.77642440382547506</v>
      </c>
      <c r="BE37" s="24">
        <f>($I$108+40*($O$7-0.5))/($I$108+$I$158)</f>
        <v>0.86072829115647942</v>
      </c>
      <c r="BF37" s="24">
        <f>($I$108+40*($O$7-0.5))/($I$108+$I$159)</f>
        <v>0.83596629503429931</v>
      </c>
      <c r="BG37" s="24">
        <f>($I$108+40*($O$7-0.5))/($I$108+$I$160)</f>
        <v>0.82708202470104453</v>
      </c>
      <c r="BH37" s="24">
        <f>($I$108+40*($P$7-0.5))/($I$108+$I$161)</f>
        <v>0.85325122955914134</v>
      </c>
      <c r="BI37" s="24">
        <f>($I$108+40*($P$7-0.5))/($I$108+$I$162)</f>
        <v>0.87268437568994772</v>
      </c>
      <c r="BJ37" s="24">
        <f>($I$108+40*($P$7-0.5))/($I$108+$I$163)</f>
        <v>0.88063635547214825</v>
      </c>
      <c r="BK37" s="24">
        <f>($I$108+40*($P$7-0.5))/($I$108+$I$164)</f>
        <v>0.88858143769277309</v>
      </c>
      <c r="BL37" s="24">
        <f>($I$108+40*($Q$7-0.5))/($I$108+$I$165)</f>
        <v>0.89341661617639245</v>
      </c>
      <c r="BM37" s="24">
        <f>($I$108+40*($Q$7-0.5))/($I$108+$I$166)</f>
        <v>0.87366967995192457</v>
      </c>
      <c r="BN37" s="24">
        <f>($I$108+40*($Q$7-0.5))/($I$108+$I$167)</f>
        <v>0.92038879500832083</v>
      </c>
      <c r="BO37" s="24">
        <f>($I$108+40*($Q$7-0.5))/($I$108+$I$168)</f>
        <v>0.88879711835315112</v>
      </c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</row>
    <row r="38" spans="1:358 16384:16384" x14ac:dyDescent="0.25">
      <c r="A38" t="str">
        <f>$A$109</f>
        <v>Kansas</v>
      </c>
      <c r="B38" s="54">
        <v>2</v>
      </c>
      <c r="C38" s="3">
        <v>5</v>
      </c>
      <c r="D38" s="24">
        <f>($I$105+40*($C$7-0.5))/($I$105+$I$109)</f>
        <v>0.55744893931665351</v>
      </c>
      <c r="E38" s="24">
        <f>($I$106+40*($C$7-0.5))/($I$106+$I$109)</f>
        <v>0.55406376200804763</v>
      </c>
      <c r="F38" s="24">
        <f>($I$107+40*($C$7-0.5))/($I$107+$I$109)</f>
        <v>0.57195991403160307</v>
      </c>
      <c r="G38" s="24">
        <f>($I$108+40*($C$7-0.5))/($I$108+$I$109)</f>
        <v>0.52147552206548564</v>
      </c>
      <c r="H38" s="3">
        <v>0</v>
      </c>
      <c r="I38" s="24">
        <f>($I$109+40*($C$8-0.5))/($I$109+$I$110)</f>
        <v>0.50461833785647026</v>
      </c>
      <c r="J38" s="24">
        <f>($I$109+40*($C$8-0.5))/($I$109+$I$111)</f>
        <v>0.49891006605969396</v>
      </c>
      <c r="K38" s="24">
        <f>(I109+40*($C$8-0.5))/(I109+$I$112)</f>
        <v>0.49132885516245423</v>
      </c>
      <c r="L38" s="24">
        <f>($I$109+40*($D$8-0.5))/($I$109+$I$113)</f>
        <v>0.59941451729736894</v>
      </c>
      <c r="M38" s="24">
        <f>(I109+40*($D$8-0.5))/(I109+$I$114)</f>
        <v>0.74015223829032506</v>
      </c>
      <c r="N38" s="24">
        <f>($I$109+40*($D$8-0.5))/($I$109+$I$115)</f>
        <v>0.58456048990593934</v>
      </c>
      <c r="O38" s="24">
        <f>($I$109+40*($D$8-0.5))/($I$109+$I$116)</f>
        <v>0.61574768067581398</v>
      </c>
      <c r="P38" s="24">
        <f>($I$109+40*($E$8-0.5))/($I$109+$I$117)</f>
        <v>0.50283459659280005</v>
      </c>
      <c r="Q38" s="24">
        <f>($I$109+40*($E$8-0.5))/($I$109+$I$118)</f>
        <v>0.53395570180770724</v>
      </c>
      <c r="R38" s="24">
        <f>($I$109+40*($E$8-0.5))/($I$109+$I$119)</f>
        <v>0.50011056927322428</v>
      </c>
      <c r="S38" s="24">
        <f>($I$109+40*($E$8-0.5))/($I$109+$I$120)</f>
        <v>0.5126671490200656</v>
      </c>
      <c r="T38" s="24">
        <f>($I$109+40*($F$8-0.5))/($I$109+$I$121)</f>
        <v>0.30313810555100912</v>
      </c>
      <c r="U38" s="24">
        <f>($I$109+40*($F$8-0.5))/($I$109+$I$122)</f>
        <v>0.30382740996372437</v>
      </c>
      <c r="V38" s="24">
        <f>($I$109+40*($F$8-0.5))/($I$109+$I$123)</f>
        <v>0.28847184067672049</v>
      </c>
      <c r="W38" s="24">
        <f>($I$109+40*($F$8-0.5))/($I$109+$I$124)</f>
        <v>0.29988635534093983</v>
      </c>
      <c r="X38" s="24">
        <f>($I$109+40*($G$8-0.5))/($I$109+$I$125)</f>
        <v>0.61671170014484067</v>
      </c>
      <c r="Y38" s="24">
        <f>($I$109+40*($G$8-0.5))/($I$109+$I$126)</f>
        <v>0.63601243924000128</v>
      </c>
      <c r="Z38" s="24">
        <f>($I$109+40*($G$8-0.5))/($I$109+$I$127)</f>
        <v>0.61337777569014895</v>
      </c>
      <c r="AA38" s="24">
        <f>($I$109+40*($G$8-0.5))/($I$109+$I$128)</f>
        <v>0.6297241769062738</v>
      </c>
      <c r="AB38" s="24">
        <f>($I$109+40*($H$8-0.5))/($I$109+$I$129)</f>
        <v>0.5583535099922029</v>
      </c>
      <c r="AC38" s="24">
        <f>($I$109+40*($H$8-0.5))/($I$109+$I$130)</f>
        <v>0.58517390238045841</v>
      </c>
      <c r="AD38" s="24">
        <f>($I$109+40*($H$8-0.5))/($I$109+$I$131)</f>
        <v>0.59648275819598751</v>
      </c>
      <c r="AE38" s="24">
        <f>($I$109+40*($H$8-0.5))/($I$109+$I$132)</f>
        <v>0.57120817493156928</v>
      </c>
      <c r="AF38" s="24">
        <f>($I$109+40*($I$8-0.5))/($I$109+$I$133)</f>
        <v>0.524193247996664</v>
      </c>
      <c r="AG38" s="24">
        <f>($I$109+40*($I$8-0.5))/($I$109+$I$134)</f>
        <v>0.48573750161056667</v>
      </c>
      <c r="AH38" s="24">
        <f>($I$109+40*($I$8-0.5))/($I$109+$I$135)</f>
        <v>0.50657068583844345</v>
      </c>
      <c r="AI38" s="24">
        <f>($I$109+40*($I$8-0.5))/($I$109+$I$136)</f>
        <v>0.5148577950190053</v>
      </c>
      <c r="AJ38" s="24">
        <f>($I$109+40*($J$8-0.5))/($I$109+$I$137)</f>
        <v>0.51987329917075586</v>
      </c>
      <c r="AK38" s="24">
        <f>($I$109+40*($J$8-0.5))/($I$109+$I$138)</f>
        <v>0.52975929545095179</v>
      </c>
      <c r="AL38" s="24">
        <f>($I$109+40*($J$8-0.5))/($I$109+$I$139)</f>
        <v>0.53755353302577691</v>
      </c>
      <c r="AM38" s="24">
        <f>($I$109+40*($J$8-0.5))/($I$109+$I$140)</f>
        <v>0.51821017408226411</v>
      </c>
      <c r="AN38" s="24">
        <f>($I$109+40*($K$8-0.5))/($I$109+$I$141)</f>
        <v>0.54176864386410584</v>
      </c>
      <c r="AO38" s="24">
        <f>($I$109+40*($K$8-0.5))/($I$109+$I$142)</f>
        <v>0.53467990493804862</v>
      </c>
      <c r="AP38" s="24">
        <f>($I$109+40*($K$8-0.5))/($I$109+$I$143)</f>
        <v>0.54033895927827036</v>
      </c>
      <c r="AQ38" s="24">
        <f>($I$109+40*($K$8-0.5))/($I$109+$I$144)</f>
        <v>0.52534759816178711</v>
      </c>
      <c r="AR38" s="24">
        <f>($I$109+40*($L$8-0.5))/($I$109+$I$145)</f>
        <v>0.68524963203383671</v>
      </c>
      <c r="AS38" s="24">
        <f>($I$109+40*($L$8-0.5))/($I$109+$I$146)</f>
        <v>0.70857899938606506</v>
      </c>
      <c r="AT38" s="24">
        <f>($I$109+40*($L$8-0.5))/($I$109+$I$147)</f>
        <v>0.68863528864751355</v>
      </c>
      <c r="AU38" s="24">
        <f>($I$109+40*($L$8-0.5))/($I$109+$I$148)</f>
        <v>0.69316599500573206</v>
      </c>
      <c r="AV38" s="24">
        <f>($I$109+40*($M$8-0.5))/($I$109+$I$149)</f>
        <v>0.81891979354579925</v>
      </c>
      <c r="AW38" s="24">
        <f>($I$109+40*($M$8-0.5))/($I$109+$I$150)</f>
        <v>0.82815180028215751</v>
      </c>
      <c r="AX38" s="24">
        <f>($I$109+40*($M$8-0.5))/($I$109+$I$151)</f>
        <v>0.8136652288896602</v>
      </c>
      <c r="AY38" s="59">
        <f>($I$109+40*($M$8-0.5))/($I$109+$I$152)</f>
        <v>0.82034874431094529</v>
      </c>
      <c r="AZ38" s="24">
        <f>($I$109+40*($N$7-0.5))/($I$109+$I$153)</f>
        <v>0.80709177577048419</v>
      </c>
      <c r="BA38" s="24">
        <f>($I$109+40*($N$8-0.5))/($I$109+$I$154)</f>
        <v>0.76852924375646148</v>
      </c>
      <c r="BB38" s="24">
        <f>($I$109+40*($N$7-0.5))/($I$109+$I$155)</f>
        <v>0.84345143417903456</v>
      </c>
      <c r="BC38" s="24">
        <f>($I$109+40*($N$8-0.5))/($I$109+$I$156)</f>
        <v>0.83111722584096714</v>
      </c>
      <c r="BD38" s="59">
        <f>($I$109+40*($O$8-0.5))/($I$109+$I$157)</f>
        <v>0.75620390573790952</v>
      </c>
      <c r="BE38" s="24">
        <f>($I$109+40*($O$8-0.5))/($I$109+$I$158)</f>
        <v>0.83726610162011073</v>
      </c>
      <c r="BF38" s="24">
        <f>($I$109+40*($O$8-0.5))/($I$109+$I$159)</f>
        <v>0.81347725839018703</v>
      </c>
      <c r="BG38" s="24">
        <f>($I$109+40*($O$8-0.5))/($I$109+$I$160)</f>
        <v>0.80493788908845099</v>
      </c>
      <c r="BH38" s="24">
        <f>($I$109+40*($P$8-0.5))/($I$109+$I$161)</f>
        <v>0.83108553724882217</v>
      </c>
      <c r="BI38" s="24">
        <f>($I$109+40*($P$8-0.5))/($I$109+$I$162)</f>
        <v>0.84976937497449467</v>
      </c>
      <c r="BJ38" s="24">
        <f>($I$109+40*($P$8-0.5))/($I$109+$I$163)</f>
        <v>0.85741164187480301</v>
      </c>
      <c r="BK38" s="24">
        <f>($I$109+40*($P$8-0.5))/($I$109+$I$164)</f>
        <v>0.86504548377529022</v>
      </c>
      <c r="BL38" s="24">
        <f>($I$109+40*($Q$8-0.5))/($I$109+$I$165)</f>
        <v>0.89482550539776096</v>
      </c>
      <c r="BM38" s="24">
        <f>($I$109+40*($Q$8-0.5))/($I$109+$I$166)</f>
        <v>0.87530316469742586</v>
      </c>
      <c r="BN38" s="24">
        <f>($I$109+40*($Q$7-0.5))/($I$109+$I$167)</f>
        <v>0.92147248623604971</v>
      </c>
      <c r="BO38" s="24">
        <f>($I$109+40*($Q$7-0.5))/($I$109+$I$168)</f>
        <v>0.89025957055487259</v>
      </c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</row>
    <row r="39" spans="1:358 16384:16384" x14ac:dyDescent="0.25">
      <c r="A39" t="str">
        <f>$A$110</f>
        <v>Wisconsin</v>
      </c>
      <c r="B39" s="54"/>
      <c r="C39" s="3">
        <v>6</v>
      </c>
      <c r="D39" s="24">
        <f>($I$105+40*($C$7-0.5))/($I$105+$I$110)</f>
        <v>0.56225817542219791</v>
      </c>
      <c r="E39" s="24">
        <f>($I$106+40*($C$7-0.5))/($I$106+$I$110)</f>
        <v>0.55888067489772064</v>
      </c>
      <c r="F39" s="24">
        <f>($I$107+40*($C$7-0.5))/($I$107+$I$110)</f>
        <v>0.57673119308985565</v>
      </c>
      <c r="G39" s="24">
        <f>($I$108+40*($C$7-0.5))/($I$108+$I$110)</f>
        <v>0.52634351985741834</v>
      </c>
      <c r="H39" s="24">
        <f>($I$109+40*($C$8-0.5))/($I$109+$I$110)</f>
        <v>0.50461833785647026</v>
      </c>
      <c r="I39" s="3">
        <v>0</v>
      </c>
      <c r="J39" s="24">
        <f>($I$110+40*($C$8-0.5))/($I$110+$I$111)</f>
        <v>0.4942918431354365</v>
      </c>
      <c r="K39" s="24">
        <f>($I$110+40*($C$8-0.5))/($I$110+$I$112)</f>
        <v>0.48671264574223211</v>
      </c>
      <c r="L39" s="24">
        <f>($I$110+40*($D$8-0.5))/($I$110+$I$113)</f>
        <v>0.59580897682835832</v>
      </c>
      <c r="M39" s="24">
        <f>($I$110+40*($D$8-0.5))/($I$110+$I$114)</f>
        <v>0.73725818377172181</v>
      </c>
      <c r="N39" s="24">
        <f>($I$110+40*($D$8-0.5))/($I$110+$I$115)</f>
        <v>0.58091472793381049</v>
      </c>
      <c r="O39" s="24">
        <f>($I$110+40*($D$8-0.5))/($I$110+$I$116)</f>
        <v>0.61219403830462149</v>
      </c>
      <c r="P39" s="24">
        <f>($I$110+40*($E$8-0.5))/($I$110+$I$117)</f>
        <v>0.49821616532672086</v>
      </c>
      <c r="Q39" s="24">
        <f>($I$110+40*($E$8-0.5))/($I$110+$I$118)</f>
        <v>0.52935577811493162</v>
      </c>
      <c r="R39" s="24">
        <f>($I$110+40*($E$8-0.5))/($I$110+$I$119)</f>
        <v>0.4954922222092345</v>
      </c>
      <c r="S39" s="24">
        <f>($I$110+40*($E$8-0.5))/($I$110+$I$120)</f>
        <v>0.50805069506404166</v>
      </c>
      <c r="T39" s="24">
        <f>($I$110+40*($F$8-0.5))/($I$110+$I$121)</f>
        <v>0.29648088840955727</v>
      </c>
      <c r="U39" s="24">
        <f>($I$110+40*($F$8-0.5))/($I$110+$I$122)</f>
        <v>0.29716151019620363</v>
      </c>
      <c r="V39" s="24">
        <f>($I$110+40*($F$8-0.5))/($I$110+$I$123)</f>
        <v>0.28200636757711572</v>
      </c>
      <c r="W39" s="24">
        <f>($I$110+40*($F$8-0.5))/($I$110+$I$124)</f>
        <v>0.29327049667778177</v>
      </c>
      <c r="X39" s="24">
        <f>($I$110+40*($G$8-0.5))/($I$110+$I$125)</f>
        <v>0.61306482739541324</v>
      </c>
      <c r="Y39" s="24">
        <f>($I$110+40*($G$8-0.5))/($I$110+$I$126)</f>
        <v>0.63243975732089275</v>
      </c>
      <c r="Z39" s="24">
        <f>($I$110+40*($G$8-0.5))/($I$110+$I$127)</f>
        <v>0.60971925619979406</v>
      </c>
      <c r="AA39" s="24">
        <f>($I$110+40*($G$8-0.5))/($I$110+$I$128)</f>
        <v>0.62612605577523039</v>
      </c>
      <c r="AB39" s="24">
        <f>($I$110+40*($H$8-0.5))/($I$110+$I$129)</f>
        <v>0.55438951247949542</v>
      </c>
      <c r="AC39" s="24">
        <f>($I$110+40*($H$8-0.5))/($I$110+$I$130)</f>
        <v>0.58127010165796167</v>
      </c>
      <c r="AD39" s="24">
        <f>($I$110+40*($H$8-0.5))/($I$110+$I$131)</f>
        <v>0.59261129083626329</v>
      </c>
      <c r="AE39" s="24">
        <f>($I$110+40*($H$8-0.5))/($I$110+$I$132)</f>
        <v>0.56727013603249998</v>
      </c>
      <c r="AF39" s="24">
        <f>($I$110+40*($I$8-0.5))/($I$110+$I$133)</f>
        <v>0.51958366267384504</v>
      </c>
      <c r="AG39" s="24">
        <f>($I$110+40*($I$8-0.5))/($I$110+$I$134)</f>
        <v>0.48112413709368773</v>
      </c>
      <c r="AH39" s="24">
        <f>($I$110+40*($I$8-0.5))/($I$110+$I$135)</f>
        <v>0.50195258499179407</v>
      </c>
      <c r="AI39" s="24">
        <f>($I$110+40*($I$8-0.5))/($I$110+$I$136)</f>
        <v>0.51024226839142039</v>
      </c>
      <c r="AJ39" s="24">
        <f>($I$110+40*($J$8-0.5))/($I$110+$I$137)</f>
        <v>0.51533634864991729</v>
      </c>
      <c r="AK39" s="24">
        <f>($I$110+40*($J$8-0.5))/($I$110+$I$138)</f>
        <v>0.52523044975723221</v>
      </c>
      <c r="AL39" s="24">
        <f>($I$110+40*($J$8-0.5))/($I$110+$I$139)</f>
        <v>0.53303358492970387</v>
      </c>
      <c r="AM39" s="24">
        <f>($I$110+40*($J$8-0.5))/($I$110+$I$140)</f>
        <v>0.51367220948667724</v>
      </c>
      <c r="AN39" s="24">
        <f>($I$110+40*($K$8-0.5))/($I$110+$I$141)</f>
        <v>0.53730214649971464</v>
      </c>
      <c r="AO39" s="24">
        <f>($I$110+40*($K$8-0.5))/($I$110+$I$142)</f>
        <v>0.53020422834415037</v>
      </c>
      <c r="AP39" s="24">
        <f>($I$110+40*($K$8-0.5))/($I$110+$I$143)</f>
        <v>0.53587046486272938</v>
      </c>
      <c r="AQ39" s="24">
        <f>($I$110+40*($K$8-0.5))/($I$110+$I$144)</f>
        <v>0.52086259702667304</v>
      </c>
      <c r="AR39" s="24">
        <f>($I$110+40*($L$8-0.5))/($I$110+$I$145)</f>
        <v>0.68223424500299668</v>
      </c>
      <c r="AS39" s="24">
        <f>($I$110+40*($L$8-0.5))/($I$110+$I$146)</f>
        <v>0.70569112167024717</v>
      </c>
      <c r="AT39" s="24">
        <f>($I$110+40*($L$8-0.5))/($I$110+$I$147)</f>
        <v>0.68563745709345369</v>
      </c>
      <c r="AU39" s="24">
        <f>($I$110+40*($L$8-0.5))/($I$110+$I$148)</f>
        <v>0.69019216039455089</v>
      </c>
      <c r="AV39" s="24">
        <f>($I$110+40*($M$8-0.5))/($I$110+$I$149)</f>
        <v>0.81697908224941551</v>
      </c>
      <c r="AW39" s="24">
        <f>($I$110+40*($M$8-0.5))/($I$110+$I$150)</f>
        <v>0.82628904417045057</v>
      </c>
      <c r="AX39" s="24">
        <f>($I$110+40*($M$8-0.5))/($I$110+$I$151)</f>
        <v>0.81168115253415585</v>
      </c>
      <c r="AY39" s="24">
        <f>($I$110+40*($M$8-0.5))/($I$110+$I$152)</f>
        <v>0.81841995193312511</v>
      </c>
      <c r="AZ39" s="24">
        <f>($I$110+40*($N$8-0.5))/($I$110+$I$153)</f>
        <v>0.78118971523996483</v>
      </c>
      <c r="BA39" s="24">
        <f>($I$110+40*($N$8-0.5))/($I$110+$I$154)</f>
        <v>0.76613180572532269</v>
      </c>
      <c r="BB39" s="24">
        <f>($I$110+40*($N$7-0.5))/($I$110+$I$155)</f>
        <v>0.84172282341788163</v>
      </c>
      <c r="BC39" s="24">
        <f>($I$110+40*($N$8-0.5))/($I$110+$I$156)</f>
        <v>0.82922398885905191</v>
      </c>
      <c r="BD39" s="24">
        <f>($I$110+40*($O$8-0.5))/($I$110+$I$157)</f>
        <v>0.75371971814571737</v>
      </c>
      <c r="BE39" s="24">
        <f>($I$110+40*($O$8-0.5))/($I$110+$I$158)</f>
        <v>0.83542814651493758</v>
      </c>
      <c r="BF39" s="24">
        <f>($I$110+40*($O$8-0.5))/($I$110+$I$159)</f>
        <v>0.81143113779348319</v>
      </c>
      <c r="BG39" s="24">
        <f>($I$110+40*($O$8-0.5))/($I$110+$I$160)</f>
        <v>0.802820799176438</v>
      </c>
      <c r="BH39" s="24">
        <f>($I$110+40*($P$8-0.5))/($I$110+$I$161)</f>
        <v>0.82919432377483626</v>
      </c>
      <c r="BI39" s="24">
        <f>($I$110+40*($P$8-0.5))/($I$110+$I$162)</f>
        <v>0.84804910396565525</v>
      </c>
      <c r="BJ39" s="24">
        <f>($I$110+40*($P$8-0.5))/($I$110+$I$163)</f>
        <v>0.85576402780570049</v>
      </c>
      <c r="BK39" s="24">
        <f>($I$110+40*($P$8-0.5))/($I$110+$I$164)</f>
        <v>0.86347203323731547</v>
      </c>
      <c r="BL39" s="24">
        <f>($I$110+40*($Q$8-0.5))/($I$110+$I$165)</f>
        <v>0.89359260210021418</v>
      </c>
      <c r="BM39" s="24">
        <f>($I$110+40*($Q$8-0.5))/($I$110+$I$166)</f>
        <v>0.87387366818356604</v>
      </c>
      <c r="BN39" s="24">
        <f>($I$110+40*($Q$7-0.5))/($I$110+$I$167)</f>
        <v>0.92052420735819784</v>
      </c>
      <c r="BO39" s="24">
        <f>($I$110+40*($Q$8-0.5))/($I$110+$I$168)</f>
        <v>0.88897978396244259</v>
      </c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</row>
    <row r="40" spans="1:358 16384:16384" x14ac:dyDescent="0.25">
      <c r="A40" t="str">
        <f>$A$111</f>
        <v>Michigan</v>
      </c>
      <c r="B40" s="54"/>
      <c r="C40" s="3">
        <v>7</v>
      </c>
      <c r="D40" s="24">
        <f>($I$105+40*($C$7-0.5))/($I$105+$I$111)</f>
        <v>0.55631310535717793</v>
      </c>
      <c r="E40" s="24">
        <f>($I$106+40*($C$7-0.5))/($I$106+$I$111)</f>
        <v>0.55292620776878609</v>
      </c>
      <c r="F40" s="24">
        <f>($I$107+40*($C$7-0.5))/($I$107+$I$111)</f>
        <v>0.57083265059442279</v>
      </c>
      <c r="G40" s="24">
        <f>($I$108+40*($C$7-0.5))/($I$108+$I$111)</f>
        <v>0.52032680643365037</v>
      </c>
      <c r="H40" s="24">
        <f>($I$109+40*($C$8-0.5))/($I$109+$I$111)</f>
        <v>0.49891006605969396</v>
      </c>
      <c r="I40" s="24">
        <f>($I$110+40*($C$8-0.5))/($I$110+$I$111)</f>
        <v>0.4942918431354365</v>
      </c>
      <c r="J40" s="3">
        <v>0</v>
      </c>
      <c r="K40" s="24">
        <f>($I$111+40*($C$8-0.5))/($I$111+$I$112)</f>
        <v>0.49241850249258473</v>
      </c>
      <c r="L40" s="24">
        <f>($I$111+40*($D$8-0.5))/($I$111+$I$113)</f>
        <v>0.60026567569954981</v>
      </c>
      <c r="M40" s="24">
        <f>($I$111+40*($D$8-0.5))/($I$111+$I$114)</f>
        <v>0.74083365276774471</v>
      </c>
      <c r="N40" s="24">
        <f>($I$111+40*($D$8-0.5))/($I$111+$I$115)</f>
        <v>0.58542138067494165</v>
      </c>
      <c r="O40" s="24">
        <f>($I$111+40*($D$8-0.5))/($I$111+$I$116)</f>
        <v>0.61658633321418621</v>
      </c>
      <c r="P40" s="24">
        <f>($I$111+40*($E$8-0.5))/($I$111+$I$117)</f>
        <v>0.50392448203399554</v>
      </c>
      <c r="Q40" s="24">
        <f>($I$111+40*($E$8-0.5))/($I$111+$I$118)</f>
        <v>0.53504044843405107</v>
      </c>
      <c r="R40" s="24">
        <f>($I$111+40*($E$8-0.5))/($I$111+$I$119)</f>
        <v>0.50120050263482452</v>
      </c>
      <c r="S40" s="24">
        <f>($I$111+40*($E$8-0.5))/($I$111+$I$120)</f>
        <v>0.51375632326160636</v>
      </c>
      <c r="T40" s="24">
        <f>($I$111+40*($F$8-0.5))/($I$111+$I$121)</f>
        <v>0.30470860906751901</v>
      </c>
      <c r="U40" s="24">
        <f>($I$111+40*($F$8-0.5))/($I$111+$I$122)</f>
        <v>0.30539991957897444</v>
      </c>
      <c r="V40" s="24">
        <f>($I$111+40*($F$8-0.5))/($I$111+$I$123)</f>
        <v>0.28999798124915466</v>
      </c>
      <c r="W40" s="24">
        <f>($I$111+40*($F$8-0.5))/($I$111+$I$124)</f>
        <v>0.30144729965771982</v>
      </c>
      <c r="X40" s="24">
        <f>($I$111+40*($G$8-0.5))/($I$111+$I$125)</f>
        <v>0.61757207406400838</v>
      </c>
      <c r="Y40" s="24">
        <f>($I$111+40*($G$8-0.5))/($I$111+$I$126)</f>
        <v>0.63685499980735183</v>
      </c>
      <c r="Z40" s="24">
        <f>($I$111+40*($G$8-0.5))/($I$111+$I$127)</f>
        <v>0.61424095219046049</v>
      </c>
      <c r="AA40" s="24">
        <f>($I$111+40*($G$8-0.5))/($I$111+$I$128)</f>
        <v>0.6305728386810685</v>
      </c>
      <c r="AB40" s="24">
        <f>($I$111+40*($H$8-0.5))/($I$111+$I$129)</f>
        <v>0.55928931806024329</v>
      </c>
      <c r="AC40" s="24">
        <f>($I$111+40*($H$8-0.5))/($I$111+$I$130)</f>
        <v>0.58609500829441408</v>
      </c>
      <c r="AD40" s="24">
        <f>($I$111+40*($H$8-0.5))/($I$111+$I$131)</f>
        <v>0.59739602969677497</v>
      </c>
      <c r="AE40" s="24">
        <f>($I$111+40*($H$8-0.5))/($I$111+$I$132)</f>
        <v>0.57213761732411827</v>
      </c>
      <c r="AF40" s="24">
        <f>($I$111+40*($I$8-0.5))/($I$111+$I$133)</f>
        <v>0.52528051544506382</v>
      </c>
      <c r="AG40" s="24">
        <f>($I$111+40*($I$8-0.5))/($I$111+$I$134)</f>
        <v>0.48682661642034047</v>
      </c>
      <c r="AH40" s="24">
        <f>($I$111+40*($I$8-0.5))/($I$111+$I$135)</f>
        <v>0.50766040033544346</v>
      </c>
      <c r="AI40" s="24">
        <f>($I$111+40*($I$8-0.5))/($I$111+$I$136)</f>
        <v>0.51594669599517029</v>
      </c>
      <c r="AJ40" s="24">
        <f>($I$111+40*($J$8-0.5))/($I$111+$I$137)</f>
        <v>0.52094374660358467</v>
      </c>
      <c r="AK40" s="24">
        <f>($I$111+40*($J$8-0.5))/($I$111+$I$138)</f>
        <v>0.53082759333145757</v>
      </c>
      <c r="AL40" s="24">
        <f>($I$111+40*($J$8-0.5))/($I$111+$I$139)</f>
        <v>0.53861954536571099</v>
      </c>
      <c r="AM40" s="24">
        <f>($I$111+40*($J$8-0.5))/($I$111+$I$140)</f>
        <v>0.51928090077927858</v>
      </c>
      <c r="AN40" s="24">
        <f>($I$111+40*($K$8-0.5))/($I$111+$I$141)</f>
        <v>0.5428220845281978</v>
      </c>
      <c r="AO40" s="24">
        <f>($I$111+40*($K$8-0.5))/($I$111+$I$142)</f>
        <v>0.53573567694584701</v>
      </c>
      <c r="AP40" s="24">
        <f>($I$111+40*($K$8-0.5))/($I$111+$I$143)</f>
        <v>0.5413929044575102</v>
      </c>
      <c r="AQ40" s="24">
        <f>($I$111+40*($K$8-0.5))/($I$111+$I$144)</f>
        <v>0.52640578926497239</v>
      </c>
      <c r="AR40" s="24">
        <f>($I$111+40*($L$8-0.5))/($I$111+$I$145)</f>
        <v>0.68596096811560558</v>
      </c>
      <c r="AS40" s="24">
        <f>($I$111+40*($L$8-0.5))/($I$111+$I$146)</f>
        <v>0.70925998116008593</v>
      </c>
      <c r="AT40" s="24">
        <f>($I$111+40*($L$8-0.5))/($I$111+$I$147)</f>
        <v>0.68934244198539729</v>
      </c>
      <c r="AU40" s="24">
        <f>($I$111+40*($L$8-0.5))/($I$111+$I$148)</f>
        <v>0.69386743282851138</v>
      </c>
      <c r="AV40" s="24">
        <f>($I$111+40*($M$8-0.5))/($I$111+$I$149)</f>
        <v>0.81937697494743611</v>
      </c>
      <c r="AW40" s="24">
        <f>($I$111+40*($M$8-0.5))/($I$111+$I$150)</f>
        <v>0.82859055195136866</v>
      </c>
      <c r="AX40" s="24">
        <f>($I$111+40*($M$8-0.5))/($I$111+$I$151)</f>
        <v>0.81413266569228582</v>
      </c>
      <c r="AY40" s="24">
        <f>($I$111+40*($M$8-0.5))/($I$111+$I$152)</f>
        <v>0.82080310742459917</v>
      </c>
      <c r="AZ40" s="24">
        <f>($I$111+40*($N$8-0.5))/($I$111+$I$153)</f>
        <v>0.78401520760850807</v>
      </c>
      <c r="BA40" s="24">
        <f>($I$111+40*($N$8-0.5))/($I$111+$I$154)</f>
        <v>0.76909426682886717</v>
      </c>
      <c r="BB40" s="24">
        <f>($I$111+40*($N$7-0.5))/($I$111+$I$155)</f>
        <v>0.84385848865512847</v>
      </c>
      <c r="BC40" s="24">
        <f>($I$111+40*($N$8-0.5))/($I$111+$I$156)</f>
        <v>0.83156295491789201</v>
      </c>
      <c r="BD40" s="24">
        <f>($I$111+40*($O$8-0.5))/($I$111+$I$157)</f>
        <v>0.75678949393678263</v>
      </c>
      <c r="BE40" s="24">
        <f>($I$111+40*($O$8-0.5))/($I$111+$I$158)</f>
        <v>0.83769877122259673</v>
      </c>
      <c r="BF40" s="24">
        <f>($I$111+40*($O$8-0.5))/($I$111+$I$159)</f>
        <v>0.81395912281386285</v>
      </c>
      <c r="BG40" s="24">
        <f>($I$111+40*($O$8-0.5))/($I$111+$I$160)</f>
        <v>0.80543653782692048</v>
      </c>
      <c r="BH40" s="24">
        <f>($I$111+40*($P$8-0.5))/($I$111+$I$161)</f>
        <v>0.83153079758746795</v>
      </c>
      <c r="BI40" s="24">
        <f>($I$111+40*($P$8-0.5))/($I$111+$I$162)</f>
        <v>0.85017426330974455</v>
      </c>
      <c r="BJ40" s="24">
        <f>($I$111+40*($P$8-0.5))/($I$111+$I$163)</f>
        <v>0.85779938011373114</v>
      </c>
      <c r="BK40" s="24">
        <f>($I$111+40*($P$8-0.5))/($I$111+$I$164)</f>
        <v>0.86541572181730009</v>
      </c>
      <c r="BL40" s="24">
        <f>($I$111+40*($Q$8-0.5))/($I$111+$I$165)</f>
        <v>0.89511558912870581</v>
      </c>
      <c r="BM40" s="24">
        <f>($I$111+40*($Q$8-0.5))/($I$111+$I$166)</f>
        <v>0.87563961013900249</v>
      </c>
      <c r="BN40" s="24">
        <f>($I$111+40*($Q$7-0.5))/($I$111+$I$167)</f>
        <v>0.92169550588891624</v>
      </c>
      <c r="BO40" s="24">
        <f>($I$111+40*($Q$8-0.5))/($I$111+$I$168)</f>
        <v>0.89056070747408045</v>
      </c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</row>
    <row r="41" spans="1:358 16384:16384" x14ac:dyDescent="0.25">
      <c r="A41" t="str">
        <f>$A$112</f>
        <v>Villanova</v>
      </c>
      <c r="B41" s="54"/>
      <c r="C41" s="3">
        <v>8</v>
      </c>
      <c r="D41" s="24">
        <f>($I$105+40*($C$7-0.5))/($I$105+$I$112)</f>
        <v>0.54840365630727272</v>
      </c>
      <c r="E41" s="24">
        <f>($I$106+40*($C$7-0.5))/($I$106+$I$112)</f>
        <v>0.54500576251625166</v>
      </c>
      <c r="F41" s="24">
        <f>($I$107+40*($C$7-0.5))/($I$107+$I$112)</f>
        <v>0.5629787042280574</v>
      </c>
      <c r="G41" s="24">
        <f>($I$108+40*($C$7-0.5))/($I$108+$I$112)</f>
        <v>0.51233819182674312</v>
      </c>
      <c r="H41" s="24">
        <f>(CA39+40*($C$8-0.5))/(CA39+$I$112)</f>
        <v>0</v>
      </c>
      <c r="I41" s="24">
        <f>($I$110+40*($C$8-0.5))/($I$110+$I$112)</f>
        <v>0.48671264574223211</v>
      </c>
      <c r="J41" s="24">
        <f>($I$111+40*($C$8-0.5))/($I$111+$I$112)</f>
        <v>0.49241850249258473</v>
      </c>
      <c r="K41" s="3">
        <v>0</v>
      </c>
      <c r="L41" s="24">
        <f>($I$112+40*($D$8-0.5))/($I$112+$I$113)</f>
        <v>0.60618864597185274</v>
      </c>
      <c r="M41" s="24">
        <f>($I$112+40*($D$8-0.5))/($I$112+$I$114)</f>
        <v>0.74555667055716346</v>
      </c>
      <c r="N41" s="24">
        <f>($I$112+40*($D$8-0.5))/($I$112+$I$115)</f>
        <v>0.59141458723904772</v>
      </c>
      <c r="O41" s="24">
        <f>($I$112+40*($D$8-0.5))/($I$112+$I$116)</f>
        <v>0.6224195908260346</v>
      </c>
      <c r="P41" s="24">
        <f>($I$112+40*($E$8-0.5))/($I$112+$I$117)</f>
        <v>0.51150461033398253</v>
      </c>
      <c r="Q41" s="24">
        <f>($I$112+40*($E$8-0.5))/($I$112+$I$118)</f>
        <v>0.54257670239240219</v>
      </c>
      <c r="R41" s="24">
        <f>($I$112+40*($E$8-0.5))/($I$112+$I$119)</f>
        <v>0.50878168043259764</v>
      </c>
      <c r="S41" s="24">
        <f>($I$112+40*($E$8-0.5))/($I$112+$I$120)</f>
        <v>0.52132892289433841</v>
      </c>
      <c r="T41" s="24">
        <f>($I$112+40*($F$8-0.5))/($I$112+$I$121)</f>
        <v>0.31562607352240774</v>
      </c>
      <c r="U41" s="24">
        <f>($I$112+40*($F$8-0.5))/($I$112+$I$122)</f>
        <v>0.31633088414435018</v>
      </c>
      <c r="V41" s="24">
        <f>($I$112+40*($F$8-0.5))/($I$112+$I$123)</f>
        <v>0.30061625976444789</v>
      </c>
      <c r="W41" s="24">
        <f>($I$112+40*($F$8-0.5))/($I$112+$I$124)</f>
        <v>0.31230039896451667</v>
      </c>
      <c r="X41" s="24">
        <f>($I$112+40*($G$8-0.5))/($I$112+$I$125)</f>
        <v>0.62355345043754362</v>
      </c>
      <c r="Y41" s="24">
        <f>($I$112+40*($G$8-0.5))/($I$112+$I$126)</f>
        <v>0.64270926614350399</v>
      </c>
      <c r="Z41" s="24">
        <f>($I$112+40*($G$8-0.5))/($I$112+$I$127)</f>
        <v>0.62024239141617654</v>
      </c>
      <c r="AA41" s="24">
        <f>($I$112+40*($G$8-0.5))/($I$112+$I$128)</f>
        <v>0.63647057016676378</v>
      </c>
      <c r="AB41" s="24">
        <f>($I$112+40*($H$8-0.5))/($I$112+$I$129)</f>
        <v>0.56580164670879729</v>
      </c>
      <c r="AC41" s="24">
        <f>($I$112+40*($H$8-0.5))/($I$112+$I$130)</f>
        <v>0.59249983558717634</v>
      </c>
      <c r="AD41" s="24">
        <f>($I$112+40*($H$8-0.5))/($I$112+$I$131)</f>
        <v>0.60374421449369942</v>
      </c>
      <c r="AE41" s="24">
        <f>($I$112+40*($H$8-0.5))/($I$112+$I$132)</f>
        <v>0.5786031366503146</v>
      </c>
      <c r="AF41" s="24">
        <f>($I$112+40*($I$8-0.5))/($I$112+$I$133)</f>
        <v>0.53283683837167006</v>
      </c>
      <c r="AG41" s="24">
        <f>($I$112+40*($I$8-0.5))/($I$112+$I$134)</f>
        <v>0.49440587909939698</v>
      </c>
      <c r="AH41" s="24">
        <f>($I$112+40*($I$8-0.5))/($I$112+$I$135)</f>
        <v>0.51523835783177285</v>
      </c>
      <c r="AI41" s="24">
        <f>($I$112+40*($I$8-0.5))/($I$112+$I$136)</f>
        <v>0.52351682078348749</v>
      </c>
      <c r="AJ41" s="24">
        <f>($I$112+40*($J$8-0.5))/($I$112+$I$137)</f>
        <v>0.52838646997732053</v>
      </c>
      <c r="AK41" s="24">
        <f>($I$112+40*($J$8-0.5))/($I$112+$I$138)</f>
        <v>0.53825286742954315</v>
      </c>
      <c r="AL41" s="24">
        <f>($I$112+40*($J$8-0.5))/($I$112+$I$139)</f>
        <v>0.54602696517973159</v>
      </c>
      <c r="AM41" s="24">
        <f>($I$112+40*($J$8-0.5))/($I$112+$I$140)</f>
        <v>0.52672598816271698</v>
      </c>
      <c r="AN41" s="24">
        <f>($I$112+40*($K$8-0.5))/($I$112+$I$141)</f>
        <v>0.55014251070105413</v>
      </c>
      <c r="AO41" s="24">
        <f>($I$112+40*($K$8-0.5))/($I$112+$I$142)</f>
        <v>0.54307405844922985</v>
      </c>
      <c r="AP41" s="24">
        <f>($I$112+40*($K$8-0.5))/($I$112+$I$143)</f>
        <v>0.54871718974811678</v>
      </c>
      <c r="AQ41" s="24">
        <f>($I$112+40*($K$8-0.5))/($I$112+$I$144)</f>
        <v>0.53376330183763765</v>
      </c>
      <c r="AR41" s="24">
        <f>($I$112+40*($L$8-0.5))/($I$112+$I$145)</f>
        <v>0.69090562128208344</v>
      </c>
      <c r="AS41" s="24">
        <f>($I$112+40*($L$8-0.5))/($I$112+$I$146)</f>
        <v>0.71399074068180157</v>
      </c>
      <c r="AT41" s="24">
        <f>($I$112+40*($L$8-0.5))/($I$112+$I$147)</f>
        <v>0.69425758359380541</v>
      </c>
      <c r="AU41" s="24">
        <f>($I$112+40*($L$8-0.5))/($I$112+$I$148)</f>
        <v>0.69874226902809944</v>
      </c>
      <c r="AV41" s="24">
        <f>($I$112+40*($M$8-0.5))/($I$112+$I$149)</f>
        <v>0.82254825060802239</v>
      </c>
      <c r="AW41" s="24">
        <f>($I$112+40*($M$8-0.5))/($I$112+$I$150)</f>
        <v>0.83163330094635546</v>
      </c>
      <c r="AX41" s="24">
        <f>($I$112+40*($M$8-0.5))/($I$112+$I$151)</f>
        <v>0.81737549570597035</v>
      </c>
      <c r="AY41" s="24">
        <f>($I$112+40*($M$8-0.5))/($I$112+$I$152)</f>
        <v>0.82395472360874089</v>
      </c>
      <c r="AZ41" s="24">
        <f>($I$112+40*($N$8-0.5))/($I$112+$I$153)</f>
        <v>0.78775365539570263</v>
      </c>
      <c r="BA41" s="24">
        <f>($I$112+40*($N$8-0.5))/($I$112+$I$154)</f>
        <v>0.77301620763883339</v>
      </c>
      <c r="BB41" s="24">
        <f>($I$112+40*($N$7-0.5))/($I$112+$I$155)</f>
        <v>0.84668036100960531</v>
      </c>
      <c r="BC41" s="24">
        <f>($I$112+40*($N$8-0.5))/($I$112+$I$156)</f>
        <v>0.83465197519019774</v>
      </c>
      <c r="BD41" s="24">
        <f>($I$112+40*($O$8-0.5))/($I$112+$I$157)</f>
        <v>0.76085544552853557</v>
      </c>
      <c r="BE41" s="24">
        <f>($I$112+40*($O$8-0.5))/($I$112+$I$158)</f>
        <v>0.84069682164321258</v>
      </c>
      <c r="BF41" s="24">
        <f>($I$112+40*($O$8-0.5))/($I$112+$I$159)</f>
        <v>0.8173000547319218</v>
      </c>
      <c r="BG41" s="24">
        <f>($I$112+40*($O$8-0.5))/($I$112+$I$160)</f>
        <v>0.80889458515599855</v>
      </c>
      <c r="BH41" s="24">
        <f>($I$112+40*($P$8-0.5))/($I$112+$I$161)</f>
        <v>0.83461664961670445</v>
      </c>
      <c r="BI41" s="24">
        <f>($I$112+40*($P$8-0.5))/($I$112+$I$162)</f>
        <v>0.85297900128602777</v>
      </c>
      <c r="BJ41" s="24">
        <f>($I$112+40*($P$8-0.5))/($I$112+$I$163)</f>
        <v>0.8604848001575498</v>
      </c>
      <c r="BK41" s="24">
        <f>($I$112+40*($P$8-0.5))/($I$112+$I$164)</f>
        <v>0.86797944602394173</v>
      </c>
      <c r="BL41" s="24">
        <f>($I$112+40*($Q$8-0.5))/($I$112+$I$165)</f>
        <v>0.89712404799325318</v>
      </c>
      <c r="BM41" s="24">
        <f>($I$112+40*($Q$8-0.5))/($I$112+$I$166)</f>
        <v>0.87797017577239878</v>
      </c>
      <c r="BN41" s="24">
        <f>($I$112+40*($Q$7-0.5))/($I$112+$I$167)</f>
        <v>0.92323862750402208</v>
      </c>
      <c r="BO41" s="24">
        <f>($I$112+40*($Q$8-0.5))/($I$112+$I$168)</f>
        <v>0.89264592806550835</v>
      </c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</row>
    <row r="42" spans="1:358 16384:16384" x14ac:dyDescent="0.25">
      <c r="A42" t="str">
        <f>$A$113</f>
        <v>Syracuse</v>
      </c>
      <c r="B42" s="54">
        <v>3</v>
      </c>
      <c r="C42" s="3">
        <v>9</v>
      </c>
      <c r="D42" s="24">
        <f>($I$105+40*($D$7-0.5))/($I$105+$I$113)</f>
        <v>0.49894636040511792</v>
      </c>
      <c r="E42" s="24">
        <f>($I$106+40*($D$7-0.5))/($I$106+$I$113)</f>
        <v>0.49520521517715771</v>
      </c>
      <c r="F42" s="24">
        <f>($I$107+40*($D$7-0.5))/($I$107+$I$113)</f>
        <v>0.51499861983146733</v>
      </c>
      <c r="G42" s="24">
        <f>($I$108+40*($D$7-0.5))/($I$108+$I$113)</f>
        <v>0.45925942659615437</v>
      </c>
      <c r="H42" s="24">
        <f>($I$109+40*($D$8-0.5))/($I$109+$I$113)</f>
        <v>0.59941451729736894</v>
      </c>
      <c r="I42" s="24">
        <f>($I$110+40*($D$8-0.5))/($I$110+$I$113)</f>
        <v>0.59580897682835832</v>
      </c>
      <c r="J42" s="24">
        <f>($I$111+40*($D$8-0.5))/($I$111+$I$113)</f>
        <v>0.60026567569954981</v>
      </c>
      <c r="K42" s="24">
        <f>($I$112+40*($D$8-0.5))/($I$112+$I$113)</f>
        <v>0.60618864597185274</v>
      </c>
      <c r="L42" s="3">
        <v>0</v>
      </c>
      <c r="M42" s="24">
        <f>($I$113+40*($D$9-0.5))/($I$113+$I$114)</f>
        <v>0.61383657626291543</v>
      </c>
      <c r="N42" s="24">
        <f>($I$113+40*($D$9-0.5))/($I$113+$I$115)</f>
        <v>0.48790815845017638</v>
      </c>
      <c r="O42" s="24">
        <f>($I$113+40*($D$9-0.5))/($I$113+$I$116)</f>
        <v>0.51327885097637227</v>
      </c>
      <c r="P42" s="24">
        <f>($I$113+40*($E$79-0.5))/($I$113+$I$117)</f>
        <v>0.65322770060968538</v>
      </c>
      <c r="Q42" s="24">
        <f>($I$113+40*($E$9-0.5))/($I$113+$I$118)</f>
        <v>0.6539841194549818</v>
      </c>
      <c r="R42" s="24">
        <f>($I$113+40*($E$9-0.5))/($I$113+$I$119)</f>
        <v>0.61358082301702321</v>
      </c>
      <c r="S42" s="24">
        <f>($I$113+40*($E$9-0.5))/($I$113+$I$120)</f>
        <v>0.62858663920341906</v>
      </c>
      <c r="T42" s="24">
        <f>($I$113+40*($F$9-0.5))/($I$113+$I$121)</f>
        <v>0.52960428707229645</v>
      </c>
      <c r="U42" s="24">
        <f>($I$113+40*($F$9-0.5))/($I$113+$I$122)</f>
        <v>0.53077697962404224</v>
      </c>
      <c r="V42" s="24">
        <f>($I$113+40*($F$9-0.5))/($I$113+$I$123)</f>
        <v>0.50461991355420577</v>
      </c>
      <c r="W42" s="24">
        <f>($I$113+40*($F$9-0.5))/($I$113+$I$124)</f>
        <v>0.52407030177160907</v>
      </c>
      <c r="X42" s="24">
        <f>($I$113+40*($G$9-0.5))/($I$113+$I$125)</f>
        <v>0.52754845151640883</v>
      </c>
      <c r="Y42" s="24">
        <f>($I$113+40*($G$9-0.5))/($I$113+$I$126)</f>
        <v>0.54361539786650481</v>
      </c>
      <c r="Z42" s="24">
        <f>($I$113+40*($G$9-0.5))/($I$113+$I$127)</f>
        <v>0.52477046351901169</v>
      </c>
      <c r="AA42" s="24">
        <f>($I$113+40*($G$9-0.5))/($I$113+$I$128)</f>
        <v>0.53838359536709179</v>
      </c>
      <c r="AB42" s="24">
        <f>($I$113+40*($H$9-0.5))/($I$113+$I$129)</f>
        <v>0.53786091083413712</v>
      </c>
      <c r="AC42" s="24">
        <f>($I$113+40*($H$9-0.5))/($I$113+$I$130)</f>
        <v>0.56303082252349013</v>
      </c>
      <c r="AD42" s="24">
        <f>($I$113+40*($H$9-0.5))/($I$113+$I$131)</f>
        <v>0.57362593031608899</v>
      </c>
      <c r="AE42" s="24">
        <f>($I$113+40*($H$9-0.5))/($I$113+$I$132)</f>
        <v>0.54993194951676017</v>
      </c>
      <c r="AF42" s="24">
        <f>($I$113+40*($I$9-0.5))/($I$113+$I$133)</f>
        <v>0.74787910021654058</v>
      </c>
      <c r="AG42" s="24">
        <f>($I$113+40*($I$9-0.5))/($I$113+$I$134)</f>
        <v>0.69436403365774657</v>
      </c>
      <c r="AH42" s="24">
        <f>($I$113+40*($I$9-0.5))/($I$113+$I$135)</f>
        <v>0.72338138577038424</v>
      </c>
      <c r="AI42" s="24">
        <f>($I$113+40*($I$9-0.5))/($I$113+$I$136)</f>
        <v>0.73490701659810165</v>
      </c>
      <c r="AJ42" s="24">
        <f>($I$113+40*($J$9-0.5))/($I$113+$I$137)</f>
        <v>0.73011583100936217</v>
      </c>
      <c r="AK42" s="24">
        <f>($I$113+40*($J$9-0.5))/($I$113+$I$138)</f>
        <v>0.74363378859345497</v>
      </c>
      <c r="AL42" s="24">
        <f>($I$113+40*($J$9-0.5))/($I$113+$I$139)</f>
        <v>0.75428213384105336</v>
      </c>
      <c r="AM42" s="24">
        <f>($I$113+40*($J$9-0.5))/($I$113+$I$140)</f>
        <v>0.72784039178191007</v>
      </c>
      <c r="AN42" s="24">
        <f>($I$113+40*($K$9-0.5))/($I$113+$I$141)</f>
        <v>0.62490377562298516</v>
      </c>
      <c r="AO42" s="24">
        <f>($I$113+40*($K$9-0.5))/($I$113+$I$142)</f>
        <v>0.61694256206499365</v>
      </c>
      <c r="AP42" s="24">
        <f>($I$113+40*($K$9-0.5))/($I$113+$I$143)</f>
        <v>0.62329857430385183</v>
      </c>
      <c r="AQ42" s="24">
        <f>($I$113+40*($K$9-0.5))/($I$113+$I$144)</f>
        <v>0.60645316485396394</v>
      </c>
      <c r="AR42" s="24">
        <f>($I$113+40*($L$9-0.5))/($I$113+$I$145)</f>
        <v>0.60705972885147896</v>
      </c>
      <c r="AS42" s="24">
        <f>($I$113+40*($L$9-0.5))/($I$113+$I$146)</f>
        <v>0.62716703800162821</v>
      </c>
      <c r="AT42" s="24">
        <f>($I$113+40*($L$9-0.5))/($I$113+$I$147)</f>
        <v>0.60998001416955461</v>
      </c>
      <c r="AU42" s="24">
        <f>($I$113+40*($L$9-0.5))/($I$113+$I$148)</f>
        <v>0.61388677394586477</v>
      </c>
      <c r="AV42" s="24">
        <f>($I$113+40*($M$9-0.5))/($I$113+$I$149)</f>
        <v>0.7079048925135969</v>
      </c>
      <c r="AW42" s="24">
        <f>($I$113+40*($M$9-0.5))/($I$113+$I$150)</f>
        <v>0.71564963271196758</v>
      </c>
      <c r="AX42" s="24">
        <f>($I$113+40*($M$9-0.5))/($I$113+$I$151)</f>
        <v>0.7034945536317766</v>
      </c>
      <c r="AY42" s="24">
        <f>($I$113+40*($M$9-0.5))/($I$113+$I$152)</f>
        <v>0.70910397457492969</v>
      </c>
      <c r="AZ42" s="24">
        <f>($I$113+40*($N$8-0.5))/($I$113+$I$153)</f>
        <v>0.78971476537629515</v>
      </c>
      <c r="BA42" s="24">
        <f>($I$113+40*($N$9-0.5))/($I$113+$I$154)</f>
        <v>0.71204720562972978</v>
      </c>
      <c r="BB42" s="24">
        <f>($I$113+40*($N$7-0.5))/($I$113+$I$155)</f>
        <v>0.84815890192207721</v>
      </c>
      <c r="BC42" s="24">
        <f>($I$113+40*($N$9-0.5))/($I$113+$I$156)</f>
        <v>0.76826615468581583</v>
      </c>
      <c r="BD42" s="24">
        <f>($I$113+40*($O$9-0.5))/($I$113+$I$157)</f>
        <v>0.71113864330230125</v>
      </c>
      <c r="BE42" s="24">
        <f>($I$113+40*($O$9-0.5))/($I$113+$I$158)</f>
        <v>0.78502752481956528</v>
      </c>
      <c r="BF42" s="24">
        <f>($I$113+40*($O$9-0.5))/($I$113+$I$159)</f>
        <v>0.76338941078980904</v>
      </c>
      <c r="BG42" s="24">
        <f>($I$113+40*($O$9-0.5))/($I$113+$I$160)</f>
        <v>0.7556128518807268</v>
      </c>
      <c r="BH42" s="24">
        <f>($I$113+40*($P$9-0.5))/($I$113+$I$161)</f>
        <v>0.81100480934461339</v>
      </c>
      <c r="BI42" s="24">
        <f>($I$113+40*($P$9-0.5))/($I$113+$I$162)</f>
        <v>0.82866950727005495</v>
      </c>
      <c r="BJ42" s="24">
        <f>($I$113+40*($P$9-0.5))/($I$113+$I$163)</f>
        <v>0.83588794661227739</v>
      </c>
      <c r="BK42" s="24">
        <f>($I$113+40*($P$9-0.5))/($I$113+$I$164)</f>
        <v>0.84309439445000867</v>
      </c>
      <c r="BL42" s="24">
        <f>($I$113+40*($Q$9-0.5))/($I$113+$I$165)</f>
        <v>0.89817463732922109</v>
      </c>
      <c r="BM42" s="24">
        <f>($I$113+40*($Q$9-0.5))/($I$113+$I$166)</f>
        <v>0.87919002757637321</v>
      </c>
      <c r="BN42" s="24">
        <f>($I$113+40*($Q$7-0.5))/($I$113+$I$167)</f>
        <v>0.92404510868471301</v>
      </c>
      <c r="BO42" s="24">
        <f>($I$113+40*($Q$9-0.5))/($I$113+$I$168)</f>
        <v>0.89373683200902743</v>
      </c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</row>
    <row r="43" spans="1:358 16384:16384" x14ac:dyDescent="0.25">
      <c r="A43" t="str">
        <f>$A$114</f>
        <v>Creighton</v>
      </c>
      <c r="B43" s="54"/>
      <c r="C43" s="3">
        <v>10</v>
      </c>
      <c r="D43" s="24">
        <f>($I$105+40*($D$7-0.5))/($I$105+$I$114)</f>
        <v>0.60699286010441567</v>
      </c>
      <c r="E43" s="24">
        <f>($I$106+40*($D$7-0.5))/($I$106+$I$114)</f>
        <v>0.60341722428067823</v>
      </c>
      <c r="F43" s="24">
        <f>($I$107+40*($D$7-0.5))/($I$107+$I$114)</f>
        <v>0.62220462336465809</v>
      </c>
      <c r="G43" s="24">
        <f>($I$108+40*($D$7-0.5))/($I$108+$I$114)</f>
        <v>0.56846213111991495</v>
      </c>
      <c r="H43" s="24">
        <f>(CA39+40*($D$8-0.5))/(CA39+$I$114)</f>
        <v>0.34750617207032103</v>
      </c>
      <c r="I43" s="24">
        <f>($I$110+40*($D$8-0.5))/($I$110+$I$114)</f>
        <v>0.73725818377172181</v>
      </c>
      <c r="J43" s="24">
        <f>($I$111+40*($D$8-0.5))/($I$111+$I$114)</f>
        <v>0.74083365276774471</v>
      </c>
      <c r="K43" s="24">
        <f>($I$112+40*($D$8-0.5))/($I$112+$I$114)</f>
        <v>0.74555667055716346</v>
      </c>
      <c r="L43" s="24">
        <f>($I$113+40*($D$9-0.5))/($I$113+$I$114)</f>
        <v>0.61383657626291543</v>
      </c>
      <c r="M43" s="3">
        <v>0</v>
      </c>
      <c r="N43" s="24">
        <f>($I$114+40*($D$9-0.5))/($I$114+$I$115)</f>
        <v>0.37476114424255152</v>
      </c>
      <c r="O43" s="24">
        <f>($I$114+40*($D$9-0.5))/($I$114+$I$116)</f>
        <v>0.39883055612672025</v>
      </c>
      <c r="P43" s="24">
        <f>($I$114+40*($E$9-0.5))/($I$114+$I$117)</f>
        <v>0.5262598694294468</v>
      </c>
      <c r="Q43" s="24">
        <f>($I$114+40*($E$9-0.5))/($I$114+$I$118)</f>
        <v>0.56600916844114013</v>
      </c>
      <c r="R43" s="24">
        <f>($I$114+40*($E$9-0.5))/($I$114+$I$119)</f>
        <v>0.5228285516003085</v>
      </c>
      <c r="S43" s="24">
        <f>($I$114+40*($E$9-0.5))/($I$114+$I$120)</f>
        <v>0.53870906500317328</v>
      </c>
      <c r="T43" s="24">
        <f>($I$114+40*($F$9-0.5))/($I$114+$I$121)</f>
        <v>0.41461672697913304</v>
      </c>
      <c r="U43" s="24">
        <f>($I$114+40*($F$9-0.5))/($I$114+$I$122)</f>
        <v>0.41575984635171653</v>
      </c>
      <c r="V43" s="24">
        <f>($I$114+40*($F$9-0.5))/($I$114+$I$123)</f>
        <v>0.3905530981597562</v>
      </c>
      <c r="W43" s="24">
        <f>($I$114+40*($F$9-0.5))/($I$114+$I$124)</f>
        <v>0.40923895514368508</v>
      </c>
      <c r="X43" s="24">
        <f>($I$114+40*($G$9-0.5))/($I$114+$I$125)</f>
        <v>0.41261571935631497</v>
      </c>
      <c r="Y43" s="24">
        <f>($I$114+40*($G$9-0.5))/($I$114+$I$126)</f>
        <v>0.42835596313178098</v>
      </c>
      <c r="Z43" s="24">
        <f>($I$114+40*($G$9-0.5))/($I$114+$I$127)</f>
        <v>0.40991783802637011</v>
      </c>
      <c r="AA43" s="24">
        <f>($I$114+40*($G$9-0.5))/($I$114+$I$128)</f>
        <v>0.42320480588525344</v>
      </c>
      <c r="AB43" s="24">
        <f>($I$114+40*($H$9-0.5))/($I$114+$I$129)</f>
        <v>0.43299333655875644</v>
      </c>
      <c r="AC43" s="24">
        <f>($I$114+40*($H$9-0.5))/($I$114+$I$130)</f>
        <v>0.45812057599015293</v>
      </c>
      <c r="AD43" s="24">
        <f>($I$114+40*($H$9-0.5))/($I$114+$I$131)</f>
        <v>0.4688597634882789</v>
      </c>
      <c r="AE43" s="24">
        <f>($I$114+40*($H$9-0.5))/($I$114+$I$132)</f>
        <v>0.44497697473065884</v>
      </c>
      <c r="AF43" s="24">
        <f>($I$114+40*($I$9-0.5))/($I$114+$I$133)</f>
        <v>0.68520161289368886</v>
      </c>
      <c r="AG43" s="24">
        <f>($I$114+40*($I$9-0.5))/($I$114+$I$134)</f>
        <v>0.62505252871724193</v>
      </c>
      <c r="AH43" s="24">
        <f>($I$114+40*($I$9-0.5))/($I$114+$I$135)</f>
        <v>0.65740358679838662</v>
      </c>
      <c r="AI43" s="24">
        <f>($I$114+40*($I$9-0.5))/($I$114+$I$136)</f>
        <v>0.67042578895850991</v>
      </c>
      <c r="AJ43" s="24">
        <f>($I$114+40*($J$9-0.5))/($I$114+$I$137)</f>
        <v>0.66500043414871923</v>
      </c>
      <c r="AK43" s="24">
        <f>($I$114+40*($J$9-0.5))/($I$114+$I$138)</f>
        <v>0.68035199221257003</v>
      </c>
      <c r="AL43" s="24">
        <f>($I$114+40*($J$9-0.5))/($I$114+$I$139)</f>
        <v>0.6925420472300774</v>
      </c>
      <c r="AM43" s="24">
        <f>($I$114+40*($J$9-0.5))/($I$114+$I$140)</f>
        <v>0.66242982647142246</v>
      </c>
      <c r="AN43" s="24">
        <f>($I$114+40*($K$9-0.5))/($I$114+$I$141)</f>
        <v>0.53096631944616179</v>
      </c>
      <c r="AO43" s="24">
        <f>($I$114+40*($K$9-0.5))/($I$114+$I$142)</f>
        <v>0.52253469966452026</v>
      </c>
      <c r="AP43" s="24">
        <f>($I$114+40*($K$9-0.5))/($I$114+$I$143)</f>
        <v>0.52926194356865508</v>
      </c>
      <c r="AQ43" s="24">
        <f>($I$114+40*($K$9-0.5))/($I$114+$I$144)</f>
        <v>0.51150705389699236</v>
      </c>
      <c r="AR43" s="24">
        <f>($I$114+40*($L$9-0.5))/($I$114+$I$145)</f>
        <v>0.51067861018717808</v>
      </c>
      <c r="AS43" s="24">
        <f>($I$114+40*($L$9-0.5))/($I$114+$I$146)</f>
        <v>0.5319149969065472</v>
      </c>
      <c r="AT43" s="24">
        <f>($I$114+40*($L$9-0.5))/($I$114+$I$147)</f>
        <v>0.51374143341850076</v>
      </c>
      <c r="AU43" s="24">
        <f>($I$114+40*($L$9-0.5))/($I$114+$I$148)</f>
        <v>0.51785021442670109</v>
      </c>
      <c r="AV43" s="24">
        <f>($I$114+40*($M$9-0.5))/($I$114+$I$149)</f>
        <v>0.62579492910573886</v>
      </c>
      <c r="AW43" s="24">
        <f>($I$114+40*($M$9-0.5))/($I$114+$I$150)</f>
        <v>0.63459299191982443</v>
      </c>
      <c r="AX43" s="24">
        <f>($I$114+40*($M$9-0.5))/($I$114+$I$151)</f>
        <v>0.62080890304932179</v>
      </c>
      <c r="AY43" s="24">
        <f>($I$114+40*($M$9-0.5))/($I$114+$I$152)</f>
        <v>0.62715354989800864</v>
      </c>
      <c r="AZ43" s="24">
        <f>($I$114+40*($N$9-0.5))/($I$114+$I$153)</f>
        <v>0.649713357488367</v>
      </c>
      <c r="BA43" s="59">
        <f>($I$114+40*($N$9-0.5))/($I$114+$I$154)</f>
        <v>0.6344216325621872</v>
      </c>
      <c r="BB43" s="24">
        <f>($I$114+40*($N$7-0.5))/($I$114+$I$155)</f>
        <v>0.80387342169685605</v>
      </c>
      <c r="BC43" s="24">
        <f>($I$114+40*($N$9-0.5))/($I$114+$I$156)</f>
        <v>0.69939786331773013</v>
      </c>
      <c r="BD43" s="24">
        <f>($I$114+40*($O$9-0.5))/($I$114+$I$157)</f>
        <v>0.6348030718342399</v>
      </c>
      <c r="BE43" s="24">
        <f>($I$114+40*($O$9-0.5))/($I$114+$I$158)</f>
        <v>0.7205449418512434</v>
      </c>
      <c r="BF43" s="24">
        <f>($I$114+40*($O$9-0.5))/($I$114+$I$159)</f>
        <v>0.69493852678969237</v>
      </c>
      <c r="BG43" s="24">
        <f>($I$114+40*($O$9-0.5))/($I$114+$I$160)</f>
        <v>0.68583807593391732</v>
      </c>
      <c r="BH43" s="24">
        <f>($I$114+40*($P$9-0.5))/($I$114+$I$161)</f>
        <v>0.75492561462456753</v>
      </c>
      <c r="BI43" s="24">
        <f>($I$114+40*($P$9-0.5))/($I$114+$I$162)</f>
        <v>0.77638662026032823</v>
      </c>
      <c r="BJ43" s="24">
        <f>($I$114+40*($P$9-0.5))/($I$114+$I$163)</f>
        <v>0.78523694270834088</v>
      </c>
      <c r="BK43" s="24">
        <f>($I$114+40*($P$9-0.5))/($I$114+$I$164)</f>
        <v>0.79411974794795726</v>
      </c>
      <c r="BL43" s="24">
        <f>($I$114+40*($Q$9-0.5))/($I$114+$I$165)</f>
        <v>0.86617493556285452</v>
      </c>
      <c r="BM43" s="24">
        <f>($I$114+40*($Q$9-0.5))/($I$114+$I$166)</f>
        <v>0.84227191762050757</v>
      </c>
      <c r="BN43" s="24">
        <f>($I$114+40*($Q$7-0.5))/($I$114+$I$167)</f>
        <v>0.8992636349004941</v>
      </c>
      <c r="BO43" s="24">
        <f>($I$114+40*($Q$9-0.5))/($I$114+$I$168)</f>
        <v>0.86055901771868959</v>
      </c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</row>
    <row r="44" spans="1:358 16384:16384" x14ac:dyDescent="0.25">
      <c r="A44" t="str">
        <f>$A$115</f>
        <v>Duke</v>
      </c>
      <c r="B44" s="54"/>
      <c r="C44" s="3">
        <v>11</v>
      </c>
      <c r="D44" s="24">
        <f>($I$105+40*($D$7-0.5))/($I$105+$I$115)</f>
        <v>0.48735334597898999</v>
      </c>
      <c r="E44" s="24">
        <f>($I$106+40*($D$7-0.5))/($I$106+$I$115)</f>
        <v>0.48361522606070234</v>
      </c>
      <c r="F44" s="24">
        <f>($I$107+40*($D$7-0.5))/($I$107+$I$115)</f>
        <v>0.50340735746491982</v>
      </c>
      <c r="G44" s="24">
        <f>($I$108+40*($D$7-0.5))/($I$108+$I$115)</f>
        <v>0.44776448409072356</v>
      </c>
      <c r="H44" s="24">
        <f>($I$109+40*($D$8-0.5))/($I$109+$I$115)</f>
        <v>0.58456048990593934</v>
      </c>
      <c r="I44" s="24">
        <f>($I$110+40*($D$8-0.5))/($I$110+$I$115)</f>
        <v>0.58091472793381049</v>
      </c>
      <c r="J44" s="24">
        <f>($I$111+40*($D$8-0.5))/($I$111+$I$115)</f>
        <v>0.58542138067494165</v>
      </c>
      <c r="K44" s="24">
        <f>($I$112+40*($D$8-0.5))/($I$112+$I$115)</f>
        <v>0.59141458723904772</v>
      </c>
      <c r="L44" s="24">
        <f>($I$113+40*($D$9-0.5))/($I$113+$I$115)</f>
        <v>0.48790815845017638</v>
      </c>
      <c r="M44" s="24">
        <f>($I$114+40*($D$9-0.5))/($I$114+$I$115)</f>
        <v>0.37476114424255152</v>
      </c>
      <c r="N44" s="3">
        <v>0</v>
      </c>
      <c r="O44" s="24">
        <f>($I$115+40*($D$9-0.5))/($I$115+$I$116)</f>
        <v>0.52535440832662683</v>
      </c>
      <c r="P44" s="24">
        <f>($I$115+40*($E$9-0.5))/($I$115+$I$117)</f>
        <v>0.62638406254207879</v>
      </c>
      <c r="Q44" s="24">
        <f>($I$115+40*($E$9-0.5))/($I$115+$I$118)</f>
        <v>0.6631103503447271</v>
      </c>
      <c r="R44" s="24">
        <f>($I$115+40*($E$9-0.5))/($I$115+$I$119)</f>
        <v>0.62315864832764334</v>
      </c>
      <c r="S44" s="24">
        <f>($I$115+40*($E$9-0.5))/($I$115+$I$120)</f>
        <v>0.63801195594110138</v>
      </c>
      <c r="T44" s="24">
        <f>($I$115+40*($F$9-0.5))/($I$115+$I$121)</f>
        <v>0.54163651007803271</v>
      </c>
      <c r="U44" s="24">
        <f>($I$115+40*($F$9-0.5))/($I$115+$I$122)</f>
        <v>0.54280510143805527</v>
      </c>
      <c r="V44" s="24">
        <f>($I$115+40*($F$9-0.5))/($I$115+$I$123)</f>
        <v>0.51670802164562168</v>
      </c>
      <c r="W44" s="24">
        <f>($I$115+40*($F$9-0.5))/($I$115+$I$124)</f>
        <v>0.53612009169301866</v>
      </c>
      <c r="X44" s="24">
        <f>($I$115+40*($G$9-0.5))/($I$115+$I$125)</f>
        <v>0.53958754479882431</v>
      </c>
      <c r="Y44" s="24">
        <f>($I$115+40*($G$9-0.5))/($I$115+$I$126)</f>
        <v>0.55558996893470003</v>
      </c>
      <c r="Z44" s="24">
        <f>($I$115+40*($G$9-0.5))/($I$115+$I$127)</f>
        <v>0.53681819385056673</v>
      </c>
      <c r="AA44" s="24">
        <f>($I$115+40*($G$9-0.5))/($I$115+$I$128)</f>
        <v>0.55038190223962669</v>
      </c>
      <c r="AB44" s="24">
        <f>($I$115+40*($H$9-0.5))/($I$115+$I$129)</f>
        <v>0.5490076425080207</v>
      </c>
      <c r="AC44" s="24">
        <f>($I$115+40*($H$9-0.5))/($I$115+$I$130)</f>
        <v>0.57405123662198121</v>
      </c>
      <c r="AD44" s="24">
        <f>($I$115+40*($H$9-0.5))/($I$115+$I$131)</f>
        <v>0.58457629127450661</v>
      </c>
      <c r="AE44" s="24">
        <f>($I$115+40*($H$9-0.5))/($I$115+$I$132)</f>
        <v>0.56102515275018416</v>
      </c>
      <c r="AF44" s="24">
        <f>($I$115+40*($I$9-0.5))/($I$115+$I$133)</f>
        <v>0.75441354649081427</v>
      </c>
      <c r="AG44" s="24">
        <f>($I$115+40*($I$9-0.5))/($I$115+$I$134)</f>
        <v>0.70173231844180572</v>
      </c>
      <c r="AH44" s="24">
        <f>($I$115+40*($I$9-0.5))/($I$115+$I$135)</f>
        <v>0.7303218119281063</v>
      </c>
      <c r="AI44" s="24">
        <f>($I$115+40*($I$9-0.5))/($I$115+$I$136)</f>
        <v>0.74166153600920848</v>
      </c>
      <c r="AJ44" s="24">
        <f>($I$115+40*($J$9-0.5))/($I$115+$I$137)</f>
        <v>0.73694873237195502</v>
      </c>
      <c r="AK44" s="24">
        <f>($I$115+40*($J$9-0.5))/($I$115+$I$138)</f>
        <v>0.75024151945406237</v>
      </c>
      <c r="AL44" s="24">
        <f>($I$115+40*($J$9-0.5))/($I$115+$I$139)</f>
        <v>0.76070372635877848</v>
      </c>
      <c r="AM44" s="24">
        <f>($I$115+40*($J$9-0.5))/($I$115+$I$140)</f>
        <v>0.73470996994501059</v>
      </c>
      <c r="AN44" s="24">
        <f>($I$115+40*($K$9-0.5))/($I$115+$I$141)</f>
        <v>0.63468136723845725</v>
      </c>
      <c r="AO44" s="24">
        <f>($I$115+40*($K$9-0.5))/($I$115+$I$142)</f>
        <v>0.62680374313959974</v>
      </c>
      <c r="AP44" s="24">
        <f>($I$115+40*($K$9-0.5))/($I$115+$I$143)</f>
        <v>0.63309344101977039</v>
      </c>
      <c r="AQ44" s="24">
        <f>($I$115+40*($K$9-0.5))/($I$115+$I$144)</f>
        <v>0.61641648584002329</v>
      </c>
      <c r="AR44" s="24">
        <f>($I$115+40*($L$9-0.5))/($I$115+$I$145)</f>
        <v>0.61713753178721098</v>
      </c>
      <c r="AS44" s="24">
        <f>($I$115+40*($L$9-0.5))/($I$115+$I$146)</f>
        <v>0.63703748108815506</v>
      </c>
      <c r="AT44" s="24">
        <f>($I$115+40*($L$9-0.5))/($I$115+$I$147)</f>
        <v>0.62002979954654736</v>
      </c>
      <c r="AU44" s="24">
        <f>($I$115+40*($L$9-0.5))/($I$115+$I$148)</f>
        <v>0.62389796171821188</v>
      </c>
      <c r="AV44" s="24">
        <f>($I$115+40*($M$9-0.5))/($I$115+$I$149)</f>
        <v>0.7162260551919668</v>
      </c>
      <c r="AW44" s="24">
        <f>($I$115+40*($M$9-0.5))/($I$115+$I$150)</f>
        <v>0.72383623566509148</v>
      </c>
      <c r="AX44" s="24">
        <f>($I$115+40*($M$9-0.5))/($I$115+$I$151)</f>
        <v>0.71189022280935155</v>
      </c>
      <c r="AY44" s="24">
        <f>($I$115+40*($M$9-0.5))/($I$115+$I$152)</f>
        <v>0.71740461434936276</v>
      </c>
      <c r="AZ44" s="24">
        <f>($I$115+40*($N$9-0.5))/($I$115+$I$153)</f>
        <v>0.7332102510600994</v>
      </c>
      <c r="BA44" s="24">
        <f>($I$115+40*($N$9-0.5))/($I$115+$I$154)</f>
        <v>0.71999266557095787</v>
      </c>
      <c r="BB44" s="24">
        <f>($I$115+40*($N$7-0.5))/($I$115+$I$155)</f>
        <v>0.85260652991885311</v>
      </c>
      <c r="BC44" s="24">
        <f>($I$115+40*($N$9-0.5))/($I$115+$I$156)</f>
        <v>0.77515022053331106</v>
      </c>
      <c r="BD44" s="24">
        <f>($I$115+40*($O$9-0.5))/($I$115+$I$157)</f>
        <v>0.71898828046561525</v>
      </c>
      <c r="BE44" s="24">
        <f>($I$115+40*($O$9-0.5))/($I$115+$I$158)</f>
        <v>0.79145808939582751</v>
      </c>
      <c r="BF44" s="24">
        <f>($I$115+40*($O$9-0.5))/($I$115+$I$159)</f>
        <v>0.77027783529150362</v>
      </c>
      <c r="BG44" s="24">
        <f>($I$115+40*($O$9-0.5))/($I$115+$I$160)</f>
        <v>0.76265728599503724</v>
      </c>
      <c r="BH44" s="24">
        <f>($I$115+40*($P$9-0.5))/($I$115+$I$161)</f>
        <v>0.81661268585221458</v>
      </c>
      <c r="BI44" s="24">
        <f>($I$115+40*($P$9-0.5))/($I$115+$I$162)</f>
        <v>0.83386061078995033</v>
      </c>
      <c r="BJ44" s="24">
        <f>($I$115+40*($P$9-0.5))/($I$115+$I$163)</f>
        <v>0.84090233076085674</v>
      </c>
      <c r="BK44" s="24">
        <f>($I$115+40*($P$9-0.5))/($I$115+$I$164)</f>
        <v>0.84792864698377779</v>
      </c>
      <c r="BL44" s="24">
        <f>($I$115+40*($Q$9-0.5))/($I$115+$I$165)</f>
        <v>0.90132767483463816</v>
      </c>
      <c r="BM44" s="24">
        <f>($I$115+40*($Q$9-0.5))/($I$115+$I$166)</f>
        <v>0.88285425367842429</v>
      </c>
      <c r="BN44" s="24">
        <f>($I$115+40*($Q$7-0.5))/($I$115+$I$167)</f>
        <v>0.92646265124156446</v>
      </c>
      <c r="BO44" s="24">
        <f>($I$115+40*($Q$9-0.5))/($I$115+$I$168)</f>
        <v>0.89701152997242173</v>
      </c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</row>
    <row r="45" spans="1:358 16384:16384" x14ac:dyDescent="0.25">
      <c r="A45" t="str">
        <f>$A$116</f>
        <v>Iowa St</v>
      </c>
      <c r="B45" s="54"/>
      <c r="C45" s="3">
        <v>12</v>
      </c>
      <c r="D45" s="24">
        <f>($I$105+40*($D$7-0.5))/($I$105+$I$116)</f>
        <v>0.51165149982659897</v>
      </c>
      <c r="E45" s="24">
        <f>($I$106+40*($D$7-0.5))/($I$106+$I$116)</f>
        <v>0.50791165849958497</v>
      </c>
      <c r="F45" s="24">
        <f>($I$107+40*($D$7-0.5))/($I$107+$I$116)</f>
        <v>0.52768203611598841</v>
      </c>
      <c r="G45" s="24">
        <f>($I$108+40*($D$7-0.5))/($I$108+$I$116)</f>
        <v>0.47190577707971704</v>
      </c>
      <c r="H45" s="24">
        <f>($I$109+40*($D$8-0.5))/($I$109+$I$116)</f>
        <v>0.61574768067581398</v>
      </c>
      <c r="I45" s="24">
        <f>($I$110+40*($D$8-0.5))/($I$110+$I$116)</f>
        <v>0.61219403830462149</v>
      </c>
      <c r="J45" s="24">
        <f>($I$111+40*($D$8-0.5))/($I$111+$I$116)</f>
        <v>0.61658633321418621</v>
      </c>
      <c r="K45" s="24">
        <f>($I$112+40*($D$8-0.5))/($I$112+$I$116)</f>
        <v>0.6224195908260346</v>
      </c>
      <c r="L45" s="24">
        <f>($I$113+40*($D$9-0.5))/($I$113+$I$116)</f>
        <v>0.51327885097637227</v>
      </c>
      <c r="M45" s="24">
        <f>($I$114+40*($D$9-0.5))/($I$114+$I$116)</f>
        <v>0.39883055612672025</v>
      </c>
      <c r="N45" s="24">
        <f>($I$115+40*($D$9-0.5))/($I$115+$I$116)</f>
        <v>0.52535440832662683</v>
      </c>
      <c r="O45" s="3">
        <v>0</v>
      </c>
      <c r="P45" s="24">
        <f>($I$116+40*($E$9-0.5))/($I$116+$I$117)</f>
        <v>0.60633793991890361</v>
      </c>
      <c r="Q45" s="24">
        <f>($I$116+40*($E$9-0.5))/($I$116+$I$118)</f>
        <v>0.64391455310639478</v>
      </c>
      <c r="R45" s="24">
        <f>($I$116+40*($E$9-0.5))/($I$116+$I$119)</f>
        <v>0.60304913785054837</v>
      </c>
      <c r="S45" s="24">
        <f>($I$116+40*($E$9-0.5))/($I$116+$I$120)</f>
        <v>0.61820945181992148</v>
      </c>
      <c r="T45" s="24">
        <f>($I$116+40*($F$9-0.5))/($I$116+$I$121)</f>
        <v>0.51635114735399934</v>
      </c>
      <c r="U45" s="24">
        <f>($I$116+40*($F$9-0.5))/($I$116+$I$122)</f>
        <v>0.51752678023097776</v>
      </c>
      <c r="V45" s="24">
        <f>($I$116+40*($F$9-0.5))/($I$116+$I$123)</f>
        <v>0.49133893725199262</v>
      </c>
      <c r="W45" s="24">
        <f>($I$116+40*($F$9-0.5))/($I$116+$I$124)</f>
        <v>0.51080526536807769</v>
      </c>
      <c r="X45" s="24">
        <f>($I$116+40*($G$9-0.5))/($I$116+$I$125)</f>
        <v>0.51429051108936374</v>
      </c>
      <c r="Y45" s="24">
        <f>($I$116+40*($G$9-0.5))/($I$116+$I$126)</f>
        <v>0.5304069892257337</v>
      </c>
      <c r="Z45" s="24">
        <f>($I$116+40*($G$9-0.5))/($I$116+$I$127)</f>
        <v>0.51150675189757444</v>
      </c>
      <c r="AA45" s="24">
        <f>($I$116+40*($G$9-0.5))/($I$116+$I$128)</f>
        <v>0.52515603150582069</v>
      </c>
      <c r="AB45" s="24">
        <f>($I$116+40*($H$9-0.5))/($I$116+$I$129)</f>
        <v>0.52562162703485682</v>
      </c>
      <c r="AC45" s="24">
        <f>($I$116+40*($H$9-0.5))/($I$116+$I$130)</f>
        <v>0.55090154673913161</v>
      </c>
      <c r="AD45" s="24">
        <f>($I$116+40*($H$9-0.5))/($I$116+$I$131)</f>
        <v>0.56156173480616367</v>
      </c>
      <c r="AE45" s="24">
        <f>($I$116+40*($H$9-0.5))/($I$116+$I$132)</f>
        <v>0.53773759931558063</v>
      </c>
      <c r="AF45" s="24">
        <f>($I$116+40*($I$9-0.5))/($I$116+$I$133)</f>
        <v>0.74067633439070046</v>
      </c>
      <c r="AG45" s="24">
        <f>($I$116+40*($I$9-0.5))/($I$116+$I$134)</f>
        <v>0.68627374859500101</v>
      </c>
      <c r="AH45" s="24">
        <f>($I$116+40*($I$9-0.5))/($I$116+$I$135)</f>
        <v>0.71574475916121849</v>
      </c>
      <c r="AI45" s="24">
        <f>($I$116+40*($I$9-0.5))/($I$116+$I$136)</f>
        <v>0.7274687023063211</v>
      </c>
      <c r="AJ45" s="24">
        <f>($I$116+40*($J$9-0.5))/($I$116+$I$137)</f>
        <v>0.72259382571128938</v>
      </c>
      <c r="AK45" s="24">
        <f>($I$116+40*($J$9-0.5))/($I$116+$I$138)</f>
        <v>0.73635249527185764</v>
      </c>
      <c r="AL45" s="24">
        <f>($I$116+40*($J$9-0.5))/($I$116+$I$139)</f>
        <v>0.74720046123588812</v>
      </c>
      <c r="AM45" s="24">
        <f>($I$116+40*($J$9-0.5))/($I$116+$I$140)</f>
        <v>0.72027926427628486</v>
      </c>
      <c r="AN45" s="24">
        <f>($I$116+40*($K$9-0.5))/($I$116+$I$141)</f>
        <v>0.61412270080291032</v>
      </c>
      <c r="AO45" s="24">
        <f>($I$116+40*($K$9-0.5))/($I$116+$I$142)</f>
        <v>0.60607690851563589</v>
      </c>
      <c r="AP45" s="24">
        <f>($I$116+40*($K$9-0.5))/($I$116+$I$143)</f>
        <v>0.61249997184974603</v>
      </c>
      <c r="AQ45" s="24">
        <f>($I$116+40*($K$9-0.5))/($I$116+$I$144)</f>
        <v>0.59548506206377394</v>
      </c>
      <c r="AR45" s="24">
        <f>($I$116+40*($L$9-0.5))/($I$116+$I$145)</f>
        <v>0.59595769186462766</v>
      </c>
      <c r="AS45" s="24">
        <f>($I$116+40*($L$9-0.5))/($I$116+$I$146)</f>
        <v>0.6162740042392465</v>
      </c>
      <c r="AT45" s="24">
        <f>($I$116+40*($L$9-0.5))/($I$116+$I$147)</f>
        <v>0.59890597117850075</v>
      </c>
      <c r="AU45" s="24">
        <f>($I$116+40*($L$9-0.5))/($I$116+$I$148)</f>
        <v>0.60285143499010285</v>
      </c>
      <c r="AV45" s="24">
        <f>($I$116+40*($M$9-0.5))/($I$116+$I$149)</f>
        <v>0.69868151401366652</v>
      </c>
      <c r="AW45" s="24">
        <f>($I$116+40*($M$9-0.5))/($I$116+$I$150)</f>
        <v>0.70656943848790954</v>
      </c>
      <c r="AX45" s="24">
        <f>($I$116+40*($M$9-0.5))/($I$116+$I$151)</f>
        <v>0.69419207201605648</v>
      </c>
      <c r="AY45" s="24">
        <f>($I$116+40*($M$9-0.5))/($I$116+$I$152)</f>
        <v>0.69990240803721238</v>
      </c>
      <c r="AZ45" s="24">
        <f>($I$116+40*($N$9-0.5))/($I$116+$I$153)</f>
        <v>0.71695434416085901</v>
      </c>
      <c r="BA45" s="24">
        <f>($I$116+40*($N$9-0.5))/($I$116+$I$154)</f>
        <v>0.70325733699833304</v>
      </c>
      <c r="BB45" s="24">
        <f>($I$116+40*($N$7-0.5))/($I$116+$I$155)</f>
        <v>0.84322043174549932</v>
      </c>
      <c r="BC45" s="24">
        <f>($I$116+40*($N$9-0.5))/($I$116+$I$156)</f>
        <v>0.76061545021793475</v>
      </c>
      <c r="BD45" s="24">
        <f>($I$116+40*($O$9-0.5))/($I$116+$I$157)</f>
        <v>0.70246264604316688</v>
      </c>
      <c r="BE45" s="24">
        <f>($I$116+40*($O$9-0.5))/($I$116+$I$158)</f>
        <v>0.77787761025389823</v>
      </c>
      <c r="BF45" s="24">
        <f>($I$116+40*($O$9-0.5))/($I$116+$I$159)</f>
        <v>0.75574374234120723</v>
      </c>
      <c r="BG45" s="24">
        <f>($I$116+40*($O$9-0.5))/($I$116+$I$160)</f>
        <v>0.74779891465224591</v>
      </c>
      <c r="BH45" s="24">
        <f>($I$116+40*($P$9-0.5))/($I$116+$I$161)</f>
        <v>0.80477288685326454</v>
      </c>
      <c r="BI45" s="24">
        <f>($I$116+40*($P$9-0.5))/($I$116+$I$162)</f>
        <v>0.82289285917836608</v>
      </c>
      <c r="BJ45" s="24">
        <f>($I$116+40*($P$9-0.5))/($I$116+$I$163)</f>
        <v>0.83030483895370288</v>
      </c>
      <c r="BK45" s="24">
        <f>($I$116+40*($P$9-0.5))/($I$116+$I$164)</f>
        <v>0.83770885120582017</v>
      </c>
      <c r="BL45" s="24">
        <f>($I$116+40*($Q$9-0.5))/($I$116+$I$165)</f>
        <v>0.89466084270850543</v>
      </c>
      <c r="BM45" s="24">
        <f>($I$116+40*($Q$9-0.5))/($I$116+$I$166)</f>
        <v>0.87511220333160866</v>
      </c>
      <c r="BN45" s="24">
        <f>($I$116+40*($Q$7-0.5))/($I$116+$I$167)</f>
        <v>0.92134587539779778</v>
      </c>
      <c r="BO45" s="24">
        <f>($I$116+40*($Q$9-0.5))/($I$116+$I$168)</f>
        <v>0.89008863742181432</v>
      </c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</row>
    <row r="46" spans="1:358 16384:16384" x14ac:dyDescent="0.25">
      <c r="A46" t="str">
        <f>$A$117</f>
        <v>UCLA</v>
      </c>
      <c r="B46" s="54">
        <v>4</v>
      </c>
      <c r="C46" s="3">
        <v>13</v>
      </c>
      <c r="D46" s="24">
        <f>($I$105+40*($E$7-0.5))/($I$105+$I$117)</f>
        <v>0.61441858615051292</v>
      </c>
      <c r="E46" s="24">
        <f>($I$106+40*($E$7-0.5))/($I$106+$I$117)</f>
        <v>0.61145344184895112</v>
      </c>
      <c r="F46" s="24">
        <f>($I$107+40*($E$7-0.5))/($I$107+$I$117)</f>
        <v>0.62712631641520367</v>
      </c>
      <c r="G46" s="24">
        <f>($I$108+40*($E$7-0.5))/($I$108+$I$117)</f>
        <v>0.58289645827409942</v>
      </c>
      <c r="H46" s="24">
        <f>($I$109+40*($E$8-0.5))/($I$109+$I$117)</f>
        <v>0.50283459659280005</v>
      </c>
      <c r="I46" s="24">
        <f>($I$110+40*($E$8-0.5))/($I$110+$I$117)</f>
        <v>0.49821616532672086</v>
      </c>
      <c r="J46" s="24">
        <f>($I$111+40*($E$8-0.5))/($I$111+$I$117)</f>
        <v>0.50392448203399554</v>
      </c>
      <c r="K46" s="24">
        <f>($I$112+40*($E$8-0.5))/($I$112+$I$117)</f>
        <v>0.51150461033398253</v>
      </c>
      <c r="L46" s="24">
        <f>($I$113+40*($E$79-0.5))/($I$113+$I$117)</f>
        <v>0.65322770060968538</v>
      </c>
      <c r="M46" s="24">
        <f>($I$114+40*($E$9-0.5))/($I$114+$I$117)</f>
        <v>0.5262598694294468</v>
      </c>
      <c r="N46" s="24">
        <f>($I$115+40*($E$9-0.5))/($I$115+$I$117)</f>
        <v>0.62638406254207879</v>
      </c>
      <c r="O46" s="24">
        <f>($I$116+40*($E$9-0.5))/($I$116+$I$117)</f>
        <v>0.60633793991890361</v>
      </c>
      <c r="P46" s="3">
        <v>0</v>
      </c>
      <c r="Q46" s="24">
        <f>($I$117+40*($E$10-0.5))/($I$117+$I$118)</f>
        <v>0.53113309154439781</v>
      </c>
      <c r="R46" s="24">
        <f>($I$117+40*($E$10-0.5))/($I$117+$I$119)</f>
        <v>0.49727596926536904</v>
      </c>
      <c r="S46" s="24">
        <f>($I$117+40*($E$10-0.5))/($I$117+$I$120)</f>
        <v>0.50983396483075749</v>
      </c>
      <c r="T46" s="24">
        <f>($I$117+40*($F$10-0.5))/($I$117+$I$121)</f>
        <v>0.5420976454893347</v>
      </c>
      <c r="U46" s="24">
        <f>($I$117+40*($F$10-0.5))/($I$117+$I$122)</f>
        <v>0.54333756230100327</v>
      </c>
      <c r="V46" s="24">
        <f>($I$117+40*($F$10-0.5))/($I$117+$I$123)</f>
        <v>0.51572388514856926</v>
      </c>
      <c r="W46" s="24">
        <f>($I$117+40*($F$10-0.5))/($I$117+$I$124)</f>
        <v>0.53624886172269981</v>
      </c>
      <c r="X46" s="24">
        <f>($I$117+40*($G$10-0.5))/($I$117+$I$125)</f>
        <v>0.51207555549653128</v>
      </c>
      <c r="Y46" s="24">
        <f>($I$117+40*($G$10-0.5))/($I$117+$I$126)</f>
        <v>0.52819810550561008</v>
      </c>
      <c r="Z46" s="24">
        <f>($I$117+40*($G$10-0.5))/($I$117+$I$127)</f>
        <v>0.50929121421872814</v>
      </c>
      <c r="AA46" s="24">
        <f>($I$117+40*($G$10-0.5))/($I$117+$I$128)</f>
        <v>0.52294466334640299</v>
      </c>
      <c r="AB46" s="24">
        <f>($I$117+40*($H$10-0.5))/($I$117+$I$129)</f>
        <v>0.68527935597752054</v>
      </c>
      <c r="AC46" s="24">
        <f>($I$117+40*($H$10-0.5))/($I$117+$I$130)</f>
        <v>0.71838672179018015</v>
      </c>
      <c r="AD46" s="24">
        <f>($I$117+40*($H$10-0.5))/($I$117+$I$131)</f>
        <v>0.73235174280657156</v>
      </c>
      <c r="AE46" s="24">
        <f>($I$117+40*($H$10-0.5))/($I$117+$I$132)</f>
        <v>0.70114509849723949</v>
      </c>
      <c r="AF46" s="24">
        <f>($I$117+40*($I$10-0.5))/($I$117+$I$133)</f>
        <v>0.47774295385565746</v>
      </c>
      <c r="AG46" s="24">
        <f>($I$117+40*($I$10-0.5))/($I$117+$I$134)</f>
        <v>0.44250188811406554</v>
      </c>
      <c r="AH46" s="24">
        <f>($I$117+40*($I$10-0.5))/($I$117+$I$135)</f>
        <v>0.46158972217693728</v>
      </c>
      <c r="AI46" s="24">
        <f>($I$117+40*($I$10-0.5))/($I$117+$I$136)</f>
        <v>0.4691850662379955</v>
      </c>
      <c r="AJ46" s="24">
        <f>($I$117+40*($J$10-0.5))/($I$117+$I$137)</f>
        <v>0.72133742396019085</v>
      </c>
      <c r="AK46" s="24">
        <f>($I$117+40*($J$10-0.5))/($I$117+$I$138)</f>
        <v>0.73513556681801018</v>
      </c>
      <c r="AL46" s="24">
        <f>($I$117+40*($J$10-0.5))/($I$117+$I$139)</f>
        <v>0.74601633348617991</v>
      </c>
      <c r="AM46" s="24">
        <f>($I$117+40*($J$10-0.5))/($I$117+$I$140)</f>
        <v>0.71901645594815367</v>
      </c>
      <c r="AN46" s="24">
        <f>($I$117+40*($K$10-0.5))/($I$117+$I$141)</f>
        <v>0.74398310847030691</v>
      </c>
      <c r="AO46" s="24">
        <f>($I$117+40*($K$10-0.5))/($I$117+$I$142)</f>
        <v>0.73419104645284661</v>
      </c>
      <c r="AP46" s="24">
        <f>($I$117+40*($K$10-0.5))/($I$117+$I$143)</f>
        <v>0.7420080837249361</v>
      </c>
      <c r="AQ46" s="24">
        <f>($I$117+40*($K$10-0.5))/($I$117+$I$144)</f>
        <v>0.72130215841176304</v>
      </c>
      <c r="AR46" s="24">
        <f>($I$117+40*($L$10-0.5))/($I$117+$I$145)</f>
        <v>0.58892589634928127</v>
      </c>
      <c r="AS46" s="24">
        <f>($I$117+40*($L$10-0.5))/($I$117+$I$146)</f>
        <v>0.60909783360907455</v>
      </c>
      <c r="AT46" s="24">
        <f>($I$117+40*($L$10-0.5))/($I$117+$I$147)</f>
        <v>0.59185283239661146</v>
      </c>
      <c r="AU46" s="24">
        <f>($I$117+40*($L$10-0.5))/($I$117+$I$148)</f>
        <v>0.59576994214416601</v>
      </c>
      <c r="AV46" s="24">
        <f>($I$117+40*($M$10-0.5))/($I$117+$I$149)</f>
        <v>0.5982466516740963</v>
      </c>
      <c r="AW46" s="24">
        <f>($I$117+40*($M$10-0.5))/($I$117+$I$150)</f>
        <v>0.60503576483102428</v>
      </c>
      <c r="AX46" s="24">
        <f>($I$117+40*($M$10-0.5))/($I$117+$I$151)</f>
        <v>0.59438295373442851</v>
      </c>
      <c r="AY46" s="24">
        <f>($I$117+40*($M$10-0.5))/($I$117+$I$152)</f>
        <v>0.59929742004882181</v>
      </c>
      <c r="AZ46" s="24">
        <f>($I$117+40*($N$9-0.5))/($I$117+$I$153)</f>
        <v>0.71552222114334585</v>
      </c>
      <c r="BA46" s="24">
        <f>($I$117+40*($N$10-0.5))/($I$117+$I$154)</f>
        <v>0.69618985232017871</v>
      </c>
      <c r="BB46" s="24">
        <f>($I$117+40*($N$7-0.5))/($I$117+$I$155)</f>
        <v>0.8423911974991023</v>
      </c>
      <c r="BC46" s="24">
        <f>($I$117+40*($N$10-0.5))/($I$117+$I$156)</f>
        <v>0.75327642449514065</v>
      </c>
      <c r="BD46" s="24">
        <f>($I$117+40*($O$10-0.5))/($I$117+$I$157)</f>
        <v>0.71339527215243159</v>
      </c>
      <c r="BE46" s="24">
        <f>($I$117+40*($O$10-0.5))/($I$117+$I$158)</f>
        <v>0.79039824493812183</v>
      </c>
      <c r="BF46" s="24">
        <f>($I$117+40*($O$10-0.5))/($I$117+$I$159)</f>
        <v>0.76778993290414022</v>
      </c>
      <c r="BG46" s="24">
        <f>($I$117+40*($O$10-0.5))/($I$117+$I$160)</f>
        <v>0.75967650325769753</v>
      </c>
      <c r="BH46" s="24">
        <f>($I$117+40*($P$10-0.5))/($I$117+$I$161)</f>
        <v>0.82387955147468894</v>
      </c>
      <c r="BI46" s="24">
        <f>($I$117+40*($P$10-0.5))/($I$117+$I$162)</f>
        <v>0.84253145459213419</v>
      </c>
      <c r="BJ46" s="24">
        <f>($I$117+40*($P$10-0.5))/($I$117+$I$163)</f>
        <v>0.85016231909903683</v>
      </c>
      <c r="BK46" s="24">
        <f>($I$117+40*($P$10-0.5))/($I$117+$I$164)</f>
        <v>0.85778573353579179</v>
      </c>
      <c r="BL46" s="24">
        <f>($I$117+40*($Q$10-0.5))/($I$117+$I$165)</f>
        <v>0.87297299956882124</v>
      </c>
      <c r="BM46" s="24">
        <f>($I$117+40*($Q$10-0.5))/($I$117+$I$166)</f>
        <v>0.8537935204329149</v>
      </c>
      <c r="BN46" s="24">
        <f>($I$117+40*($Q$7-0.5))/($I$117+$I$167)</f>
        <v>0.92089109292402305</v>
      </c>
      <c r="BO46" s="24">
        <f>($I$117+40*($Q$10-0.5))/($I$117+$I$168)</f>
        <v>0.86848671515008002</v>
      </c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  <c r="IY46" s="40"/>
      <c r="IZ46" s="40"/>
      <c r="JA46" s="40"/>
      <c r="JB46" s="40"/>
      <c r="JC46" s="40"/>
      <c r="JD46" s="40"/>
      <c r="JE46" s="40"/>
      <c r="JF46" s="40"/>
      <c r="JG46" s="40"/>
      <c r="JH46" s="40"/>
      <c r="JI46" s="40"/>
      <c r="JJ46" s="40"/>
      <c r="JK46" s="40"/>
      <c r="JL46" s="40"/>
      <c r="JM46" s="40"/>
      <c r="JN46" s="40"/>
      <c r="JO46" s="40"/>
      <c r="JP46" s="40"/>
      <c r="JQ46" s="40"/>
      <c r="JR46" s="40"/>
      <c r="JS46" s="40"/>
      <c r="JT46" s="40"/>
      <c r="JU46" s="40"/>
      <c r="JV46" s="40"/>
      <c r="JW46" s="40"/>
      <c r="JX46" s="40"/>
      <c r="JY46" s="40"/>
      <c r="JZ46" s="40"/>
      <c r="KA46" s="40"/>
      <c r="KB46" s="40"/>
      <c r="KC46" s="40"/>
      <c r="KD46" s="40"/>
      <c r="KE46" s="40"/>
      <c r="KF46" s="40"/>
      <c r="KG46" s="40"/>
      <c r="KH46" s="40"/>
      <c r="KI46" s="40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/>
      <c r="LG46" s="40"/>
      <c r="LH46" s="40"/>
      <c r="LI46" s="40"/>
      <c r="LJ46" s="40"/>
      <c r="LK46" s="40"/>
      <c r="LL46" s="40"/>
      <c r="LM46" s="40"/>
      <c r="LN46" s="40"/>
      <c r="LO46" s="40"/>
      <c r="LP46" s="40"/>
      <c r="LQ46" s="40"/>
      <c r="LR46" s="40"/>
      <c r="LS46" s="40"/>
      <c r="LT46" s="40"/>
      <c r="LU46" s="40"/>
      <c r="LV46" s="40"/>
      <c r="LW46" s="40"/>
      <c r="LX46" s="40"/>
      <c r="LY46" s="40"/>
      <c r="LZ46" s="40"/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40"/>
      <c r="MR46" s="40"/>
      <c r="MS46" s="40"/>
      <c r="MT46" s="40"/>
    </row>
    <row r="47" spans="1:358 16384:16384" x14ac:dyDescent="0.25">
      <c r="A47" t="str">
        <f>$A$118</f>
        <v>San Diego St</v>
      </c>
      <c r="B47" s="54"/>
      <c r="C47" s="3">
        <v>14</v>
      </c>
      <c r="D47" s="24">
        <f>($I$105+40*($E$7-0.5))/($I$105+$I$118)</f>
        <v>0.64980094092207252</v>
      </c>
      <c r="E47" s="24">
        <f>($I$106+40*($E$7-0.5))/($I$106+$I$118)</f>
        <v>0.64695154317795012</v>
      </c>
      <c r="F47" s="24">
        <f>($I$107+40*($E$7-0.5))/($I$107+$I$118)</f>
        <v>0.66198408539834885</v>
      </c>
      <c r="G47" s="24">
        <f>($I$108+40*($E$7-0.5))/($I$108+$I$118)</f>
        <v>0.61937949734105591</v>
      </c>
      <c r="H47" s="24">
        <f>($I$109+40*($E$8-0.5))/($I$109+$I$118)</f>
        <v>0.53395570180770724</v>
      </c>
      <c r="I47" s="24">
        <f>($I$110+40*($E$8-0.5))/($I$110+$I$118)</f>
        <v>0.52935577811493162</v>
      </c>
      <c r="J47" s="24">
        <f>($I$111+40*($E$8-0.5))/($I$111+$I$118)</f>
        <v>0.53504044843405107</v>
      </c>
      <c r="K47" s="24">
        <f>($I$112+40*($E$8-0.5))/($I$112+$I$118)</f>
        <v>0.54257670239240219</v>
      </c>
      <c r="L47" s="24">
        <f>($I$113+40*($E$9-0.5))/($I$113+$I$118)</f>
        <v>0.6539841194549818</v>
      </c>
      <c r="M47" s="24">
        <f>($I$114+40*($E$9-0.5))/($I$114+$I$118)</f>
        <v>0.56600916844114013</v>
      </c>
      <c r="N47" s="24">
        <f>($I$115+40*($E$9-0.5))/($I$115+$I$118)</f>
        <v>0.6631103503447271</v>
      </c>
      <c r="O47" s="24">
        <f>($I$116+40*($E$9-0.5))/($I$116+$I$118)</f>
        <v>0.64391455310639478</v>
      </c>
      <c r="P47" s="24">
        <f>($I$117+40*($E$10-0.5))/($I$117+$I$118)</f>
        <v>0.53113309154439781</v>
      </c>
      <c r="Q47" s="3">
        <v>0</v>
      </c>
      <c r="R47" s="24">
        <f>($I$118+40*($E$10-0.5))/($I$118+$I$119)</f>
        <v>0.46615435917746806</v>
      </c>
      <c r="S47" s="24">
        <f>($I$118+40*($E$10-0.5))/($I$118+$I$120)</f>
        <v>0.47867475739391246</v>
      </c>
      <c r="T47" s="24">
        <f>($I$118+40*($F$10-0.5))/($I$118+$I$121)</f>
        <v>0.5127279819334859</v>
      </c>
      <c r="U47" s="24">
        <f>($I$118+40*($F$10-0.5))/($I$118+$I$122)</f>
        <v>0.51397612497579781</v>
      </c>
      <c r="V47" s="24">
        <f>($I$118+40*($F$10-0.5))/($I$118+$I$123)</f>
        <v>0.48626571445305666</v>
      </c>
      <c r="W47" s="24">
        <f>($I$118+40*($F$10-0.5))/($I$118+$I$124)</f>
        <v>0.50684532900111545</v>
      </c>
      <c r="X47" s="24">
        <f>($I$118+40*($G$10-0.5))/($I$118+$I$125)</f>
        <v>0.48091376211533921</v>
      </c>
      <c r="Y47" s="24">
        <f>($I$118+40*($G$10-0.5))/($I$118+$I$126)</f>
        <v>0.49705467121297431</v>
      </c>
      <c r="Z47" s="24">
        <f>($I$118+40*($G$10-0.5))/($I$118+$I$127)</f>
        <v>0.47813282110429517</v>
      </c>
      <c r="AA47" s="24">
        <f>($I$118+40*($G$10-0.5))/($I$118+$I$128)</f>
        <v>0.49178810752461738</v>
      </c>
      <c r="AB47" s="24">
        <f>($I$118+40*($H$10-0.5))/($I$118+$I$129)</f>
        <v>0.6663827141076244</v>
      </c>
      <c r="AC47" s="24">
        <f>($I$118+40*($H$10-0.5))/($I$118+$I$130)</f>
        <v>0.70060946257844248</v>
      </c>
      <c r="AD47" s="24">
        <f>($I$118+40*($H$10-0.5))/($I$118+$I$131)</f>
        <v>0.7151064414500985</v>
      </c>
      <c r="AE47" s="24">
        <f>($I$118+40*($H$10-0.5))/($I$118+$I$132)</f>
        <v>0.68276007543973583</v>
      </c>
      <c r="AF47" s="24">
        <f>($I$118+40*($I$10-0.5))/($I$118+$I$133)</f>
        <v>0.44374404129053335</v>
      </c>
      <c r="AG47" s="24">
        <f>($I$118+40*($I$10-0.5))/($I$118+$I$134)</f>
        <v>0.40904662863016744</v>
      </c>
      <c r="AH47" s="24">
        <f>($I$118+40*($I$10-0.5))/($I$118+$I$135)</f>
        <v>0.42779872473204444</v>
      </c>
      <c r="AI47" s="24">
        <f>($I$118+40*($I$10-0.5))/($I$118+$I$136)</f>
        <v>0.43528757279506358</v>
      </c>
      <c r="AJ47" s="24">
        <f>($I$118+40*($J$10-0.5))/($I$118+$I$137)</f>
        <v>0.70366959796486916</v>
      </c>
      <c r="AK47" s="24">
        <f>($I$118+40*($J$10-0.5))/($I$118+$I$138)</f>
        <v>0.71800056680941715</v>
      </c>
      <c r="AL47" s="24">
        <f>($I$118+40*($J$10-0.5))/($I$118+$I$139)</f>
        <v>0.72932606956941837</v>
      </c>
      <c r="AM47" s="24">
        <f>($I$118+40*($J$10-0.5))/($I$118+$I$140)</f>
        <v>0.70126241859462779</v>
      </c>
      <c r="AN47" s="24">
        <f>($I$118+40*($K$10-0.5))/($I$118+$I$141)</f>
        <v>0.72720809026648259</v>
      </c>
      <c r="AO47" s="24">
        <f>($I$118+40*($K$10-0.5))/($I$118+$I$142)</f>
        <v>0.71701846350319609</v>
      </c>
      <c r="AP47" s="24">
        <f>($I$118+40*($K$10-0.5))/($I$118+$I$143)</f>
        <v>0.72515146343066827</v>
      </c>
      <c r="AQ47" s="24">
        <f>($I$118+40*($K$10-0.5))/($I$118+$I$144)</f>
        <v>0.70363301514473109</v>
      </c>
      <c r="AR47" s="24">
        <f>($I$118+40*($L$10-0.5))/($I$118+$I$145)</f>
        <v>0.56248042626384709</v>
      </c>
      <c r="AS47" s="24">
        <f>($I$118+40*($L$10-0.5))/($I$118+$I$146)</f>
        <v>0.58303127557984025</v>
      </c>
      <c r="AT47" s="24">
        <f>($I$118+40*($L$10-0.5))/($I$118+$I$147)</f>
        <v>0.56545672310779216</v>
      </c>
      <c r="AU47" s="24">
        <f>($I$118+40*($L$10-0.5))/($I$118+$I$148)</f>
        <v>0.56944287240385694</v>
      </c>
      <c r="AV47" s="24">
        <f>($I$118+40*($M$10-0.5))/($I$118+$I$149)</f>
        <v>0.56912404344353384</v>
      </c>
      <c r="AW47" s="24">
        <f>($I$118+40*($M$10-0.5))/($I$118+$I$150)</f>
        <v>0.57605654330434442</v>
      </c>
      <c r="AX47" s="24">
        <f>($I$118+40*($M$10-0.5))/($I$118+$I$151)</f>
        <v>0.56518383400251271</v>
      </c>
      <c r="AY47" s="24">
        <f>($I$118+40*($M$10-0.5))/($I$118+$I$152)</f>
        <v>0.57019625801147744</v>
      </c>
      <c r="AZ47" s="24">
        <f>($I$118+40*($N$10-0.5))/($I$118+$I$153)</f>
        <v>0.68911047056295305</v>
      </c>
      <c r="BA47" s="24">
        <f>($I$118+40*($N$10-0.5))/($I$118+$I$154)</f>
        <v>0.67495534722216255</v>
      </c>
      <c r="BB47" s="24">
        <f>($I$118+40*($N$7-0.5))/($I$118+$I$155)</f>
        <v>0.83059597949830499</v>
      </c>
      <c r="BC47" s="24">
        <f>($I$118+40*($N$10-0.5))/($I$118+$I$156)</f>
        <v>0.73451035170863832</v>
      </c>
      <c r="BD47" s="24">
        <f>($I$118+40*($O$10-0.5))/($I$118+$I$157)</f>
        <v>0.6937087998750926</v>
      </c>
      <c r="BE47" s="24">
        <f>($I$118+40*($O$10-0.5))/($I$118+$I$158)</f>
        <v>0.77432782860313953</v>
      </c>
      <c r="BF47" s="24">
        <f>($I$118+40*($O$10-0.5))/($I$118+$I$159)</f>
        <v>0.75053321085702418</v>
      </c>
      <c r="BG47" s="24">
        <f>($I$118+40*($O$10-0.5))/($I$118+$I$160)</f>
        <v>0.74201942448943214</v>
      </c>
      <c r="BH47" s="24">
        <f>($I$118+40*($P$10-0.5))/($I$118+$I$161)</f>
        <v>0.8105016607727964</v>
      </c>
      <c r="BI47" s="24">
        <f>($I$118+40*($P$10-0.5))/($I$118+$I$162)</f>
        <v>0.83027847955692935</v>
      </c>
      <c r="BJ47" s="24">
        <f>($I$118+40*($P$10-0.5))/($I$118+$I$163)</f>
        <v>0.83838922320665787</v>
      </c>
      <c r="BK47" s="24">
        <f>($I$118+40*($P$10-0.5))/($I$118+$I$164)</f>
        <v>0.84650347974522477</v>
      </c>
      <c r="BL47" s="24">
        <f>($I$118+40*($Q$10-0.5))/($I$118+$I$165)</f>
        <v>0.86283674513450292</v>
      </c>
      <c r="BM47" s="24">
        <f>($I$118+40*($Q$10-0.5))/($I$118+$I$166)</f>
        <v>0.84240310904727722</v>
      </c>
      <c r="BN47" s="24">
        <f>($I$118+40*($Q$7-0.5))/($I$118+$I$167)</f>
        <v>0.91437353782028508</v>
      </c>
      <c r="BO47" s="24">
        <f>($I$118+40*($Q$10-0.5))/($I$118+$I$168)</f>
        <v>0.85805068330844092</v>
      </c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  <c r="IY47" s="40"/>
      <c r="IZ47" s="40"/>
      <c r="JA47" s="40"/>
      <c r="JB47" s="40"/>
      <c r="JC47" s="40"/>
      <c r="JD47" s="40"/>
      <c r="JE47" s="40"/>
      <c r="JF47" s="40"/>
      <c r="JG47" s="40"/>
      <c r="JH47" s="40"/>
      <c r="JI47" s="40"/>
      <c r="JJ47" s="40"/>
      <c r="JK47" s="40"/>
      <c r="JL47" s="40"/>
      <c r="JM47" s="40"/>
      <c r="JN47" s="40"/>
      <c r="JO47" s="40"/>
      <c r="JP47" s="40"/>
      <c r="JQ47" s="40"/>
      <c r="JR47" s="40"/>
      <c r="JS47" s="40"/>
      <c r="JT47" s="40"/>
      <c r="JU47" s="40"/>
      <c r="JV47" s="40"/>
      <c r="JW47" s="40"/>
      <c r="JX47" s="40"/>
      <c r="JY47" s="40"/>
      <c r="JZ47" s="40"/>
      <c r="KA47" s="40"/>
      <c r="KB47" s="40"/>
      <c r="KC47" s="40"/>
      <c r="KD47" s="40"/>
      <c r="KE47" s="40"/>
      <c r="KF47" s="40"/>
      <c r="KG47" s="40"/>
      <c r="KH47" s="40"/>
      <c r="KI47" s="40"/>
      <c r="KJ47" s="40"/>
      <c r="KK47" s="40"/>
      <c r="KL47" s="40"/>
      <c r="KM47" s="40"/>
      <c r="KN47" s="40"/>
      <c r="KO47" s="40"/>
      <c r="KP47" s="40"/>
      <c r="KQ47" s="40"/>
      <c r="KR47" s="40"/>
      <c r="KS47" s="40"/>
      <c r="KT47" s="40"/>
      <c r="KU47" s="40"/>
      <c r="KV47" s="40"/>
      <c r="KW47" s="40"/>
      <c r="KX47" s="40"/>
      <c r="KY47" s="40"/>
      <c r="KZ47" s="40"/>
      <c r="LA47" s="40"/>
      <c r="LB47" s="40"/>
      <c r="LC47" s="40"/>
      <c r="LD47" s="40"/>
      <c r="LE47" s="40"/>
      <c r="LF47" s="40"/>
      <c r="LG47" s="40"/>
      <c r="LH47" s="40"/>
      <c r="LI47" s="40"/>
      <c r="LJ47" s="40"/>
      <c r="LK47" s="40"/>
      <c r="LL47" s="40"/>
      <c r="LM47" s="40"/>
      <c r="LN47" s="40"/>
      <c r="LO47" s="40"/>
      <c r="LP47" s="40"/>
      <c r="LQ47" s="40"/>
      <c r="LR47" s="40"/>
      <c r="LS47" s="40"/>
      <c r="LT47" s="40"/>
      <c r="LU47" s="40"/>
      <c r="LV47" s="40"/>
      <c r="LW47" s="40"/>
      <c r="LX47" s="40"/>
      <c r="LY47" s="40"/>
      <c r="LZ47" s="40"/>
      <c r="MA47" s="40"/>
      <c r="MB47" s="40"/>
      <c r="MC47" s="40"/>
      <c r="MD47" s="40"/>
      <c r="ME47" s="40"/>
      <c r="MF47" s="40"/>
      <c r="MG47" s="40"/>
      <c r="MH47" s="40"/>
      <c r="MI47" s="40"/>
      <c r="MJ47" s="40"/>
      <c r="MK47" s="40"/>
      <c r="ML47" s="40"/>
      <c r="MM47" s="40"/>
      <c r="MN47" s="40"/>
      <c r="MO47" s="40"/>
      <c r="MP47" s="40"/>
      <c r="MQ47" s="40"/>
      <c r="MR47" s="40"/>
      <c r="MS47" s="40"/>
      <c r="MT47" s="40"/>
    </row>
    <row r="48" spans="1:358 16384:16384" x14ac:dyDescent="0.25">
      <c r="A48" t="str">
        <f>$A$119</f>
        <v>Louisville</v>
      </c>
      <c r="B48" s="54"/>
      <c r="C48" s="3">
        <v>15</v>
      </c>
      <c r="D48" s="24">
        <f>($I$105+40*($E$7-0.5))/($I$105+$I$119)</f>
        <v>0.61130785829615097</v>
      </c>
      <c r="E48" s="24">
        <f>($I$106+40*($E$7-0.5))/($I$106+$I$119)</f>
        <v>0.60833404137592118</v>
      </c>
      <c r="F48" s="24">
        <f>($I$107+40*($E$7-0.5))/($I$107+$I$119)</f>
        <v>0.62405538008226313</v>
      </c>
      <c r="G48" s="24">
        <f>($I$108+40*($E$7-0.5))/($I$108+$I$119)</f>
        <v>0.57970538219804835</v>
      </c>
      <c r="H48" s="24">
        <f>($I$109+40*($E$8-0.5))/($I$109+$I$119)</f>
        <v>0.50011056927322428</v>
      </c>
      <c r="I48" s="24">
        <f>($I$110+40*($E$8-0.5))/($I$110+$I$119)</f>
        <v>0.4954922222092345</v>
      </c>
      <c r="J48" s="24">
        <f>($I$111+40*($E$8-0.5))/($I$111+$I$119)</f>
        <v>0.50120050263482452</v>
      </c>
      <c r="K48" s="24">
        <f>($I$112+40*($E$8-0.5))/($I$112+$I$119)</f>
        <v>0.50878168043259764</v>
      </c>
      <c r="L48" s="24">
        <f>($I$113+40*($E$9-0.5))/($I$113+$I$119)</f>
        <v>0.61358082301702321</v>
      </c>
      <c r="M48" s="24">
        <f>($I$114+40*($E$9-0.5))/($I$114+$I$119)</f>
        <v>0.5228285516003085</v>
      </c>
      <c r="N48" s="24">
        <f>($I$115+40*($E$9-0.5))/($I$115+$I$119)</f>
        <v>0.62315864832764334</v>
      </c>
      <c r="O48" s="24">
        <f>($I$116+40*($E$9-0.5))/($I$116+$I$119)</f>
        <v>0.60304913785054837</v>
      </c>
      <c r="P48" s="24">
        <f>($I$117+40*($E$10-0.5))/($I$117+$I$119)</f>
        <v>0.49727596926536904</v>
      </c>
      <c r="Q48" s="24">
        <f>($I$118+40*($E$10-0.5))/($I$118+$I$119)</f>
        <v>0.46615435917746806</v>
      </c>
      <c r="R48" s="3">
        <v>0</v>
      </c>
      <c r="S48" s="24">
        <f>($I$119+40*($E$10-0.5))/($I$119+$I$120)</f>
        <v>0.51255665009409035</v>
      </c>
      <c r="T48" s="24">
        <f>($I$119+40*($F$10-0.5))/($I$119+$I$121)</f>
        <v>0.54466246373717908</v>
      </c>
      <c r="U48" s="24">
        <f>($I$119+40*($F$10-0.5))/($I$119+$I$122)</f>
        <v>0.54590125315416427</v>
      </c>
      <c r="V48" s="24">
        <f>($I$119+40*($F$10-0.5))/($I$119+$I$123)</f>
        <v>0.51830516360707368</v>
      </c>
      <c r="W48" s="24">
        <f>($I$119+40*($F$10-0.5))/($I$119+$I$124)</f>
        <v>0.53881856995326827</v>
      </c>
      <c r="X48" s="24">
        <f>($I$119+40*($G$10-0.5))/($I$119+$I$125)</f>
        <v>0.51479763920607657</v>
      </c>
      <c r="Y48" s="24">
        <f>($I$119+40*($G$10-0.5))/($I$119+$I$126)</f>
        <v>0.53091263833136493</v>
      </c>
      <c r="Z48" s="24">
        <f>($I$119+40*($G$10-0.5))/($I$119+$I$127)</f>
        <v>0.51201402867457257</v>
      </c>
      <c r="AA48" s="24">
        <f>($I$119+40*($G$10-0.5))/($I$119+$I$128)</f>
        <v>0.52566227830942758</v>
      </c>
      <c r="AB48" s="24">
        <f>($I$119+40*($H$10-0.5))/($I$119+$I$129)</f>
        <v>0.68693651484719154</v>
      </c>
      <c r="AC48" s="24">
        <f>($I$119+40*($H$10-0.5))/($I$119+$I$130)</f>
        <v>0.71994079768818309</v>
      </c>
      <c r="AD48" s="24">
        <f>($I$119+40*($H$10-0.5))/($I$119+$I$131)</f>
        <v>0.73385730379432368</v>
      </c>
      <c r="AE48" s="24">
        <f>($I$119+40*($H$10-0.5))/($I$119+$I$132)</f>
        <v>0.70275495293907997</v>
      </c>
      <c r="AF48" s="24">
        <f>($I$119+40*($I$10-0.5))/($I$119+$I$133)</f>
        <v>0.48070912824895773</v>
      </c>
      <c r="AG48" s="24">
        <f>($I$119+40*($I$10-0.5))/($I$119+$I$134)</f>
        <v>0.44543587791419942</v>
      </c>
      <c r="AH48" s="24">
        <f>($I$119+40*($I$10-0.5))/($I$119+$I$135)</f>
        <v>0.46454481387533314</v>
      </c>
      <c r="AI48" s="24">
        <f>($I$119+40*($I$10-0.5))/($I$119+$I$136)</f>
        <v>0.47214614243096442</v>
      </c>
      <c r="AJ48" s="24">
        <f>($I$119+40*($J$10-0.5))/($I$119+$I$137)</f>
        <v>0.72288149781266953</v>
      </c>
      <c r="AK48" s="24">
        <f>($I$119+40*($J$10-0.5))/($I$119+$I$138)</f>
        <v>0.73663109983764041</v>
      </c>
      <c r="AL48" s="24">
        <f>($I$119+40*($J$10-0.5))/($I$119+$I$139)</f>
        <v>0.7474715337281802</v>
      </c>
      <c r="AM48" s="24">
        <f>($I$119+40*($J$10-0.5))/($I$119+$I$140)</f>
        <v>0.72056840841502412</v>
      </c>
      <c r="AN48" s="24">
        <f>($I$119+40*($K$10-0.5))/($I$119+$I$141)</f>
        <v>0.74544598311001276</v>
      </c>
      <c r="AO48" s="24">
        <f>($I$119+40*($K$10-0.5))/($I$119+$I$142)</f>
        <v>0.73568999514548028</v>
      </c>
      <c r="AP48" s="24">
        <f>($I$119+40*($K$10-0.5))/($I$119+$I$143)</f>
        <v>0.74347835251440497</v>
      </c>
      <c r="AQ48" s="24">
        <f>($I$119+40*($K$10-0.5))/($I$119+$I$144)</f>
        <v>0.72284635259157481</v>
      </c>
      <c r="AR48" s="24">
        <f>($I$119+40*($L$10-0.5))/($I$119+$I$145)</f>
        <v>0.59123489278878238</v>
      </c>
      <c r="AS48" s="24">
        <f>($I$119+40*($L$10-0.5))/($I$119+$I$146)</f>
        <v>0.61136829477415744</v>
      </c>
      <c r="AT48" s="24">
        <f>($I$119+40*($L$10-0.5))/($I$119+$I$147)</f>
        <v>0.59415671787199975</v>
      </c>
      <c r="AU48" s="24">
        <f>($I$119+40*($L$10-0.5))/($I$119+$I$148)</f>
        <v>0.59806673240038144</v>
      </c>
      <c r="AV48" s="24">
        <f>($I$119+40*($M$10-0.5))/($I$119+$I$149)</f>
        <v>0.60076838163937696</v>
      </c>
      <c r="AW48" s="24">
        <f>($I$119+40*($M$10-0.5))/($I$119+$I$150)</f>
        <v>0.60754283611067572</v>
      </c>
      <c r="AX48" s="24">
        <f>($I$119+40*($M$10-0.5))/($I$119+$I$151)</f>
        <v>0.5969125950587959</v>
      </c>
      <c r="AY48" s="24">
        <f>($I$119+40*($M$10-0.5))/($I$119+$I$152)</f>
        <v>0.60181694437800126</v>
      </c>
      <c r="AZ48" s="24">
        <f>($I$119+40*($N$10-0.5))/($I$119+$I$153)</f>
        <v>0.71161292021792166</v>
      </c>
      <c r="BA48" s="24">
        <f>($I$119+40*($N$10-0.5))/($I$119+$I$154)</f>
        <v>0.69803339702487577</v>
      </c>
      <c r="BB48" s="24">
        <f>($I$119+40*($N$7-0.5))/($I$119+$I$155)</f>
        <v>0.84341012102462243</v>
      </c>
      <c r="BC48" s="24">
        <f>($I$119+40*($N$10-0.5))/($I$119+$I$156)</f>
        <v>0.75489552084835709</v>
      </c>
      <c r="BD48" s="24">
        <f>($I$119+40*($O$10-0.5))/($I$119+$I$157)</f>
        <v>0.71510651458656915</v>
      </c>
      <c r="BE48" s="24">
        <f>($I$119+40*($O$10-0.5))/($I$119+$I$158)</f>
        <v>0.79178391248154867</v>
      </c>
      <c r="BF48" s="24">
        <f>($I$119+40*($O$10-0.5))/($I$119+$I$159)</f>
        <v>0.76928143460099818</v>
      </c>
      <c r="BG48" s="24">
        <f>($I$119+40*($O$10-0.5))/($I$119+$I$160)</f>
        <v>0.76120390999218546</v>
      </c>
      <c r="BH48" s="24">
        <f>($I$119+40*($P$10-0.5))/($I$119+$I$161)</f>
        <v>0.82503388636630348</v>
      </c>
      <c r="BI48" s="24">
        <f>($I$119+40*($P$10-0.5))/($I$119+$I$162)</f>
        <v>0.84358674944279399</v>
      </c>
      <c r="BJ48" s="24">
        <f>($I$119+40*($P$10-0.5))/($I$119+$I$163)</f>
        <v>0.85117550797982067</v>
      </c>
      <c r="BK48" s="24">
        <f>($I$119+40*($P$10-0.5))/($I$119+$I$164)</f>
        <v>0.85875593778474724</v>
      </c>
      <c r="BL48" s="24">
        <f>($I$119+40*($Q$10-0.5))/($I$119+$I$165)</f>
        <v>0.87384424881929723</v>
      </c>
      <c r="BM48" s="24">
        <f>($I$119+40*($Q$10-0.5))/($I$119+$I$166)</f>
        <v>0.8547744334236127</v>
      </c>
      <c r="BN48" s="24">
        <f>($I$119+40*($Q$7-0.5))/($I$119+$I$167)</f>
        <v>0.92144984531951402</v>
      </c>
      <c r="BO48" s="24">
        <f>($I$119+40*($Q$10-0.5))/($I$119+$I$168)</f>
        <v>0.86938413087735056</v>
      </c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  <c r="IT48" s="40"/>
      <c r="IU48" s="40"/>
      <c r="IV48" s="40"/>
      <c r="IW48" s="40"/>
      <c r="IX48" s="40"/>
      <c r="IY48" s="40"/>
      <c r="IZ48" s="40"/>
      <c r="JA48" s="40"/>
      <c r="JB48" s="40"/>
      <c r="JC48" s="40"/>
      <c r="JD48" s="40"/>
      <c r="JE48" s="40"/>
      <c r="JF48" s="40"/>
      <c r="JG48" s="40"/>
      <c r="JH48" s="40"/>
      <c r="JI48" s="40"/>
      <c r="JJ48" s="40"/>
      <c r="JK48" s="40"/>
      <c r="JL48" s="40"/>
      <c r="JM48" s="40"/>
      <c r="JN48" s="40"/>
      <c r="JO48" s="40"/>
      <c r="JP48" s="40"/>
      <c r="JQ48" s="40"/>
      <c r="JR48" s="40"/>
      <c r="JS48" s="40"/>
      <c r="JT48" s="40"/>
      <c r="JU48" s="40"/>
      <c r="JV48" s="40"/>
      <c r="JW48" s="40"/>
      <c r="JX48" s="40"/>
      <c r="JY48" s="40"/>
      <c r="JZ48" s="40"/>
      <c r="KA48" s="40"/>
      <c r="KB48" s="40"/>
      <c r="KC48" s="40"/>
      <c r="KD48" s="40"/>
      <c r="KE48" s="40"/>
      <c r="KF48" s="40"/>
      <c r="KG48" s="40"/>
      <c r="KH48" s="40"/>
      <c r="KI48" s="40"/>
      <c r="KJ48" s="40"/>
      <c r="KK48" s="40"/>
      <c r="KL48" s="40"/>
      <c r="KM48" s="40"/>
      <c r="KN48" s="40"/>
      <c r="KO48" s="40"/>
      <c r="KP48" s="40"/>
      <c r="KQ48" s="40"/>
      <c r="KR48" s="40"/>
      <c r="KS48" s="40"/>
      <c r="KT48" s="40"/>
      <c r="KU48" s="40"/>
      <c r="KV48" s="40"/>
      <c r="KW48" s="40"/>
      <c r="KX48" s="40"/>
      <c r="KY48" s="40"/>
      <c r="KZ48" s="40"/>
      <c r="LA48" s="40"/>
      <c r="LB48" s="40"/>
      <c r="LC48" s="40"/>
      <c r="LD48" s="40"/>
      <c r="LE48" s="40"/>
      <c r="LF48" s="40"/>
      <c r="LG48" s="40"/>
      <c r="LH48" s="40"/>
      <c r="LI48" s="40"/>
      <c r="LJ48" s="40"/>
      <c r="LK48" s="40"/>
      <c r="LL48" s="40"/>
      <c r="LM48" s="40"/>
      <c r="LN48" s="40"/>
      <c r="LO48" s="40"/>
      <c r="LP48" s="40"/>
      <c r="LQ48" s="40"/>
      <c r="LR48" s="40"/>
      <c r="LS48" s="40"/>
      <c r="LT48" s="40"/>
      <c r="LU48" s="40"/>
      <c r="LV48" s="40"/>
      <c r="LW48" s="40"/>
      <c r="LX48" s="40"/>
      <c r="LY48" s="40"/>
      <c r="LZ48" s="40"/>
      <c r="MA48" s="40"/>
      <c r="MB48" s="40"/>
      <c r="MC48" s="40"/>
      <c r="MD48" s="40"/>
      <c r="ME48" s="40"/>
      <c r="MF48" s="40"/>
      <c r="MG48" s="40"/>
      <c r="MH48" s="40"/>
      <c r="MI48" s="40"/>
      <c r="MJ48" s="40"/>
      <c r="MK48" s="40"/>
      <c r="ML48" s="40"/>
      <c r="MM48" s="40"/>
      <c r="MN48" s="40"/>
      <c r="MO48" s="40"/>
      <c r="MP48" s="40"/>
      <c r="MQ48" s="40"/>
      <c r="MR48" s="40"/>
      <c r="MS48" s="40"/>
      <c r="MT48" s="40"/>
    </row>
    <row r="49" spans="1:358" x14ac:dyDescent="0.25">
      <c r="A49" t="str">
        <f>$A$120</f>
        <v>Michigan St</v>
      </c>
      <c r="B49" s="54"/>
      <c r="C49" s="3">
        <v>16</v>
      </c>
      <c r="D49" s="24">
        <f>($I$105+40*($E$7-0.5))/($I$105+$I$120)</f>
        <v>0.62562854321829275</v>
      </c>
      <c r="E49" s="24">
        <f>($I$106+40*($E$7-0.5))/($I$106+$I$120)</f>
        <v>0.62269666708114368</v>
      </c>
      <c r="F49" s="24">
        <f>($I$107+40*($E$7-0.5))/($I$107+$I$120)</f>
        <v>0.63818438321353843</v>
      </c>
      <c r="G49" s="24">
        <f>($I$108+40*($E$7-0.5))/($I$108+$I$120)</f>
        <v>0.59441790628957436</v>
      </c>
      <c r="H49" s="24">
        <f>($I$109+40*($E$8-0.5))/($I$109+$I$120)</f>
        <v>0.5126671490200656</v>
      </c>
      <c r="I49" s="24">
        <f>($I$110+40*($E$8-0.5))/($I$110+$I$120)</f>
        <v>0.50805069506404166</v>
      </c>
      <c r="J49" s="24">
        <f>($I$111+40*($E$8-0.5))/($I$111+$I$120)</f>
        <v>0.51375632326160636</v>
      </c>
      <c r="K49" s="24">
        <f>($I$112+40*($E$8-0.5))/($I$112+$I$120)</f>
        <v>0.52132892289433841</v>
      </c>
      <c r="L49" s="24">
        <f>($I$113+40*($E$9-0.5))/($I$113+$I$120)</f>
        <v>0.62858663920341906</v>
      </c>
      <c r="M49" s="24">
        <f>($I$114+40*($E$9-0.5))/($I$114+$I$120)</f>
        <v>0.53870906500317328</v>
      </c>
      <c r="N49" s="24">
        <f>($I$115+40*($E$9-0.5))/($I$115+$I$120)</f>
        <v>0.63801195594110138</v>
      </c>
      <c r="O49" s="24">
        <f>($I$116+40*($E$9-0.5))/($I$116+$I$120)</f>
        <v>0.61820945181992148</v>
      </c>
      <c r="P49" s="24">
        <f>($I$117+40*($E$10-0.5))/($I$117+$I$120)</f>
        <v>0.50983396483075749</v>
      </c>
      <c r="Q49" s="24">
        <f>($I$118+40*($E$10-0.5))/($I$118+$I$120)</f>
        <v>0.47867475739391246</v>
      </c>
      <c r="R49" s="24">
        <f>($I$119+40*($E$10-0.5))/($I$119+$I$120)</f>
        <v>0.51255665009409035</v>
      </c>
      <c r="S49" s="3">
        <v>0</v>
      </c>
      <c r="T49" s="24">
        <f>($I$120+40*($F$10-0.5))/($I$120+$I$121)</f>
        <v>0.5328318714845508</v>
      </c>
      <c r="U49" s="24">
        <f>($I$120+40*($F$10-0.5))/($I$120+$I$122)</f>
        <v>0.53407531382839446</v>
      </c>
      <c r="V49" s="24">
        <f>($I$120+40*($F$10-0.5))/($I$120+$I$123)</f>
        <v>0.50641035637498988</v>
      </c>
      <c r="W49" s="24">
        <f>($I$120+40*($F$10-0.5))/($I$120+$I$124)</f>
        <v>0.52696800918792486</v>
      </c>
      <c r="X49" s="24">
        <f>($I$120+40*($G$10-0.5))/($I$120+$I$125)</f>
        <v>0.50224265593261708</v>
      </c>
      <c r="Y49" s="24">
        <f>($I$120+40*($G$10-0.5))/($I$120+$I$126)</f>
        <v>0.51838453273810536</v>
      </c>
      <c r="Z49" s="24">
        <f>($I$120+40*($G$10-0.5))/($I$120+$I$127)</f>
        <v>0.49945705095209519</v>
      </c>
      <c r="AA49" s="24">
        <f>($I$120+40*($G$10-0.5))/($I$120+$I$128)</f>
        <v>0.51312254224055054</v>
      </c>
      <c r="AB49" s="24">
        <f>($I$120+40*($H$10-0.5))/($I$120+$I$129)</f>
        <v>0.67930194086749485</v>
      </c>
      <c r="AC49" s="24">
        <f>($I$120+40*($H$10-0.5))/($I$120+$I$130)</f>
        <v>0.71277455401751422</v>
      </c>
      <c r="AD49" s="24">
        <f>($I$120+40*($H$10-0.5))/($I$120+$I$131)</f>
        <v>0.72691208426728415</v>
      </c>
      <c r="AE49" s="24">
        <f>($I$120+40*($H$10-0.5))/($I$120+$I$132)</f>
        <v>0.69533504897214204</v>
      </c>
      <c r="AF49" s="24">
        <f>($I$120+40*($I$10-0.5))/($I$120+$I$133)</f>
        <v>0.4670233299773916</v>
      </c>
      <c r="AG49" s="24">
        <f>($I$120+40*($I$10-0.5))/($I$120+$I$134)</f>
        <v>0.43191904356402722</v>
      </c>
      <c r="AH49" s="24">
        <f>($I$120+40*($I$10-0.5))/($I$120+$I$135)</f>
        <v>0.45091960658437852</v>
      </c>
      <c r="AI49" s="24">
        <f>($I$120+40*($I$10-0.5))/($I$120+$I$136)</f>
        <v>0.45848888850209485</v>
      </c>
      <c r="AJ49" s="24">
        <f>($I$120+40*($J$10-0.5))/($I$120+$I$137)</f>
        <v>0.71576079328197473</v>
      </c>
      <c r="AK49" s="24">
        <f>($I$120+40*($J$10-0.5))/($I$120+$I$138)</f>
        <v>0.72973160674812032</v>
      </c>
      <c r="AL49" s="24">
        <f>($I$120+40*($J$10-0.5))/($I$120+$I$139)</f>
        <v>0.74075608396089543</v>
      </c>
      <c r="AM49" s="24">
        <f>($I$120+40*($J$10-0.5))/($I$120+$I$140)</f>
        <v>0.71341183141077935</v>
      </c>
      <c r="AN49" s="24">
        <f>($I$120+40*($K$10-0.5))/($I$120+$I$141)</f>
        <v>0.73869549861780937</v>
      </c>
      <c r="AO49" s="24">
        <f>($I$120+40*($K$10-0.5))/($I$120+$I$142)</f>
        <v>0.72877492545896716</v>
      </c>
      <c r="AP49" s="24">
        <f>($I$120+40*($K$10-0.5))/($I$120+$I$143)</f>
        <v>0.73669411943217233</v>
      </c>
      <c r="AQ49" s="24">
        <f>($I$120+40*($K$10-0.5))/($I$120+$I$144)</f>
        <v>0.71572510012243418</v>
      </c>
      <c r="AR49" s="24">
        <f>($I$120+40*($L$10-0.5))/($I$120+$I$145)</f>
        <v>0.58058370589614983</v>
      </c>
      <c r="AS49" s="24">
        <f>($I$120+40*($L$10-0.5))/($I$120+$I$146)</f>
        <v>0.60088758239891116</v>
      </c>
      <c r="AT49" s="24">
        <f>($I$120+40*($L$10-0.5))/($I$120+$I$147)</f>
        <v>0.58352803539071529</v>
      </c>
      <c r="AU49" s="24">
        <f>($I$120+40*($L$10-0.5))/($I$120+$I$148)</f>
        <v>0.58746935224559693</v>
      </c>
      <c r="AV49" s="24">
        <f>($I$120+40*($M$10-0.5))/($I$120+$I$149)</f>
        <v>0.58910790171514271</v>
      </c>
      <c r="AW49" s="24">
        <f>($I$120+40*($M$10-0.5))/($I$120+$I$150)</f>
        <v>0.59594714460749632</v>
      </c>
      <c r="AX49" s="24">
        <f>($I$120+40*($M$10-0.5))/($I$120+$I$151)</f>
        <v>0.58521725116667955</v>
      </c>
      <c r="AY49" s="24">
        <f>($I$120+40*($M$10-0.5))/($I$120+$I$152)</f>
        <v>0.59016619782837354</v>
      </c>
      <c r="AZ49" s="24">
        <f>($I$120+40*($N$10-0.5))/($I$120+$I$153)</f>
        <v>0.70331509991277852</v>
      </c>
      <c r="BA49" s="24">
        <f>($I$120+40*($N$10-0.5))/($I$120+$I$154)</f>
        <v>0.68951532861983478</v>
      </c>
      <c r="BB49" s="24">
        <f>($I$120+40*($N$7-0.5))/($I$120+$I$155)</f>
        <v>0.83869538395750554</v>
      </c>
      <c r="BC49" s="24">
        <f>($I$120+40*($N$10-0.5))/($I$120+$I$156)</f>
        <v>0.74740101136227477</v>
      </c>
      <c r="BD49" s="24">
        <f>($I$120+40*($O$10-0.5))/($I$120+$I$157)</f>
        <v>0.70720254893491119</v>
      </c>
      <c r="BE49" s="24">
        <f>($I$120+40*($O$10-0.5))/($I$120+$I$158)</f>
        <v>0.78536876544047307</v>
      </c>
      <c r="BF49" s="24">
        <f>($I$120+40*($O$10-0.5))/($I$120+$I$159)</f>
        <v>0.76238104926637995</v>
      </c>
      <c r="BG49" s="24">
        <f>($I$120+40*($O$10-0.5))/($I$120+$I$160)</f>
        <v>0.7541391500846748</v>
      </c>
      <c r="BH49" s="24">
        <f>($I$120+40*($P$10-0.5))/($I$120+$I$161)</f>
        <v>0.81969083430301781</v>
      </c>
      <c r="BI49" s="24">
        <f>($I$120+40*($P$10-0.5))/($I$120+$I$162)</f>
        <v>0.83869949103039354</v>
      </c>
      <c r="BJ49" s="24">
        <f>($I$120+40*($P$10-0.5))/($I$120+$I$163)</f>
        <v>0.84648221540320878</v>
      </c>
      <c r="BK49" s="24">
        <f>($I$120+40*($P$10-0.5))/($I$120+$I$164)</f>
        <v>0.85426076858469824</v>
      </c>
      <c r="BL49" s="24">
        <f>($I$120+40*($Q$10-0.5))/($I$120+$I$165)</f>
        <v>0.86980701866299714</v>
      </c>
      <c r="BM49" s="24">
        <f>($I$120+40*($Q$10-0.5))/($I$120+$I$166)</f>
        <v>0.85023152658343315</v>
      </c>
      <c r="BN49" s="24">
        <f>($I$120+40*($Q$7-0.5))/($I$120+$I$167)</f>
        <v>0.91885873841765109</v>
      </c>
      <c r="BO49" s="24">
        <f>($I$120+40*($Q$10-0.5))/($I$120+$I$168)</f>
        <v>0.86522618200916024</v>
      </c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40"/>
      <c r="JD49" s="40"/>
      <c r="JE49" s="40"/>
      <c r="JF49" s="40"/>
      <c r="JG49" s="4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40"/>
      <c r="JU49" s="40"/>
      <c r="JV49" s="40"/>
      <c r="JW49" s="40"/>
      <c r="JX49" s="40"/>
      <c r="JY49" s="40"/>
      <c r="JZ49" s="40"/>
      <c r="KA49" s="40"/>
      <c r="KB49" s="40"/>
      <c r="KC49" s="40"/>
      <c r="KD49" s="40"/>
      <c r="KE49" s="40"/>
      <c r="KF49" s="40"/>
      <c r="KG49" s="40"/>
      <c r="KH49" s="40"/>
      <c r="KI49" s="40"/>
      <c r="KJ49" s="40"/>
      <c r="KK49" s="40"/>
      <c r="KL49" s="40"/>
      <c r="KM49" s="40"/>
      <c r="KN49" s="40"/>
      <c r="KO49" s="40"/>
      <c r="KP49" s="40"/>
      <c r="KQ49" s="40"/>
      <c r="KR49" s="40"/>
      <c r="KS49" s="40"/>
      <c r="KT49" s="40"/>
      <c r="KU49" s="40"/>
      <c r="KV49" s="40"/>
      <c r="KW49" s="40"/>
      <c r="KX49" s="40"/>
      <c r="KY49" s="40"/>
      <c r="KZ49" s="40"/>
      <c r="LA49" s="40"/>
      <c r="LB49" s="40"/>
      <c r="LC49" s="40"/>
      <c r="LD49" s="40"/>
      <c r="LE49" s="40"/>
      <c r="LF49" s="40"/>
      <c r="LG49" s="40"/>
      <c r="LH49" s="40"/>
      <c r="LI49" s="40"/>
      <c r="LJ49" s="40"/>
      <c r="LK49" s="40"/>
      <c r="LL49" s="40"/>
      <c r="LM49" s="40"/>
      <c r="LN49" s="40"/>
      <c r="LO49" s="40"/>
      <c r="LP49" s="40"/>
      <c r="LQ49" s="40"/>
      <c r="LR49" s="40"/>
      <c r="LS49" s="40"/>
      <c r="LT49" s="40"/>
      <c r="LU49" s="40"/>
      <c r="LV49" s="40"/>
      <c r="LW49" s="40"/>
      <c r="LX49" s="40"/>
      <c r="LY49" s="40"/>
      <c r="LZ49" s="40"/>
      <c r="MA49" s="40"/>
      <c r="MB49" s="40"/>
      <c r="MC49" s="40"/>
      <c r="MD49" s="40"/>
      <c r="ME49" s="40"/>
      <c r="MF49" s="40"/>
      <c r="MG49" s="40"/>
      <c r="MH49" s="40"/>
      <c r="MI49" s="40"/>
      <c r="MJ49" s="40"/>
      <c r="MK49" s="40"/>
      <c r="ML49" s="40"/>
      <c r="MM49" s="40"/>
      <c r="MN49" s="40"/>
      <c r="MO49" s="40"/>
      <c r="MP49" s="40"/>
      <c r="MQ49" s="40"/>
      <c r="MR49" s="40"/>
      <c r="MS49" s="40"/>
      <c r="MT49" s="40"/>
    </row>
    <row r="50" spans="1:358" x14ac:dyDescent="0.25">
      <c r="A50" t="str">
        <f>$A$121</f>
        <v>VCU</v>
      </c>
      <c r="B50" s="54">
        <v>5</v>
      </c>
      <c r="C50" s="3">
        <v>17</v>
      </c>
      <c r="D50" s="24">
        <f>($I$105+40*($F$7-0.5))/($I$105+$I$121)</f>
        <v>0.68236738726749646</v>
      </c>
      <c r="E50" s="24">
        <f>($I$106+40*($F$7-0.5))/($I$106+$I$121)</f>
        <v>0.67986024305721726</v>
      </c>
      <c r="F50" s="24">
        <f>($I$107+40*($F$7-0.5))/($I$107+$I$121)</f>
        <v>0.69310082670775974</v>
      </c>
      <c r="G50" s="24">
        <f>($I$108+40*($F$7-0.5))/($I$108+$I$121)</f>
        <v>0.65566235608306134</v>
      </c>
      <c r="H50" s="24">
        <f>($I$109+40*($F$8-0.5))/($I$109+$I$121)</f>
        <v>0.30313810555100912</v>
      </c>
      <c r="I50" s="24">
        <f>($I$110+40*($F$8-0.5))/($I$110+$I$121)</f>
        <v>0.29648088840955727</v>
      </c>
      <c r="J50" s="24">
        <f>($I$111+40*($F$8-0.5))/($I$111+$I$121)</f>
        <v>0.30470860906751901</v>
      </c>
      <c r="K50" s="24">
        <f>($I$112+40*($F$8-0.5))/($I$112+$I$121)</f>
        <v>0.31562607352240774</v>
      </c>
      <c r="L50" s="24">
        <f>($I$113+40*($F$9-0.5))/($I$113+$I$121)</f>
        <v>0.52960428707229645</v>
      </c>
      <c r="M50" s="24">
        <f>($I$114+40*($F$9-0.5))/($I$114+$I$121)</f>
        <v>0.41461672697913304</v>
      </c>
      <c r="N50" s="24">
        <f>($I$115+40*($F$9-0.5))/($I$115+$I$121)</f>
        <v>0.54163651007803271</v>
      </c>
      <c r="O50" s="24">
        <f>($I$116+40*($F$9-0.5))/($I$116+$I$121)</f>
        <v>0.51635114735399934</v>
      </c>
      <c r="P50" s="24">
        <f>($I$117+40*($F$10-0.5))/($I$117+$I$121)</f>
        <v>0.5420976454893347</v>
      </c>
      <c r="Q50" s="24">
        <f>($I$118+40*($F$10-0.5))/($I$118+$I$121)</f>
        <v>0.5127279819334859</v>
      </c>
      <c r="R50" s="24">
        <f>($I$119+40*($F$10-0.5))/($I$119+$I$121)</f>
        <v>0.54466246373717908</v>
      </c>
      <c r="S50" s="24">
        <f>($I$120+40*($F$10-0.5))/($I$120+$I$121)</f>
        <v>0.5328318714845508</v>
      </c>
      <c r="T50" s="3">
        <v>0</v>
      </c>
      <c r="U50" s="24">
        <f>($I$121+40*($F$11-0.5))/($I$121+$I$122)</f>
        <v>0.50117698208905126</v>
      </c>
      <c r="V50" s="24">
        <f>($I$121+40*($F$11-0.5))/($I$121+$I$123)</f>
        <v>0.47500195062434014</v>
      </c>
      <c r="W50" s="24">
        <f>($I$121+40*($F$11-0.5))/($I$121+$I$124)</f>
        <v>0.49445019589012223</v>
      </c>
      <c r="X50" s="24">
        <f>($I$121+40*($G$11-0.5))/($I$121+$I$125)</f>
        <v>0.4979374359288955</v>
      </c>
      <c r="Y50" s="24">
        <f>($I$121+40*($G$11-0.5))/($I$121+$I$126)</f>
        <v>0.51408385122445377</v>
      </c>
      <c r="Z50" s="24">
        <f>($I$121+40*($G$11-0.5))/($I$121+$I$127)</f>
        <v>0.49515195593283973</v>
      </c>
      <c r="AA50" s="24">
        <f>($I$121+40*($G$11-0.5))/($I$121+$I$128)</f>
        <v>0.50881939487782524</v>
      </c>
      <c r="AB50" s="24">
        <f>($I$121+40*($H$11-0.5))/($I$121+$I$129)</f>
        <v>0.57286882597038657</v>
      </c>
      <c r="AC50" s="24">
        <f>($I$121+40*($H$11-0.5))/($I$121+$I$130)</f>
        <v>0.6013383620038999</v>
      </c>
      <c r="AD50" s="24">
        <f>($I$121+40*($H$11-0.5))/($I$121+$I$131)</f>
        <v>0.61336965722427106</v>
      </c>
      <c r="AE50" s="24">
        <f>($I$121+40*($H$11-0.5))/($I$121+$I$132)</f>
        <v>0.58650264814629072</v>
      </c>
      <c r="AF50" s="24">
        <f>($I$121+40*($I$11-0.5))/($I$121+$I$133)</f>
        <v>0.43223827377022761</v>
      </c>
      <c r="AG50" s="24">
        <f>($I$121+40*($I$11-0.5))/($I$121+$I$134)</f>
        <v>0.39948407542611081</v>
      </c>
      <c r="AH50" s="24">
        <f>($I$121+40*($I$11-0.5))/($I$121+$I$135)</f>
        <v>0.41720724417833283</v>
      </c>
      <c r="AI50" s="24">
        <f>($I$121+40*($I$11-0.5))/($I$121+$I$136)</f>
        <v>0.42427118721942103</v>
      </c>
      <c r="AJ50" s="24">
        <f>($I$121+40*($J$11-0.5))/($I$121+$I$137)</f>
        <v>0.27555862182409463</v>
      </c>
      <c r="AK50" s="24">
        <f>($I$121+40*($J$11-0.5))/($I$121+$I$138)</f>
        <v>0.280984307129441</v>
      </c>
      <c r="AL50" s="24">
        <f>($I$121+40*($J$11-0.5))/($I$121+$I$139)</f>
        <v>0.28526704194523206</v>
      </c>
      <c r="AM50" s="24">
        <f>($I$121+40*($J$11-0.5))/($I$121+$I$140)</f>
        <v>0.27464656095465656</v>
      </c>
      <c r="AN50" s="24">
        <f>($I$121+40*($K$11-0.5))/($I$121+$I$141)</f>
        <v>0.73637874586533836</v>
      </c>
      <c r="AO50" s="24">
        <f>($I$121+40*($K$11-0.5))/($I$121+$I$142)</f>
        <v>0.7264027932291709</v>
      </c>
      <c r="AP50" s="24">
        <f>($I$121+40*($K$11-0.5))/($I$121+$I$143)</f>
        <v>0.734366003121809</v>
      </c>
      <c r="AQ50" s="24">
        <f>($I$121+40*($K$11-0.5))/($I$121+$I$144)</f>
        <v>0.71328373695086089</v>
      </c>
      <c r="AR50" s="24">
        <f>($I$121+40*($L$11-0.5))/($I$121+$I$145)</f>
        <v>0.57249072168328896</v>
      </c>
      <c r="AS50" s="24">
        <f>($I$121+40*($L$11-0.5))/($I$121+$I$146)</f>
        <v>0.59269211646264675</v>
      </c>
      <c r="AT50" s="24">
        <f>($I$121+40*($L$11-0.5))/($I$121+$I$147)</f>
        <v>0.57541942699245652</v>
      </c>
      <c r="AU50" s="24">
        <f>($I$121+40*($L$11-0.5))/($I$121+$I$148)</f>
        <v>0.57934023414722258</v>
      </c>
      <c r="AV50" s="24">
        <f>($I$121+40*($M$11-0.5))/($I$121+$I$149)</f>
        <v>0.65184729251713669</v>
      </c>
      <c r="AW50" s="24">
        <f>($I$121+40*($M$11-0.5))/($I$121+$I$150)</f>
        <v>0.65948973871883687</v>
      </c>
      <c r="AX50" s="24">
        <f>($I$121+40*($M$11-0.5))/($I$121+$I$151)</f>
        <v>0.64750049636500073</v>
      </c>
      <c r="AY50" s="24">
        <f>($I$121+40*($M$11-0.5))/($I$121+$I$152)</f>
        <v>0.65302976190842343</v>
      </c>
      <c r="AZ50" s="24">
        <f>($I$121+40*($N$10-0.5))/($I$121+$I$153)</f>
        <v>0.70045889786419668</v>
      </c>
      <c r="BA50" s="24">
        <f>($I$121+40*($N$11-0.5))/($I$121+$I$154)</f>
        <v>0.70341976800749151</v>
      </c>
      <c r="BB50" s="24">
        <f>($I$121+40*($N$7-0.5))/($I$121+$I$155)</f>
        <v>0.83706968562022532</v>
      </c>
      <c r="BC50" s="24">
        <f>($I$121+40*($N$11-0.5))/($I$121+$I$156)</f>
        <v>0.76307725278627203</v>
      </c>
      <c r="BD50" s="24">
        <f>($I$121+40*($O$11-0.5))/($I$121+$I$157)</f>
        <v>0.70921533963375372</v>
      </c>
      <c r="BE50" s="24">
        <f>($I$121+40*($O$11-0.5))/($I$121+$I$158)</f>
        <v>0.7884126521838033</v>
      </c>
      <c r="BF50" s="24">
        <f>($I$121+40*($O$11-0.5))/($I$121+$I$159)</f>
        <v>0.7651048283471622</v>
      </c>
      <c r="BG50" s="24">
        <f>($I$121+40*($O$11-0.5))/($I$121+$I$160)</f>
        <v>0.75675158581665181</v>
      </c>
      <c r="BH50" s="24">
        <f>($I$121+40*($P$11-0.5))/($I$121+$I$161)</f>
        <v>0.80742551504060633</v>
      </c>
      <c r="BI50" s="24">
        <f>($I$121+40*($P$11-0.5))/($I$121+$I$162)</f>
        <v>0.82634565027639495</v>
      </c>
      <c r="BJ50" s="24">
        <f>($I$121+40*($P$11-0.5))/($I$121+$I$163)</f>
        <v>0.83409472060436018</v>
      </c>
      <c r="BK50" s="24">
        <f>($I$121+40*($P$11-0.5))/($I$121+$I$164)</f>
        <v>0.841841141600015</v>
      </c>
      <c r="BL50" s="24">
        <f>($I$121+40*($Q$11-0.5))/($I$121+$I$165)</f>
        <v>0.8520209327174858</v>
      </c>
      <c r="BM50" s="24">
        <f>($I$121+40*($Q$11-0.5))/($I$121+$I$166)</f>
        <v>0.83264486306586061</v>
      </c>
      <c r="BN50" s="24">
        <f>($I$121+40*($Q$7-0.5))/($I$121+$I$167)</f>
        <v>0.91796193350347344</v>
      </c>
      <c r="BO50" s="24">
        <f>($I$121+40*($Q$11-0.5))/($I$121+$I$168)</f>
        <v>0.84748592486353735</v>
      </c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  <c r="IY50" s="40"/>
      <c r="IZ50" s="40"/>
      <c r="JA50" s="40"/>
      <c r="JB50" s="40"/>
      <c r="JC50" s="40"/>
      <c r="JD50" s="40"/>
      <c r="JE50" s="40"/>
      <c r="JF50" s="40"/>
      <c r="JG50" s="40"/>
      <c r="JH50" s="40"/>
      <c r="JI50" s="40"/>
      <c r="JJ50" s="40"/>
      <c r="JK50" s="40"/>
      <c r="JL50" s="40"/>
      <c r="JM50" s="40"/>
      <c r="JN50" s="40"/>
      <c r="JO50" s="40"/>
      <c r="JP50" s="40"/>
      <c r="JQ50" s="40"/>
      <c r="JR50" s="40"/>
      <c r="JS50" s="40"/>
      <c r="JT50" s="40"/>
      <c r="JU50" s="40"/>
      <c r="JV50" s="40"/>
      <c r="JW50" s="40"/>
      <c r="JX50" s="40"/>
      <c r="JY50" s="40"/>
      <c r="JZ50" s="40"/>
      <c r="KA50" s="40"/>
      <c r="KB50" s="40"/>
      <c r="KC50" s="40"/>
      <c r="KD50" s="40"/>
      <c r="KE50" s="40"/>
      <c r="KF50" s="40"/>
      <c r="KG50" s="40"/>
      <c r="KH50" s="40"/>
      <c r="KI50" s="40"/>
      <c r="KJ50" s="40"/>
      <c r="KK50" s="40"/>
      <c r="KL50" s="40"/>
      <c r="KM50" s="40"/>
      <c r="KN50" s="40"/>
      <c r="KO50" s="40"/>
      <c r="KP50" s="40"/>
      <c r="KQ50" s="40"/>
      <c r="KR50" s="40"/>
      <c r="KS50" s="40"/>
      <c r="KT50" s="40"/>
      <c r="KU50" s="40"/>
      <c r="KV50" s="40"/>
      <c r="KW50" s="40"/>
      <c r="KX50" s="40"/>
      <c r="KY50" s="40"/>
      <c r="KZ50" s="40"/>
      <c r="LA50" s="40"/>
      <c r="LB50" s="40"/>
      <c r="LC50" s="40"/>
      <c r="LD50" s="40"/>
      <c r="LE50" s="40"/>
      <c r="LF50" s="40"/>
      <c r="LG50" s="40"/>
      <c r="LH50" s="40"/>
      <c r="LI50" s="40"/>
      <c r="LJ50" s="40"/>
      <c r="LK50" s="40"/>
      <c r="LL50" s="40"/>
      <c r="LM50" s="40"/>
      <c r="LN50" s="40"/>
      <c r="LO50" s="40"/>
      <c r="LP50" s="40"/>
      <c r="LQ50" s="40"/>
      <c r="LR50" s="40"/>
      <c r="LS50" s="40"/>
      <c r="LT50" s="40"/>
      <c r="LU50" s="40"/>
      <c r="LV50" s="40"/>
      <c r="LW50" s="40"/>
      <c r="LX50" s="40"/>
      <c r="LY50" s="40"/>
      <c r="LZ50" s="40"/>
      <c r="MA50" s="40"/>
      <c r="MB50" s="40"/>
      <c r="MC50" s="40"/>
      <c r="MD50" s="40"/>
      <c r="ME50" s="40"/>
      <c r="MF50" s="40"/>
      <c r="MG50" s="40"/>
      <c r="MH50" s="40"/>
      <c r="MI50" s="40"/>
      <c r="MJ50" s="40"/>
      <c r="MK50" s="40"/>
      <c r="ML50" s="40"/>
      <c r="MM50" s="40"/>
      <c r="MN50" s="40"/>
      <c r="MO50" s="40"/>
      <c r="MP50" s="40"/>
      <c r="MQ50" s="40"/>
      <c r="MR50" s="40"/>
      <c r="MS50" s="40"/>
      <c r="MT50" s="40"/>
    </row>
    <row r="51" spans="1:358" x14ac:dyDescent="0.25">
      <c r="A51" t="str">
        <f>$A$122</f>
        <v>Oklahoma</v>
      </c>
      <c r="B51" s="54"/>
      <c r="C51" s="3">
        <v>18</v>
      </c>
      <c r="D51" s="24">
        <f>($I$105+40*($F$7-0.5))/($I$105+$I$122)</f>
        <v>0.68381408130996713</v>
      </c>
      <c r="E51" s="24">
        <f>($I$106+40*($F$7-0.5))/($I$106+$I$122)</f>
        <v>0.68131302310836894</v>
      </c>
      <c r="F51" s="24">
        <f>($I$107+40*($F$7-0.5))/($I$107+$I$122)</f>
        <v>0.69452051946375903</v>
      </c>
      <c r="G51" s="24">
        <f>($I$108+40*($F$7-0.5))/($I$108+$I$122)</f>
        <v>0.65716957215581484</v>
      </c>
      <c r="H51" s="24">
        <f>($I$109+40*($F$8-0.5))/($I$109+$I$122)</f>
        <v>0.30382740996372437</v>
      </c>
      <c r="I51" s="24">
        <f>($I$110+40*($F$8-0.5))/($I$110+$I$122)</f>
        <v>0.29716151019620363</v>
      </c>
      <c r="J51" s="24">
        <f>($I$111+40*($F$8-0.5))/($I$111+$I$122)</f>
        <v>0.30539991957897444</v>
      </c>
      <c r="K51" s="24">
        <f>($I$112+40*($F$8-0.5))/($I$112+$I$122)</f>
        <v>0.31633088414435018</v>
      </c>
      <c r="L51" s="24">
        <f>($I$113+40*($F$9-0.5))/($I$113+$I$122)</f>
        <v>0.53077697962404224</v>
      </c>
      <c r="M51" s="24">
        <f>($I$114+40*($F$9-0.5))/($I$114+$I$122)</f>
        <v>0.41575984635171653</v>
      </c>
      <c r="N51" s="24">
        <f>($I$115+40*($F$9-0.5))/($I$115+$I$122)</f>
        <v>0.54280510143805527</v>
      </c>
      <c r="O51" s="24">
        <f>($I$116+40*($F$9-0.5))/($I$116+$I$122)</f>
        <v>0.51752678023097776</v>
      </c>
      <c r="P51" s="24">
        <f>($I$117+40*($F$10-0.5))/($I$117+$I$122)</f>
        <v>0.54333756230100327</v>
      </c>
      <c r="Q51" s="24">
        <f>($I$118+40*($F$10-0.5))/($I$118+$I$122)</f>
        <v>0.51397612497579781</v>
      </c>
      <c r="R51" s="24">
        <f>($I$119+40*($F$10-0.5))/($I$119+$I$122)</f>
        <v>0.54590125315416427</v>
      </c>
      <c r="S51" s="24">
        <f>($I$120+40*($F$10-0.5))/($I$120+$I$122)</f>
        <v>0.53407531382839446</v>
      </c>
      <c r="T51" s="24">
        <f>($I$121+40*($F$11-0.5))/($I$121+$I$122)</f>
        <v>0.50117698208905126</v>
      </c>
      <c r="U51" s="3">
        <v>0</v>
      </c>
      <c r="V51" s="24">
        <f>($I$122+40*($F$11-0.5))/($I$122+$I$123)</f>
        <v>0.4738280486867345</v>
      </c>
      <c r="W51" s="24">
        <f>($I$122+40*($F$11-0.5))/($I$122+$I$124)</f>
        <v>0.49327338955448768</v>
      </c>
      <c r="X51" s="24">
        <f>($I$122+40*($G$11-0.5))/($I$122+$I$125)</f>
        <v>0.49676048529684036</v>
      </c>
      <c r="Y51" s="24">
        <f>($I$122+40*($G$11-0.5))/($I$122+$I$126)</f>
        <v>0.51290772499195081</v>
      </c>
      <c r="Z51" s="24">
        <f>($I$122+40*($G$11-0.5))/($I$122+$I$127)</f>
        <v>0.4939751113573177</v>
      </c>
      <c r="AA51" s="24">
        <f>($I$122+40*($G$11-0.5))/($I$122+$I$128)</f>
        <v>0.50764273012317707</v>
      </c>
      <c r="AB51" s="24">
        <f>($I$122+40*($H$11-0.5))/($I$122+$I$129)</f>
        <v>0.57192575221857433</v>
      </c>
      <c r="AC51" s="24">
        <f>($I$122+40*($H$11-0.5))/($I$122+$I$130)</f>
        <v>0.60041430191834466</v>
      </c>
      <c r="AD51" s="24">
        <f>($I$122+40*($H$11-0.5))/($I$122+$I$131)</f>
        <v>0.61245551195096504</v>
      </c>
      <c r="AE51" s="24">
        <f>($I$122+40*($H$11-0.5))/($I$122+$I$132)</f>
        <v>0.58556789974796342</v>
      </c>
      <c r="AF51" s="24">
        <f>($I$122+40*($I$11-0.5))/($I$122+$I$133)</f>
        <v>0.43088239366497882</v>
      </c>
      <c r="AG51" s="24">
        <f>($I$122+40*($I$11-0.5))/($I$122+$I$134)</f>
        <v>0.39815888780545045</v>
      </c>
      <c r="AH51" s="24">
        <f>($I$122+40*($I$11-0.5))/($I$122+$I$135)</f>
        <v>0.41586397863054803</v>
      </c>
      <c r="AI51" s="24">
        <f>($I$122+40*($I$11-0.5))/($I$122+$I$136)</f>
        <v>0.42292168270060065</v>
      </c>
      <c r="AJ51" s="24">
        <f>($I$122+40*($J$11-0.5))/($I$122+$I$137)</f>
        <v>0.27387232296380432</v>
      </c>
      <c r="AK51" s="24">
        <f>($I$122+40*($J$11-0.5))/($I$122+$I$138)</f>
        <v>0.27927760537814644</v>
      </c>
      <c r="AL51" s="24">
        <f>($I$122+40*($J$11-0.5))/($I$122+$I$139)</f>
        <v>0.28354458521853149</v>
      </c>
      <c r="AM51" s="24">
        <f>($I$122+40*($J$11-0.5))/($I$122+$I$140)</f>
        <v>0.27296374047706096</v>
      </c>
      <c r="AN51" s="24">
        <f>($I$122+40*($K$11-0.5))/($I$122+$I$141)</f>
        <v>0.73574522418777655</v>
      </c>
      <c r="AO51" s="24">
        <f>($I$122+40*($K$11-0.5))/($I$122+$I$142)</f>
        <v>0.7257542262413762</v>
      </c>
      <c r="AP51" s="24">
        <f>($I$122+40*($K$11-0.5))/($I$122+$I$143)</f>
        <v>0.73372939352557687</v>
      </c>
      <c r="AQ51" s="24">
        <f>($I$122+40*($K$11-0.5))/($I$122+$I$144)</f>
        <v>0.71261637455531845</v>
      </c>
      <c r="AR51" s="24">
        <f>($I$122+40*($L$11-0.5))/($I$122+$I$145)</f>
        <v>0.5714814446121923</v>
      </c>
      <c r="AS51" s="24">
        <f>($I$122+40*($L$11-0.5))/($I$122+$I$146)</f>
        <v>0.59169651722039773</v>
      </c>
      <c r="AT51" s="24">
        <f>($I$122+40*($L$11-0.5))/($I$122+$I$147)</f>
        <v>0.57441192411779385</v>
      </c>
      <c r="AU51" s="24">
        <f>($I$122+40*($L$11-0.5))/($I$122+$I$148)</f>
        <v>0.5783352172969195</v>
      </c>
      <c r="AV51" s="24">
        <f>($I$122+40*($M$11-0.5))/($I$122+$I$149)</f>
        <v>0.65092475353173895</v>
      </c>
      <c r="AW51" s="24">
        <f>($I$122+40*($M$11-0.5))/($I$122+$I$150)</f>
        <v>0.65857684372799796</v>
      </c>
      <c r="AX51" s="24">
        <f>($I$122+40*($M$11-0.5))/($I$122+$I$151)</f>
        <v>0.64657268427664227</v>
      </c>
      <c r="AY51" s="24">
        <f>($I$122+40*($M$11-0.5))/($I$122+$I$152)</f>
        <v>0.65210868398850519</v>
      </c>
      <c r="AZ51" s="24">
        <f>($I$122+40*($N$11-0.5))/($I$122+$I$153)</f>
        <v>0.71689638774452014</v>
      </c>
      <c r="BA51" s="24">
        <f>($I$122+40*($N$11-0.5))/($I$122+$I$154)</f>
        <v>0.70266108031808483</v>
      </c>
      <c r="BB51" s="24">
        <f>($I$122+40*($N$7-0.5))/($I$122+$I$155)</f>
        <v>0.83662445394230056</v>
      </c>
      <c r="BC51" s="24">
        <f>($I$122+40*($N$11-0.5))/($I$122+$I$156)</f>
        <v>0.76241963164296034</v>
      </c>
      <c r="BD51" s="24">
        <f>($I$122+40*($O$11-0.5))/($I$122+$I$157)</f>
        <v>0.70848388633975867</v>
      </c>
      <c r="BE51" s="24">
        <f>($I$122+40*($O$11-0.5))/($I$122+$I$158)</f>
        <v>0.78782081496084599</v>
      </c>
      <c r="BF51" s="24">
        <f>($I$122+40*($O$11-0.5))/($I$122+$I$159)</f>
        <v>0.76446727266934855</v>
      </c>
      <c r="BG51" s="24">
        <f>($I$122+40*($O$11-0.5))/($I$122+$I$160)</f>
        <v>0.75609858522721018</v>
      </c>
      <c r="BH51" s="24">
        <f>($I$122+40*($P$11-0.5))/($I$122+$I$161)</f>
        <v>0.80689168378820264</v>
      </c>
      <c r="BI51" s="24">
        <f>($I$122+40*($P$11-0.5))/($I$122+$I$162)</f>
        <v>0.82585295499381617</v>
      </c>
      <c r="BJ51" s="24">
        <f>($I$122+40*($P$11-0.5))/($I$122+$I$163)</f>
        <v>0.83361958439758044</v>
      </c>
      <c r="BK51" s="24">
        <f>($I$122+40*($P$11-0.5))/($I$122+$I$164)</f>
        <v>0.84138397155465672</v>
      </c>
      <c r="BL51" s="24">
        <f>($I$122+40*($Q$11-0.5))/($I$122+$I$165)</f>
        <v>0.8515907847898313</v>
      </c>
      <c r="BM51" s="24">
        <f>($I$122+40*($Q$11-0.5))/($I$122+$I$166)</f>
        <v>0.83216948686986958</v>
      </c>
      <c r="BN51" s="24">
        <f>($I$122+40*($Q$7-0.5))/($I$122+$I$167)</f>
        <v>0.9177160228539003</v>
      </c>
      <c r="BO51" s="24">
        <f>($I$122+40*($Q$11-0.5))/($I$122+$I$168)</f>
        <v>0.84704496101648485</v>
      </c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  <c r="IY51" s="40"/>
      <c r="IZ51" s="40"/>
      <c r="JA51" s="40"/>
      <c r="JB51" s="40"/>
      <c r="JC51" s="40"/>
      <c r="JD51" s="40"/>
      <c r="JE51" s="40"/>
      <c r="JF51" s="40"/>
      <c r="JG51" s="40"/>
      <c r="JH51" s="40"/>
      <c r="JI51" s="40"/>
      <c r="JJ51" s="40"/>
      <c r="JK51" s="40"/>
      <c r="JL51" s="40"/>
      <c r="JM51" s="40"/>
      <c r="JN51" s="40"/>
      <c r="JO51" s="40"/>
      <c r="JP51" s="40"/>
      <c r="JQ51" s="40"/>
      <c r="JR51" s="40"/>
      <c r="JS51" s="40"/>
      <c r="JT51" s="40"/>
      <c r="JU51" s="40"/>
      <c r="JV51" s="40"/>
      <c r="JW51" s="40"/>
      <c r="JX51" s="40"/>
      <c r="JY51" s="40"/>
      <c r="JZ51" s="40"/>
      <c r="KA51" s="40"/>
      <c r="KB51" s="40"/>
      <c r="KC51" s="40"/>
      <c r="KD51" s="40"/>
      <c r="KE51" s="40"/>
      <c r="KF51" s="40"/>
      <c r="KG51" s="40"/>
      <c r="KH51" s="40"/>
      <c r="KI51" s="40"/>
      <c r="KJ51" s="40"/>
      <c r="KK51" s="40"/>
      <c r="KL51" s="40"/>
      <c r="KM51" s="40"/>
      <c r="KN51" s="40"/>
      <c r="KO51" s="40"/>
      <c r="KP51" s="40"/>
      <c r="KQ51" s="40"/>
      <c r="KR51" s="40"/>
      <c r="KS51" s="40"/>
      <c r="KT51" s="40"/>
      <c r="KU51" s="40"/>
      <c r="KV51" s="40"/>
      <c r="KW51" s="40"/>
      <c r="KX51" s="40"/>
      <c r="KY51" s="40"/>
      <c r="KZ51" s="40"/>
      <c r="LA51" s="40"/>
      <c r="LB51" s="40"/>
      <c r="LC51" s="40"/>
      <c r="LD51" s="40"/>
      <c r="LE51" s="40"/>
      <c r="LF51" s="40"/>
      <c r="LG51" s="40"/>
      <c r="LH51" s="40"/>
      <c r="LI51" s="40"/>
      <c r="LJ51" s="40"/>
      <c r="LK51" s="40"/>
      <c r="LL51" s="40"/>
      <c r="LM51" s="40"/>
      <c r="LN51" s="40"/>
      <c r="LO51" s="40"/>
      <c r="LP51" s="40"/>
      <c r="LQ51" s="40"/>
      <c r="LR51" s="40"/>
      <c r="LS51" s="40"/>
      <c r="LT51" s="40"/>
      <c r="LU51" s="40"/>
      <c r="LV51" s="40"/>
      <c r="LW51" s="40"/>
      <c r="LX51" s="40"/>
      <c r="LY51" s="40"/>
      <c r="LZ51" s="40"/>
      <c r="MA51" s="40"/>
      <c r="MB51" s="40"/>
      <c r="MC51" s="40"/>
      <c r="MD51" s="40"/>
      <c r="ME51" s="40"/>
      <c r="MF51" s="40"/>
      <c r="MG51" s="40"/>
      <c r="MH51" s="40"/>
      <c r="MI51" s="40"/>
      <c r="MJ51" s="40"/>
      <c r="MK51" s="40"/>
      <c r="ML51" s="40"/>
      <c r="MM51" s="40"/>
      <c r="MN51" s="40"/>
      <c r="MO51" s="40"/>
      <c r="MP51" s="40"/>
      <c r="MQ51" s="40"/>
      <c r="MR51" s="40"/>
      <c r="MS51" s="40"/>
      <c r="MT51" s="40"/>
    </row>
    <row r="52" spans="1:358" x14ac:dyDescent="0.25">
      <c r="A52" t="str">
        <f>$A$123</f>
        <v>Saint Louis</v>
      </c>
      <c r="B52" s="54"/>
      <c r="C52" s="3">
        <v>19</v>
      </c>
      <c r="D52" s="24">
        <f>($I$105+40*($F$7-0.5))/($I$105+$I$123)</f>
        <v>0.65148064106111292</v>
      </c>
      <c r="E52" s="24">
        <f>($I$106+40*($F$7-0.5))/($I$106+$I$123)</f>
        <v>0.64885515781801084</v>
      </c>
      <c r="F52" s="24">
        <f>($I$107+40*($F$7-0.5))/($I$107+$I$123)</f>
        <v>0.66274194739744341</v>
      </c>
      <c r="G52" s="24">
        <f>($I$108+40*($F$7-0.5))/($I$108+$I$123)</f>
        <v>0.62361118115755654</v>
      </c>
      <c r="H52" s="24">
        <f>($I$109+40*($F$8-0.5))/($I$109+$I$123)</f>
        <v>0.28847184067672049</v>
      </c>
      <c r="I52" s="24">
        <f>($I$110+40*($F$8-0.5))/($I$110+$I$123)</f>
        <v>0.28200636757711572</v>
      </c>
      <c r="J52" s="24">
        <f>($I$111+40*($F$8-0.5))/($I$111+$I$123)</f>
        <v>0.28999798124915466</v>
      </c>
      <c r="K52" s="24">
        <f>($I$112+40*($F$8-0.5))/($I$112+$I$123)</f>
        <v>0.30061625976444789</v>
      </c>
      <c r="L52" s="24">
        <f>($I$113+40*($F$9-0.5))/($I$113+$I$123)</f>
        <v>0.50461991355420577</v>
      </c>
      <c r="M52" s="24">
        <f>($I$114+40*($F$9-0.5))/($I$114+$I$123)</f>
        <v>0.3905530981597562</v>
      </c>
      <c r="N52" s="24">
        <f>($I$115+40*($F$9-0.5))/($I$115+$I$123)</f>
        <v>0.51670802164562168</v>
      </c>
      <c r="O52" s="24">
        <f>($I$116+40*($F$9-0.5))/($I$116+$I$123)</f>
        <v>0.49133893725199262</v>
      </c>
      <c r="P52" s="24">
        <f>($I$117+40*($F$10-0.5))/($I$117+$I$123)</f>
        <v>0.51572388514856926</v>
      </c>
      <c r="Q52" s="24">
        <f>($I$118+40*($F$10-0.5))/($I$118+$I$123)</f>
        <v>0.48626571445305666</v>
      </c>
      <c r="R52" s="24">
        <f>($I$119+40*($F$10-0.5))/($I$119+$I$123)</f>
        <v>0.51830516360707368</v>
      </c>
      <c r="S52" s="24">
        <f>($I$120+40*($F$10-0.5))/($I$120+$I$123)</f>
        <v>0.50641035637498988</v>
      </c>
      <c r="T52" s="24">
        <f>($I$121+40*($F$11-0.5))/($I$121+$I$123)</f>
        <v>0.47500195062434014</v>
      </c>
      <c r="U52" s="24">
        <f>($I$122+40*($F$11-0.5))/($I$122+$I$123)</f>
        <v>0.4738280486867345</v>
      </c>
      <c r="V52" s="3">
        <v>0</v>
      </c>
      <c r="W52" s="24">
        <f>($I$123+40*($F$11-0.5))/($I$123+$I$124)</f>
        <v>0.51945904381129193</v>
      </c>
      <c r="X52" s="24">
        <f>($I$123+40*($G$11-0.5))/($I$123+$I$125)</f>
        <v>0.52294021650200906</v>
      </c>
      <c r="Y52" s="24">
        <f>($I$123+40*($G$11-0.5))/($I$123+$I$126)</f>
        <v>0.53902693992718531</v>
      </c>
      <c r="Z52" s="24">
        <f>($I$123+40*($G$11-0.5))/($I$123+$I$127)</f>
        <v>0.52015977809517755</v>
      </c>
      <c r="AA52" s="24">
        <f>($I$123+40*($G$11-0.5))/($I$123+$I$128)</f>
        <v>0.53378764791762701</v>
      </c>
      <c r="AB52" s="24">
        <f>($I$123+40*($H$11-0.5))/($I$123+$I$129)</f>
        <v>0.59296398221030622</v>
      </c>
      <c r="AC52" s="24">
        <f>($I$123+40*($H$11-0.5))/($I$123+$I$130)</f>
        <v>0.62098028773400615</v>
      </c>
      <c r="AD52" s="24">
        <f>($I$123+40*($H$11-0.5))/($I$123+$I$131)</f>
        <v>0.6327807966431358</v>
      </c>
      <c r="AE52" s="24">
        <f>($I$123+40*($H$11-0.5))/($I$123+$I$132)</f>
        <v>0.60639708456353192</v>
      </c>
      <c r="AF52" s="24">
        <f>($I$123+40*($I$11-0.5))/($I$123+$I$133)</f>
        <v>0.46101415410575275</v>
      </c>
      <c r="AG52" s="24">
        <f>($I$123+40*($I$11-0.5))/($I$123+$I$134)</f>
        <v>0.42772211071864008</v>
      </c>
      <c r="AH52" s="24">
        <f>($I$123+40*($I$11-0.5))/($I$123+$I$135)</f>
        <v>0.44576811131702476</v>
      </c>
      <c r="AI52" s="24">
        <f>($I$123+40*($I$11-0.5))/($I$123+$I$136)</f>
        <v>0.45293980116985288</v>
      </c>
      <c r="AJ52" s="24">
        <f>($I$123+40*($J$11-0.5))/($I$123+$I$137)</f>
        <v>0.31139496924182936</v>
      </c>
      <c r="AK52" s="24">
        <f>($I$123+40*($J$11-0.5))/($I$123+$I$138)</f>
        <v>0.31721729275162175</v>
      </c>
      <c r="AL52" s="24">
        <f>($I$123+40*($J$11-0.5))/($I$123+$I$139)</f>
        <v>0.32180511595345823</v>
      </c>
      <c r="AM52" s="24">
        <f>($I$123+40*($J$11-0.5))/($I$123+$I$140)</f>
        <v>0.31041511953344125</v>
      </c>
      <c r="AN52" s="24">
        <f>($I$123+40*($K$11-0.5))/($I$123+$I$141)</f>
        <v>0.74981951308421613</v>
      </c>
      <c r="AO52" s="24">
        <f>($I$123+40*($K$11-0.5))/($I$123+$I$142)</f>
        <v>0.74017272009000201</v>
      </c>
      <c r="AP52" s="24">
        <f>($I$123+40*($K$11-0.5))/($I$123+$I$143)</f>
        <v>0.74787425467726809</v>
      </c>
      <c r="AQ52" s="24">
        <f>($I$123+40*($K$11-0.5))/($I$123+$I$144)</f>
        <v>0.72746621286078617</v>
      </c>
      <c r="AR52" s="24">
        <f>($I$123+40*($L$11-0.5))/($I$123+$I$145)</f>
        <v>0.59392360084166707</v>
      </c>
      <c r="AS52" s="24">
        <f>($I$123+40*($L$11-0.5))/($I$123+$I$146)</f>
        <v>0.61379544019331722</v>
      </c>
      <c r="AT52" s="24">
        <f>($I$123+40*($L$11-0.5))/($I$123+$I$147)</f>
        <v>0.59680888531865972</v>
      </c>
      <c r="AU52" s="24">
        <f>($I$123+40*($L$11-0.5))/($I$123+$I$148)</f>
        <v>0.60066924724082393</v>
      </c>
      <c r="AV52" s="24">
        <f>($I$123+40*($M$11-0.5))/($I$123+$I$149)</f>
        <v>0.67131342317942444</v>
      </c>
      <c r="AW52" s="24">
        <f>($I$123+40*($M$11-0.5))/($I$123+$I$150)</f>
        <v>0.67873915814408803</v>
      </c>
      <c r="AX52" s="24">
        <f>($I$123+40*($M$11-0.5))/($I$123+$I$151)</f>
        <v>0.66708554089266159</v>
      </c>
      <c r="AY52" s="24">
        <f>($I$123+40*($M$11-0.5))/($I$123+$I$152)</f>
        <v>0.6724629987266576</v>
      </c>
      <c r="AZ52" s="24">
        <f>($I$123+40*($N$11-0.5))/($I$123+$I$153)</f>
        <v>0.73319735694796484</v>
      </c>
      <c r="BA52" s="24">
        <f>($I$123+40*($N$11-0.5))/($I$123+$I$154)</f>
        <v>0.7194609578638943</v>
      </c>
      <c r="BB52" s="24">
        <f>($I$123+40*($N$7-0.5))/($I$123+$I$155)</f>
        <v>0.8464472202852692</v>
      </c>
      <c r="BC52" s="24">
        <f>($I$123+40*($N$11-0.5))/($I$123+$I$156)</f>
        <v>0.77691506554476775</v>
      </c>
      <c r="BD52" s="24">
        <f>($I$123+40*($O$11-0.5))/($I$123+$I$157)</f>
        <v>0.72469529348520245</v>
      </c>
      <c r="BE52" s="24">
        <f>($I$123+40*($O$11-0.5))/($I$123+$I$158)</f>
        <v>0.8008603552086998</v>
      </c>
      <c r="BF52" s="24">
        <f>($I$123+40*($O$11-0.5))/($I$123+$I$159)</f>
        <v>0.77853856870960736</v>
      </c>
      <c r="BG52" s="24">
        <f>($I$123+40*($O$11-0.5))/($I$123+$I$160)</f>
        <v>0.77051976564325231</v>
      </c>
      <c r="BH52" s="24">
        <f>($I$123+40*($P$11-0.5))/($I$123+$I$161)</f>
        <v>0.81865940208494825</v>
      </c>
      <c r="BI52" s="24">
        <f>($I$123+40*($P$11-0.5))/($I$123+$I$162)</f>
        <v>0.83669905034285719</v>
      </c>
      <c r="BJ52" s="24">
        <f>($I$123+40*($P$11-0.5))/($I$123+$I$163)</f>
        <v>0.84407329315540058</v>
      </c>
      <c r="BK52" s="24">
        <f>($I$123+40*($P$11-0.5))/($I$123+$I$164)</f>
        <v>0.85143678242099374</v>
      </c>
      <c r="BL52" s="24">
        <f>($I$123+40*($Q$11-0.5))/($I$123+$I$165)</f>
        <v>0.86104618659756993</v>
      </c>
      <c r="BM52" s="24">
        <f>($I$123+40*($Q$11-0.5))/($I$123+$I$166)</f>
        <v>0.84263359857219833</v>
      </c>
      <c r="BN52" s="24">
        <f>($I$123+40*($Q$7-0.5))/($I$123+$I$167)</f>
        <v>0.92311133076353091</v>
      </c>
      <c r="BO52" s="24">
        <f>($I$123+40*($Q$11-0.5))/($I$123+$I$168)</f>
        <v>0.85674126329814593</v>
      </c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  <c r="IT52" s="40"/>
      <c r="IU52" s="40"/>
      <c r="IV52" s="40"/>
      <c r="IW52" s="40"/>
      <c r="IX52" s="40"/>
      <c r="IY52" s="40"/>
      <c r="IZ52" s="40"/>
      <c r="JA52" s="40"/>
      <c r="JB52" s="40"/>
      <c r="JC52" s="40"/>
      <c r="JD52" s="40"/>
      <c r="JE52" s="40"/>
      <c r="JF52" s="40"/>
      <c r="JG52" s="40"/>
      <c r="JH52" s="40"/>
      <c r="JI52" s="40"/>
      <c r="JJ52" s="40"/>
      <c r="JK52" s="40"/>
      <c r="JL52" s="40"/>
      <c r="JM52" s="40"/>
      <c r="JN52" s="40"/>
      <c r="JO52" s="40"/>
      <c r="JP52" s="40"/>
      <c r="JQ52" s="40"/>
      <c r="JR52" s="40"/>
      <c r="JS52" s="40"/>
      <c r="JT52" s="40"/>
      <c r="JU52" s="40"/>
      <c r="JV52" s="40"/>
      <c r="JW52" s="40"/>
      <c r="JX52" s="40"/>
      <c r="JY52" s="40"/>
      <c r="JZ52" s="40"/>
      <c r="KA52" s="40"/>
      <c r="KB52" s="40"/>
      <c r="KC52" s="40"/>
      <c r="KD52" s="40"/>
      <c r="KE52" s="40"/>
      <c r="KF52" s="40"/>
      <c r="KG52" s="40"/>
      <c r="KH52" s="40"/>
      <c r="KI52" s="40"/>
      <c r="KJ52" s="40"/>
      <c r="KK52" s="40"/>
      <c r="KL52" s="40"/>
      <c r="KM52" s="40"/>
      <c r="KN52" s="40"/>
      <c r="KO52" s="40"/>
      <c r="KP52" s="40"/>
      <c r="KQ52" s="40"/>
      <c r="KR52" s="40"/>
      <c r="KS52" s="40"/>
      <c r="KT52" s="40"/>
      <c r="KU52" s="40"/>
      <c r="KV52" s="40"/>
      <c r="KW52" s="40"/>
      <c r="KX52" s="40"/>
      <c r="KY52" s="40"/>
      <c r="KZ52" s="40"/>
      <c r="LA52" s="40"/>
      <c r="LB52" s="40"/>
      <c r="LC52" s="40"/>
      <c r="LD52" s="40"/>
      <c r="LE52" s="40"/>
      <c r="LF52" s="40"/>
      <c r="LG52" s="40"/>
      <c r="LH52" s="40"/>
      <c r="LI52" s="40"/>
      <c r="LJ52" s="40"/>
      <c r="LK52" s="40"/>
      <c r="LL52" s="40"/>
      <c r="LM52" s="40"/>
      <c r="LN52" s="40"/>
      <c r="LO52" s="40"/>
      <c r="LP52" s="40"/>
      <c r="LQ52" s="40"/>
      <c r="LR52" s="40"/>
      <c r="LS52" s="40"/>
      <c r="LT52" s="40"/>
      <c r="LU52" s="40"/>
      <c r="LV52" s="40"/>
      <c r="LW52" s="40"/>
      <c r="LX52" s="40"/>
      <c r="LY52" s="40"/>
      <c r="LZ52" s="40"/>
      <c r="MA52" s="40"/>
      <c r="MB52" s="40"/>
      <c r="MC52" s="40"/>
      <c r="MD52" s="40"/>
      <c r="ME52" s="40"/>
      <c r="MF52" s="40"/>
      <c r="MG52" s="40"/>
      <c r="MH52" s="40"/>
      <c r="MI52" s="40"/>
      <c r="MJ52" s="40"/>
      <c r="MK52" s="40"/>
      <c r="ML52" s="40"/>
      <c r="MM52" s="40"/>
      <c r="MN52" s="40"/>
      <c r="MO52" s="40"/>
      <c r="MP52" s="40"/>
      <c r="MQ52" s="40"/>
      <c r="MR52" s="40"/>
      <c r="MS52" s="40"/>
      <c r="MT52" s="40"/>
    </row>
    <row r="53" spans="1:358" x14ac:dyDescent="0.25">
      <c r="A53" t="str">
        <f>$A$124</f>
        <v>Cincinnati</v>
      </c>
      <c r="B53" s="54"/>
      <c r="C53" s="3">
        <v>20</v>
      </c>
      <c r="D53" s="24">
        <f>($I$105+40*($F$7-0.5))/($I$105+$I$124)</f>
        <v>0.6755367068095901</v>
      </c>
      <c r="E53" s="24">
        <f>($I$106+40*($F$7-0.5))/($I$106+$I$124)</f>
        <v>0.67300148374923974</v>
      </c>
      <c r="F53" s="24">
        <f>($I$107+40*($F$7-0.5))/($I$107+$I$124)</f>
        <v>0.68639488632874812</v>
      </c>
      <c r="G53" s="24">
        <f>($I$108+40*($F$7-0.5))/($I$108+$I$124)</f>
        <v>0.64855316776680505</v>
      </c>
      <c r="H53" s="24">
        <f>($I$109+40*($F$8-0.5))/($I$109+$I$124)</f>
        <v>0.29988635534093983</v>
      </c>
      <c r="I53" s="24">
        <f>($I$110+40*($F$8-0.5))/($I$110+$I$124)</f>
        <v>0.29327049667778177</v>
      </c>
      <c r="J53" s="24">
        <f>($I$111+40*($F$8-0.5))/($I$111+$I$124)</f>
        <v>0.30144729965771982</v>
      </c>
      <c r="K53" s="24">
        <f>($I$112+40*($F$8-0.5))/($I$112+$I$124)</f>
        <v>0.31230039896451667</v>
      </c>
      <c r="L53" s="24">
        <f>($I$113+40*($F$9-0.5))/($I$113+$I$124)</f>
        <v>0.52407030177160907</v>
      </c>
      <c r="M53" s="24">
        <f>($I$114+40*($F$9-0.5))/($I$114+$I$124)</f>
        <v>0.40923895514368508</v>
      </c>
      <c r="N53" s="24">
        <f>($I$115+40*($F$9-0.5))/($I$115+$I$124)</f>
        <v>0.53612009169301866</v>
      </c>
      <c r="O53" s="24">
        <f>($I$116+40*($F$9-0.5))/($I$116+$I$124)</f>
        <v>0.51080526536807769</v>
      </c>
      <c r="P53" s="24">
        <f>($I$117+40*($F$10-0.5))/($I$117+$I$124)</f>
        <v>0.53624886172269981</v>
      </c>
      <c r="Q53" s="24">
        <f>($I$118+40*($F$10-0.5))/($I$118+$I$124)</f>
        <v>0.50684532900111545</v>
      </c>
      <c r="R53" s="24">
        <f>($I$119+40*($F$10-0.5))/($I$119+$I$124)</f>
        <v>0.53881856995326827</v>
      </c>
      <c r="S53" s="24">
        <f>($I$120+40*($F$10-0.5))/($I$120+$I$124)</f>
        <v>0.52696800918792486</v>
      </c>
      <c r="T53" s="24">
        <f>($I$121+40*($F$11-0.5))/($I$121+$I$124)</f>
        <v>0.49445019589012223</v>
      </c>
      <c r="U53" s="24">
        <f>($I$122+40*($F$11-0.5))/($I$122+$I$124)</f>
        <v>0.49327338955448768</v>
      </c>
      <c r="V53" s="24">
        <f>($I$123+40*($F$11-0.5))/($I$123+$I$124)</f>
        <v>0.51945904381129193</v>
      </c>
      <c r="W53" s="3">
        <v>0</v>
      </c>
      <c r="X53" s="24">
        <f>($I$124+40*($G$11-0.5))/($I$124+$I$125)</f>
        <v>0.50348739971741208</v>
      </c>
      <c r="Y53" s="24">
        <f>($I$124+40*($G$11-0.5))/($I$124+$I$126)</f>
        <v>0.5196275187815238</v>
      </c>
      <c r="Z53" s="24">
        <f>($I$124+40*($G$11-0.5))/($I$124+$I$127)</f>
        <v>0.50070183557621306</v>
      </c>
      <c r="AA53" s="24">
        <f>($I$124+40*($G$11-0.5))/($I$124+$I$128)</f>
        <v>0.51436638628407638</v>
      </c>
      <c r="AB53" s="24">
        <f>($I$124+40*($H$11-0.5))/($I$124+$I$129)</f>
        <v>0.57731939193545678</v>
      </c>
      <c r="AC53" s="24">
        <f>($I$124+40*($H$11-0.5))/($I$124+$I$130)</f>
        <v>0.60569646321588988</v>
      </c>
      <c r="AD53" s="24">
        <f>($I$124+40*($H$11-0.5))/($I$124+$I$131)</f>
        <v>0.61767985500995382</v>
      </c>
      <c r="AE53" s="24">
        <f>($I$124+40*($H$11-0.5))/($I$124+$I$132)</f>
        <v>0.59091259961655596</v>
      </c>
      <c r="AF53" s="24">
        <f>($I$124+40*($I$11-0.5))/($I$124+$I$133)</f>
        <v>0.43863038804555127</v>
      </c>
      <c r="AG53" s="24">
        <f>($I$124+40*($I$11-0.5))/($I$124+$I$134)</f>
        <v>0.40573796015117353</v>
      </c>
      <c r="AH53" s="24">
        <f>($I$124+40*($I$11-0.5))/($I$124+$I$135)</f>
        <v>0.42354289520024091</v>
      </c>
      <c r="AI53" s="24">
        <f>($I$124+40*($I$11-0.5))/($I$124+$I$136)</f>
        <v>0.4306348452668205</v>
      </c>
      <c r="AJ53" s="24">
        <f>($I$124+40*($J$11-0.5))/($I$124+$I$137)</f>
        <v>0.28351118874340331</v>
      </c>
      <c r="AK53" s="24">
        <f>($I$124+40*($J$11-0.5))/($I$124+$I$138)</f>
        <v>0.28903098571691521</v>
      </c>
      <c r="AL53" s="24">
        <f>($I$124+40*($J$11-0.5))/($I$124+$I$139)</f>
        <v>0.29338632260087938</v>
      </c>
      <c r="AM53" s="24">
        <f>($I$124+40*($J$11-0.5))/($I$124+$I$140)</f>
        <v>0.28258307336874749</v>
      </c>
      <c r="AN53" s="24">
        <f>($I$124+40*($K$11-0.5))/($I$124+$I$141)</f>
        <v>0.73936514256284469</v>
      </c>
      <c r="AO53" s="24">
        <f>($I$124+40*($K$11-0.5))/($I$124+$I$142)</f>
        <v>0.72946068176292489</v>
      </c>
      <c r="AP53" s="24">
        <f>($I$124+40*($K$11-0.5))/($I$124+$I$143)</f>
        <v>0.7373670687847651</v>
      </c>
      <c r="AQ53" s="24">
        <f>($I$124+40*($K$11-0.5))/($I$124+$I$144)</f>
        <v>0.71643101279060006</v>
      </c>
      <c r="AR53" s="24">
        <f>($I$124+40*($L$11-0.5))/($I$124+$I$145)</f>
        <v>0.57724956278481787</v>
      </c>
      <c r="AS53" s="24">
        <f>($I$124+40*($L$11-0.5))/($I$124+$I$146)</f>
        <v>0.59738423113084049</v>
      </c>
      <c r="AT53" s="24">
        <f>($I$124+40*($L$11-0.5))/($I$124+$I$147)</f>
        <v>0.58016957470760577</v>
      </c>
      <c r="AU53" s="24">
        <f>($I$124+40*($L$11-0.5))/($I$124+$I$148)</f>
        <v>0.58407822301948309</v>
      </c>
      <c r="AV53" s="24">
        <f>($I$124+40*($M$11-0.5))/($I$124+$I$149)</f>
        <v>0.65618999966015645</v>
      </c>
      <c r="AW53" s="24">
        <f>($I$124+40*($M$11-0.5))/($I$124+$I$150)</f>
        <v>0.66378628642623838</v>
      </c>
      <c r="AX53" s="24">
        <f>($I$124+40*($M$11-0.5))/($I$124+$I$151)</f>
        <v>0.65186846630900042</v>
      </c>
      <c r="AY53" s="24">
        <f>($I$124+40*($M$11-0.5))/($I$124+$I$152)</f>
        <v>0.65736547236805309</v>
      </c>
      <c r="AZ53" s="24">
        <f>($I$124+40*($N$11-0.5))/($I$124+$I$153)</f>
        <v>0.72110326634154842</v>
      </c>
      <c r="BA53" s="24">
        <f>($I$124+40*($N$11-0.5))/($I$124+$I$154)</f>
        <v>0.70699303595881724</v>
      </c>
      <c r="BB53" s="24">
        <f>($I$124+40*($N$7-0.5))/($I$124+$I$155)</f>
        <v>0.83916455587686811</v>
      </c>
      <c r="BC53" s="24">
        <f>($I$124+40*($N$11-0.5))/($I$124+$I$156)</f>
        <v>0.76617068453414194</v>
      </c>
      <c r="BD53" s="24">
        <f>($I$124+40*($O$11-0.5))/($I$124+$I$157)</f>
        <v>0.71266117645464511</v>
      </c>
      <c r="BE53" s="24">
        <f>($I$124+40*($O$11-0.5))/($I$124+$I$158)</f>
        <v>0.79119629851281659</v>
      </c>
      <c r="BF53" s="24">
        <f>($I$124+40*($O$11-0.5))/($I$124+$I$159)</f>
        <v>0.7681049215841369</v>
      </c>
      <c r="BG53" s="24">
        <f>($I$124+40*($O$11-0.5))/($I$124+$I$160)</f>
        <v>0.75982487650501407</v>
      </c>
      <c r="BH53" s="24">
        <f>($I$124+40*($P$11-0.5))/($I$124+$I$161)</f>
        <v>0.8099366939842656</v>
      </c>
      <c r="BI53" s="24">
        <f>($I$124+40*($P$11-0.5))/($I$124+$I$162)</f>
        <v>0.82866246430554491</v>
      </c>
      <c r="BJ53" s="24">
        <f>($I$124+40*($P$11-0.5))/($I$124+$I$163)</f>
        <v>0.83632862719861711</v>
      </c>
      <c r="BK53" s="24">
        <f>($I$124+40*($P$11-0.5))/($I$124+$I$164)</f>
        <v>0.8439902523345868</v>
      </c>
      <c r="BL53" s="24">
        <f>($I$124+40*($Q$11-0.5))/($I$124+$I$165)</f>
        <v>0.85404282851021274</v>
      </c>
      <c r="BM53" s="24">
        <f>($I$124+40*($Q$11-0.5))/($I$124+$I$166)</f>
        <v>0.83488019508532196</v>
      </c>
      <c r="BN53" s="24">
        <f>($I$124+40*($Q$7-0.5))/($I$124+$I$167)</f>
        <v>0.91911723258480926</v>
      </c>
      <c r="BO53" s="24">
        <f>($I$124+40*($Q$11-0.5))/($I$124+$I$168)</f>
        <v>0.84955884334291998</v>
      </c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  <c r="IT53" s="40"/>
      <c r="IU53" s="40"/>
      <c r="IV53" s="40"/>
      <c r="IW53" s="40"/>
      <c r="IX53" s="40"/>
      <c r="IY53" s="40"/>
      <c r="IZ53" s="40"/>
      <c r="JA53" s="40"/>
      <c r="JB53" s="40"/>
      <c r="JC53" s="40"/>
      <c r="JD53" s="40"/>
      <c r="JE53" s="40"/>
      <c r="JF53" s="40"/>
      <c r="JG53" s="40"/>
      <c r="JH53" s="40"/>
      <c r="JI53" s="40"/>
      <c r="JJ53" s="40"/>
      <c r="JK53" s="40"/>
      <c r="JL53" s="40"/>
      <c r="JM53" s="40"/>
      <c r="JN53" s="40"/>
      <c r="JO53" s="40"/>
      <c r="JP53" s="40"/>
      <c r="JQ53" s="40"/>
      <c r="JR53" s="40"/>
      <c r="JS53" s="40"/>
      <c r="JT53" s="40"/>
      <c r="JU53" s="40"/>
      <c r="JV53" s="40"/>
      <c r="JW53" s="40"/>
      <c r="JX53" s="40"/>
      <c r="JY53" s="40"/>
      <c r="JZ53" s="40"/>
      <c r="KA53" s="40"/>
      <c r="KB53" s="40"/>
      <c r="KC53" s="40"/>
      <c r="KD53" s="40"/>
      <c r="KE53" s="40"/>
      <c r="KF53" s="40"/>
      <c r="KG53" s="40"/>
      <c r="KH53" s="40"/>
      <c r="KI53" s="40"/>
      <c r="KJ53" s="40"/>
      <c r="KK53" s="40"/>
      <c r="KL53" s="40"/>
      <c r="KM53" s="40"/>
      <c r="KN53" s="40"/>
      <c r="KO53" s="40"/>
      <c r="KP53" s="40"/>
      <c r="KQ53" s="40"/>
      <c r="KR53" s="40"/>
      <c r="KS53" s="40"/>
      <c r="KT53" s="40"/>
      <c r="KU53" s="40"/>
      <c r="KV53" s="40"/>
      <c r="KW53" s="40"/>
      <c r="KX53" s="40"/>
      <c r="KY53" s="40"/>
      <c r="KZ53" s="40"/>
      <c r="LA53" s="40"/>
      <c r="LB53" s="40"/>
      <c r="LC53" s="40"/>
      <c r="LD53" s="40"/>
      <c r="LE53" s="40"/>
      <c r="LF53" s="40"/>
      <c r="LG53" s="40"/>
      <c r="LH53" s="40"/>
      <c r="LI53" s="40"/>
      <c r="LJ53" s="40"/>
      <c r="LK53" s="40"/>
      <c r="LL53" s="40"/>
      <c r="LM53" s="40"/>
      <c r="LN53" s="40"/>
      <c r="LO53" s="40"/>
      <c r="LP53" s="40"/>
      <c r="LQ53" s="40"/>
      <c r="LR53" s="40"/>
      <c r="LS53" s="40"/>
      <c r="LT53" s="40"/>
      <c r="LU53" s="40"/>
      <c r="LV53" s="40"/>
      <c r="LW53" s="40"/>
      <c r="LX53" s="40"/>
      <c r="LY53" s="40"/>
      <c r="LZ53" s="40"/>
      <c r="MA53" s="40"/>
      <c r="MB53" s="40"/>
      <c r="MC53" s="40"/>
      <c r="MD53" s="40"/>
      <c r="ME53" s="40"/>
      <c r="MF53" s="40"/>
      <c r="MG53" s="40"/>
      <c r="MH53" s="40"/>
      <c r="MI53" s="40"/>
      <c r="MJ53" s="40"/>
      <c r="MK53" s="40"/>
      <c r="ML53" s="40"/>
      <c r="MM53" s="40"/>
      <c r="MN53" s="40"/>
      <c r="MO53" s="40"/>
      <c r="MP53" s="40"/>
      <c r="MQ53" s="40"/>
      <c r="MR53" s="40"/>
      <c r="MS53" s="40"/>
      <c r="MT53" s="40"/>
    </row>
    <row r="54" spans="1:358" x14ac:dyDescent="0.25">
      <c r="A54" t="str">
        <f>$A$125</f>
        <v>Ohio State</v>
      </c>
      <c r="B54" s="54">
        <v>6</v>
      </c>
      <c r="C54" s="3">
        <v>21</v>
      </c>
      <c r="D54" s="24">
        <f>($I$105+40*($G$7-0.5))/($I$105+$I$125)</f>
        <v>0.62698745552611301</v>
      </c>
      <c r="E54" s="24">
        <f>($I$106+40*($G$7-0.5))/($I$106+$I$125)</f>
        <v>0.62405421731513411</v>
      </c>
      <c r="F54" s="24">
        <f>($I$107+40*($G$7-0.5))/($I$107+$I$125)</f>
        <v>0.63954701006844716</v>
      </c>
      <c r="G54" s="24">
        <f>($I$108+40*($G$7-0.5))/($I$108+$I$125)</f>
        <v>0.59575269883343085</v>
      </c>
      <c r="H54" s="24">
        <f>($I$109+40*($G$8-0.5))/($I$109+$I$125)</f>
        <v>0.61671170014484067</v>
      </c>
      <c r="I54" s="24">
        <f>($I$110+40*($G$8-0.5))/($I$110+$I$125)</f>
        <v>0.61306482739541324</v>
      </c>
      <c r="J54" s="24">
        <f>($I$111+40*($G$8-0.5))/($I$111+$I$125)</f>
        <v>0.61757207406400838</v>
      </c>
      <c r="K54" s="24">
        <f>($I$112+40*($G$8-0.5))/($I$112+$I$125)</f>
        <v>0.62355345043754362</v>
      </c>
      <c r="L54" s="24">
        <f>($I$113+40*($G$9-0.5))/($I$113+$I$125)</f>
        <v>0.52754845151640883</v>
      </c>
      <c r="M54" s="24">
        <f>($I$114+40*($G$9-0.5))/($I$114+$I$125)</f>
        <v>0.41261571935631497</v>
      </c>
      <c r="N54" s="24">
        <f>($I$115+40*($G$9-0.5))/($I$115+$I$125)</f>
        <v>0.53958754479882431</v>
      </c>
      <c r="O54" s="24">
        <f>($I$116+40*($G$9-0.5))/($I$116+$I$125)</f>
        <v>0.51429051108936374</v>
      </c>
      <c r="P54" s="24">
        <f>($I$117+40*($G$10-0.5))/($I$117+$I$125)</f>
        <v>0.51207555549653128</v>
      </c>
      <c r="Q54" s="24">
        <f>($I$118+40*($G$10-0.5))/($I$118+$I$125)</f>
        <v>0.48091376211533921</v>
      </c>
      <c r="R54" s="24">
        <f>($I$119+40*($G$10-0.5))/($I$119+$I$125)</f>
        <v>0.51479763920607657</v>
      </c>
      <c r="S54" s="24">
        <f>($I$120+40*($G$10-0.5))/($I$120+$I$125)</f>
        <v>0.50224265593261708</v>
      </c>
      <c r="T54" s="24">
        <f>($I$121+40*($G$11-0.5))/($I$121+$I$125)</f>
        <v>0.4979374359288955</v>
      </c>
      <c r="U54" s="24">
        <f>($I$122+40*($G$11-0.5))/($I$122+$I$125)</f>
        <v>0.49676048529684036</v>
      </c>
      <c r="V54" s="24">
        <f>($I$123+40*($G$11-0.5))/($I$123+$I$125)</f>
        <v>0.52294021650200906</v>
      </c>
      <c r="W54" s="24">
        <f>($I$124+40*($G$11-0.5))/($I$124+$I$125)</f>
        <v>0.50348739971741208</v>
      </c>
      <c r="X54" s="3">
        <v>0</v>
      </c>
      <c r="Y54" s="24">
        <f>($I$125+40*($G$12-0.5))/($I$125+$I$126)</f>
        <v>0.51614453937463722</v>
      </c>
      <c r="Z54" s="24">
        <f>($I$125+40*($G$12-0.5))/($I$125+$I$127)</f>
        <v>0.49721440858695626</v>
      </c>
      <c r="AA54" s="24">
        <f>($I$125+40*($G$12-0.5))/($I$125+$I$128)</f>
        <v>0.5108811672105249</v>
      </c>
      <c r="AB54" s="24">
        <f>($I$125+40*($H$12-0.5))/($I$125+$I$129)</f>
        <v>0.47110376174510882</v>
      </c>
      <c r="AC54" s="24">
        <f>($I$125+40*($H$12-0.5))/($I$125+$I$130)</f>
        <v>0.49442082905701606</v>
      </c>
      <c r="AD54" s="24">
        <f>($I$125+40*($H$12-0.5))/($I$125+$I$131)</f>
        <v>0.50427198262796924</v>
      </c>
      <c r="AE54" s="24">
        <f>($I$125+40*($H$12-0.5))/($I$125+$I$132)</f>
        <v>0.48227122907124664</v>
      </c>
      <c r="AF54" s="24">
        <f>($I$125+40*($I$12-0.5))/($I$125+$I$133)</f>
        <v>0.28569246511896168</v>
      </c>
      <c r="AG54" s="24">
        <f>($I$125+40*($I$12-0.5))/($I$125+$I$134)</f>
        <v>0.26412698538776258</v>
      </c>
      <c r="AH54" s="24">
        <f>($I$125+40*($I$12-0.5))/($I$125+$I$135)</f>
        <v>0.27579768051273462</v>
      </c>
      <c r="AI54" s="24">
        <f>($I$125+40*($I$12-0.5))/($I$125+$I$136)</f>
        <v>0.28044816609701673</v>
      </c>
      <c r="AJ54" s="24">
        <f>($I$125+40*($J$12-0.5))/($I$125+$I$137)</f>
        <v>0.49650152140934817</v>
      </c>
      <c r="AK54" s="24">
        <f>($I$125+40*($J$12-0.5))/($I$125+$I$138)</f>
        <v>0.50623685858163481</v>
      </c>
      <c r="AL54" s="24">
        <f>($I$125+40*($J$12-0.5))/($I$125+$I$139)</f>
        <v>0.51392028905753906</v>
      </c>
      <c r="AM54" s="24">
        <f>($I$125+40*($J$12-0.5))/($I$125+$I$140)</f>
        <v>0.49486485199439778</v>
      </c>
      <c r="AN54" s="24">
        <f>($I$125+40*($K$12-0.5))/($I$125+$I$141)</f>
        <v>0.58763566552675683</v>
      </c>
      <c r="AO54" s="24">
        <f>($I$125+40*($K$12-0.5))/($I$125+$I$142)</f>
        <v>0.57970785090629962</v>
      </c>
      <c r="AP54" s="24">
        <f>($I$125+40*($K$12-0.5))/($I$125+$I$143)</f>
        <v>0.58603622682308809</v>
      </c>
      <c r="AQ54" s="24">
        <f>($I$125+40*($K$12-0.5))/($I$125+$I$144)</f>
        <v>0.56928085842610632</v>
      </c>
      <c r="AR54" s="24">
        <f>($I$125+40*($L$12-0.5))/($I$125+$I$145)</f>
        <v>0.59282907355013559</v>
      </c>
      <c r="AS54" s="24">
        <f>($I$125+40*($L$12-0.5))/($I$125+$I$146)</f>
        <v>0.61365855999524921</v>
      </c>
      <c r="AT54" s="24">
        <f>($I$125+40*($L$12-0.5))/($I$125+$I$147)</f>
        <v>0.59584921362066923</v>
      </c>
      <c r="AU54" s="24">
        <f>($I$125+40*($L$12-0.5))/($I$125+$I$148)</f>
        <v>0.59989222903326878</v>
      </c>
      <c r="AV54" s="24">
        <f>($I$125+40*($M$12-0.5))/($I$125+$I$149)</f>
        <v>0.68371027887043534</v>
      </c>
      <c r="AW54" s="24">
        <f>($I$125+40*($M$12-0.5))/($I$125+$I$150)</f>
        <v>0.69168866915978855</v>
      </c>
      <c r="AX54" s="24">
        <f>($I$125+40*($M$12-0.5))/($I$125+$I$151)</f>
        <v>0.67917202044274338</v>
      </c>
      <c r="AY54" s="24">
        <f>($I$125+40*($M$12-0.5))/($I$125+$I$152)</f>
        <v>0.68494478361627897</v>
      </c>
      <c r="AZ54" s="24">
        <f>($I$125+40*($N$11-0.5))/($I$125+$I$153)</f>
        <v>0.7189239060484669</v>
      </c>
      <c r="BA54" s="24">
        <f>($I$125+40*($N$12-0.5))/($I$125+$I$154)</f>
        <v>0.67937084812445547</v>
      </c>
      <c r="BB54" s="24">
        <f>($I$125+40*($N$7-0.5))/($I$125+$I$155)</f>
        <v>0.83784910694108361</v>
      </c>
      <c r="BC54" s="24">
        <f>($I$125+40*($N$12-0.5))/($I$125+$I$156)</f>
        <v>0.73670879086443841</v>
      </c>
      <c r="BD54" s="24">
        <f>($I$125+40*($O$12-0.5))/($I$125+$I$157)</f>
        <v>0.68601017498719619</v>
      </c>
      <c r="BE54" s="24">
        <f>($I$125+40*($O$12-0.5))/($I$125+$I$158)</f>
        <v>0.7622411455169682</v>
      </c>
      <c r="BF54" s="24">
        <f>($I$125+40*($O$12-0.5))/($I$125+$I$159)</f>
        <v>0.73981410543814718</v>
      </c>
      <c r="BG54" s="24">
        <f>($I$125+40*($O$12-0.5))/($I$125+$I$160)</f>
        <v>0.7317749446305496</v>
      </c>
      <c r="BH54" s="24">
        <f>($I$125+40*($P$12-0.5))/($I$125+$I$161)</f>
        <v>0.79280288430472845</v>
      </c>
      <c r="BI54" s="24">
        <f>($I$125+40*($P$12-0.5))/($I$125+$I$162)</f>
        <v>0.81128812757278568</v>
      </c>
      <c r="BJ54" s="24">
        <f>($I$125+40*($P$12-0.5))/($I$125+$I$163)</f>
        <v>0.81885786713258057</v>
      </c>
      <c r="BK54" s="24">
        <f>($I$125+40*($P$12-0.5))/($I$125+$I$164)</f>
        <v>0.82642431415690276</v>
      </c>
      <c r="BL54" s="24">
        <f>($I$125+40*($Q$12-0.5))/($I$125+$I$165)</f>
        <v>0.84733785846183485</v>
      </c>
      <c r="BM54" s="24">
        <f>($I$125+40*($Q$12-0.5))/($I$125+$I$166)</f>
        <v>0.82816407979938789</v>
      </c>
      <c r="BN54" s="24">
        <f>($I$125+40*($Q$7-0.5))/($I$125+$I$167)</f>
        <v>0.91839211144387933</v>
      </c>
      <c r="BO54" s="24">
        <f>($I$125+40*($Q$12-0.5))/($I$125+$I$168)</f>
        <v>0.84285059481527558</v>
      </c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  <c r="IT54" s="40"/>
      <c r="IU54" s="40"/>
      <c r="IV54" s="40"/>
      <c r="IW54" s="40"/>
      <c r="IX54" s="40"/>
      <c r="IY54" s="40"/>
      <c r="IZ54" s="40"/>
      <c r="JA54" s="40"/>
      <c r="JB54" s="40"/>
      <c r="JC54" s="40"/>
      <c r="JD54" s="40"/>
      <c r="JE54" s="40"/>
      <c r="JF54" s="40"/>
      <c r="JG54" s="40"/>
      <c r="JH54" s="40"/>
      <c r="JI54" s="40"/>
      <c r="JJ54" s="40"/>
      <c r="JK54" s="40"/>
      <c r="JL54" s="40"/>
      <c r="JM54" s="40"/>
      <c r="JN54" s="40"/>
      <c r="JO54" s="40"/>
      <c r="JP54" s="40"/>
      <c r="JQ54" s="40"/>
      <c r="JR54" s="40"/>
      <c r="JS54" s="40"/>
      <c r="JT54" s="40"/>
      <c r="JU54" s="40"/>
      <c r="JV54" s="40"/>
      <c r="JW54" s="40"/>
      <c r="JX54" s="40"/>
      <c r="JY54" s="40"/>
      <c r="JZ54" s="40"/>
      <c r="KA54" s="40"/>
      <c r="KB54" s="40"/>
      <c r="KC54" s="40"/>
      <c r="KD54" s="40"/>
      <c r="KE54" s="40"/>
      <c r="KF54" s="40"/>
      <c r="KG54" s="40"/>
      <c r="KH54" s="40"/>
      <c r="KI54" s="40"/>
      <c r="KJ54" s="40"/>
      <c r="KK54" s="40"/>
      <c r="KL54" s="40"/>
      <c r="KM54" s="40"/>
      <c r="KN54" s="40"/>
      <c r="KO54" s="40"/>
      <c r="KP54" s="40"/>
      <c r="KQ54" s="40"/>
      <c r="KR54" s="40"/>
      <c r="KS54" s="40"/>
      <c r="KT54" s="40"/>
      <c r="KU54" s="40"/>
      <c r="KV54" s="40"/>
      <c r="KW54" s="40"/>
      <c r="KX54" s="40"/>
      <c r="KY54" s="40"/>
      <c r="KZ54" s="40"/>
      <c r="LA54" s="40"/>
      <c r="LB54" s="40"/>
      <c r="LC54" s="40"/>
      <c r="LD54" s="40"/>
      <c r="LE54" s="40"/>
      <c r="LF54" s="40"/>
      <c r="LG54" s="40"/>
      <c r="LH54" s="40"/>
      <c r="LI54" s="40"/>
      <c r="LJ54" s="40"/>
      <c r="LK54" s="40"/>
      <c r="LL54" s="40"/>
      <c r="LM54" s="40"/>
      <c r="LN54" s="40"/>
      <c r="LO54" s="40"/>
      <c r="LP54" s="40"/>
      <c r="LQ54" s="40"/>
      <c r="LR54" s="40"/>
      <c r="LS54" s="40"/>
      <c r="LT54" s="40"/>
      <c r="LU54" s="40"/>
      <c r="LV54" s="40"/>
      <c r="LW54" s="40"/>
      <c r="LX54" s="40"/>
      <c r="LY54" s="40"/>
      <c r="LZ54" s="40"/>
      <c r="MA54" s="40"/>
      <c r="MB54" s="40"/>
      <c r="MC54" s="40"/>
      <c r="MD54" s="40"/>
      <c r="ME54" s="40"/>
      <c r="MF54" s="40"/>
      <c r="MG54" s="40"/>
      <c r="MH54" s="40"/>
      <c r="MI54" s="40"/>
      <c r="MJ54" s="40"/>
      <c r="MK54" s="40"/>
      <c r="ML54" s="40"/>
      <c r="MM54" s="40"/>
      <c r="MN54" s="40"/>
      <c r="MO54" s="40"/>
      <c r="MP54" s="40"/>
      <c r="MQ54" s="40"/>
      <c r="MR54" s="40"/>
      <c r="MS54" s="40"/>
      <c r="MT54" s="40"/>
    </row>
    <row r="55" spans="1:358" x14ac:dyDescent="0.25">
      <c r="A55" t="str">
        <f>$A$126</f>
        <v>Baylor</v>
      </c>
      <c r="B55" s="54"/>
      <c r="C55" s="3">
        <v>22</v>
      </c>
      <c r="D55" s="24">
        <f>($I$105+40*($G$7-0.5))/($I$105+$I$126)</f>
        <v>0.6452520097405785</v>
      </c>
      <c r="E55" s="24">
        <f>($I$106+40*($G$7-0.5))/($I$106+$I$126)</f>
        <v>0.6423804764808555</v>
      </c>
      <c r="F55" s="24">
        <f>($I$107+40*($G$7-0.5))/($I$107+$I$126)</f>
        <v>0.65753249390101665</v>
      </c>
      <c r="G55" s="24">
        <f>($I$108+40*($G$7-0.5))/($I$108+$I$126)</f>
        <v>0.61460657295325927</v>
      </c>
      <c r="H55" s="24">
        <f>($I$109+40*($G$8-0.5))/($I$109+$I$126)</f>
        <v>0.63601243924000128</v>
      </c>
      <c r="I55" s="24">
        <f>($I$110+40*($G$8-0.5))/($I$110+$I$126)</f>
        <v>0.63243975732089275</v>
      </c>
      <c r="J55" s="24">
        <f>($I$111+40*($G$8-0.5))/($I$111+$I$126)</f>
        <v>0.63685499980735183</v>
      </c>
      <c r="K55" s="24">
        <f>($I$112+40*($G$8-0.5))/($I$112+$I$126)</f>
        <v>0.64270926614350399</v>
      </c>
      <c r="L55" s="24">
        <f>($I$113+40*($G$9-0.5))/($I$113+$I$126)</f>
        <v>0.54361539786650481</v>
      </c>
      <c r="M55" s="24">
        <f>($I$114+40*($G$9-0.5))/($I$114+$I$126)</f>
        <v>0.42835596313178098</v>
      </c>
      <c r="N55" s="24">
        <f>($I$115+40*($G$9-0.5))/($I$115+$I$126)</f>
        <v>0.55558996893470003</v>
      </c>
      <c r="O55" s="24">
        <f>($I$116+40*($G$9-0.5))/($I$116+$I$126)</f>
        <v>0.5304069892257337</v>
      </c>
      <c r="P55" s="24">
        <f>($I$117+40*($G$10-0.5))/($I$117+$I$126)</f>
        <v>0.52819810550561008</v>
      </c>
      <c r="Q55" s="24">
        <f>($I$118+40*($G$10-0.5))/($I$118+$I$126)</f>
        <v>0.49705467121297431</v>
      </c>
      <c r="R55" s="24">
        <f>($I$119+40*($G$10-0.5))/($I$119+$I$126)</f>
        <v>0.53091263833136493</v>
      </c>
      <c r="S55" s="24">
        <f>($I$120+40*($G$10-0.5))/($I$120+$I$126)</f>
        <v>0.51838453273810536</v>
      </c>
      <c r="T55" s="24">
        <f>($I$121+40*($G$11-0.5))/($I$121+$I$126)</f>
        <v>0.51408385122445377</v>
      </c>
      <c r="U55" s="24">
        <f>($I$122+40*($G$11-0.5))/($I$122+$I$126)</f>
        <v>0.51290772499195081</v>
      </c>
      <c r="V55" s="24">
        <f>($I$123+40*($G$11-0.5))/($I$123+$I$126)</f>
        <v>0.53902693992718531</v>
      </c>
      <c r="W55" s="24">
        <f>($I$124+40*($G$11-0.5))/($I$124+$I$126)</f>
        <v>0.5196275187815238</v>
      </c>
      <c r="X55" s="24">
        <f>($I$125+40*($G$12-0.5))/($I$125+$I$126)</f>
        <v>0.51614453937463722</v>
      </c>
      <c r="Y55" s="3">
        <v>0</v>
      </c>
      <c r="Z55" s="24">
        <f>($I$126+40*($G$12-0.5))/($I$126+$I$127)</f>
        <v>0.48107327391005444</v>
      </c>
      <c r="AA55" s="24">
        <f>($I$126+40*($G$12-0.5))/($I$126+$I$128)</f>
        <v>0.49473292673866859</v>
      </c>
      <c r="AB55" s="24">
        <f>($I$126+40*($H$12-0.5))/($I$126+$I$129)</f>
        <v>0.45504311487740362</v>
      </c>
      <c r="AC55" s="24">
        <f>($I$126+40*($H$12-0.5))/($I$126+$I$130)</f>
        <v>0.47828411375505808</v>
      </c>
      <c r="AD55" s="24">
        <f>($I$126+40*($H$12-0.5))/($I$126+$I$131)</f>
        <v>0.48812416698691519</v>
      </c>
      <c r="AE55" s="24">
        <f>($I$126+40*($H$12-0.5))/($I$126+$I$132)</f>
        <v>0.46616542660739962</v>
      </c>
      <c r="AF55" s="24">
        <f>($I$126+40*($I$12-0.5))/($I$126+$I$133)</f>
        <v>0.2621850872932156</v>
      </c>
      <c r="AG55" s="24">
        <f>($I$126+40*($I$12-0.5))/($I$126+$I$134)</f>
        <v>0.24179340752431924</v>
      </c>
      <c r="AH55" s="24">
        <f>($I$126+40*($I$12-0.5))/($I$126+$I$135)</f>
        <v>0.25281630779815956</v>
      </c>
      <c r="AI55" s="24">
        <f>($I$126+40*($I$12-0.5))/($I$126+$I$136)</f>
        <v>0.25721691593894941</v>
      </c>
      <c r="AJ55" s="24">
        <f>($I$126+40*($J$12-0.5))/($I$126+$I$137)</f>
        <v>0.48036141888706863</v>
      </c>
      <c r="AK55" s="24">
        <f>($I$126+40*($J$12-0.5))/($I$126+$I$138)</f>
        <v>0.49008832713370337</v>
      </c>
      <c r="AL55" s="24">
        <f>($I$126+40*($J$12-0.5))/($I$126+$I$139)</f>
        <v>0.49777374840155392</v>
      </c>
      <c r="AM55" s="24">
        <f>($I$126+40*($J$12-0.5))/($I$126+$I$140)</f>
        <v>0.47872736701620383</v>
      </c>
      <c r="AN55" s="24">
        <f>($I$126+40*($K$12-0.5))/($I$126+$I$141)</f>
        <v>0.57397734156001978</v>
      </c>
      <c r="AO55" s="24">
        <f>($I$126+40*($K$12-0.5))/($I$126+$I$142)</f>
        <v>0.56598088340188768</v>
      </c>
      <c r="AP55" s="24">
        <f>($I$126+40*($K$12-0.5))/($I$126+$I$143)</f>
        <v>0.57236347860015235</v>
      </c>
      <c r="AQ55" s="24">
        <f>($I$126+40*($K$12-0.5))/($I$126+$I$144)</f>
        <v>0.5554744776425572</v>
      </c>
      <c r="AR55" s="24">
        <f>($I$126+40*($L$12-0.5))/($I$126+$I$145)</f>
        <v>0.57958639797835965</v>
      </c>
      <c r="AS55" s="24">
        <f>($I$126+40*($L$12-0.5))/($I$126+$I$146)</f>
        <v>0.60063696612031969</v>
      </c>
      <c r="AT55" s="24">
        <f>($I$126+40*($L$12-0.5))/($I$126+$I$147)</f>
        <v>0.5826356108107027</v>
      </c>
      <c r="AU55" s="24">
        <f>($I$126+40*($L$12-0.5))/($I$126+$I$148)</f>
        <v>0.58671912783602498</v>
      </c>
      <c r="AV55" s="24">
        <f>($I$126+40*($M$12-0.5))/($I$126+$I$149)</f>
        <v>0.67212758804704553</v>
      </c>
      <c r="AW55" s="24">
        <f>($I$126+40*($M$12-0.5))/($I$126+$I$150)</f>
        <v>0.68026151589727113</v>
      </c>
      <c r="AX55" s="24">
        <f>($I$126+40*($M$12-0.5))/($I$126+$I$151)</f>
        <v>0.66750395798188822</v>
      </c>
      <c r="AY55" s="24">
        <f>($I$126+40*($M$12-0.5))/($I$126+$I$152)</f>
        <v>0.67338570464235215</v>
      </c>
      <c r="AZ55" s="24">
        <f>($I$126+40*($N$12-0.5))/($I$126+$I$153)</f>
        <v>0.68196852407248609</v>
      </c>
      <c r="BA55" s="24">
        <f>($I$126+40*($N$12-0.5))/($I$126+$I$154)</f>
        <v>0.66804693769336487</v>
      </c>
      <c r="BB55" s="24">
        <f>($I$126+40*($N$7-0.5))/($I$126+$I$155)</f>
        <v>0.83171984762715045</v>
      </c>
      <c r="BC55" s="24">
        <f>($I$126+40*($N$12-0.5))/($I$126+$I$156)</f>
        <v>0.72659497159330244</v>
      </c>
      <c r="BD55" s="24">
        <f>($I$126+40*($O$12-0.5))/($I$126+$I$157)</f>
        <v>0.6751108373605359</v>
      </c>
      <c r="BE55" s="24">
        <f>($I$126+40*($O$12-0.5))/($I$126+$I$158)</f>
        <v>0.75303534599899358</v>
      </c>
      <c r="BF55" s="24">
        <f>($I$126+40*($O$12-0.5))/($I$126+$I$159)</f>
        <v>0.73004748502038419</v>
      </c>
      <c r="BG55" s="24">
        <f>($I$126+40*($O$12-0.5))/($I$126+$I$160)</f>
        <v>0.72182002583420202</v>
      </c>
      <c r="BH55" s="24">
        <f>($I$126+40*($P$12-0.5))/($I$126+$I$161)</f>
        <v>0.78485444997898468</v>
      </c>
      <c r="BI55" s="24">
        <f>($I$126+40*($P$12-0.5))/($I$126+$I$162)</f>
        <v>0.80387339251200618</v>
      </c>
      <c r="BJ55" s="24">
        <f>($I$126+40*($P$12-0.5))/($I$126+$I$163)</f>
        <v>0.81167151421436756</v>
      </c>
      <c r="BK55" s="24">
        <f>($I$126+40*($P$12-0.5))/($I$126+$I$164)</f>
        <v>0.81947196221739826</v>
      </c>
      <c r="BL55" s="24">
        <f>($I$126+40*($Q$12-0.5))/($I$126+$I$165)</f>
        <v>0.84118771647918</v>
      </c>
      <c r="BM55" s="24">
        <f>($I$126+40*($Q$12-0.5))/($I$126+$I$166)</f>
        <v>0.82140431164866612</v>
      </c>
      <c r="BN55" s="24">
        <f>($I$126+40*($Q$7-0.5))/($I$126+$I$167)</f>
        <v>0.91499848448160659</v>
      </c>
      <c r="BO55" s="24">
        <f>($I$126+40*($Q$12-0.5))/($I$126+$I$168)</f>
        <v>0.83655454905038928</v>
      </c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0"/>
      <c r="JA55" s="40"/>
      <c r="JB55" s="40"/>
      <c r="JC55" s="40"/>
      <c r="JD55" s="40"/>
      <c r="JE55" s="40"/>
      <c r="JF55" s="40"/>
      <c r="JG55" s="40"/>
      <c r="JH55" s="40"/>
      <c r="JI55" s="40"/>
      <c r="JJ55" s="40"/>
      <c r="JK55" s="40"/>
      <c r="JL55" s="40"/>
      <c r="JM55" s="40"/>
      <c r="JN55" s="40"/>
      <c r="JO55" s="40"/>
      <c r="JP55" s="40"/>
      <c r="JQ55" s="40"/>
      <c r="JR55" s="40"/>
      <c r="JS55" s="40"/>
      <c r="JT55" s="40"/>
      <c r="JU55" s="40"/>
      <c r="JV55" s="40"/>
      <c r="JW55" s="40"/>
      <c r="JX55" s="40"/>
      <c r="JY55" s="40"/>
      <c r="JZ55" s="40"/>
      <c r="KA55" s="40"/>
      <c r="KB55" s="40"/>
      <c r="KC55" s="40"/>
      <c r="KD55" s="40"/>
      <c r="KE55" s="40"/>
      <c r="KF55" s="40"/>
      <c r="KG55" s="40"/>
      <c r="KH55" s="40"/>
      <c r="KI55" s="40"/>
      <c r="KJ55" s="40"/>
      <c r="KK55" s="40"/>
      <c r="KL55" s="40"/>
      <c r="KM55" s="40"/>
      <c r="KN55" s="40"/>
      <c r="KO55" s="40"/>
      <c r="KP55" s="40"/>
      <c r="KQ55" s="40"/>
      <c r="KR55" s="40"/>
      <c r="KS55" s="40"/>
      <c r="KT55" s="40"/>
      <c r="KU55" s="40"/>
      <c r="KV55" s="40"/>
      <c r="KW55" s="40"/>
      <c r="KX55" s="40"/>
      <c r="KY55" s="40"/>
      <c r="KZ55" s="40"/>
      <c r="LA55" s="40"/>
      <c r="LB55" s="40"/>
      <c r="LC55" s="40"/>
      <c r="LD55" s="40"/>
      <c r="LE55" s="40"/>
      <c r="LF55" s="40"/>
      <c r="LG55" s="40"/>
      <c r="LH55" s="40"/>
      <c r="LI55" s="40"/>
      <c r="LJ55" s="40"/>
      <c r="LK55" s="40"/>
      <c r="LL55" s="40"/>
      <c r="LM55" s="40"/>
      <c r="LN55" s="40"/>
      <c r="LO55" s="40"/>
      <c r="LP55" s="40"/>
      <c r="LQ55" s="40"/>
      <c r="LR55" s="40"/>
      <c r="LS55" s="40"/>
      <c r="LT55" s="40"/>
      <c r="LU55" s="40"/>
      <c r="LV55" s="40"/>
      <c r="LW55" s="40"/>
      <c r="LX55" s="40"/>
      <c r="LY55" s="40"/>
      <c r="LZ55" s="40"/>
      <c r="MA55" s="40"/>
      <c r="MB55" s="40"/>
      <c r="MC55" s="40"/>
      <c r="MD55" s="40"/>
      <c r="ME55" s="40"/>
      <c r="MF55" s="40"/>
      <c r="MG55" s="40"/>
      <c r="MH55" s="40"/>
      <c r="MI55" s="40"/>
      <c r="MJ55" s="40"/>
      <c r="MK55" s="40"/>
      <c r="ML55" s="40"/>
      <c r="MM55" s="40"/>
      <c r="MN55" s="40"/>
      <c r="MO55" s="40"/>
      <c r="MP55" s="40"/>
      <c r="MQ55" s="40"/>
      <c r="MR55" s="40"/>
      <c r="MS55" s="40"/>
      <c r="MT55" s="40"/>
    </row>
    <row r="56" spans="1:358" x14ac:dyDescent="0.25">
      <c r="A56" t="str">
        <f>$A$127</f>
        <v>Umass</v>
      </c>
      <c r="B56" s="54"/>
      <c r="C56" s="3">
        <v>23</v>
      </c>
      <c r="D56" s="24">
        <f>($I$105+40*($G$7-0.5))/($I$105+$I$127)</f>
        <v>0.62382472867739325</v>
      </c>
      <c r="E56" s="24">
        <f>($I$106+40*($G$7-0.5))/($I$106+$I$127)</f>
        <v>0.62088165830173092</v>
      </c>
      <c r="F56" s="24">
        <f>($I$107+40*($G$7-0.5))/($I$107+$I$127)</f>
        <v>0.63642902328079054</v>
      </c>
      <c r="G56" s="24">
        <f>($I$108+40*($G$7-0.5))/($I$108+$I$127)</f>
        <v>0.59249726300284966</v>
      </c>
      <c r="H56" s="24">
        <f>($I$109+40*($G$8-0.5))/($I$109+$I$127)</f>
        <v>0.61337777569014895</v>
      </c>
      <c r="I56" s="24">
        <f>($I$110+40*($G$8-0.5))/($I$110+$I$127)</f>
        <v>0.60971925619979406</v>
      </c>
      <c r="J56" s="24">
        <f>($I$111+40*($G$8-0.5))/($I$111+$I$127)</f>
        <v>0.61424095219046049</v>
      </c>
      <c r="K56" s="24">
        <f>($I$112+40*($G$8-0.5))/($I$112+$I$127)</f>
        <v>0.62024239141617654</v>
      </c>
      <c r="L56" s="24">
        <f>($I$113+40*($G$9-0.5))/($I$113+$I$127)</f>
        <v>0.52477046351901169</v>
      </c>
      <c r="M56" s="24">
        <f>($I$114+40*($G$9-0.5))/($I$114+$I$127)</f>
        <v>0.40991783802637011</v>
      </c>
      <c r="N56" s="24">
        <f>($I$115+40*($G$9-0.5))/($I$115+$I$127)</f>
        <v>0.53681819385056673</v>
      </c>
      <c r="O56" s="24">
        <f>($I$116+40*($G$9-0.5))/($I$116+$I$127)</f>
        <v>0.51150675189757444</v>
      </c>
      <c r="P56" s="24">
        <f>($I$117+40*($G$10-0.5))/($I$117+$I$127)</f>
        <v>0.50929121421872814</v>
      </c>
      <c r="Q56" s="24">
        <f>($I$118+40*($G$10-0.5))/($I$118+$I$127)</f>
        <v>0.47813282110429517</v>
      </c>
      <c r="R56" s="24">
        <f>($I$119+40*($G$10-0.5))/($I$119+$I$127)</f>
        <v>0.51201402867457257</v>
      </c>
      <c r="S56" s="24">
        <f>($I$120+40*($G$10-0.5))/($I$120+$I$127)</f>
        <v>0.49945705095209519</v>
      </c>
      <c r="T56" s="24">
        <f>($I$121+40*($G$11-0.5))/($I$121+$I$127)</f>
        <v>0.49515195593283973</v>
      </c>
      <c r="U56" s="24">
        <f>($I$122+40*($G$11-0.5))/($I$122+$I$127)</f>
        <v>0.4939751113573177</v>
      </c>
      <c r="V56" s="24">
        <f>($I$123+40*($G$11-0.5))/($I$123+$I$127)</f>
        <v>0.52015977809517755</v>
      </c>
      <c r="W56" s="24">
        <f>($I$124+40*($G$11-0.5))/($I$124+$I$127)</f>
        <v>0.50070183557621306</v>
      </c>
      <c r="X56" s="24">
        <f>($I$125+40*($G$12-0.5))/($I$125+$I$127)</f>
        <v>0.49721440858695626</v>
      </c>
      <c r="Y56" s="24">
        <f>($I$126+40*($G$12-0.5))/($I$126+$I$127)</f>
        <v>0.48107327391005444</v>
      </c>
      <c r="Z56" s="3">
        <v>0</v>
      </c>
      <c r="AA56" s="24">
        <f>($I$127+40*($G$12-0.5))/($I$127+$I$128)</f>
        <v>0.51366510184005953</v>
      </c>
      <c r="AB56" s="24">
        <f>($I$127+40*($H$12-0.5))/($I$127+$I$129)</f>
        <v>0.4738809435414848</v>
      </c>
      <c r="AC56" s="24">
        <f>($I$127+40*($H$12-0.5))/($I$127+$I$130)</f>
        <v>0.49720624679593728</v>
      </c>
      <c r="AD56" s="24">
        <f>($I$127+40*($H$12-0.5))/($I$127+$I$131)</f>
        <v>0.50705723811653158</v>
      </c>
      <c r="AE56" s="24">
        <f>($I$127+40*($H$12-0.5))/($I$127+$I$132)</f>
        <v>0.48505386801867917</v>
      </c>
      <c r="AF56" s="24">
        <f>($I$127+40*($I$12-0.5))/($I$127+$I$133)</f>
        <v>0.28974559093480473</v>
      </c>
      <c r="AG56" s="24">
        <f>($I$127+40*($I$12-0.5))/($I$127+$I$134)</f>
        <v>0.26798894541754331</v>
      </c>
      <c r="AH56" s="24">
        <f>($I$127+40*($I$12-0.5))/($I$127+$I$135)</f>
        <v>0.27976540899769448</v>
      </c>
      <c r="AI56" s="24">
        <f>($I$127+40*($I$12-0.5))/($I$127+$I$136)</f>
        <v>0.28445651939987798</v>
      </c>
      <c r="AJ56" s="24">
        <f>($I$127+40*($J$12-0.5))/($I$127+$I$137)</f>
        <v>0.49928708503201996</v>
      </c>
      <c r="AK56" s="24">
        <f>($I$127+40*($J$12-0.5))/($I$127+$I$138)</f>
        <v>0.5090218230378929</v>
      </c>
      <c r="AL56" s="24">
        <f>($I$127+40*($J$12-0.5))/($I$127+$I$139)</f>
        <v>0.51670328970765667</v>
      </c>
      <c r="AM56" s="24">
        <f>($I$127+40*($J$12-0.5))/($I$127+$I$140)</f>
        <v>0.49765030896353224</v>
      </c>
      <c r="AN56" s="24">
        <f>($I$127+40*($K$12-0.5))/($I$127+$I$141)</f>
        <v>0.58999005598776633</v>
      </c>
      <c r="AO56" s="24">
        <f>($I$127+40*($K$12-0.5))/($I$127+$I$142)</f>
        <v>0.58207531368736865</v>
      </c>
      <c r="AP56" s="24">
        <f>($I$127+40*($K$12-0.5))/($I$127+$I$143)</f>
        <v>0.58839335281178562</v>
      </c>
      <c r="AQ56" s="24">
        <f>($I$127+40*($K$12-0.5))/($I$127+$I$144)</f>
        <v>0.57166365769450345</v>
      </c>
      <c r="AR56" s="24">
        <f>($I$127+40*($L$12-0.5))/($I$127+$I$145)</f>
        <v>0.59511336654816804</v>
      </c>
      <c r="AS56" s="24">
        <f>($I$127+40*($L$12-0.5))/($I$127+$I$146)</f>
        <v>0.61590170860430216</v>
      </c>
      <c r="AT56" s="24">
        <f>($I$127+40*($L$12-0.5))/($I$127+$I$147)</f>
        <v>0.59812804893325677</v>
      </c>
      <c r="AU56" s="24">
        <f>($I$127+40*($L$12-0.5))/($I$127+$I$148)</f>
        <v>0.6021634884919842</v>
      </c>
      <c r="AV56" s="24">
        <f>($I$127+40*($M$12-0.5))/($I$127+$I$149)</f>
        <v>0.6856989811215235</v>
      </c>
      <c r="AW56" s="24">
        <f>($I$127+40*($M$12-0.5))/($I$127+$I$150)</f>
        <v>0.69364968391520043</v>
      </c>
      <c r="AX56" s="24">
        <f>($I$127+40*($M$12-0.5))/($I$127+$I$151)</f>
        <v>0.68117595126913721</v>
      </c>
      <c r="AY56" s="24">
        <f>($I$127+40*($M$12-0.5))/($I$127+$I$152)</f>
        <v>0.68692927804779103</v>
      </c>
      <c r="AZ56" s="24">
        <f>($I$127+40*($N$12-0.5))/($I$127+$I$153)</f>
        <v>0.69493716108395609</v>
      </c>
      <c r="BA56" s="24">
        <f>($I$127+40*($N$12-0.5))/($I$127+$I$154)</f>
        <v>0.68131798592276172</v>
      </c>
      <c r="BB56" s="24">
        <f>($I$127+40*($N$7-0.5))/($I$127+$I$155)</f>
        <v>0.83890007574120995</v>
      </c>
      <c r="BC56" s="24">
        <f>($I$127+40*($N$12-0.5))/($I$127+$I$156)</f>
        <v>0.73844178242680725</v>
      </c>
      <c r="BD56" s="24">
        <f>($I$127+40*($O$12-0.5))/($I$127+$I$157)</f>
        <v>0.68788559300894547</v>
      </c>
      <c r="BE56" s="24">
        <f>($I$127+40*($O$12-0.5))/($I$127+$I$158)</f>
        <v>0.76381800461228866</v>
      </c>
      <c r="BF56" s="24">
        <f>($I$127+40*($O$12-0.5))/($I$127+$I$159)</f>
        <v>0.74148926009881788</v>
      </c>
      <c r="BG56" s="24">
        <f>($I$127+40*($O$12-0.5))/($I$127+$I$160)</f>
        <v>0.73348321189351162</v>
      </c>
      <c r="BH56" s="24">
        <f>($I$127+40*($P$12-0.5))/($I$127+$I$161)</f>
        <v>0.79416491848485538</v>
      </c>
      <c r="BI56" s="24">
        <f>($I$127+40*($P$12-0.5))/($I$127+$I$162)</f>
        <v>0.81255737667050099</v>
      </c>
      <c r="BJ56" s="24">
        <f>($I$127+40*($P$12-0.5))/($I$127+$I$163)</f>
        <v>0.82008749378580903</v>
      </c>
      <c r="BK56" s="24">
        <f>($I$127+40*($P$12-0.5))/($I$127+$I$164)</f>
        <v>0.82761339121873101</v>
      </c>
      <c r="BL56" s="24">
        <f>($I$127+40*($Q$12-0.5))/($I$127+$I$165)</f>
        <v>0.84838945668549093</v>
      </c>
      <c r="BM56" s="24">
        <f>($I$127+40*($Q$12-0.5))/($I$127+$I$166)</f>
        <v>0.8293211505766116</v>
      </c>
      <c r="BN56" s="24">
        <f>($I$127+40*($Q$7-0.5))/($I$127+$I$167)</f>
        <v>0.91897153272854104</v>
      </c>
      <c r="BO56" s="24">
        <f>($I$127+40*($Q$12-0.5))/($I$127+$I$168)</f>
        <v>0.84392740973630509</v>
      </c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  <c r="IY56" s="40"/>
      <c r="IZ56" s="40"/>
      <c r="JA56" s="40"/>
      <c r="JB56" s="40"/>
      <c r="JC56" s="40"/>
      <c r="JD56" s="40"/>
      <c r="JE56" s="40"/>
      <c r="JF56" s="40"/>
      <c r="JG56" s="40"/>
      <c r="JH56" s="40"/>
      <c r="JI56" s="40"/>
      <c r="JJ56" s="40"/>
      <c r="JK56" s="40"/>
      <c r="JL56" s="40"/>
      <c r="JM56" s="40"/>
      <c r="JN56" s="40"/>
      <c r="JO56" s="40"/>
      <c r="JP56" s="40"/>
      <c r="JQ56" s="40"/>
      <c r="JR56" s="40"/>
      <c r="JS56" s="40"/>
      <c r="JT56" s="40"/>
      <c r="JU56" s="40"/>
      <c r="JV56" s="40"/>
      <c r="JW56" s="40"/>
      <c r="JX56" s="40"/>
      <c r="JY56" s="40"/>
      <c r="JZ56" s="40"/>
      <c r="KA56" s="40"/>
      <c r="KB56" s="40"/>
      <c r="KC56" s="40"/>
      <c r="KD56" s="40"/>
      <c r="KE56" s="40"/>
      <c r="KF56" s="40"/>
      <c r="KG56" s="40"/>
      <c r="KH56" s="40"/>
      <c r="KI56" s="40"/>
      <c r="KJ56" s="40"/>
      <c r="KK56" s="40"/>
      <c r="KL56" s="40"/>
      <c r="KM56" s="40"/>
      <c r="KN56" s="40"/>
      <c r="KO56" s="40"/>
      <c r="KP56" s="40"/>
      <c r="KQ56" s="40"/>
      <c r="KR56" s="40"/>
      <c r="KS56" s="40"/>
      <c r="KT56" s="40"/>
      <c r="KU56" s="40"/>
      <c r="KV56" s="40"/>
      <c r="KW56" s="40"/>
      <c r="KX56" s="40"/>
      <c r="KY56" s="40"/>
      <c r="KZ56" s="40"/>
      <c r="LA56" s="40"/>
      <c r="LB56" s="40"/>
      <c r="LC56" s="40"/>
      <c r="LD56" s="40"/>
      <c r="LE56" s="40"/>
      <c r="LF56" s="40"/>
      <c r="LG56" s="40"/>
      <c r="LH56" s="40"/>
      <c r="LI56" s="40"/>
      <c r="LJ56" s="40"/>
      <c r="LK56" s="40"/>
      <c r="LL56" s="40"/>
      <c r="LM56" s="40"/>
      <c r="LN56" s="40"/>
      <c r="LO56" s="40"/>
      <c r="LP56" s="40"/>
      <c r="LQ56" s="40"/>
      <c r="LR56" s="40"/>
      <c r="LS56" s="40"/>
      <c r="LT56" s="40"/>
      <c r="LU56" s="40"/>
      <c r="LV56" s="40"/>
      <c r="LW56" s="40"/>
      <c r="LX56" s="40"/>
      <c r="LY56" s="40"/>
      <c r="LZ56" s="40"/>
      <c r="MA56" s="40"/>
      <c r="MB56" s="40"/>
      <c r="MC56" s="40"/>
      <c r="MD56" s="40"/>
      <c r="ME56" s="40"/>
      <c r="MF56" s="40"/>
      <c r="MG56" s="40"/>
      <c r="MH56" s="40"/>
      <c r="MI56" s="40"/>
      <c r="MJ56" s="40"/>
      <c r="MK56" s="40"/>
      <c r="ML56" s="40"/>
      <c r="MM56" s="40"/>
      <c r="MN56" s="40"/>
      <c r="MO56" s="40"/>
      <c r="MP56" s="40"/>
      <c r="MQ56" s="40"/>
      <c r="MR56" s="40"/>
      <c r="MS56" s="40"/>
      <c r="MT56" s="40"/>
    </row>
    <row r="57" spans="1:358" x14ac:dyDescent="0.25">
      <c r="A57" t="str">
        <f>$A$128</f>
        <v>UNC</v>
      </c>
      <c r="B57" s="54"/>
      <c r="C57" s="3">
        <v>24</v>
      </c>
      <c r="D57" s="24">
        <f>($I$105+40*($G$7-0.5))/($I$105+$I$128)</f>
        <v>0.63930977096704877</v>
      </c>
      <c r="E57" s="24">
        <f>($I$106+40*($G$7-0.5))/($I$106+$I$128)</f>
        <v>0.63641724086057938</v>
      </c>
      <c r="F57" s="24">
        <f>($I$107+40*($G$7-0.5))/($I$107+$I$128)</f>
        <v>0.65168491817669916</v>
      </c>
      <c r="G57" s="24">
        <f>($I$108+40*($G$7-0.5))/($I$108+$I$128)</f>
        <v>0.60846249201461289</v>
      </c>
      <c r="H57" s="24">
        <f>($I$109+40*($G$8-0.5))/($I$109+$I$128)</f>
        <v>0.6297241769062738</v>
      </c>
      <c r="I57" s="24">
        <f>($I$110+40*($G$8-0.5))/($I$110+$I$128)</f>
        <v>0.62612605577523039</v>
      </c>
      <c r="J57" s="24">
        <f>($I$111+40*($G$8-0.5))/($I$111+$I$128)</f>
        <v>0.6305728386810685</v>
      </c>
      <c r="K57" s="24">
        <f>($I$112+40*($G$8-0.5))/($I$112+$I$128)</f>
        <v>0.63647057016676378</v>
      </c>
      <c r="L57" s="24">
        <f>($I$113+40*($G$9-0.5))/($I$113+$I$128)</f>
        <v>0.53838359536709179</v>
      </c>
      <c r="M57" s="24">
        <f>($I$114+40*($G$9-0.5))/($I$114+$I$128)</f>
        <v>0.42320480588525344</v>
      </c>
      <c r="N57" s="24">
        <f>($I$115+40*($G$9-0.5))/($I$115+$I$128)</f>
        <v>0.55038190223962669</v>
      </c>
      <c r="O57" s="24">
        <f>($I$116+40*($G$9-0.5))/($I$116+$I$128)</f>
        <v>0.52515603150582069</v>
      </c>
      <c r="P57" s="24">
        <f>($I$117+40*($G$10-0.5))/($I$117+$I$128)</f>
        <v>0.52294466334640299</v>
      </c>
      <c r="Q57" s="24">
        <f>($I$118+40*($G$10-0.5))/($I$118+$I$128)</f>
        <v>0.49178810752461738</v>
      </c>
      <c r="R57" s="24">
        <f>($I$119+40*($G$10-0.5))/($I$119+$I$128)</f>
        <v>0.52566227830942758</v>
      </c>
      <c r="S57" s="24">
        <f>($I$120+40*($G$10-0.5))/($I$120+$I$128)</f>
        <v>0.51312254224055054</v>
      </c>
      <c r="T57" s="24">
        <f>($I$121+40*($G$11-0.5))/($I$121+$I$128)</f>
        <v>0.50881939487782524</v>
      </c>
      <c r="U57" s="24">
        <f>($I$122+40*($G$11-0.5))/($I$122+$I$128)</f>
        <v>0.50764273012317707</v>
      </c>
      <c r="V57" s="24">
        <f>($I$123+40*($G$11-0.5))/($I$123+$I$128)</f>
        <v>0.53378764791762701</v>
      </c>
      <c r="W57" s="24">
        <f>($I$124+40*($G$11-0.5))/($I$124+$I$128)</f>
        <v>0.51436638628407638</v>
      </c>
      <c r="X57" s="24">
        <f>($I$125+40*($G$12-0.5))/($I$125+$I$128)</f>
        <v>0.5108811672105249</v>
      </c>
      <c r="Y57" s="24">
        <f>($I$126+40*($G$12-0.5))/($I$126+$I$128)</f>
        <v>0.49473292673866859</v>
      </c>
      <c r="Z57" s="24">
        <f>($I$127+40*($G$12-0.5))/($I$127+$I$128)</f>
        <v>0.51366510184005953</v>
      </c>
      <c r="AA57" s="61">
        <v>0</v>
      </c>
      <c r="AB57" s="24">
        <f>($I$128+40*($H$12-0.5))/($I$128+$I$129)</f>
        <v>0.46027255970449443</v>
      </c>
      <c r="AC57" s="24">
        <f>($I$128+40*($H$12-0.5))/($I$128+$I$130)</f>
        <v>0.48354365796582599</v>
      </c>
      <c r="AD57" s="24">
        <f>($I$128+40*($H$12-0.5))/($I$128+$I$131)</f>
        <v>0.49338958629940338</v>
      </c>
      <c r="AE57" s="24">
        <f>($I$128+40*($H$12-0.5))/($I$128+$I$132)</f>
        <v>0.47141212137946642</v>
      </c>
      <c r="AF57" s="24">
        <f>($I$128+40*($I$12-0.5))/($I$128+$I$133)</f>
        <v>0.26985196277872275</v>
      </c>
      <c r="AG57" s="24">
        <f>($I$128+40*($I$12-0.5))/($I$128+$I$134)</f>
        <v>0.24906527814606597</v>
      </c>
      <c r="AH57" s="24">
        <f>($I$128+40*($I$12-0.5))/($I$128+$I$135)</f>
        <v>0.26030587557892032</v>
      </c>
      <c r="AI57" s="24">
        <f>($I$128+40*($I$12-0.5))/($I$128+$I$136)</f>
        <v>0.26479064997779261</v>
      </c>
      <c r="AJ57" s="24">
        <f>($I$128+40*($J$12-0.5))/($I$128+$I$137)</f>
        <v>0.48562254345588685</v>
      </c>
      <c r="AK57" s="24">
        <f>($I$128+40*($J$12-0.5))/($I$128+$I$138)</f>
        <v>0.49535443029774584</v>
      </c>
      <c r="AL57" s="24">
        <f>($I$128+40*($J$12-0.5))/($I$128+$I$139)</f>
        <v>0.50304096429420997</v>
      </c>
      <c r="AM57" s="24">
        <f>($I$128+40*($J$12-0.5))/($I$128+$I$140)</f>
        <v>0.48398726372036527</v>
      </c>
      <c r="AN57" s="24">
        <f>($I$128+40*($K$12-0.5))/($I$128+$I$141)</f>
        <v>0.57843258947467135</v>
      </c>
      <c r="AO57" s="24">
        <f>($I$128+40*($K$12-0.5))/($I$128+$I$142)</f>
        <v>0.57045717457982881</v>
      </c>
      <c r="AP57" s="24">
        <f>($I$128+40*($K$12-0.5))/($I$128+$I$143)</f>
        <v>0.57682316070044404</v>
      </c>
      <c r="AQ57" s="24">
        <f>($I$128+40*($K$12-0.5))/($I$128+$I$144)</f>
        <v>0.55997488341332957</v>
      </c>
      <c r="AR57" s="24">
        <f>($I$128+40*($L$12-0.5))/($I$128+$I$145)</f>
        <v>0.58390437828342878</v>
      </c>
      <c r="AS57" s="24">
        <f>($I$128+40*($L$12-0.5))/($I$128+$I$146)</f>
        <v>0.60488613172255745</v>
      </c>
      <c r="AT57" s="24">
        <f>($I$128+40*($L$12-0.5))/($I$128+$I$147)</f>
        <v>0.58694459264898469</v>
      </c>
      <c r="AU57" s="24">
        <f>($I$128+40*($L$12-0.5))/($I$128+$I$148)</f>
        <v>0.5910155443328563</v>
      </c>
      <c r="AV57" s="24">
        <f>($I$128+40*($M$12-0.5))/($I$128+$I$149)</f>
        <v>0.67591439062768344</v>
      </c>
      <c r="AW57" s="24">
        <f>($I$128+40*($M$12-0.5))/($I$128+$I$150)</f>
        <v>0.68399854245154212</v>
      </c>
      <c r="AX57" s="24">
        <f>($I$128+40*($M$12-0.5))/($I$128+$I$151)</f>
        <v>0.67131804764780623</v>
      </c>
      <c r="AY57" s="24">
        <f>($I$128+40*($M$12-0.5))/($I$128+$I$152)</f>
        <v>0.67716495584389558</v>
      </c>
      <c r="AZ57" s="24">
        <f>($I$128+40*($N$12-0.5))/($I$128+$I$153)</f>
        <v>0.6855854691402079</v>
      </c>
      <c r="BA57" s="24">
        <f>($I$128+40*($N$12-0.5))/($I$128+$I$154)</f>
        <v>0.67174600279132346</v>
      </c>
      <c r="BB57" s="24">
        <f>($I$128+40*($N$7-0.5))/($I$128+$I$155)</f>
        <v>0.83372525894957838</v>
      </c>
      <c r="BC57" s="24">
        <f>($I$128+40*($N$12-0.5))/($I$128+$I$156)</f>
        <v>0.7299053929434729</v>
      </c>
      <c r="BD57" s="24">
        <f>($I$128+40*($O$12-0.5))/($I$128+$I$157)</f>
        <v>0.67866980954880618</v>
      </c>
      <c r="BE57" s="24">
        <f>($I$128+40*($O$12-0.5))/($I$128+$I$158)</f>
        <v>0.75604915462909139</v>
      </c>
      <c r="BF57" s="24">
        <f>($I$128+40*($O$12-0.5))/($I$128+$I$159)</f>
        <v>0.73324244789308102</v>
      </c>
      <c r="BG57" s="24">
        <f>($I$128+40*($O$12-0.5))/($I$128+$I$160)</f>
        <v>0.72507569336521716</v>
      </c>
      <c r="BH57" s="24">
        <f>($I$128+40*($P$12-0.5))/($I$128+$I$161)</f>
        <v>0.78745601825875922</v>
      </c>
      <c r="BI57" s="24">
        <f>($I$128+40*($P$12-0.5))/($I$128+$I$162)</f>
        <v>0.80630173907325287</v>
      </c>
      <c r="BJ57" s="24">
        <f>($I$128+40*($P$12-0.5))/($I$128+$I$163)</f>
        <v>0.81402564537697053</v>
      </c>
      <c r="BK57" s="24">
        <f>($I$128+40*($P$12-0.5))/($I$128+$I$164)</f>
        <v>0.82175000003188114</v>
      </c>
      <c r="BL57" s="24">
        <f>($I$128+40*($Q$12-0.5))/($I$128+$I$165)</f>
        <v>0.84320320122302306</v>
      </c>
      <c r="BM57" s="24">
        <f>($I$128+40*($Q$12-0.5))/($I$128+$I$166)</f>
        <v>0.82361822232549353</v>
      </c>
      <c r="BN57" s="24">
        <f>($I$128+40*($Q$7-0.5))/($I$128+$I$167)</f>
        <v>0.91611155488914153</v>
      </c>
      <c r="BO57" s="24">
        <f>($I$128+40*($Q$12-0.5))/($I$128+$I$168)</f>
        <v>0.83861755254594184</v>
      </c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  <c r="IY57" s="40"/>
      <c r="IZ57" s="40"/>
      <c r="JA57" s="40"/>
      <c r="JB57" s="40"/>
      <c r="JC57" s="40"/>
      <c r="JD57" s="40"/>
      <c r="JE57" s="40"/>
      <c r="JF57" s="40"/>
      <c r="JG57" s="40"/>
      <c r="JH57" s="40"/>
      <c r="JI57" s="40"/>
      <c r="JJ57" s="40"/>
      <c r="JK57" s="40"/>
      <c r="JL57" s="40"/>
      <c r="JM57" s="40"/>
      <c r="JN57" s="40"/>
      <c r="JO57" s="40"/>
      <c r="JP57" s="40"/>
      <c r="JQ57" s="40"/>
      <c r="JR57" s="40"/>
      <c r="JS57" s="40"/>
      <c r="JT57" s="40"/>
      <c r="JU57" s="40"/>
      <c r="JV57" s="40"/>
      <c r="JW57" s="40"/>
      <c r="JX57" s="40"/>
      <c r="JY57" s="40"/>
      <c r="JZ57" s="40"/>
      <c r="KA57" s="40"/>
      <c r="KB57" s="40"/>
      <c r="KC57" s="40"/>
      <c r="KD57" s="40"/>
      <c r="KE57" s="40"/>
      <c r="KF57" s="40"/>
      <c r="KG57" s="40"/>
      <c r="KH57" s="40"/>
      <c r="KI57" s="40"/>
      <c r="KJ57" s="40"/>
      <c r="KK57" s="40"/>
      <c r="KL57" s="40"/>
      <c r="KM57" s="40"/>
      <c r="KN57" s="40"/>
      <c r="KO57" s="40"/>
      <c r="KP57" s="40"/>
      <c r="KQ57" s="40"/>
      <c r="KR57" s="40"/>
      <c r="KS57" s="40"/>
      <c r="KT57" s="40"/>
      <c r="KU57" s="40"/>
      <c r="KV57" s="40"/>
      <c r="KW57" s="40"/>
      <c r="KX57" s="40"/>
      <c r="KY57" s="40"/>
      <c r="KZ57" s="40"/>
      <c r="LA57" s="40"/>
      <c r="LB57" s="40"/>
      <c r="LC57" s="40"/>
      <c r="LD57" s="40"/>
      <c r="LE57" s="40"/>
      <c r="LF57" s="40"/>
      <c r="LG57" s="40"/>
      <c r="LH57" s="40"/>
      <c r="LI57" s="40"/>
      <c r="LJ57" s="40"/>
      <c r="LK57" s="40"/>
      <c r="LL57" s="40"/>
      <c r="LM57" s="40"/>
      <c r="LN57" s="40"/>
      <c r="LO57" s="40"/>
      <c r="LP57" s="40"/>
      <c r="LQ57" s="40"/>
      <c r="LR57" s="40"/>
      <c r="LS57" s="40"/>
      <c r="LT57" s="40"/>
      <c r="LU57" s="40"/>
      <c r="LV57" s="40"/>
      <c r="LW57" s="40"/>
      <c r="LX57" s="40"/>
      <c r="LY57" s="40"/>
      <c r="LZ57" s="40"/>
      <c r="MA57" s="40"/>
      <c r="MB57" s="40"/>
      <c r="MC57" s="40"/>
      <c r="MD57" s="40"/>
      <c r="ME57" s="40"/>
      <c r="MF57" s="40"/>
      <c r="MG57" s="40"/>
      <c r="MH57" s="40"/>
      <c r="MI57" s="40"/>
      <c r="MJ57" s="40"/>
      <c r="MK57" s="40"/>
      <c r="ML57" s="40"/>
      <c r="MM57" s="40"/>
      <c r="MN57" s="40"/>
      <c r="MO57" s="40"/>
      <c r="MP57" s="40"/>
      <c r="MQ57" s="40"/>
      <c r="MR57" s="40"/>
      <c r="MS57" s="40"/>
      <c r="MT57" s="40"/>
    </row>
    <row r="58" spans="1:358" x14ac:dyDescent="0.25">
      <c r="A58" t="str">
        <f>$A$129</f>
        <v>New Mexico</v>
      </c>
      <c r="B58" s="54">
        <v>7</v>
      </c>
      <c r="C58" s="3">
        <v>25</v>
      </c>
      <c r="D58" s="24">
        <f>($I$105+40*($H$7-0.5))/($I$105+$I$129)</f>
        <v>0.70694195551219008</v>
      </c>
      <c r="E58" s="24">
        <f>($I$106+40*($H$7-0.5))/($I$106+$I$129)</f>
        <v>0.70475954350616776</v>
      </c>
      <c r="F58" s="24">
        <f>($I$107+40*($H$7-0.5))/($I$107+$I$129)</f>
        <v>0.71630706547432466</v>
      </c>
      <c r="G58" s="24">
        <f>($I$108+40*($H$7-0.5))/($I$108+$I$129)</f>
        <v>0.68379473479650188</v>
      </c>
      <c r="H58" s="24">
        <f>($I$109+40*($H$8-0.5))/($I$109+$I$129)</f>
        <v>0.5583535099922029</v>
      </c>
      <c r="I58" s="24">
        <f>($I$110+40*($H$8-0.5))/($I$110+$I$129)</f>
        <v>0.55438951247949542</v>
      </c>
      <c r="J58" s="24">
        <f>($I$111+40*($H$8-0.5))/($I$111+$I$129)</f>
        <v>0.55928931806024329</v>
      </c>
      <c r="K58" s="24">
        <f>($I$112+40*($H$8-0.5))/($I$112+$I$129)</f>
        <v>0.56580164670879729</v>
      </c>
      <c r="L58" s="24">
        <f>($I$113+40*($H$9-0.5))/($I$113+$I$129)</f>
        <v>0.53786091083413712</v>
      </c>
      <c r="M58" s="24">
        <f>($I$114+40*($H$9-0.5))/($I$114+$I$129)</f>
        <v>0.43299333655875644</v>
      </c>
      <c r="N58" s="24">
        <f>($I$115+40*($H$9-0.5))/($I$115+$I$129)</f>
        <v>0.5490076425080207</v>
      </c>
      <c r="O58" s="24">
        <f>($I$116+40*($H$9-0.5))/($I$116+$I$129)</f>
        <v>0.52562162703485682</v>
      </c>
      <c r="P58" s="24">
        <f>($I$117+40*($H$10-0.5))/($I$117+$I$129)</f>
        <v>0.68527935597752054</v>
      </c>
      <c r="Q58" s="24">
        <f>($I$118+40*($H$10-0.5))/($I$118+$I$129)</f>
        <v>0.6663827141076244</v>
      </c>
      <c r="R58" s="24">
        <f>($I$119+40*($H$10-0.5))/($I$119+$I$129)</f>
        <v>0.68693651484719154</v>
      </c>
      <c r="S58" s="24">
        <f>($I$120+40*($H$10-0.5))/($I$120+$I$129)</f>
        <v>0.67930194086749485</v>
      </c>
      <c r="T58" s="24">
        <f>($I$121+40*($H$11-0.5))/($I$121+$I$129)</f>
        <v>0.57286882597038657</v>
      </c>
      <c r="U58" s="24">
        <f>($I$122+40*($H$11-0.5))/($I$122+$I$129)</f>
        <v>0.57192575221857433</v>
      </c>
      <c r="V58" s="24">
        <f>($I$123+40*($H$11-0.5))/($I$123+$I$129)</f>
        <v>0.59296398221030622</v>
      </c>
      <c r="W58" s="24">
        <f>($I$124+40*($H$11-0.5))/($I$124+$I$129)</f>
        <v>0.57731939193545678</v>
      </c>
      <c r="X58" s="24">
        <f>($I$125+40*($H$12-0.5))/($I$125+$I$129)</f>
        <v>0.47110376174510882</v>
      </c>
      <c r="Y58" s="24">
        <f>($I$126+40*($H$12-0.5))/($I$126+$I$129)</f>
        <v>0.45504311487740362</v>
      </c>
      <c r="Z58" s="24">
        <f>($I$127+40*($H$12-0.5))/($I$127+$I$129)</f>
        <v>0.4738809435414848</v>
      </c>
      <c r="AA58" s="24">
        <f>($I$128+40*($H$12-0.5))/($I$128+$I$129)</f>
        <v>0.46027255970449443</v>
      </c>
      <c r="AB58" s="3">
        <v>0</v>
      </c>
      <c r="AC58" s="24">
        <f>($I$129+40*($H$13-0.5))/($I$129+$I$130)</f>
        <v>0.52333211345017439</v>
      </c>
      <c r="AD58" s="24">
        <f>($I$129+40*($H$13-0.5))/($I$129+$I$131)</f>
        <v>0.53315185126413756</v>
      </c>
      <c r="AE58" s="24">
        <f>($I$129+40*($H$13-0.5))/($I$129+$I$132)</f>
        <v>0.51119039845739167</v>
      </c>
      <c r="AF58" s="24">
        <f>($I$129+40*($I$13-0.5))/($I$129+$I$133)</f>
        <v>0.32769663985441405</v>
      </c>
      <c r="AG58" s="24">
        <f>($I$129+40*($I$13-0.5))/($I$129+$I$134)</f>
        <v>0.30431126034176259</v>
      </c>
      <c r="AH58" s="24">
        <f>($I$129+40*($I$13-0.5))/($I$129+$I$135)</f>
        <v>0.31699266693720746</v>
      </c>
      <c r="AI58" s="24">
        <f>($I$129+40*($I$13-0.5))/($I$129+$I$136)</f>
        <v>0.32202890214168978</v>
      </c>
      <c r="AJ58" s="24">
        <f>($I$129+40*($J$13-0.5))/($I$129+$I$137)</f>
        <v>0.51718912868100431</v>
      </c>
      <c r="AK58" s="24">
        <f>($I$129+40*($J$13-0.5))/($I$129+$I$138)</f>
        <v>0.52673715053786085</v>
      </c>
      <c r="AL58" s="24">
        <f>($I$129+40*($J$13-0.5))/($I$129+$I$139)</f>
        <v>0.53425759854888522</v>
      </c>
      <c r="AM58" s="24">
        <f>($I$129+40*($J$13-0.5))/($I$129+$I$140)</f>
        <v>0.51558183888180087</v>
      </c>
      <c r="AN58" s="24">
        <f>($I$129+40*($K$13-0.5))/($I$129+$I$141)</f>
        <v>0.58662357939353849</v>
      </c>
      <c r="AO58" s="24">
        <f>($I$129+40*($K$13-0.5))/($I$129+$I$142)</f>
        <v>0.57917159558406284</v>
      </c>
      <c r="AP58" s="24">
        <f>($I$129+40*($K$13-0.5))/($I$129+$I$143)</f>
        <v>0.58512109752792896</v>
      </c>
      <c r="AQ58" s="24">
        <f>($I$129+40*($K$13-0.5))/($I$129+$I$144)</f>
        <v>0.56935229394432962</v>
      </c>
      <c r="AR58" s="24">
        <f>($I$129+40*($L$13-0.5))/($I$129+$I$145)</f>
        <v>0.3241934131859403</v>
      </c>
      <c r="AS58" s="24">
        <f>($I$129+40*($L$13-0.5))/($I$129+$I$146)</f>
        <v>0.33489964085966395</v>
      </c>
      <c r="AT58" s="24">
        <f>($I$129+40*($L$13-0.5))/($I$129+$I$147)</f>
        <v>0.32574845872414349</v>
      </c>
      <c r="AU58" s="24">
        <f>($I$129+40*($L$13-0.5))/($I$129+$I$148)</f>
        <v>0.32782873256942291</v>
      </c>
      <c r="AV58" s="24">
        <f>($I$129+40*($M$13-0.5))/($I$129+$I$149)</f>
        <v>0.72738850874328032</v>
      </c>
      <c r="AW58" s="24">
        <f>($I$129+40*($M$13-0.5))/($I$129+$I$150)</f>
        <v>0.73532068000444684</v>
      </c>
      <c r="AX58" s="24">
        <f>($I$129+40*($M$13-0.5))/($I$129+$I$151)</f>
        <v>0.7228711868624943</v>
      </c>
      <c r="AY58" s="24">
        <f>($I$129+40*($M$13-0.5))/($I$129+$I$152)</f>
        <v>0.7286166461984912</v>
      </c>
      <c r="AZ58" s="24">
        <f>($I$129+40*($N$12-0.5))/($I$129+$I$153)</f>
        <v>0.71264485431458913</v>
      </c>
      <c r="BA58" s="24">
        <f>($I$129+40*($N$13-0.5))/($I$129+$I$154)</f>
        <v>0.72640249203247476</v>
      </c>
      <c r="BB58" s="24">
        <f>($I$129+40*($N$7-0.5))/($I$129+$I$155)</f>
        <v>0.84865855203233975</v>
      </c>
      <c r="BC58" s="24">
        <f>($I$129+40*($N$113-0.5))/($I$129+$I$156)</f>
        <v>0.37690358359300252</v>
      </c>
      <c r="BD58" s="24">
        <f>($I$129+40*($O$13-0.5))/($I$129+$I$157)</f>
        <v>0.78580377513146749</v>
      </c>
      <c r="BE58" s="24">
        <f>($I$129+40*($O$13-0.5))/($I$129+$I$158)</f>
        <v>0.86717599935116108</v>
      </c>
      <c r="BF58" s="24">
        <f>($I$129+40*($O$13-0.5))/($I$129+$I$159)</f>
        <v>0.84335174675504987</v>
      </c>
      <c r="BG58" s="24">
        <f>($I$129+40*($O$13-0.5))/($I$129+$I$160)</f>
        <v>0.83478842888007709</v>
      </c>
      <c r="BH58" s="24">
        <f>($I$129+40*($P$13-0.5))/($I$129+$I$161)</f>
        <v>0.85998878699228665</v>
      </c>
      <c r="BI58" s="24">
        <f>($I$129+40*($P$13-0.5))/($I$129+$I$162)</f>
        <v>0.87865659984836908</v>
      </c>
      <c r="BJ58" s="24">
        <f>($I$129+40*($P$13-0.5))/($I$129+$I$163)</f>
        <v>0.88628416813200139</v>
      </c>
      <c r="BK58" s="24">
        <f>($I$129+40*($P$13-0.5))/($I$129+$I$164)</f>
        <v>0.89389861367554846</v>
      </c>
      <c r="BL58" s="24">
        <f>($I$129+40*($Q$13-0.5))/($I$129+$I$165)</f>
        <v>0.89852939509804575</v>
      </c>
      <c r="BM58" s="24">
        <f>($I$129+40*($Q$13-0.5))/($I$129+$I$166)</f>
        <v>0.87960206122435702</v>
      </c>
      <c r="BN58" s="24">
        <f>($I$129+40*($Q$7-0.5))/($I$129+$I$167)</f>
        <v>0.9243173289805422</v>
      </c>
      <c r="BO58" s="24">
        <f>($I$129+40*($Q$13-0.5))/($I$129+$I$168)</f>
        <v>0.8941052281340095</v>
      </c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  <c r="IY58" s="40"/>
      <c r="IZ58" s="40"/>
      <c r="JA58" s="40"/>
      <c r="JB58" s="40"/>
      <c r="JC58" s="40"/>
      <c r="JD58" s="40"/>
      <c r="JE58" s="40"/>
      <c r="JF58" s="40"/>
      <c r="JG58" s="40"/>
      <c r="JH58" s="40"/>
      <c r="JI58" s="40"/>
      <c r="JJ58" s="40"/>
      <c r="JK58" s="40"/>
      <c r="JL58" s="40"/>
      <c r="JM58" s="40"/>
      <c r="JN58" s="40"/>
      <c r="JO58" s="40"/>
      <c r="JP58" s="40"/>
      <c r="JQ58" s="40"/>
      <c r="JR58" s="40"/>
      <c r="JS58" s="40"/>
      <c r="JT58" s="40"/>
      <c r="JU58" s="40"/>
      <c r="JV58" s="40"/>
      <c r="JW58" s="40"/>
      <c r="JX58" s="40"/>
      <c r="JY58" s="40"/>
      <c r="JZ58" s="40"/>
      <c r="KA58" s="40"/>
      <c r="KB58" s="40"/>
      <c r="KC58" s="40"/>
      <c r="KD58" s="40"/>
      <c r="KE58" s="40"/>
      <c r="KF58" s="40"/>
      <c r="KG58" s="40"/>
      <c r="KH58" s="40"/>
      <c r="KI58" s="40"/>
      <c r="KJ58" s="40"/>
      <c r="KK58" s="40"/>
      <c r="KL58" s="40"/>
      <c r="KM58" s="40"/>
      <c r="KN58" s="40"/>
      <c r="KO58" s="40"/>
      <c r="KP58" s="40"/>
      <c r="KQ58" s="40"/>
      <c r="KR58" s="40"/>
      <c r="KS58" s="40"/>
      <c r="KT58" s="40"/>
      <c r="KU58" s="40"/>
      <c r="KV58" s="40"/>
      <c r="KW58" s="40"/>
      <c r="KX58" s="40"/>
      <c r="KY58" s="40"/>
      <c r="KZ58" s="40"/>
      <c r="LA58" s="40"/>
      <c r="LB58" s="40"/>
      <c r="LC58" s="40"/>
      <c r="LD58" s="40"/>
      <c r="LE58" s="40"/>
      <c r="LF58" s="40"/>
      <c r="LG58" s="40"/>
      <c r="LH58" s="40"/>
      <c r="LI58" s="40"/>
      <c r="LJ58" s="40"/>
      <c r="LK58" s="40"/>
      <c r="LL58" s="40"/>
      <c r="LM58" s="40"/>
      <c r="LN58" s="40"/>
      <c r="LO58" s="40"/>
      <c r="LP58" s="40"/>
      <c r="LQ58" s="40"/>
      <c r="LR58" s="40"/>
      <c r="LS58" s="40"/>
      <c r="LT58" s="40"/>
      <c r="LU58" s="40"/>
      <c r="LV58" s="40"/>
      <c r="LW58" s="40"/>
      <c r="LX58" s="40"/>
      <c r="LY58" s="40"/>
      <c r="LZ58" s="40"/>
      <c r="MA58" s="40"/>
      <c r="MB58" s="40"/>
      <c r="MC58" s="40"/>
      <c r="MD58" s="40"/>
      <c r="ME58" s="40"/>
      <c r="MF58" s="40"/>
      <c r="MG58" s="40"/>
      <c r="MH58" s="40"/>
      <c r="MI58" s="40"/>
      <c r="MJ58" s="40"/>
      <c r="MK58" s="40"/>
      <c r="ML58" s="40"/>
      <c r="MM58" s="40"/>
      <c r="MN58" s="40"/>
      <c r="MO58" s="40"/>
      <c r="MP58" s="40"/>
      <c r="MQ58" s="40"/>
      <c r="MR58" s="40"/>
      <c r="MS58" s="40"/>
      <c r="MT58" s="40"/>
    </row>
    <row r="59" spans="1:358" x14ac:dyDescent="0.25">
      <c r="A59" t="str">
        <f>$A$130</f>
        <v>Oregon</v>
      </c>
      <c r="B59" s="54"/>
      <c r="C59" s="3">
        <v>26</v>
      </c>
      <c r="D59" s="24">
        <f>($I$105+40*($H$7-0.5))/($I$105+$I$130)</f>
        <v>0.73863962625028212</v>
      </c>
      <c r="E59" s="24">
        <f>($I$106+40*($H$7-0.5))/($I$106+$I$130)</f>
        <v>0.73660531818075892</v>
      </c>
      <c r="F59" s="24">
        <f>($I$107+40*($H$7-0.5))/($I$107+$I$130)</f>
        <v>0.74735379540013658</v>
      </c>
      <c r="G59" s="24">
        <f>($I$108+40*($H$7-0.5))/($I$108+$I$130)</f>
        <v>0.71699377930569774</v>
      </c>
      <c r="H59" s="24">
        <f>($I$109+40*($H$8-0.5))/($I$109+$I$130)</f>
        <v>0.58517390238045841</v>
      </c>
      <c r="I59" s="24">
        <f>($I$110+40*($H$8-0.5))/($I$110+$I$130)</f>
        <v>0.58127010165796167</v>
      </c>
      <c r="J59" s="24">
        <f>($I$111+40*($H$8-0.5))/($I$111+$I$130)</f>
        <v>0.58609500829441408</v>
      </c>
      <c r="K59" s="24">
        <f>($I$112+40*($H$8-0.5))/($I$112+$I$130)</f>
        <v>0.59249983558717634</v>
      </c>
      <c r="L59" s="24">
        <f>($I$113+40*($H$9-0.5))/($I$113+$I$130)</f>
        <v>0.56303082252349013</v>
      </c>
      <c r="M59" s="24">
        <f>($I$114+40*($H$9-0.5))/($I$114+$I$130)</f>
        <v>0.45812057599015293</v>
      </c>
      <c r="N59" s="24">
        <f>($I$115+40*($H$9-0.5))/($I$115+$I$130)</f>
        <v>0.57405123662198121</v>
      </c>
      <c r="O59" s="24">
        <f>($I$116+40*($H$9-0.5))/($I$116+$I$130)</f>
        <v>0.55090154673913161</v>
      </c>
      <c r="P59" s="24">
        <f>($I$117+40*($H$10-0.5))/($I$117+$I$130)</f>
        <v>0.71838672179018015</v>
      </c>
      <c r="Q59" s="24">
        <f>($I$118+40*($H$10-0.5))/($I$118+$I$130)</f>
        <v>0.70060946257844248</v>
      </c>
      <c r="R59" s="24">
        <f>($I$119+40*($H$10-0.5))/($I$119+$I$130)</f>
        <v>0.71994079768818309</v>
      </c>
      <c r="S59" s="24">
        <f>($I$120+40*($H$10-0.5))/($I$120+$I$130)</f>
        <v>0.71277455401751422</v>
      </c>
      <c r="T59" s="24">
        <f>($I$121+40*($H$11-0.5))/($I$121+$I$130)</f>
        <v>0.6013383620038999</v>
      </c>
      <c r="U59" s="24">
        <f>($I$122+40*($H$11-0.5))/($I$122+$I$130)</f>
        <v>0.60041430191834466</v>
      </c>
      <c r="V59" s="24">
        <f>($I$123+40*($H$11-0.5))/($I$123+$I$130)</f>
        <v>0.62098028773400615</v>
      </c>
      <c r="W59" s="24">
        <f>($I$124+40*($H$11-0.5))/($I$124+$I$130)</f>
        <v>0.60569646321588988</v>
      </c>
      <c r="X59" s="24">
        <f>($I$125+40*($H$12-0.5))/($I$125+$I$130)</f>
        <v>0.49442082905701606</v>
      </c>
      <c r="Y59" s="24">
        <f>($I$126+40*($H$12-0.5))/($I$126+$I$130)</f>
        <v>0.47828411375505808</v>
      </c>
      <c r="Z59" s="24">
        <f>($I$127+40*($H$12-0.5))/($I$127+$I$130)</f>
        <v>0.49720624679593728</v>
      </c>
      <c r="AA59" s="24">
        <f>($I$128+40*($H$12-0.5))/($I$128+$I$130)</f>
        <v>0.48354365796582599</v>
      </c>
      <c r="AB59" s="24">
        <f>($I$129+40*($H$13-0.5))/($I$129+$I$130)</f>
        <v>0.52333211345017439</v>
      </c>
      <c r="AC59" s="3">
        <v>0</v>
      </c>
      <c r="AD59" s="24">
        <f>($I$130+40*($H$13-0.5))/($I$130+$I$131)</f>
        <v>0.50985021448612378</v>
      </c>
      <c r="AE59" s="24">
        <f>($I$130+40*($H$13-0.5))/($I$130+$I$132)</f>
        <v>0.48784559115428239</v>
      </c>
      <c r="AF59" s="24">
        <f>($I$130+40*($I$13-0.5))/($I$130+$I$133)</f>
        <v>0.29380949640711362</v>
      </c>
      <c r="AG59" s="24">
        <f>($I$130+40*($I$13-0.5))/($I$130+$I$134)</f>
        <v>0.27186450102761861</v>
      </c>
      <c r="AH59" s="24">
        <f>($I$130+40*($I$13-0.5))/($I$130+$I$135)</f>
        <v>0.28374525635688336</v>
      </c>
      <c r="AI59" s="24">
        <f>($I$130+40*($I$13-0.5))/($I$130+$I$136)</f>
        <v>0.2884763717974827</v>
      </c>
      <c r="AJ59" s="24">
        <f>($I$130+40*($J$13-0.5))/($I$130+$I$137)</f>
        <v>0.49345797331158081</v>
      </c>
      <c r="AK59" s="24">
        <f>($I$130+40*($J$13-0.5))/($I$130+$I$138)</f>
        <v>0.50302433716654793</v>
      </c>
      <c r="AL59" s="24">
        <f>($I$130+40*($J$13-0.5))/($I$130+$I$139)</f>
        <v>0.51057147463086561</v>
      </c>
      <c r="AM59" s="24">
        <f>($I$130+40*($J$13-0.5))/($I$130+$I$140)</f>
        <v>0.49184930287471323</v>
      </c>
      <c r="AN59" s="24">
        <f>($I$130+40*($K$13-0.5))/($I$130+$I$141)</f>
        <v>0.56565869530167379</v>
      </c>
      <c r="AO59" s="24">
        <f>($I$130+40*($K$13-0.5))/($I$130+$I$142)</f>
        <v>0.55811346363768188</v>
      </c>
      <c r="AP59" s="24">
        <f>($I$130+40*($K$13-0.5))/($I$130+$I$143)</f>
        <v>0.56413663025581107</v>
      </c>
      <c r="AQ59" s="24">
        <f>($I$130+40*($K$13-0.5))/($I$130+$I$144)</f>
        <v>0.54818611483028556</v>
      </c>
      <c r="AR59" s="24">
        <f>($I$130+40*($L$13-0.5))/($I$130+$I$145)</f>
        <v>0.29051199708714887</v>
      </c>
      <c r="AS59" s="24">
        <f>($I$130+40*($L$13-0.5))/($I$130+$I$146)</f>
        <v>0.30060067795564049</v>
      </c>
      <c r="AT59" s="24">
        <f>($I$130+40*($L$13-0.5))/($I$130+$I$147)</f>
        <v>0.29197528392848793</v>
      </c>
      <c r="AU59" s="24">
        <f>($I$130+40*($L$13-0.5))/($I$130+$I$148)</f>
        <v>0.29393390148931831</v>
      </c>
      <c r="AV59" s="24">
        <f>($I$130+40*($M$13-0.5))/($I$130+$I$149)</f>
        <v>0.71217164585224968</v>
      </c>
      <c r="AW59" s="24">
        <f>($I$130+40*($M$13-0.5))/($I$130+$I$150)</f>
        <v>0.72037637367703633</v>
      </c>
      <c r="AX59" s="24">
        <f>($I$130+40*($M$13-0.5))/($I$130+$I$151)</f>
        <v>0.70750356711783824</v>
      </c>
      <c r="AY59" s="24">
        <f>($I$130+40*($M$13-0.5))/($I$130+$I$152)</f>
        <v>0.71344132962083306</v>
      </c>
      <c r="AZ59" s="24">
        <f>($I$130+40*($N$13-0.5))/($I$130+$I$153)</f>
        <v>0.72578562355481102</v>
      </c>
      <c r="BA59" s="24">
        <f>($I$130+40*($N$13-0.5))/($I$130+$I$154)</f>
        <v>0.7116489570503336</v>
      </c>
      <c r="BB59" s="24">
        <f>($I$130+40*($N$7-0.5))/($I$130+$I$155)</f>
        <v>0.83995212785566331</v>
      </c>
      <c r="BC59" s="24">
        <f>($I$130+40*($N$13-0.5))/($I$130+$I$156)</f>
        <v>0.77092013697906803</v>
      </c>
      <c r="BD59" s="24">
        <f>($I$130+40*($O$13-0.5))/($I$130+$I$157)</f>
        <v>0.77444246606684641</v>
      </c>
      <c r="BE59" s="24">
        <f>($I$130+40*($O$13-0.5))/($I$130+$I$158)</f>
        <v>0.85935831300273213</v>
      </c>
      <c r="BF59" s="24">
        <f>($I$130+40*($O$13-0.5))/($I$130+$I$159)</f>
        <v>0.83439960299039273</v>
      </c>
      <c r="BG59" s="24">
        <f>($I$130+40*($O$13-0.5))/($I$130+$I$160)</f>
        <v>0.82544819638123768</v>
      </c>
      <c r="BH59" s="24">
        <f>($I$130+40*($P$13-0.5))/($I$130+$I$161)</f>
        <v>0.85182036362501901</v>
      </c>
      <c r="BI59" s="24">
        <f>($I$130+40*($P$13-0.5))/($I$130+$I$162)</f>
        <v>0.87141443654715001</v>
      </c>
      <c r="BJ59" s="24">
        <f>($I$130+40*($P$13-0.5))/($I$130+$I$163)</f>
        <v>0.87943477693790428</v>
      </c>
      <c r="BK59" s="24">
        <f>($I$130+40*($P$13-0.5))/($I$130+$I$164)</f>
        <v>0.88744961678730627</v>
      </c>
      <c r="BL59" s="24">
        <f>($I$130+40*($Q$13-0.5))/($I$130+$I$165)</f>
        <v>0.89232796070218368</v>
      </c>
      <c r="BM59" s="24">
        <f>($I$130+40*($Q$13-0.5))/($I$130+$I$166)</f>
        <v>0.87240813201859879</v>
      </c>
      <c r="BN59" s="24">
        <f>($I$130+40*($Q$7-0.5))/($I$130+$I$167)</f>
        <v>0.91955082901816032</v>
      </c>
      <c r="BO59" s="24">
        <f>($I$130+40*($Q$13-0.5))/($I$130+$I$168)</f>
        <v>0.88766721141706806</v>
      </c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  <c r="IT59" s="40"/>
      <c r="IU59" s="40"/>
      <c r="IV59" s="40"/>
      <c r="IW59" s="40"/>
      <c r="IX59" s="40"/>
      <c r="IY59" s="40"/>
      <c r="IZ59" s="40"/>
      <c r="JA59" s="40"/>
      <c r="JB59" s="40"/>
      <c r="JC59" s="40"/>
      <c r="JD59" s="40"/>
      <c r="JE59" s="40"/>
      <c r="JF59" s="40"/>
      <c r="JG59" s="40"/>
      <c r="JH59" s="40"/>
      <c r="JI59" s="40"/>
      <c r="JJ59" s="40"/>
      <c r="JK59" s="40"/>
      <c r="JL59" s="40"/>
      <c r="JM59" s="40"/>
      <c r="JN59" s="40"/>
      <c r="JO59" s="40"/>
      <c r="JP59" s="40"/>
      <c r="JQ59" s="40"/>
      <c r="JR59" s="40"/>
      <c r="JS59" s="40"/>
      <c r="JT59" s="40"/>
      <c r="JU59" s="40"/>
      <c r="JV59" s="40"/>
      <c r="JW59" s="40"/>
      <c r="JX59" s="40"/>
      <c r="JY59" s="40"/>
      <c r="JZ59" s="40"/>
      <c r="KA59" s="40"/>
      <c r="KB59" s="40"/>
      <c r="KC59" s="40"/>
      <c r="KD59" s="40"/>
      <c r="KE59" s="40"/>
      <c r="KF59" s="40"/>
      <c r="KG59" s="40"/>
      <c r="KH59" s="40"/>
      <c r="KI59" s="40"/>
      <c r="KJ59" s="40"/>
      <c r="KK59" s="40"/>
      <c r="KL59" s="40"/>
      <c r="KM59" s="40"/>
      <c r="KN59" s="40"/>
      <c r="KO59" s="40"/>
      <c r="KP59" s="40"/>
      <c r="KQ59" s="40"/>
      <c r="KR59" s="40"/>
      <c r="KS59" s="40"/>
      <c r="KT59" s="40"/>
      <c r="KU59" s="40"/>
      <c r="KV59" s="40"/>
      <c r="KW59" s="40"/>
      <c r="KX59" s="40"/>
      <c r="KY59" s="40"/>
      <c r="KZ59" s="40"/>
      <c r="LA59" s="40"/>
      <c r="LB59" s="40"/>
      <c r="LC59" s="40"/>
      <c r="LD59" s="40"/>
      <c r="LE59" s="40"/>
      <c r="LF59" s="40"/>
      <c r="LG59" s="40"/>
      <c r="LH59" s="40"/>
      <c r="LI59" s="40"/>
      <c r="LJ59" s="40"/>
      <c r="LK59" s="40"/>
      <c r="LL59" s="40"/>
      <c r="LM59" s="40"/>
      <c r="LN59" s="40"/>
      <c r="LO59" s="40"/>
      <c r="LP59" s="40"/>
      <c r="LQ59" s="40"/>
      <c r="LR59" s="40"/>
      <c r="LS59" s="40"/>
      <c r="LT59" s="40"/>
      <c r="LU59" s="40"/>
      <c r="LV59" s="40"/>
      <c r="LW59" s="40"/>
      <c r="LX59" s="40"/>
      <c r="LY59" s="40"/>
      <c r="LZ59" s="40"/>
      <c r="MA59" s="40"/>
      <c r="MB59" s="40"/>
      <c r="MC59" s="40"/>
      <c r="MD59" s="40"/>
      <c r="ME59" s="40"/>
      <c r="MF59" s="40"/>
      <c r="MG59" s="40"/>
      <c r="MH59" s="40"/>
      <c r="MI59" s="40"/>
      <c r="MJ59" s="40"/>
      <c r="MK59" s="40"/>
      <c r="ML59" s="40"/>
      <c r="MM59" s="40"/>
      <c r="MN59" s="40"/>
      <c r="MO59" s="40"/>
      <c r="MP59" s="40"/>
      <c r="MQ59" s="40"/>
      <c r="MR59" s="40"/>
      <c r="MS59" s="40"/>
      <c r="MT59" s="40"/>
    </row>
    <row r="60" spans="1:358" x14ac:dyDescent="0.25">
      <c r="A60" t="str">
        <f>$A$131</f>
        <v>Texas</v>
      </c>
      <c r="B60" s="54"/>
      <c r="C60" s="3">
        <v>27</v>
      </c>
      <c r="D60" s="24">
        <f>($I$105+40*($H$7-0.5))/($I$105+$I$131)</f>
        <v>0.75194710496489436</v>
      </c>
      <c r="E60" s="24">
        <f>($I$106+40*($H$7-0.5))/($I$106+$I$131)</f>
        <v>0.74998131608747298</v>
      </c>
      <c r="F60" s="24">
        <f>($I$107+40*($H$7-0.5))/($I$107+$I$131)</f>
        <v>0.76036152978773441</v>
      </c>
      <c r="G60" s="24">
        <f>($I$108+40*($H$7-0.5))/($I$108+$I$131)</f>
        <v>0.73100201044805513</v>
      </c>
      <c r="H60" s="24">
        <f>($I$109+40*($H$8-0.5))/($I$109+$I$131)</f>
        <v>0.59648275819598751</v>
      </c>
      <c r="I60" s="24">
        <f>($I$110+40*($H$8-0.5))/($I$110+$I$131)</f>
        <v>0.59261129083626329</v>
      </c>
      <c r="J60" s="24">
        <f>($I$111+40*($H$8-0.5))/($I$111+$I$131)</f>
        <v>0.59739602969677497</v>
      </c>
      <c r="K60" s="24">
        <f>($I$112+40*($H$8-0.5))/($I$112+$I$131)</f>
        <v>0.60374421449369942</v>
      </c>
      <c r="L60" s="24">
        <f>($I$113+40*($H$9-0.5))/($I$113+$I$131)</f>
        <v>0.57362593031608899</v>
      </c>
      <c r="M60" s="24">
        <f>($I$114+40*($H$9-0.5))/($I$114+$I$131)</f>
        <v>0.4688597634882789</v>
      </c>
      <c r="N60" s="24">
        <f>($I$115+40*($H$9-0.5))/($I$115+$I$131)</f>
        <v>0.58457629127450661</v>
      </c>
      <c r="O60" s="24">
        <f>($I$116+40*($H$9-0.5))/($I$116+$I$131)</f>
        <v>0.56156173480616367</v>
      </c>
      <c r="P60" s="24">
        <f>($I$117+40*($H$10-0.5))/($I$117+$I$131)</f>
        <v>0.73235174280657156</v>
      </c>
      <c r="Q60" s="24">
        <f>($I$118+40*($H$10-0.5))/($I$118+$I$131)</f>
        <v>0.7151064414500985</v>
      </c>
      <c r="R60" s="24">
        <f>($I$119+40*($H$10-0.5))/($I$119+$I$131)</f>
        <v>0.73385730379432368</v>
      </c>
      <c r="S60" s="24">
        <f>($I$120+40*($H$10-0.5))/($I$120+$I$131)</f>
        <v>0.72691208426728415</v>
      </c>
      <c r="T60" s="24">
        <f>($I$121+40*($H$11-0.5))/($I$121+$I$131)</f>
        <v>0.61336965722427106</v>
      </c>
      <c r="U60" s="24">
        <f>($I$122+40*($H$11-0.5))/($I$122+$I$131)</f>
        <v>0.61245551195096504</v>
      </c>
      <c r="V60" s="24">
        <f>($I$123+40*($H$11-0.5))/($I$123+$I$131)</f>
        <v>0.6327807966431358</v>
      </c>
      <c r="W60" s="24">
        <f>($I$124+40*($H$11-0.5))/($I$124+$I$131)</f>
        <v>0.61767985500995382</v>
      </c>
      <c r="X60" s="24">
        <f>($I$125+40*($H$12-0.5))/($I$125+$I$131)</f>
        <v>0.50427198262796924</v>
      </c>
      <c r="Y60" s="24">
        <f>($I$126+40*($H$12-0.5))/($I$126+$I$131)</f>
        <v>0.48812416698691519</v>
      </c>
      <c r="Z60" s="24">
        <f>($I$127+40*($H$12-0.5))/($I$127+$I$131)</f>
        <v>0.50705723811653158</v>
      </c>
      <c r="AA60" s="24">
        <f>($I$128+40*($H$12-0.5))/($I$128+$I$131)</f>
        <v>0.49338958629940338</v>
      </c>
      <c r="AB60" s="24">
        <f>($I$129+40*($H$13-0.5))/($I$129+$I$131)</f>
        <v>0.53315185126413756</v>
      </c>
      <c r="AC60" s="24">
        <f>($I$130+40*($H$13-0.5))/($I$130+$I$131)</f>
        <v>0.50985021448612378</v>
      </c>
      <c r="AD60" s="3">
        <v>0</v>
      </c>
      <c r="AE60" s="24">
        <f>($I$131+40*($H$13-0.5))/($I$131+$I$132)</f>
        <v>0.47800590950912869</v>
      </c>
      <c r="AF60" s="24">
        <f>($I$131+40*($I$13-0.5))/($I$131+$I$133)</f>
        <v>0.27947495996457322</v>
      </c>
      <c r="AG60" s="24">
        <f>($I$131+40*($I$13-0.5))/($I$131+$I$134)</f>
        <v>0.25820915473358885</v>
      </c>
      <c r="AH60" s="24">
        <f>($I$131+40*($I$13-0.5))/($I$131+$I$135)</f>
        <v>0.26971420517504274</v>
      </c>
      <c r="AI60" s="24">
        <f>($I$131+40*($I$13-0.5))/($I$131+$I$136)</f>
        <v>0.27430096473363103</v>
      </c>
      <c r="AJ60" s="24">
        <f>($I$131+40*($J$13-0.5))/($I$131+$I$137)</f>
        <v>0.48343652636367063</v>
      </c>
      <c r="AK60" s="24">
        <f>($I$131+40*($J$13-0.5))/($I$131+$I$138)</f>
        <v>0.49299769541375615</v>
      </c>
      <c r="AL60" s="24">
        <f>($I$131+40*($J$13-0.5))/($I$131+$I$139)</f>
        <v>0.50054591359601164</v>
      </c>
      <c r="AM60" s="24">
        <f>($I$131+40*($J$13-0.5))/($I$131+$I$140)</f>
        <v>0.48182944978577635</v>
      </c>
      <c r="AN60" s="24">
        <f>($I$131+40*($K$13-0.5))/($I$131+$I$141)</f>
        <v>0.55678663450200083</v>
      </c>
      <c r="AO60" s="24">
        <f>($I$131+40*($K$13-0.5))/($I$131+$I$142)</f>
        <v>0.54921010505505841</v>
      </c>
      <c r="AP60" s="24">
        <f>($I$131+40*($K$13-0.5))/($I$131+$I$143)</f>
        <v>0.55525792349010572</v>
      </c>
      <c r="AQ60" s="24">
        <f>($I$131+40*($K$13-0.5))/($I$131+$I$144)</f>
        <v>0.5392478630829145</v>
      </c>
      <c r="AR60" s="24">
        <f>($I$131+40*($L$13-0.5))/($I$131+$I$145)</f>
        <v>0.27627540138149209</v>
      </c>
      <c r="AS60" s="24">
        <f>($I$131+40*($L$13-0.5))/($I$131+$I$146)</f>
        <v>0.28606902810189178</v>
      </c>
      <c r="AT60" s="24">
        <f>($I$131+40*($L$13-0.5))/($I$131+$I$147)</f>
        <v>0.27769504648411286</v>
      </c>
      <c r="AU60" s="24">
        <f>($I$131+40*($L$13-0.5))/($I$131+$I$148)</f>
        <v>0.27959569856411226</v>
      </c>
      <c r="AV60" s="24">
        <f>($I$131+40*($M$13-0.5))/($I$131+$I$149)</f>
        <v>0.70568747256168907</v>
      </c>
      <c r="AW60" s="24">
        <f>($I$131+40*($M$13-0.5))/($I$131+$I$150)</f>
        <v>0.71400280874635635</v>
      </c>
      <c r="AX60" s="24">
        <f>($I$131+40*($M$13-0.5))/($I$131+$I$151)</f>
        <v>0.7009583894072916</v>
      </c>
      <c r="AY60" s="24">
        <f>($I$131+40*($M$13-0.5))/($I$131+$I$152)</f>
        <v>0.70697399070060463</v>
      </c>
      <c r="AZ60" s="24">
        <f>($I$131+40*($N$13-0.5))/($I$131+$I$153)</f>
        <v>0.71970129748399014</v>
      </c>
      <c r="BA60" s="24">
        <f>($I$131+40*($N$13-0.5))/($I$131+$I$154)</f>
        <v>0.70537829216879411</v>
      </c>
      <c r="BB60" s="24">
        <f>($I$131+40*($N$7-0.5))/($I$131+$I$155)</f>
        <v>0.83623359477768477</v>
      </c>
      <c r="BC60" s="24">
        <f>($I$131+40*($N$13-0.5))/($I$131+$I$156)</f>
        <v>0.76551371591941242</v>
      </c>
      <c r="BD60" s="24">
        <f>($I$131+40*($O$13-0.5))/($I$131+$I$157)</f>
        <v>0.76961935290799877</v>
      </c>
      <c r="BE60" s="24">
        <f>($I$131+40*($O$13-0.5))/($I$131+$I$158)</f>
        <v>0.85601336979373666</v>
      </c>
      <c r="BF60" s="24">
        <f>($I$131+40*($O$13-0.5))/($I$131+$I$159)</f>
        <v>0.83057808441457071</v>
      </c>
      <c r="BG60" s="24">
        <f>($I$131+40*($O$13-0.5))/($I$131+$I$160)</f>
        <v>0.82146430790215619</v>
      </c>
      <c r="BH60" s="24">
        <f>($I$131+40*($P$13-0.5))/($I$131+$I$161)</f>
        <v>0.84832778373305939</v>
      </c>
      <c r="BI60" s="24">
        <f>($I$131+40*($P$13-0.5))/($I$131+$I$162)</f>
        <v>0.86831229011613487</v>
      </c>
      <c r="BJ60" s="24">
        <f>($I$131+40*($P$13-0.5))/($I$131+$I$163)</f>
        <v>0.87649869978315675</v>
      </c>
      <c r="BK60" s="24">
        <f>($I$131+40*($P$13-0.5))/($I$131+$I$164)</f>
        <v>0.88468312836709617</v>
      </c>
      <c r="BL60" s="24">
        <f>($I$131+40*($Q$13-0.5))/($I$131+$I$165)</f>
        <v>0.88966647402006915</v>
      </c>
      <c r="BM60" s="24">
        <f>($I$131+40*($Q$13-0.5))/($I$131+$I$166)</f>
        <v>0.869326363744791</v>
      </c>
      <c r="BN60" s="24">
        <f>($I$131+40*($Q$7-0.5))/($I$131+$I$167)</f>
        <v>0.91750003615771691</v>
      </c>
      <c r="BO60" s="24">
        <f>($I$131+40*($Q$13-0.5))/($I$131+$I$168)</f>
        <v>0.88490537782128409</v>
      </c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  <c r="IY60" s="40"/>
      <c r="IZ60" s="40"/>
      <c r="JA60" s="40"/>
      <c r="JB60" s="40"/>
      <c r="JC60" s="40"/>
      <c r="JD60" s="40"/>
      <c r="JE60" s="40"/>
      <c r="JF60" s="40"/>
      <c r="JG60" s="40"/>
      <c r="JH60" s="40"/>
      <c r="JI60" s="40"/>
      <c r="JJ60" s="40"/>
      <c r="JK60" s="40"/>
      <c r="JL60" s="40"/>
      <c r="JM60" s="40"/>
      <c r="JN60" s="40"/>
      <c r="JO60" s="40"/>
      <c r="JP60" s="40"/>
      <c r="JQ60" s="40"/>
      <c r="JR60" s="40"/>
      <c r="JS60" s="40"/>
      <c r="JT60" s="40"/>
      <c r="JU60" s="40"/>
      <c r="JV60" s="40"/>
      <c r="JW60" s="40"/>
      <c r="JX60" s="40"/>
      <c r="JY60" s="40"/>
      <c r="JZ60" s="40"/>
      <c r="KA60" s="40"/>
      <c r="KB60" s="40"/>
      <c r="KC60" s="40"/>
      <c r="KD60" s="40"/>
      <c r="KE60" s="40"/>
      <c r="KF60" s="40"/>
      <c r="KG60" s="40"/>
      <c r="KH60" s="40"/>
      <c r="KI60" s="40"/>
      <c r="KJ60" s="40"/>
      <c r="KK60" s="40"/>
      <c r="KL60" s="40"/>
      <c r="KM60" s="40"/>
      <c r="KN60" s="40"/>
      <c r="KO60" s="40"/>
      <c r="KP60" s="40"/>
      <c r="KQ60" s="40"/>
      <c r="KR60" s="40"/>
      <c r="KS60" s="40"/>
      <c r="KT60" s="40"/>
      <c r="KU60" s="40"/>
      <c r="KV60" s="40"/>
      <c r="KW60" s="40"/>
      <c r="KX60" s="40"/>
      <c r="KY60" s="40"/>
      <c r="KZ60" s="40"/>
      <c r="LA60" s="40"/>
      <c r="LB60" s="40"/>
      <c r="LC60" s="40"/>
      <c r="LD60" s="40"/>
      <c r="LE60" s="40"/>
      <c r="LF60" s="40"/>
      <c r="LG60" s="40"/>
      <c r="LH60" s="40"/>
      <c r="LI60" s="40"/>
      <c r="LJ60" s="40"/>
      <c r="LK60" s="40"/>
      <c r="LL60" s="40"/>
      <c r="LM60" s="40"/>
      <c r="LN60" s="40"/>
      <c r="LO60" s="40"/>
      <c r="LP60" s="40"/>
      <c r="LQ60" s="40"/>
      <c r="LR60" s="40"/>
      <c r="LS60" s="40"/>
      <c r="LT60" s="40"/>
      <c r="LU60" s="40"/>
      <c r="LV60" s="40"/>
      <c r="LW60" s="40"/>
      <c r="LX60" s="40"/>
      <c r="LY60" s="40"/>
      <c r="LZ60" s="40"/>
      <c r="MA60" s="40"/>
      <c r="MB60" s="40"/>
      <c r="MC60" s="40"/>
      <c r="MD60" s="40"/>
      <c r="ME60" s="40"/>
      <c r="MF60" s="40"/>
      <c r="MG60" s="40"/>
      <c r="MH60" s="40"/>
      <c r="MI60" s="40"/>
      <c r="MJ60" s="40"/>
      <c r="MK60" s="40"/>
      <c r="ML60" s="40"/>
      <c r="MM60" s="40"/>
      <c r="MN60" s="40"/>
      <c r="MO60" s="40"/>
      <c r="MP60" s="40"/>
      <c r="MQ60" s="40"/>
      <c r="MR60" s="40"/>
      <c r="MS60" s="40"/>
      <c r="MT60" s="40"/>
    </row>
    <row r="61" spans="1:358" x14ac:dyDescent="0.25">
      <c r="A61" t="str">
        <f>$A$132</f>
        <v>Uconn</v>
      </c>
      <c r="B61" s="54"/>
      <c r="C61" s="3">
        <v>28</v>
      </c>
      <c r="D61" s="24">
        <f>($I$105+40*($H$7-0.5))/($I$105+$I$132)</f>
        <v>0.7221584070487993</v>
      </c>
      <c r="E61" s="24">
        <f>($I$106+40*($H$7-0.5))/($I$106+$I$132)</f>
        <v>0.72004443768398085</v>
      </c>
      <c r="F61" s="24">
        <f>($I$107+40*($H$7-0.5))/($I$107+$I$132)</f>
        <v>0.73122212923017682</v>
      </c>
      <c r="G61" s="24">
        <f>($I$108+40*($H$7-0.5))/($I$108+$I$132)</f>
        <v>0.69970252319773818</v>
      </c>
      <c r="H61" s="24">
        <f>($I$109+40*($H$8-0.5))/($I$109+$I$132)</f>
        <v>0.57120817493156928</v>
      </c>
      <c r="I61" s="24">
        <f>($I$110+40*($H$8-0.5))/($I$110+$I$132)</f>
        <v>0.56727013603249998</v>
      </c>
      <c r="J61" s="24">
        <f>($I$111+40*($H$8-0.5))/($I$111+$I$132)</f>
        <v>0.57213761732411827</v>
      </c>
      <c r="K61" s="24">
        <f>($I$112+40*($H$8-0.5))/($I$112+$I$132)</f>
        <v>0.5786031366503146</v>
      </c>
      <c r="L61" s="24">
        <f>($I$113+40*($H$9-0.5))/($I$113+$I$132)</f>
        <v>0.54993194951676017</v>
      </c>
      <c r="M61" s="24">
        <f>($I$114+40*($H$9-0.5))/($I$114+$I$132)</f>
        <v>0.44497697473065884</v>
      </c>
      <c r="N61" s="24">
        <f>($I$115+40*($H$9-0.5))/($I$115+$I$132)</f>
        <v>0.56102515275018416</v>
      </c>
      <c r="O61" s="24">
        <f>($I$116+40*($H$9-0.5))/($I$116+$I$132)</f>
        <v>0.53773759931558063</v>
      </c>
      <c r="P61" s="24">
        <f>($I$117+40*($H$10-0.5))/($I$117+$I$132)</f>
        <v>0.70114509849723949</v>
      </c>
      <c r="Q61" s="24">
        <f>($I$118+40*($H$10-0.5))/($I$118+$I$132)</f>
        <v>0.68276007543973583</v>
      </c>
      <c r="R61" s="24">
        <f>($I$119+40*($H$10-0.5))/($I$119+$I$132)</f>
        <v>0.70275495293907997</v>
      </c>
      <c r="S61" s="24">
        <f>($I$120+40*($H$10-0.5))/($I$120+$I$132)</f>
        <v>0.69533504897214204</v>
      </c>
      <c r="T61" s="24">
        <f>($I$121+40*($H$11-0.5))/($I$121+$I$132)</f>
        <v>0.58650264814629072</v>
      </c>
      <c r="U61" s="24">
        <f>($I$122+40*($H$11-0.5))/($I$122+$I$132)</f>
        <v>0.58556789974796342</v>
      </c>
      <c r="V61" s="24">
        <f>($I$123+40*($H$11-0.5))/($I$123+$I$132)</f>
        <v>0.60639708456353192</v>
      </c>
      <c r="W61" s="24">
        <f>($I$124+40*($H$11-0.5))/($I$124+$I$132)</f>
        <v>0.59091259961655596</v>
      </c>
      <c r="X61" s="24">
        <f>($I$125+40*($H$12-0.5))/($I$125+$I$132)</f>
        <v>0.48227122907124664</v>
      </c>
      <c r="Y61" s="24">
        <f>($I$126+40*($H$12-0.5))/($I$126+$I$132)</f>
        <v>0.46616542660739962</v>
      </c>
      <c r="Z61" s="24">
        <f>($I$127+40*($H$12-0.5))/($I$127+$I$132)</f>
        <v>0.48505386801867917</v>
      </c>
      <c r="AA61" s="24">
        <f>($I$128+40*($H$12-0.5))/($I$128+$I$132)</f>
        <v>0.47141212137946642</v>
      </c>
      <c r="AB61" s="24">
        <f>($I$129+40*($H$13-0.5))/($I$129+$I$132)</f>
        <v>0.51119039845739167</v>
      </c>
      <c r="AC61" s="24">
        <f>($I$130+40*($H$13-0.5))/($I$130+$I$132)</f>
        <v>0.48784559115428239</v>
      </c>
      <c r="AD61" s="24">
        <f>($I$131+40*($H$13-0.5))/($I$131+$I$132)</f>
        <v>0.47800590950912869</v>
      </c>
      <c r="AE61" s="3">
        <v>0</v>
      </c>
      <c r="AF61" s="24">
        <f>($I$132+40*($I$13-0.5))/($I$132+$I$133)</f>
        <v>0.31147407366664814</v>
      </c>
      <c r="AG61" s="24">
        <f>($I$132+40*($I$13-0.5))/($I$132+$I$134)</f>
        <v>0.28874916468441886</v>
      </c>
      <c r="AH61" s="24">
        <f>($I$132+40*($I$13-0.5))/($I$132+$I$135)</f>
        <v>0.30106270647165939</v>
      </c>
      <c r="AI61" s="24">
        <f>($I$132+40*($I$13-0.5))/($I$132+$I$136)</f>
        <v>0.30595922672465653</v>
      </c>
      <c r="AJ61" s="24">
        <f>($I$132+40*($J$13-0.5))/($I$132+$I$137)</f>
        <v>0.50582140528202568</v>
      </c>
      <c r="AK61" s="24">
        <f>($I$132+40*($J$13-0.5))/($I$132+$I$138)</f>
        <v>0.51538358554689234</v>
      </c>
      <c r="AL61" s="24">
        <f>($I$132+40*($J$13-0.5))/($I$132+$I$139)</f>
        <v>0.52292104223396141</v>
      </c>
      <c r="AM61" s="24">
        <f>($I$132+40*($J$13-0.5))/($I$132+$I$140)</f>
        <v>0.50421254949245098</v>
      </c>
      <c r="AN61" s="24">
        <f>($I$132+40*($K$13-0.5))/($I$132+$I$141)</f>
        <v>0.57658875230795492</v>
      </c>
      <c r="AO61" s="24">
        <f>($I$132+40*($K$13-0.5))/($I$132+$I$142)</f>
        <v>0.56908875099411738</v>
      </c>
      <c r="AP61" s="24">
        <f>($I$132+40*($K$13-0.5))/($I$132+$I$143)</f>
        <v>0.57507621680098142</v>
      </c>
      <c r="AQ61" s="24">
        <f>($I$132+40*($K$13-0.5))/($I$132+$I$144)</f>
        <v>0.55921323595306294</v>
      </c>
      <c r="AR61" s="24">
        <f>($I$132+40*($L$13-0.5))/($I$132+$I$145)</f>
        <v>0.30806480557648303</v>
      </c>
      <c r="AS61" s="24">
        <f>($I$132+40*($L$13-0.5))/($I$132+$I$146)</f>
        <v>0.31848941510657486</v>
      </c>
      <c r="AT61" s="24">
        <f>($I$132+40*($L$13-0.5))/($I$132+$I$147)</f>
        <v>0.30957792682546093</v>
      </c>
      <c r="AU61" s="24">
        <f>($I$132+40*($L$13-0.5))/($I$132+$I$148)</f>
        <v>0.31160265798943848</v>
      </c>
      <c r="AV61" s="24">
        <f>($I$132+40*($M$13-0.5))/($I$132+$I$149)</f>
        <v>0.72012336235318175</v>
      </c>
      <c r="AW61" s="24">
        <f>($I$132+40*($M$13-0.5))/($I$132+$I$150)</f>
        <v>0.72818793334946574</v>
      </c>
      <c r="AX61" s="24">
        <f>($I$132+40*($M$13-0.5))/($I$132+$I$151)</f>
        <v>0.71553273416857499</v>
      </c>
      <c r="AY61" s="24">
        <f>($I$132+40*($M$13-0.5))/($I$132+$I$152)</f>
        <v>0.72137169254060829</v>
      </c>
      <c r="AZ61" s="24">
        <f>($I$132+40*($N$13-0.5))/($I$132+$I$153)</f>
        <v>0.73325251942618408</v>
      </c>
      <c r="BA61" s="24">
        <f>($I$132+40*($N$13-0.5))/($I$132+$I$154)</f>
        <v>0.7193519457398353</v>
      </c>
      <c r="BB61" s="24">
        <f>($I$132+40*($N$7-0.5))/($I$132+$I$155)</f>
        <v>0.84450526668304726</v>
      </c>
      <c r="BC61" s="24">
        <f>($I$132+40*($N$13-0.5))/($I$132+$I$156)</f>
        <v>0.77753472837305149</v>
      </c>
      <c r="BD61" s="24">
        <f>($I$132+40*($O$13-0.5))/($I$132+$I$157)</f>
        <v>0.7803719598660328</v>
      </c>
      <c r="BE61" s="24">
        <f>($I$132+40*($O$13-0.5))/($I$132+$I$158)</f>
        <v>0.8634491242938841</v>
      </c>
      <c r="BF61" s="24">
        <f>($I$132+40*($O$13-0.5))/($I$132+$I$159)</f>
        <v>0.83908044083951716</v>
      </c>
      <c r="BG61" s="24">
        <f>($I$132+40*($O$13-0.5))/($I$132+$I$160)</f>
        <v>0.8303306037374808</v>
      </c>
      <c r="BH61" s="24">
        <f>($I$132+40*($P$13-0.5))/($I$132+$I$161)</f>
        <v>0.85609371356483766</v>
      </c>
      <c r="BI61" s="24">
        <f>($I$132+40*($P$13-0.5))/($I$132+$I$162)</f>
        <v>0.87520549844345874</v>
      </c>
      <c r="BJ61" s="24">
        <f>($I$132+40*($P$13-0.5))/($I$132+$I$163)</f>
        <v>0.88302111949968032</v>
      </c>
      <c r="BK61" s="24">
        <f>($I$132+40*($P$13-0.5))/($I$132+$I$164)</f>
        <v>0.89082714547120445</v>
      </c>
      <c r="BL61" s="24">
        <f>($I$132+40*($Q$13-0.5))/($I$132+$I$165)</f>
        <v>0.89557632079454208</v>
      </c>
      <c r="BM61" s="24">
        <f>($I$132+40*($Q$13-0.5))/($I$132+$I$166)</f>
        <v>0.87617406001778486</v>
      </c>
      <c r="BN61" s="24">
        <f>($I$132+40*($Q$7-0.5))/($I$132+$I$167)</f>
        <v>0.9220496463190565</v>
      </c>
      <c r="BO61" s="24">
        <f>($I$132+40*($Q$13-0.5))/($I$132+$I$168)</f>
        <v>0.89103901202448799</v>
      </c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  <c r="IT61" s="40"/>
      <c r="IU61" s="40"/>
      <c r="IV61" s="40"/>
      <c r="IW61" s="40"/>
      <c r="IX61" s="40"/>
      <c r="IY61" s="40"/>
      <c r="IZ61" s="40"/>
      <c r="JA61" s="40"/>
      <c r="JB61" s="40"/>
      <c r="JC61" s="40"/>
      <c r="JD61" s="40"/>
      <c r="JE61" s="40"/>
      <c r="JF61" s="40"/>
      <c r="JG61" s="40"/>
      <c r="JH61" s="40"/>
      <c r="JI61" s="40"/>
      <c r="JJ61" s="40"/>
      <c r="JK61" s="40"/>
      <c r="JL61" s="40"/>
      <c r="JM61" s="40"/>
      <c r="JN61" s="40"/>
      <c r="JO61" s="40"/>
      <c r="JP61" s="40"/>
      <c r="JQ61" s="40"/>
      <c r="JR61" s="40"/>
      <c r="JS61" s="40"/>
      <c r="JT61" s="40"/>
      <c r="JU61" s="40"/>
      <c r="JV61" s="40"/>
      <c r="JW61" s="40"/>
      <c r="JX61" s="40"/>
      <c r="JY61" s="40"/>
      <c r="JZ61" s="40"/>
      <c r="KA61" s="40"/>
      <c r="KB61" s="40"/>
      <c r="KC61" s="40"/>
      <c r="KD61" s="40"/>
      <c r="KE61" s="40"/>
      <c r="KF61" s="40"/>
      <c r="KG61" s="40"/>
      <c r="KH61" s="40"/>
      <c r="KI61" s="40"/>
      <c r="KJ61" s="40"/>
      <c r="KK61" s="40"/>
      <c r="KL61" s="40"/>
      <c r="KM61" s="40"/>
      <c r="KN61" s="40"/>
      <c r="KO61" s="40"/>
      <c r="KP61" s="40"/>
      <c r="KQ61" s="40"/>
      <c r="KR61" s="40"/>
      <c r="KS61" s="40"/>
      <c r="KT61" s="40"/>
      <c r="KU61" s="40"/>
      <c r="KV61" s="40"/>
      <c r="KW61" s="40"/>
      <c r="KX61" s="40"/>
      <c r="KY61" s="40"/>
      <c r="KZ61" s="40"/>
      <c r="LA61" s="40"/>
      <c r="LB61" s="40"/>
      <c r="LC61" s="40"/>
      <c r="LD61" s="40"/>
      <c r="LE61" s="40"/>
      <c r="LF61" s="40"/>
      <c r="LG61" s="40"/>
      <c r="LH61" s="40"/>
      <c r="LI61" s="40"/>
      <c r="LJ61" s="40"/>
      <c r="LK61" s="40"/>
      <c r="LL61" s="40"/>
      <c r="LM61" s="40"/>
      <c r="LN61" s="40"/>
      <c r="LO61" s="40"/>
      <c r="LP61" s="40"/>
      <c r="LQ61" s="40"/>
      <c r="LR61" s="40"/>
      <c r="LS61" s="40"/>
      <c r="LT61" s="40"/>
      <c r="LU61" s="40"/>
      <c r="LV61" s="40"/>
      <c r="LW61" s="40"/>
      <c r="LX61" s="40"/>
      <c r="LY61" s="40"/>
      <c r="LZ61" s="40"/>
      <c r="MA61" s="40"/>
      <c r="MB61" s="40"/>
      <c r="MC61" s="40"/>
      <c r="MD61" s="40"/>
      <c r="ME61" s="40"/>
      <c r="MF61" s="40"/>
      <c r="MG61" s="40"/>
      <c r="MH61" s="40"/>
      <c r="MI61" s="40"/>
      <c r="MJ61" s="40"/>
      <c r="MK61" s="40"/>
      <c r="ML61" s="40"/>
      <c r="MM61" s="40"/>
      <c r="MN61" s="40"/>
      <c r="MO61" s="40"/>
      <c r="MP61" s="40"/>
      <c r="MQ61" s="40"/>
      <c r="MR61" s="40"/>
      <c r="MS61" s="40"/>
      <c r="MT61" s="40"/>
    </row>
    <row r="62" spans="1:358" x14ac:dyDescent="0.25">
      <c r="A62" t="str">
        <f>$A$133</f>
        <v>Colorado</v>
      </c>
      <c r="B62" s="54">
        <v>8</v>
      </c>
      <c r="C62" s="3">
        <v>29</v>
      </c>
      <c r="D62" s="24">
        <f>($I$105+40*($I$7-0.5))/($I$105+$I$133)</f>
        <v>0.65772027510182429</v>
      </c>
      <c r="E62" s="24">
        <f>($I$106+40*($I$7-0.5))/($I$106+$I$133)</f>
        <v>0.65498312954069771</v>
      </c>
      <c r="F62" s="24">
        <f>($I$107+40*($I$7-0.5))/($I$107+$I$133)</f>
        <v>0.66943202597689533</v>
      </c>
      <c r="G62" s="24">
        <f>($I$108+40*($I$7-0.5))/($I$108+$I$133)</f>
        <v>0.62853641829071549</v>
      </c>
      <c r="H62" s="24">
        <f>($I$109+40*($I$8-0.5))/($I$109+$I$133)</f>
        <v>0.524193247996664</v>
      </c>
      <c r="I62" s="24">
        <f>($I$110+40*($I$8-0.5))/($I$110+$I$133)</f>
        <v>0.51958366267384504</v>
      </c>
      <c r="J62" s="24">
        <f>($I$111+40*($I$8-0.5))/($I$111+$I$133)</f>
        <v>0.52528051544506382</v>
      </c>
      <c r="K62" s="24">
        <f>($I$112+40*($I$8-0.5))/($I$112+$I$133)</f>
        <v>0.53283683837167006</v>
      </c>
      <c r="L62" s="24">
        <f>($I$113+40*($I$9-0.5))/($I$113+$I$133)</f>
        <v>0.74787910021654058</v>
      </c>
      <c r="M62" s="24">
        <f>($I$114+40*($I$9-0.5))/($I$114+$I$133)</f>
        <v>0.68520161289368886</v>
      </c>
      <c r="N62" s="24">
        <f>($I$115+40*($I$9-0.5))/($I$115+$I$133)</f>
        <v>0.75441354649081427</v>
      </c>
      <c r="O62" s="24">
        <f>($I$116+40*($I$9-0.5))/($I$116+$I$133)</f>
        <v>0.74067633439070046</v>
      </c>
      <c r="P62" s="24">
        <f>($I$117+40*($I$10-0.5))/($I$117+$I$133)</f>
        <v>0.47774295385565746</v>
      </c>
      <c r="Q62" s="24">
        <f>($I$118+40*($I$10-0.5))/($I$118+$I$133)</f>
        <v>0.44374404129053335</v>
      </c>
      <c r="R62" s="24">
        <f>($I$119+40*($I$10-0.5))/($I$119+$I$133)</f>
        <v>0.48070912824895773</v>
      </c>
      <c r="S62" s="24">
        <f>($I$120+40*($I$10-0.5))/($I$120+$I$133)</f>
        <v>0.4670233299773916</v>
      </c>
      <c r="T62" s="24">
        <f>($I$121+40*($I$11-0.5))/($I$121+$I$133)</f>
        <v>0.43223827377022761</v>
      </c>
      <c r="U62" s="24">
        <f>($I$122+40*($I$11-0.5))/($I$122+$I$133)</f>
        <v>0.43088239366497882</v>
      </c>
      <c r="V62" s="24">
        <f>($I$123+40*($I$11-0.5))/($I$123+$I$133)</f>
        <v>0.46101415410575275</v>
      </c>
      <c r="W62" s="24">
        <f>($I$124+40*($I$11-0.5))/($I$124+$I$133)</f>
        <v>0.43863038804555127</v>
      </c>
      <c r="X62" s="24">
        <f>($I$125+40*($I$12-0.5))/($I$125+$I$133)</f>
        <v>0.28569246511896168</v>
      </c>
      <c r="Y62" s="24">
        <f>($I$126+40*($I$12-0.5))/($I$126+$I$133)</f>
        <v>0.2621850872932156</v>
      </c>
      <c r="Z62" s="24">
        <f>($I$127+40*($I$12-0.5))/($I$127+$I$133)</f>
        <v>0.28974559093480473</v>
      </c>
      <c r="AA62" s="24">
        <f>($I$128+40*($I$12-0.5))/($I$128+$I$133)</f>
        <v>0.26985196277872275</v>
      </c>
      <c r="AB62" s="24">
        <f>($I$129+40*($I$13-0.5))/($I$129+$I$133)</f>
        <v>0.32769663985441405</v>
      </c>
      <c r="AC62" s="24">
        <f>($I$130+40*($I$13-0.5))/($I$130+$I$133)</f>
        <v>0.29380949640711362</v>
      </c>
      <c r="AD62" s="24">
        <f>($I$131+40*($I$13-0.5))/($I$131+$I$133)</f>
        <v>0.27947495996457322</v>
      </c>
      <c r="AE62" s="24">
        <f>($I$132+40*($I$13-0.5))/($I$132+$I$133)</f>
        <v>0.31147407366664814</v>
      </c>
      <c r="AF62" s="3">
        <v>0</v>
      </c>
      <c r="AG62" s="24">
        <f>($I$133+40*($I$14-0.5))/($I$133+$I$134)</f>
        <v>0.4615972580247108</v>
      </c>
      <c r="AH62" s="24">
        <f>($I$133+40*($I$14-0.5))/($I$133+$I$135)</f>
        <v>0.48236622514279975</v>
      </c>
      <c r="AI62" s="24">
        <f>($I$133+40*($I$14-0.5))/($I$133+$I$136)</f>
        <v>0.49065110486980773</v>
      </c>
      <c r="AJ62" s="24">
        <f>($I$133+40*($J$14-0.5))/($I$133+$I$137)</f>
        <v>0.46589142121426325</v>
      </c>
      <c r="AK62" s="24">
        <f>($I$133+40*($J$14-0.5))/($I$133+$I$138)</f>
        <v>0.47519860568223454</v>
      </c>
      <c r="AL62" s="24">
        <f>($I$133+40*($J$14-0.5))/($I$133+$I$139)</f>
        <v>0.48254888620561948</v>
      </c>
      <c r="AM62" s="24">
        <f>($I$133+40*($J$14-0.5))/($I$133+$I$140)</f>
        <v>0.46432739296687797</v>
      </c>
      <c r="AN62" s="24">
        <f>($I$133+40*($K$14-0.5))/($I$133+$I$141)</f>
        <v>0.56738979354354391</v>
      </c>
      <c r="AO62" s="24">
        <f>($I$133+40*($K$14-0.5))/($I$133+$I$142)</f>
        <v>0.55959114620766137</v>
      </c>
      <c r="AP62" s="24">
        <f>($I$133+40*($K$14-0.5))/($I$133+$I$143)</f>
        <v>0.56581609126233112</v>
      </c>
      <c r="AQ62" s="24">
        <f>($I$133+40*($K$14-0.5))/($I$133+$I$144)</f>
        <v>0.54934014604813608</v>
      </c>
      <c r="AR62" s="24">
        <f>($I$133+40*($L$14-0.5))/($I$133+$I$145)</f>
        <v>0.56178090181909968</v>
      </c>
      <c r="AS62" s="24">
        <f>($I$133+40*($L$14-0.5))/($I$133+$I$146)</f>
        <v>0.58190244137879132</v>
      </c>
      <c r="AT62" s="24">
        <f>($I$133+40*($L$14-0.5))/($I$133+$I$147)</f>
        <v>0.56469675240966011</v>
      </c>
      <c r="AU62" s="24">
        <f>($I$133+40*($L$14-0.5))/($I$133+$I$148)</f>
        <v>0.56860102836498749</v>
      </c>
      <c r="AV62" s="24">
        <f>($I$133+40*($M$14-0.5))/($I$133+$I$149)</f>
        <v>0.30238694554947765</v>
      </c>
      <c r="AW62" s="24">
        <f>($I$133+40*($M$14-0.5))/($I$133+$I$150)</f>
        <v>0.30599075470657283</v>
      </c>
      <c r="AX62" s="24">
        <f>($I$133+40*($M$14-0.5))/($I$133+$I$151)</f>
        <v>0.30033782114320384</v>
      </c>
      <c r="AY62" s="24">
        <f>($I$133+40*($M$14-0.5))/($I$133+$I$152)</f>
        <v>0.30294445093471334</v>
      </c>
      <c r="AZ62" s="24">
        <f>($I$133+40*($N$13-0.5))/($I$133+$I$153)</f>
        <v>0.71658634119467679</v>
      </c>
      <c r="BA62" s="24">
        <f>($I$133+40*($N$14-0.5))/($I$133+$I$154)</f>
        <v>0.78033846221516778</v>
      </c>
      <c r="BB62" s="24">
        <f>($I$133+40*($N$7-0.5))/($I$133+$I$155)</f>
        <v>0.83432689340167343</v>
      </c>
      <c r="BC62" s="24">
        <f>($I$133+40*($N$14-0.5))/($I$133+$I$156)</f>
        <v>0.84765136424010912</v>
      </c>
      <c r="BD62" s="24">
        <f>($I$133+40*($O$14-0.5))/($I$133+$I$157)</f>
        <v>0.76715303179519412</v>
      </c>
      <c r="BE62" s="24">
        <f>($I$133+40*($O$14-0.5))/($I$133+$I$158)</f>
        <v>0.854296835096644</v>
      </c>
      <c r="BF62" s="24">
        <f>($I$133+40*($O$14-0.5))/($I$133+$I$159)</f>
        <v>0.82861903174173213</v>
      </c>
      <c r="BG62" s="24">
        <f>($I$133+40*($O$14-0.5))/($I$133+$I$160)</f>
        <v>0.81942278287959303</v>
      </c>
      <c r="BH62" s="24">
        <f>($I$133+40*($P$14-0.5))/($I$133+$I$161)</f>
        <v>0.7988362739256939</v>
      </c>
      <c r="BI62" s="24">
        <f>($I$133+40*($P$14-0.5))/($I$133+$I$162)</f>
        <v>0.81788249073634567</v>
      </c>
      <c r="BJ62" s="24">
        <f>($I$133+40*($P$14-0.5))/($I$133+$I$163)</f>
        <v>0.825687603353911</v>
      </c>
      <c r="BK62" s="24">
        <f>($I$133+40*($P$14-0.5))/($I$133+$I$164)</f>
        <v>0.83349260694903715</v>
      </c>
      <c r="BL62" s="24">
        <f>($I$133+40*($Q$14-0.5))/($I$133+$I$165)</f>
        <v>0.84936868476438354</v>
      </c>
      <c r="BM62" s="24">
        <f>($I$133+40*($Q$14-0.5))/($I$133+$I$166)</f>
        <v>0.82971474279672075</v>
      </c>
      <c r="BN62" s="24">
        <f>($I$133+40*($Q$7-0.5))/($I$133+$I$167)</f>
        <v>0.91644496495643757</v>
      </c>
      <c r="BO62" s="24">
        <f>($I$133+40*($Q$14-0.5))/($I$133+$I$168)</f>
        <v>0.84476720435663888</v>
      </c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  <c r="IY62" s="40"/>
      <c r="IZ62" s="40"/>
      <c r="JA62" s="40"/>
      <c r="JB62" s="40"/>
      <c r="JC62" s="40"/>
      <c r="JD62" s="40"/>
      <c r="JE62" s="40"/>
      <c r="JF62" s="40"/>
      <c r="JG62" s="40"/>
      <c r="JH62" s="40"/>
      <c r="JI62" s="40"/>
      <c r="JJ62" s="40"/>
      <c r="JK62" s="40"/>
      <c r="JL62" s="40"/>
      <c r="JM62" s="40"/>
      <c r="JN62" s="40"/>
      <c r="JO62" s="40"/>
      <c r="JP62" s="40"/>
      <c r="JQ62" s="40"/>
      <c r="JR62" s="40"/>
      <c r="JS62" s="40"/>
      <c r="JT62" s="40"/>
      <c r="JU62" s="40"/>
      <c r="JV62" s="40"/>
      <c r="JW62" s="40"/>
      <c r="JX62" s="40"/>
      <c r="JY62" s="40"/>
      <c r="JZ62" s="40"/>
      <c r="KA62" s="40"/>
      <c r="KB62" s="40"/>
      <c r="KC62" s="40"/>
      <c r="KD62" s="40"/>
      <c r="KE62" s="40"/>
      <c r="KF62" s="40"/>
      <c r="KG62" s="40"/>
      <c r="KH62" s="40"/>
      <c r="KI62" s="40"/>
      <c r="KJ62" s="40"/>
      <c r="KK62" s="40"/>
      <c r="KL62" s="40"/>
      <c r="KM62" s="40"/>
      <c r="KN62" s="40"/>
      <c r="KO62" s="40"/>
      <c r="KP62" s="40"/>
      <c r="KQ62" s="40"/>
      <c r="KR62" s="40"/>
      <c r="KS62" s="40"/>
      <c r="KT62" s="40"/>
      <c r="KU62" s="40"/>
      <c r="KV62" s="40"/>
      <c r="KW62" s="40"/>
      <c r="KX62" s="40"/>
      <c r="KY62" s="40"/>
      <c r="KZ62" s="40"/>
      <c r="LA62" s="40"/>
      <c r="LB62" s="40"/>
      <c r="LC62" s="40"/>
      <c r="LD62" s="40"/>
      <c r="LE62" s="40"/>
      <c r="LF62" s="40"/>
      <c r="LG62" s="40"/>
      <c r="LH62" s="40"/>
      <c r="LI62" s="40"/>
      <c r="LJ62" s="40"/>
      <c r="LK62" s="40"/>
      <c r="LL62" s="40"/>
      <c r="LM62" s="40"/>
      <c r="LN62" s="40"/>
      <c r="LO62" s="40"/>
      <c r="LP62" s="40"/>
      <c r="LQ62" s="40"/>
      <c r="LR62" s="40"/>
      <c r="LS62" s="40"/>
      <c r="LT62" s="40"/>
      <c r="LU62" s="40"/>
      <c r="LV62" s="40"/>
      <c r="LW62" s="40"/>
      <c r="LX62" s="40"/>
      <c r="LY62" s="40"/>
      <c r="LZ62" s="40"/>
      <c r="MA62" s="40"/>
      <c r="MB62" s="40"/>
      <c r="MC62" s="40"/>
      <c r="MD62" s="40"/>
      <c r="ME62" s="40"/>
      <c r="MF62" s="40"/>
      <c r="MG62" s="40"/>
      <c r="MH62" s="40"/>
      <c r="MI62" s="40"/>
      <c r="MJ62" s="40"/>
      <c r="MK62" s="40"/>
      <c r="ML62" s="40"/>
      <c r="MM62" s="40"/>
      <c r="MN62" s="40"/>
      <c r="MO62" s="40"/>
      <c r="MP62" s="40"/>
      <c r="MQ62" s="40"/>
      <c r="MR62" s="40"/>
      <c r="MS62" s="40"/>
      <c r="MT62" s="40"/>
    </row>
    <row r="63" spans="1:358" x14ac:dyDescent="0.25">
      <c r="A63" t="str">
        <f>$A$134</f>
        <v>Gonzaga</v>
      </c>
      <c r="B63" s="54"/>
      <c r="C63" s="3">
        <v>30</v>
      </c>
      <c r="D63" s="24">
        <f>($I$105+40*($I$7-0.5))/($I$105+$I$134)</f>
        <v>0.61254093685816791</v>
      </c>
      <c r="E63" s="24">
        <f>($I$106+40*($I$7-0.5))/($I$106+$I$134)</f>
        <v>0.60965691905767472</v>
      </c>
      <c r="F63" s="24">
        <f>($I$107+40*($I$7-0.5))/($I$107+$I$134)</f>
        <v>0.62491699456106165</v>
      </c>
      <c r="G63" s="24">
        <f>($I$108+40*($I$7-0.5))/($I$108+$I$134)</f>
        <v>0.58195336029658418</v>
      </c>
      <c r="H63" s="24">
        <f>($I$109+40*($I$8-0.5))/($I$109+$I$134)</f>
        <v>0.48573750161056667</v>
      </c>
      <c r="I63" s="24">
        <f>($I$110+40*($I$8-0.5))/($I$110+$I$134)</f>
        <v>0.48112413709368773</v>
      </c>
      <c r="J63" s="24">
        <f>($I$111+40*($I$8-0.5))/($I$111+$I$134)</f>
        <v>0.48682661642034047</v>
      </c>
      <c r="K63" s="24">
        <f>($I$112+40*($I$8-0.5))/($I$112+$I$134)</f>
        <v>0.49440587909939698</v>
      </c>
      <c r="L63" s="24">
        <f>($I$113+40*($I$9-0.5))/($I$113+$I$134)</f>
        <v>0.69436403365774657</v>
      </c>
      <c r="M63" s="24">
        <f>($I$114+40*($I$9-0.5))/($I$114+$I$134)</f>
        <v>0.62505252871724193</v>
      </c>
      <c r="N63" s="24">
        <f>($I$115+40*($I$9-0.5))/($I$115+$I$134)</f>
        <v>0.70173231844180572</v>
      </c>
      <c r="O63" s="24">
        <f>($I$116+40*($I$9-0.5))/($I$116+$I$134)</f>
        <v>0.68627374859500101</v>
      </c>
      <c r="P63" s="24">
        <f>($I$117+40*($I$10-0.5))/($I$117+$I$134)</f>
        <v>0.44250188811406554</v>
      </c>
      <c r="Q63" s="24">
        <f>($I$118+40*($I$10-0.5))/($I$118+$I$134)</f>
        <v>0.40904662863016744</v>
      </c>
      <c r="R63" s="24">
        <f>($I$119+40*($I$10-0.5))/($I$119+$I$134)</f>
        <v>0.44543587791419942</v>
      </c>
      <c r="S63" s="24">
        <f>($I$120+40*($I$10-0.5))/($I$120+$I$134)</f>
        <v>0.43191904356402722</v>
      </c>
      <c r="T63" s="24">
        <f>($I$121+40*($I$11-0.5))/($I$121+$I$134)</f>
        <v>0.39948407542611081</v>
      </c>
      <c r="U63" s="24">
        <f>($I$122+40*($I$11-0.5))/($I$122+$I$134)</f>
        <v>0.39815888780545045</v>
      </c>
      <c r="V63" s="24">
        <f>($I$123+40*($I$11-0.5))/($I$123+$I$134)</f>
        <v>0.42772211071864008</v>
      </c>
      <c r="W63" s="24">
        <f>($I$124+40*($I$11-0.5))/($I$124+$I$134)</f>
        <v>0.40573796015117353</v>
      </c>
      <c r="X63" s="24">
        <f>($I$125+40*($I$12-0.5))/($I$125+$I$134)</f>
        <v>0.26412698538776258</v>
      </c>
      <c r="Y63" s="24">
        <f>($I$126+40*($I$12-0.5))/($I$126+$I$134)</f>
        <v>0.24179340752431924</v>
      </c>
      <c r="Z63" s="24">
        <f>($I$127+40*($I$12-0.5))/($I$127+$I$134)</f>
        <v>0.26798894541754331</v>
      </c>
      <c r="AA63" s="24">
        <f>($I$128+40*($I$12-0.5))/($I$128+$I$134)</f>
        <v>0.24906527814606597</v>
      </c>
      <c r="AB63" s="24">
        <f>($I$129+40*($I$13-0.5))/($I$129+$I$134)</f>
        <v>0.30431126034176259</v>
      </c>
      <c r="AC63" s="24">
        <f>($I$130+40*($I$13-0.5))/($I$130+$I$134)</f>
        <v>0.27186450102761861</v>
      </c>
      <c r="AD63" s="24">
        <f>($I$131+40*($I$13-0.5))/($I$131+$I$134)</f>
        <v>0.25820915473358885</v>
      </c>
      <c r="AE63" s="24">
        <f>($I$132+40*($I$13-0.5))/($I$132+$I$134)</f>
        <v>0.28874916468441886</v>
      </c>
      <c r="AF63" s="24">
        <f>($I$133+40*($I$14-0.5))/($I$133+$I$134)</f>
        <v>0.4615972580247108</v>
      </c>
      <c r="AG63" s="3">
        <v>0</v>
      </c>
      <c r="AH63" s="24">
        <f>($I$134+40*($I$14-0.5))/($I$134+$I$135)</f>
        <v>0.52082537767709924</v>
      </c>
      <c r="AI63" s="24">
        <f>($I$134+40*($I$14-0.5))/($I$134+$I$136)</f>
        <v>0.52909563087196931</v>
      </c>
      <c r="AJ63" s="24">
        <f>($I$134+40*($J$14-0.5))/($I$134+$I$137)</f>
        <v>0.50594281548593634</v>
      </c>
      <c r="AK63" s="24">
        <f>($I$134+40*($J$14-0.5))/($I$134+$I$138)</f>
        <v>0.51527820849036898</v>
      </c>
      <c r="AL63" s="24">
        <f>($I$134+40*($J$14-0.5))/($I$134+$I$139)</f>
        <v>0.52263105282034472</v>
      </c>
      <c r="AM63" s="24">
        <f>($I$134+40*($J$14-0.5))/($I$134+$I$140)</f>
        <v>0.50437130124979002</v>
      </c>
      <c r="AN63" s="24">
        <f>($I$134+40*($K$14-0.5))/($I$134+$I$141)</f>
        <v>0.60081205712533858</v>
      </c>
      <c r="AO63" s="24">
        <f>($I$134+40*($K$14-0.5))/($I$134+$I$142)</f>
        <v>0.5931839203621212</v>
      </c>
      <c r="AP63" s="24">
        <f>($I$134+40*($K$14-0.5))/($I$134+$I$143)</f>
        <v>0.59927406745422163</v>
      </c>
      <c r="AQ63" s="24">
        <f>($I$134+40*($K$14-0.5))/($I$134+$I$144)</f>
        <v>0.58313234570619132</v>
      </c>
      <c r="AR63" s="24">
        <f>($I$134+40*($L$14-0.5))/($I$134+$I$145)</f>
        <v>0.59507890818945552</v>
      </c>
      <c r="AS63" s="24">
        <f>($I$134+40*($L$14-0.5))/($I$134+$I$146)</f>
        <v>0.61472008612138418</v>
      </c>
      <c r="AT63" s="24">
        <f>($I$134+40*($L$14-0.5))/($I$134+$I$147)</f>
        <v>0.59793176979626794</v>
      </c>
      <c r="AU63" s="24">
        <f>($I$134+40*($L$14-0.5))/($I$134+$I$148)</f>
        <v>0.60174818401017882</v>
      </c>
      <c r="AV63" s="24">
        <f>($I$134+40*($M$14-0.5))/($I$134+$I$149)</f>
        <v>0.36141540884392842</v>
      </c>
      <c r="AW63" s="24">
        <f>($I$134+40*($M$14-0.5))/($I$134+$I$150)</f>
        <v>0.36535427761710615</v>
      </c>
      <c r="AX63" s="24">
        <f>($I$134+40*($M$14-0.5))/($I$134+$I$151)</f>
        <v>0.3591722249336593</v>
      </c>
      <c r="AY63" s="24">
        <f>($I$134+40*($M$14-0.5))/($I$134+$I$152)</f>
        <v>0.36202526692558046</v>
      </c>
      <c r="AZ63" s="24">
        <f>($I$134+40*($N$14-0.5))/($I$134+$I$153)</f>
        <v>0.81334985966802686</v>
      </c>
      <c r="BA63" s="24">
        <f>($I$134+40*($N$14-0.5))/($I$134+$I$154)</f>
        <v>0.79832684892039685</v>
      </c>
      <c r="BB63" s="24">
        <f>($I$134+40*($N$7-0.5))/($I$134+$I$155)</f>
        <v>0.84875102877762532</v>
      </c>
      <c r="BC63" s="24">
        <f>($I$134+40*($N$14-0.5))/($I$134+$I$156)</f>
        <v>0.86110854004459192</v>
      </c>
      <c r="BD63" s="24">
        <f>($I$134+40*($O$14-0.5))/($I$134+$I$157)</f>
        <v>0.78592497083882895</v>
      </c>
      <c r="BE63" s="24">
        <f>($I$134+40*($O$14-0.5))/($I$134+$I$158)</f>
        <v>0.86725893088077766</v>
      </c>
      <c r="BF63" s="24">
        <f>($I$134+40*($O$14-0.5))/($I$134+$I$159)</f>
        <v>0.84344686802159241</v>
      </c>
      <c r="BG63" s="24">
        <f>($I$134+40*($O$14-0.5))/($I$134+$I$160)</f>
        <v>0.83488773199661082</v>
      </c>
      <c r="BH63" s="24">
        <f>($I$134+40*($P$14-0.5))/($I$134+$I$161)</f>
        <v>0.81658404012348784</v>
      </c>
      <c r="BI63" s="24">
        <f>($I$134+40*($P$14-0.5))/($I$134+$I$162)</f>
        <v>0.83429845050455786</v>
      </c>
      <c r="BJ63" s="24">
        <f>($I$134+40*($P$14-0.5))/($I$134+$I$163)</f>
        <v>0.84153632661249578</v>
      </c>
      <c r="BK63" s="24">
        <f>($I$134+40*($P$14-0.5))/($I$134+$I$164)</f>
        <v>0.84876167112794665</v>
      </c>
      <c r="BL63" s="24">
        <f>($I$134+40*($Q$14-0.5))/($I$134+$I$165)</f>
        <v>0.86325339258323197</v>
      </c>
      <c r="BM63" s="24">
        <f>($I$134+40*($Q$14-0.5))/($I$134+$I$166)</f>
        <v>0.84508065664676213</v>
      </c>
      <c r="BN63" s="24">
        <f>($I$134+40*($Q$7-0.5))/($I$134+$I$167)</f>
        <v>0.92436769475866742</v>
      </c>
      <c r="BO63" s="24">
        <f>($I$134+40*($Q$14-0.5))/($I$134+$I$168)</f>
        <v>0.85900565336272583</v>
      </c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  <c r="IT63" s="40"/>
      <c r="IU63" s="40"/>
      <c r="IV63" s="40"/>
      <c r="IW63" s="40"/>
      <c r="IX63" s="40"/>
      <c r="IY63" s="40"/>
      <c r="IZ63" s="40"/>
      <c r="JA63" s="40"/>
      <c r="JB63" s="40"/>
      <c r="JC63" s="40"/>
      <c r="JD63" s="40"/>
      <c r="JE63" s="40"/>
      <c r="JF63" s="40"/>
      <c r="JG63" s="40"/>
      <c r="JH63" s="40"/>
      <c r="JI63" s="40"/>
      <c r="JJ63" s="40"/>
      <c r="JK63" s="40"/>
      <c r="JL63" s="40"/>
      <c r="JM63" s="40"/>
      <c r="JN63" s="40"/>
      <c r="JO63" s="40"/>
      <c r="JP63" s="40"/>
      <c r="JQ63" s="40"/>
      <c r="JR63" s="40"/>
      <c r="JS63" s="40"/>
      <c r="JT63" s="40"/>
      <c r="JU63" s="40"/>
      <c r="JV63" s="40"/>
      <c r="JW63" s="40"/>
      <c r="JX63" s="40"/>
      <c r="JY63" s="40"/>
      <c r="JZ63" s="40"/>
      <c r="KA63" s="40"/>
      <c r="KB63" s="40"/>
      <c r="KC63" s="40"/>
      <c r="KD63" s="40"/>
      <c r="KE63" s="40"/>
      <c r="KF63" s="40"/>
      <c r="KG63" s="40"/>
      <c r="KH63" s="40"/>
      <c r="KI63" s="40"/>
      <c r="KJ63" s="40"/>
      <c r="KK63" s="40"/>
      <c r="KL63" s="40"/>
      <c r="KM63" s="40"/>
      <c r="KN63" s="40"/>
      <c r="KO63" s="40"/>
      <c r="KP63" s="40"/>
      <c r="KQ63" s="40"/>
      <c r="KR63" s="40"/>
      <c r="KS63" s="40"/>
      <c r="KT63" s="40"/>
      <c r="KU63" s="40"/>
      <c r="KV63" s="40"/>
      <c r="KW63" s="40"/>
      <c r="KX63" s="40"/>
      <c r="KY63" s="40"/>
      <c r="KZ63" s="40"/>
      <c r="LA63" s="40"/>
      <c r="LB63" s="40"/>
      <c r="LC63" s="40"/>
      <c r="LD63" s="40"/>
      <c r="LE63" s="40"/>
      <c r="LF63" s="40"/>
      <c r="LG63" s="40"/>
      <c r="LH63" s="40"/>
      <c r="LI63" s="40"/>
      <c r="LJ63" s="40"/>
      <c r="LK63" s="40"/>
      <c r="LL63" s="40"/>
      <c r="LM63" s="40"/>
      <c r="LN63" s="40"/>
      <c r="LO63" s="40"/>
      <c r="LP63" s="40"/>
      <c r="LQ63" s="40"/>
      <c r="LR63" s="40"/>
      <c r="LS63" s="40"/>
      <c r="LT63" s="40"/>
      <c r="LU63" s="40"/>
      <c r="LV63" s="40"/>
      <c r="LW63" s="40"/>
      <c r="LX63" s="40"/>
      <c r="LY63" s="40"/>
      <c r="LZ63" s="40"/>
      <c r="MA63" s="40"/>
      <c r="MB63" s="40"/>
      <c r="MC63" s="40"/>
      <c r="MD63" s="40"/>
      <c r="ME63" s="40"/>
      <c r="MF63" s="40"/>
      <c r="MG63" s="40"/>
      <c r="MH63" s="40"/>
      <c r="MI63" s="40"/>
      <c r="MJ63" s="40"/>
      <c r="MK63" s="40"/>
      <c r="ML63" s="40"/>
      <c r="MM63" s="40"/>
      <c r="MN63" s="40"/>
      <c r="MO63" s="40"/>
      <c r="MP63" s="40"/>
      <c r="MQ63" s="40"/>
      <c r="MR63" s="40"/>
      <c r="MS63" s="40"/>
      <c r="MT63" s="40"/>
    </row>
    <row r="64" spans="1:358" x14ac:dyDescent="0.25">
      <c r="A64" t="str">
        <f>$A$135</f>
        <v>Kentucky</v>
      </c>
      <c r="B64" s="54"/>
      <c r="C64" s="3">
        <v>31</v>
      </c>
      <c r="D64" s="24">
        <f>($I$105+40*($I$7-0.5))/($I$105+$I$135)</f>
        <v>0.63707297290239395</v>
      </c>
      <c r="E64" s="24">
        <f>($I$106+40*($I$7-0.5))/($I$106+$I$135)</f>
        <v>0.63426252867394695</v>
      </c>
      <c r="F64" s="24">
        <f>($I$107+40*($I$7-0.5))/($I$107+$I$135)</f>
        <v>0.64911430847829887</v>
      </c>
      <c r="G64" s="24">
        <f>($I$108+40*($I$7-0.5))/($I$108+$I$135)</f>
        <v>0.60718008359132158</v>
      </c>
      <c r="H64" s="24">
        <f>($I$109+40*($I$8-0.5))/($I$109+$I$135)</f>
        <v>0.50657068583844345</v>
      </c>
      <c r="I64" s="24">
        <f>($I$110+40*($I$8-0.5))/($I$110+$I$135)</f>
        <v>0.50195258499179407</v>
      </c>
      <c r="J64" s="24">
        <f>($I$111+40*($I$8-0.5))/($I$111+$I$135)</f>
        <v>0.50766040033544346</v>
      </c>
      <c r="K64" s="24">
        <f>($I$112+40*($I$8-0.5))/($I$112+$I$135)</f>
        <v>0.51523835783177285</v>
      </c>
      <c r="L64" s="24">
        <f>($I$113+40*($I$9-0.5))/($I$113+$I$135)</f>
        <v>0.72338138577038424</v>
      </c>
      <c r="M64" s="24">
        <f>($I$114+40*($I$9-0.5))/($I$114+$I$135)</f>
        <v>0.65740358679838662</v>
      </c>
      <c r="N64" s="24">
        <f>($I$115+40*($I$9-0.5))/($I$115+$I$135)</f>
        <v>0.7303218119281063</v>
      </c>
      <c r="O64" s="24">
        <f>($I$116+40*($I$9-0.5))/($I$116+$I$135)</f>
        <v>0.71574475916121849</v>
      </c>
      <c r="P64" s="24">
        <f>($I$117+40*($I$10-0.5))/($I$117+$I$135)</f>
        <v>0.46158972217693728</v>
      </c>
      <c r="Q64" s="24">
        <f>($I$118+40*($I$10-0.5))/($I$118+$I$135)</f>
        <v>0.42779872473204444</v>
      </c>
      <c r="R64" s="24">
        <f>($I$119+40*($I$10-0.5))/($I$119+$I$135)</f>
        <v>0.46454481387533314</v>
      </c>
      <c r="S64" s="24">
        <f>($I$120+40*($I$10-0.5))/($I$120+$I$135)</f>
        <v>0.45091960658437852</v>
      </c>
      <c r="T64" s="24">
        <f>($I$121+40*($I$11-0.5))/($I$121+$I$135)</f>
        <v>0.41720724417833283</v>
      </c>
      <c r="U64" s="24">
        <f>($I$122+40*($I$11-0.5))/($I$122+$I$135)</f>
        <v>0.41586397863054803</v>
      </c>
      <c r="V64" s="24">
        <f>($I$123+40*($I$11-0.5))/($I$123+$I$135)</f>
        <v>0.44576811131702476</v>
      </c>
      <c r="W64" s="24">
        <f>($I$124+40*($I$11-0.5))/($I$124+$I$135)</f>
        <v>0.42354289520024091</v>
      </c>
      <c r="X64" s="24">
        <f>($I$125+40*($I$12-0.5))/($I$125+$I$135)</f>
        <v>0.27579768051273462</v>
      </c>
      <c r="Y64" s="24">
        <f>($I$126+40*($I$12-0.5))/($I$126+$I$135)</f>
        <v>0.25281630779815956</v>
      </c>
      <c r="Z64" s="24">
        <f>($I$127+40*($I$12-0.5))/($I$127+$I$135)</f>
        <v>0.27976540899769448</v>
      </c>
      <c r="AA64" s="24">
        <f>($I$128+40*($I$12-0.5))/($I$128+$I$135)</f>
        <v>0.26030587557892032</v>
      </c>
      <c r="AB64" s="24">
        <f>($I$129+40*($I$13-0.5))/($I$129+$I$135)</f>
        <v>0.31699266693720746</v>
      </c>
      <c r="AC64" s="24">
        <f>($I$130+40*($I$13-0.5))/($I$130+$I$135)</f>
        <v>0.28374525635688336</v>
      </c>
      <c r="AD64" s="24">
        <f>($I$131+40*($I$13-0.5))/($I$131+$I$135)</f>
        <v>0.26971420517504274</v>
      </c>
      <c r="AE64" s="24">
        <f>($I$132+40*($I$13-0.5))/($I$132+$I$135)</f>
        <v>0.30106270647165939</v>
      </c>
      <c r="AF64" s="24">
        <f>($I$133+40*($I$14-0.5))/($I$133+$I$135)</f>
        <v>0.48236622514279975</v>
      </c>
      <c r="AG64" s="24">
        <f>($I$134+40*($I$14-0.5))/($I$134+$I$135)</f>
        <v>0.52082537767709924</v>
      </c>
      <c r="AH64" s="3">
        <v>0</v>
      </c>
      <c r="AI64" s="24">
        <f>($I$135+40*($I$14-0.5))/($I$135+$I$136)</f>
        <v>0.50829034659086092</v>
      </c>
      <c r="AJ64" s="24">
        <f>($I$135+40*($J$14-0.5))/($I$135+$I$137)</f>
        <v>0.48426265756787051</v>
      </c>
      <c r="AK64" s="24">
        <f>($I$135+40*($J$14-0.5))/($I$135+$I$138)</f>
        <v>0.49359767851693215</v>
      </c>
      <c r="AL64" s="24">
        <f>($I$135+40*($J$14-0.5))/($I$135+$I$139)</f>
        <v>0.50096088745278888</v>
      </c>
      <c r="AM64" s="24">
        <f>($I$135+40*($J$14-0.5))/($I$135+$I$140)</f>
        <v>0.48269269233430973</v>
      </c>
      <c r="AN64" s="24">
        <f>($I$135+40*($K$14-0.5))/($I$135+$I$141)</f>
        <v>0.58274069423141173</v>
      </c>
      <c r="AO64" s="24">
        <f>($I$135+40*($K$14-0.5))/($I$135+$I$142)</f>
        <v>0.57501149954148356</v>
      </c>
      <c r="AP64" s="24">
        <f>($I$135+40*($K$14-0.5))/($I$135+$I$143)</f>
        <v>0.58118161417290015</v>
      </c>
      <c r="AQ64" s="24">
        <f>($I$135+40*($K$14-0.5))/($I$135+$I$144)</f>
        <v>0.56484031058830786</v>
      </c>
      <c r="AR64" s="24">
        <f>($I$135+40*($L$14-0.5))/($I$135+$I$145)</f>
        <v>0.57706333669722099</v>
      </c>
      <c r="AS64" s="24">
        <f>($I$135+40*($L$14-0.5))/($I$135+$I$146)</f>
        <v>0.59698656060474331</v>
      </c>
      <c r="AT64" s="24">
        <f>($I$135+40*($L$14-0.5))/($I$135+$I$147)</f>
        <v>0.57995353211626532</v>
      </c>
      <c r="AU64" s="24">
        <f>($I$135+40*($L$14-0.5))/($I$135+$I$148)</f>
        <v>0.58382181847771819</v>
      </c>
      <c r="AV64" s="24">
        <f>($I$135+40*($M$14-0.5))/($I$135+$I$149)</f>
        <v>0.32961621139990566</v>
      </c>
      <c r="AW64" s="24">
        <f>($I$135+40*($M$14-0.5))/($I$135+$I$150)</f>
        <v>0.33338944972093226</v>
      </c>
      <c r="AX64" s="24">
        <f>($I$135+40*($M$14-0.5))/($I$135+$I$151)</f>
        <v>0.32746918372686062</v>
      </c>
      <c r="AY64" s="24">
        <f>($I$135+40*($M$14-0.5))/($I$135+$I$152)</f>
        <v>0.33020015680393622</v>
      </c>
      <c r="AZ64" s="24">
        <f>($I$135+40*($N$14-0.5))/($I$135+$I$153)</f>
        <v>0.80419162213864681</v>
      </c>
      <c r="BA64" s="24">
        <f>($I$135+40*($N$14-0.5))/($I$135+$I$154)</f>
        <v>0.7886230544132331</v>
      </c>
      <c r="BB64" s="24">
        <f>($I$135+40*($N$7-0.5))/($I$135+$I$155)</f>
        <v>0.8409902123870836</v>
      </c>
      <c r="BC64" s="24">
        <f>($I$135+40*($N$14-0.5))/($I$135+$I$156)</f>
        <v>0.85387263801557522</v>
      </c>
      <c r="BD64" s="24">
        <f>($I$135+40*($O$14-0.5))/($I$135+$I$157)</f>
        <v>0.7757920333050502</v>
      </c>
      <c r="BE64" s="24">
        <f>($I$135+40*($O$14-0.5))/($I$135+$I$158)</f>
        <v>0.86029146320421901</v>
      </c>
      <c r="BF64" s="24">
        <f>($I$135+40*($O$14-0.5))/($I$135+$I$159)</f>
        <v>0.83546664707929497</v>
      </c>
      <c r="BG64" s="24">
        <f>($I$135+40*($O$14-0.5))/($I$135+$I$160)</f>
        <v>0.82656092968704797</v>
      </c>
      <c r="BH64" s="24">
        <f>($I$135+40*($P$14-0.5))/($I$135+$I$161)</f>
        <v>0.80704058168941806</v>
      </c>
      <c r="BI64" s="24">
        <f>($I$135+40*($P$14-0.5))/($I$135+$I$162)</f>
        <v>0.82547971605184567</v>
      </c>
      <c r="BJ64" s="24">
        <f>($I$135+40*($P$14-0.5))/($I$135+$I$163)</f>
        <v>0.83302570248167718</v>
      </c>
      <c r="BK64" s="24">
        <f>($I$135+40*($P$14-0.5))/($I$135+$I$164)</f>
        <v>0.84056558030819872</v>
      </c>
      <c r="BL64" s="24">
        <f>($I$135+40*($Q$14-0.5))/($I$135+$I$165)</f>
        <v>0.85580219817864511</v>
      </c>
      <c r="BM64" s="24">
        <f>($I$135+40*($Q$14-0.5))/($I$135+$I$166)</f>
        <v>0.83682641904015576</v>
      </c>
      <c r="BN64" s="24">
        <f>($I$135+40*($Q$7-0.5))/($I$135+$I$167)</f>
        <v>0.92012172729588781</v>
      </c>
      <c r="BO64" s="24">
        <f>($I$135+40*($Q$14-0.5))/($I$135+$I$168)</f>
        <v>0.85136285619255847</v>
      </c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  <c r="IT64" s="40"/>
      <c r="IU64" s="40"/>
      <c r="IV64" s="40"/>
      <c r="IW64" s="40"/>
      <c r="IX64" s="40"/>
      <c r="IY64" s="40"/>
      <c r="IZ64" s="40"/>
      <c r="JA64" s="40"/>
      <c r="JB64" s="40"/>
      <c r="JC64" s="40"/>
      <c r="JD64" s="40"/>
      <c r="JE64" s="40"/>
      <c r="JF64" s="40"/>
      <c r="JG64" s="40"/>
      <c r="JH64" s="40"/>
      <c r="JI64" s="40"/>
      <c r="JJ64" s="40"/>
      <c r="JK64" s="40"/>
      <c r="JL64" s="40"/>
      <c r="JM64" s="40"/>
      <c r="JN64" s="40"/>
      <c r="JO64" s="40"/>
      <c r="JP64" s="40"/>
      <c r="JQ64" s="40"/>
      <c r="JR64" s="40"/>
      <c r="JS64" s="40"/>
      <c r="JT64" s="40"/>
      <c r="JU64" s="40"/>
      <c r="JV64" s="40"/>
      <c r="JW64" s="40"/>
      <c r="JX64" s="40"/>
      <c r="JY64" s="40"/>
      <c r="JZ64" s="40"/>
      <c r="KA64" s="40"/>
      <c r="KB64" s="40"/>
      <c r="KC64" s="40"/>
      <c r="KD64" s="40"/>
      <c r="KE64" s="40"/>
      <c r="KF64" s="40"/>
      <c r="KG64" s="40"/>
      <c r="KH64" s="40"/>
      <c r="KI64" s="40"/>
      <c r="KJ64" s="40"/>
      <c r="KK64" s="40"/>
      <c r="KL64" s="40"/>
      <c r="KM64" s="40"/>
      <c r="KN64" s="40"/>
      <c r="KO64" s="40"/>
      <c r="KP64" s="40"/>
      <c r="KQ64" s="40"/>
      <c r="KR64" s="40"/>
      <c r="KS64" s="40"/>
      <c r="KT64" s="40"/>
      <c r="KU64" s="40"/>
      <c r="KV64" s="40"/>
      <c r="KW64" s="40"/>
      <c r="KX64" s="40"/>
      <c r="KY64" s="40"/>
      <c r="KZ64" s="40"/>
      <c r="LA64" s="40"/>
      <c r="LB64" s="40"/>
      <c r="LC64" s="40"/>
      <c r="LD64" s="40"/>
      <c r="LE64" s="40"/>
      <c r="LF64" s="40"/>
      <c r="LG64" s="40"/>
      <c r="LH64" s="40"/>
      <c r="LI64" s="40"/>
      <c r="LJ64" s="40"/>
      <c r="LK64" s="40"/>
      <c r="LL64" s="40"/>
      <c r="LM64" s="40"/>
      <c r="LN64" s="40"/>
      <c r="LO64" s="40"/>
      <c r="LP64" s="40"/>
      <c r="LQ64" s="40"/>
      <c r="LR64" s="40"/>
      <c r="LS64" s="40"/>
      <c r="LT64" s="40"/>
      <c r="LU64" s="40"/>
      <c r="LV64" s="40"/>
      <c r="LW64" s="40"/>
      <c r="LX64" s="40"/>
      <c r="LY64" s="40"/>
      <c r="LZ64" s="40"/>
      <c r="MA64" s="40"/>
      <c r="MB64" s="40"/>
      <c r="MC64" s="40"/>
      <c r="MD64" s="40"/>
      <c r="ME64" s="40"/>
      <c r="MF64" s="40"/>
      <c r="MG64" s="40"/>
      <c r="MH64" s="40"/>
      <c r="MI64" s="40"/>
      <c r="MJ64" s="40"/>
      <c r="MK64" s="40"/>
      <c r="ML64" s="40"/>
      <c r="MM64" s="40"/>
      <c r="MN64" s="40"/>
      <c r="MO64" s="40"/>
      <c r="MP64" s="40"/>
      <c r="MQ64" s="40"/>
      <c r="MR64" s="40"/>
      <c r="MS64" s="40"/>
      <c r="MT64" s="40"/>
    </row>
    <row r="65" spans="1:358" x14ac:dyDescent="0.25">
      <c r="A65" t="str">
        <f>$A$136</f>
        <v>Memphis</v>
      </c>
      <c r="B65" s="54"/>
      <c r="C65" s="3">
        <v>32</v>
      </c>
      <c r="D65" s="24">
        <f>($I$105+40*($I$7-0.5))/($I$105+$I$136)</f>
        <v>0.64679431936016973</v>
      </c>
      <c r="E65" s="24">
        <f>($I$106+40*($I$7-0.5))/($I$106+$I$136)</f>
        <v>0.64401709044811928</v>
      </c>
      <c r="F65" s="24">
        <f>($I$107+40*($I$7-0.5))/($I$107+$I$136)</f>
        <v>0.6586859174984816</v>
      </c>
      <c r="G65" s="24">
        <f>($I$108+40*($I$7-0.5))/($I$108+$I$136)</f>
        <v>0.6172210412274507</v>
      </c>
      <c r="H65" s="24">
        <f>($I$109+40*($I$8-0.5))/($I$109+$I$136)</f>
        <v>0.5148577950190053</v>
      </c>
      <c r="I65" s="24">
        <f>($I$110+40*($I$8-0.5))/($I$110+$I$136)</f>
        <v>0.51024226839142039</v>
      </c>
      <c r="J65" s="24">
        <f>($I$111+40*($I$8-0.5))/($I$111+$I$136)</f>
        <v>0.51594669599517029</v>
      </c>
      <c r="K65" s="24">
        <f>($I$112+40*($I$8-0.5))/($I$112+$I$136)</f>
        <v>0.52351682078348749</v>
      </c>
      <c r="L65" s="24">
        <f>($I$113+40*($I$9-0.5))/($I$113+$I$136)</f>
        <v>0.73490701659810165</v>
      </c>
      <c r="M65" s="24">
        <f>($I$114+40*($I$9-0.5))/($I$114+$I$136)</f>
        <v>0.67042578895850991</v>
      </c>
      <c r="N65" s="24">
        <f>($I$115+40*($I$9-0.5))/($I$115+$I$136)</f>
        <v>0.74166153600920848</v>
      </c>
      <c r="O65" s="24">
        <f>($I$116+40*($I$9-0.5))/($I$116+$I$136)</f>
        <v>0.7274687023063211</v>
      </c>
      <c r="P65" s="24">
        <f>($I$117+40*($I$10-0.5))/($I$117+$I$136)</f>
        <v>0.4691850662379955</v>
      </c>
      <c r="Q65" s="24">
        <f>($I$118+40*($I$10-0.5))/($I$118+$I$136)</f>
        <v>0.43528757279506358</v>
      </c>
      <c r="R65" s="24">
        <f>($I$119+40*($I$10-0.5))/($I$119+$I$136)</f>
        <v>0.47214614243096442</v>
      </c>
      <c r="S65" s="24">
        <f>($I$120+40*($I$10-0.5))/($I$120+$I$136)</f>
        <v>0.45848888850209485</v>
      </c>
      <c r="T65" s="24">
        <f>($I$121+40*($I$11-0.5))/($I$121+$I$136)</f>
        <v>0.42427118721942103</v>
      </c>
      <c r="U65" s="24">
        <f>($I$122+40*($I$11-0.5))/($I$122+$I$136)</f>
        <v>0.42292168270060065</v>
      </c>
      <c r="V65" s="24">
        <f>($I$123+40*($I$11-0.5))/($I$123+$I$136)</f>
        <v>0.45293980116985288</v>
      </c>
      <c r="W65" s="24">
        <f>($I$124+40*($I$11-0.5))/($I$124+$I$136)</f>
        <v>0.4306348452668205</v>
      </c>
      <c r="X65" s="24">
        <f>($I$125+40*($I$12-0.5))/($I$125+$I$136)</f>
        <v>0.28044816609701673</v>
      </c>
      <c r="Y65" s="24">
        <f>($I$126+40*($I$12-0.5))/($I$126+$I$136)</f>
        <v>0.25721691593894941</v>
      </c>
      <c r="Z65" s="24">
        <f>($I$127+40*($I$12-0.5))/($I$127+$I$136)</f>
        <v>0.28445651939987798</v>
      </c>
      <c r="AA65" s="24">
        <f>($I$128+40*($I$12-0.5))/($I$128+$I$136)</f>
        <v>0.26479064997779261</v>
      </c>
      <c r="AB65" s="24">
        <f>($I$129+40*($I$13-0.5))/($I$129+$I$136)</f>
        <v>0.32202890214168978</v>
      </c>
      <c r="AC65" s="24">
        <f>($I$130+40*($I$13-0.5))/($I$130+$I$136)</f>
        <v>0.2884763717974827</v>
      </c>
      <c r="AD65" s="24">
        <f>($I$131+40*($I$13-0.5))/($I$131+$I$136)</f>
        <v>0.27430096473363103</v>
      </c>
      <c r="AE65" s="24">
        <f>($I$132+40*($I$13-0.5))/($I$132+$I$136)</f>
        <v>0.30595922672465653</v>
      </c>
      <c r="AF65" s="24">
        <f>($I$133+40*($I$14-0.5))/($I$133+$I$136)</f>
        <v>0.49065110486980773</v>
      </c>
      <c r="AG65" s="24">
        <f>($I$134+40*($I$14-0.5))/($I$134+$I$136)</f>
        <v>0.52909563087196931</v>
      </c>
      <c r="AH65" s="24">
        <f>($I$135+40*($I$14-0.5))/($I$135+$I$136)</f>
        <v>0.50829034659086092</v>
      </c>
      <c r="AI65" s="3">
        <v>0</v>
      </c>
      <c r="AJ65" s="24">
        <f>($I$136+40*($J$14-0.5))/($I$136+$I$137)</f>
        <v>0.47562716417022888</v>
      </c>
      <c r="AK65" s="24">
        <f>($I$136+40*($J$14-0.5))/($I$136+$I$138)</f>
        <v>0.48495224862069147</v>
      </c>
      <c r="AL65" s="24">
        <f>($I$136+40*($J$14-0.5))/($I$136+$I$139)</f>
        <v>0.4923118690820984</v>
      </c>
      <c r="AM65" s="24">
        <f>($I$136+40*($J$14-0.5))/($I$136+$I$140)</f>
        <v>0.47405946135683658</v>
      </c>
      <c r="AN65" s="24">
        <f>($I$136+40*($K$14-0.5))/($I$136+$I$141)</f>
        <v>0.57552923716720461</v>
      </c>
      <c r="AO65" s="24">
        <f>($I$136+40*($K$14-0.5))/($I$136+$I$142)</f>
        <v>0.56776554158040893</v>
      </c>
      <c r="AP65" s="24">
        <f>($I$136+40*($K$14-0.5))/($I$136+$I$143)</f>
        <v>0.57396291126352417</v>
      </c>
      <c r="AQ65" s="24">
        <f>($I$136+40*($K$14-0.5))/($I$136+$I$144)</f>
        <v>0.55755437237257577</v>
      </c>
      <c r="AR65" s="24">
        <f>($I$136+40*($L$14-0.5))/($I$136+$I$145)</f>
        <v>0.56988163471497222</v>
      </c>
      <c r="AS65" s="24">
        <f>($I$136+40*($L$14-0.5))/($I$136+$I$146)</f>
        <v>0.58990274368666606</v>
      </c>
      <c r="AT65" s="24">
        <f>($I$136+40*($L$14-0.5))/($I$136+$I$147)</f>
        <v>0.57278457415456041</v>
      </c>
      <c r="AU65" s="24">
        <f>($I$136+40*($L$14-0.5))/($I$136+$I$148)</f>
        <v>0.57667069017524764</v>
      </c>
      <c r="AV65" s="24">
        <f>($I$136+40*($M$14-0.5))/($I$136+$I$149)</f>
        <v>0.31684959518700306</v>
      </c>
      <c r="AW65" s="24">
        <f>($I$136+40*($M$14-0.5))/($I$136+$I$150)</f>
        <v>0.32054656873438325</v>
      </c>
      <c r="AX65" s="24">
        <f>($I$136+40*($M$14-0.5))/($I$136+$I$151)</f>
        <v>0.31474668273356832</v>
      </c>
      <c r="AY65" s="24">
        <f>($I$136+40*($M$14-0.5))/($I$136+$I$152)</f>
        <v>0.3174216324457515</v>
      </c>
      <c r="AZ65" s="24">
        <f>($I$136+40*($N$14-0.5))/($I$136+$I$153)</f>
        <v>0.80051839154878623</v>
      </c>
      <c r="BA65" s="24">
        <f>($I$136+40*($N$14-0.5))/($I$136+$I$154)</f>
        <v>0.7847359449330038</v>
      </c>
      <c r="BB65" s="24">
        <f>($I$136+40*($N$7-0.5))/($I$136+$I$155)</f>
        <v>0.8378681244250108</v>
      </c>
      <c r="BC65" s="24">
        <f>($I$136+40*($N$14-0.5))/($I$136+$I$156)</f>
        <v>0.85095866438506074</v>
      </c>
      <c r="BD65" s="24">
        <f>($I$136+40*($O$14-0.5))/($I$136+$I$157)</f>
        <v>0.77173726428155698</v>
      </c>
      <c r="BE65" s="24">
        <f>($I$136+40*($O$14-0.5))/($I$136+$I$158)</f>
        <v>0.85748412560897647</v>
      </c>
      <c r="BF65" s="24">
        <f>($I$136+40*($O$14-0.5))/($I$136+$I$159)</f>
        <v>0.83225773810015446</v>
      </c>
      <c r="BG65" s="24">
        <f>($I$136+40*($O$14-0.5))/($I$136+$I$160)</f>
        <v>0.82321508432207302</v>
      </c>
      <c r="BH65" s="24">
        <f>($I$136+40*($P$14-0.5))/($I$136+$I$161)</f>
        <v>0.80319766780413704</v>
      </c>
      <c r="BI65" s="24">
        <f>($I$136+40*($P$14-0.5))/($I$136+$I$162)</f>
        <v>0.82192299933053203</v>
      </c>
      <c r="BJ65" s="24">
        <f>($I$136+40*($P$14-0.5))/($I$136+$I$163)</f>
        <v>0.82959102547453112</v>
      </c>
      <c r="BK65" s="24">
        <f>($I$136+40*($P$14-0.5))/($I$136+$I$164)</f>
        <v>0.8372556989242268</v>
      </c>
      <c r="BL65" s="24">
        <f>($I$136+40*($Q$14-0.5))/($I$136+$I$165)</f>
        <v>0.85279194759463173</v>
      </c>
      <c r="BM65" s="24">
        <f>($I$136+40*($Q$14-0.5))/($I$136+$I$166)</f>
        <v>0.83349710426358614</v>
      </c>
      <c r="BN65" s="24">
        <f>($I$136+40*($Q$7-0.5))/($I$136+$I$167)</f>
        <v>0.91840260259859252</v>
      </c>
      <c r="BO65" s="24">
        <f>($I$136+40*($Q$14-0.5))/($I$136+$I$168)</f>
        <v>0.84827636079035906</v>
      </c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  <c r="IT65" s="40"/>
      <c r="IU65" s="40"/>
      <c r="IV65" s="40"/>
      <c r="IW65" s="40"/>
      <c r="IX65" s="40"/>
      <c r="IY65" s="40"/>
      <c r="IZ65" s="40"/>
      <c r="JA65" s="40"/>
      <c r="JB65" s="40"/>
      <c r="JC65" s="40"/>
      <c r="JD65" s="40"/>
      <c r="JE65" s="40"/>
      <c r="JF65" s="40"/>
      <c r="JG65" s="40"/>
      <c r="JH65" s="40"/>
      <c r="JI65" s="40"/>
      <c r="JJ65" s="40"/>
      <c r="JK65" s="40"/>
      <c r="JL65" s="40"/>
      <c r="JM65" s="40"/>
      <c r="JN65" s="40"/>
      <c r="JO65" s="40"/>
      <c r="JP65" s="40"/>
      <c r="JQ65" s="40"/>
      <c r="JR65" s="40"/>
      <c r="JS65" s="40"/>
      <c r="JT65" s="40"/>
      <c r="JU65" s="40"/>
      <c r="JV65" s="40"/>
      <c r="JW65" s="40"/>
      <c r="JX65" s="40"/>
      <c r="JY65" s="40"/>
      <c r="JZ65" s="40"/>
      <c r="KA65" s="40"/>
      <c r="KB65" s="40"/>
      <c r="KC65" s="40"/>
      <c r="KD65" s="40"/>
      <c r="KE65" s="40"/>
      <c r="KF65" s="40"/>
      <c r="KG65" s="40"/>
      <c r="KH65" s="40"/>
      <c r="KI65" s="40"/>
      <c r="KJ65" s="40"/>
      <c r="KK65" s="40"/>
      <c r="KL65" s="40"/>
      <c r="KM65" s="40"/>
      <c r="KN65" s="40"/>
      <c r="KO65" s="40"/>
      <c r="KP65" s="40"/>
      <c r="KQ65" s="40"/>
      <c r="KR65" s="40"/>
      <c r="KS65" s="40"/>
      <c r="KT65" s="40"/>
      <c r="KU65" s="40"/>
      <c r="KV65" s="40"/>
      <c r="KW65" s="40"/>
      <c r="KX65" s="40"/>
      <c r="KY65" s="40"/>
      <c r="KZ65" s="40"/>
      <c r="LA65" s="40"/>
      <c r="LB65" s="40"/>
      <c r="LC65" s="40"/>
      <c r="LD65" s="40"/>
      <c r="LE65" s="40"/>
      <c r="LF65" s="40"/>
      <c r="LG65" s="40"/>
      <c r="LH65" s="40"/>
      <c r="LI65" s="40"/>
      <c r="LJ65" s="40"/>
      <c r="LK65" s="40"/>
      <c r="LL65" s="40"/>
      <c r="LM65" s="40"/>
      <c r="LN65" s="40"/>
      <c r="LO65" s="40"/>
      <c r="LP65" s="40"/>
      <c r="LQ65" s="40"/>
      <c r="LR65" s="40"/>
      <c r="LS65" s="40"/>
      <c r="LT65" s="40"/>
      <c r="LU65" s="40"/>
      <c r="LV65" s="40"/>
      <c r="LW65" s="40"/>
      <c r="LX65" s="40"/>
      <c r="LY65" s="40"/>
      <c r="LZ65" s="40"/>
      <c r="MA65" s="40"/>
      <c r="MB65" s="40"/>
      <c r="MC65" s="40"/>
      <c r="MD65" s="40"/>
      <c r="ME65" s="40"/>
      <c r="MF65" s="40"/>
      <c r="MG65" s="40"/>
      <c r="MH65" s="40"/>
      <c r="MI65" s="40"/>
      <c r="MJ65" s="40"/>
      <c r="MK65" s="40"/>
      <c r="ML65" s="40"/>
      <c r="MM65" s="40"/>
      <c r="MN65" s="40"/>
      <c r="MO65" s="40"/>
      <c r="MP65" s="40"/>
      <c r="MQ65" s="40"/>
      <c r="MR65" s="40"/>
      <c r="MS65" s="40"/>
      <c r="MT65" s="40"/>
    </row>
    <row r="66" spans="1:358" x14ac:dyDescent="0.25">
      <c r="A66" t="str">
        <f>$A$137</f>
        <v>Pittsburgh</v>
      </c>
      <c r="B66" s="54">
        <v>9</v>
      </c>
      <c r="C66" s="3">
        <v>33</v>
      </c>
      <c r="D66" s="24">
        <f>($I$105+40*($J$7-0.5))/($I$105+$I$137)</f>
        <v>0.71579255754738802</v>
      </c>
      <c r="E66" s="24">
        <f>($I$106+40*($J$7-0.5))/($I$106+$I$137)</f>
        <v>0.71357192241113432</v>
      </c>
      <c r="F66" s="24">
        <f>($I$107+40*($J$7-0.5))/($I$107+$I$137)</f>
        <v>0.72530338736128563</v>
      </c>
      <c r="G66" s="24">
        <f>($I$108+40*($J$7-0.5))/($I$108+$I$137)</f>
        <v>0.69215735770803088</v>
      </c>
      <c r="H66" s="24">
        <f>($I$109+40*($J$8-0.5))/($I$109+$I$137)</f>
        <v>0.51987329917075586</v>
      </c>
      <c r="I66" s="24">
        <f>($I$110+40*($J$8-0.5))/($I$110+$I$137)</f>
        <v>0.51533634864991729</v>
      </c>
      <c r="J66" s="24">
        <f>($I$111+40*($J$8-0.5))/($I$111+$I$137)</f>
        <v>0.52094374660358467</v>
      </c>
      <c r="K66" s="24">
        <f>($I$112+40*($J$8-0.5))/($I$112+$I$137)</f>
        <v>0.52838646997732053</v>
      </c>
      <c r="L66" s="24">
        <f>($I$113+40*($J$9-0.5))/($I$113+$I$137)</f>
        <v>0.73011583100936217</v>
      </c>
      <c r="M66" s="24">
        <f>($I$114+40*($J$9-0.5))/($I$114+$I$137)</f>
        <v>0.66500043414871923</v>
      </c>
      <c r="N66" s="24">
        <f>($I$115+40*($J$9-0.5))/($I$115+$I$137)</f>
        <v>0.73694873237195502</v>
      </c>
      <c r="O66" s="24">
        <f>($I$116+40*($J$9-0.5))/($I$116+$I$137)</f>
        <v>0.72259382571128938</v>
      </c>
      <c r="P66" s="24">
        <f>($I$117+40*($J$10-0.5))/($I$117+$I$137)</f>
        <v>0.72133742396019085</v>
      </c>
      <c r="Q66" s="24">
        <f>($I$118+40*($J$10-0.5))/($I$118+$I$137)</f>
        <v>0.70366959796486916</v>
      </c>
      <c r="R66" s="24">
        <f>($I$119+40*($J$10-0.5))/($I$119+$I$137)</f>
        <v>0.72288149781266953</v>
      </c>
      <c r="S66" s="24">
        <f>($I$120+40*($J$10-0.5))/($I$120+$I$137)</f>
        <v>0.71576079328197473</v>
      </c>
      <c r="T66" s="24">
        <f>($I$121+40*($J$11-0.5))/($I$121+$I$137)</f>
        <v>0.27555862182409463</v>
      </c>
      <c r="U66" s="24">
        <f>($I$122+40*($J$11-0.5))/($I$122+$I$137)</f>
        <v>0.27387232296380432</v>
      </c>
      <c r="V66" s="24">
        <f>($I$123+40*($J$11-0.5))/($I$123+$I$137)</f>
        <v>0.31139496924182936</v>
      </c>
      <c r="W66" s="24">
        <f>($I$124+40*($J$11-0.5))/($I$124+$I$137)</f>
        <v>0.28351118874340331</v>
      </c>
      <c r="X66" s="24">
        <f>($I$125+40*($J$12-0.5))/($I$125+$I$137)</f>
        <v>0.49650152140934817</v>
      </c>
      <c r="Y66" s="24">
        <f>($I$126+40*($J$12-0.5))/($I$126+$I$137)</f>
        <v>0.48036141888706863</v>
      </c>
      <c r="Z66" s="24">
        <f>($I$127+40*($J$12-0.5))/($I$127+$I$137)</f>
        <v>0.49928708503201996</v>
      </c>
      <c r="AA66" s="24">
        <f>($I$128+40*($J$12-0.5))/($I$128+$I$137)</f>
        <v>0.48562254345588685</v>
      </c>
      <c r="AB66" s="24">
        <f>($I$129+40*($J$13-0.5))/($I$129+$I$137)</f>
        <v>0.51718912868100431</v>
      </c>
      <c r="AC66" s="24">
        <f>($I$130+40*($J$13-0.5))/($I$130+$I$137)</f>
        <v>0.49345797331158081</v>
      </c>
      <c r="AD66" s="24">
        <f>($I$131+40*($J$13-0.5))/($I$131+$I$137)</f>
        <v>0.48343652636367063</v>
      </c>
      <c r="AE66" s="24">
        <f>($I$132+40*($J$13-0.5))/($I$132+$I$137)</f>
        <v>0.50582140528202568</v>
      </c>
      <c r="AF66" s="24">
        <f>($I$133+40*($J$14-0.5))/($I$133+$I$137)</f>
        <v>0.46589142121426325</v>
      </c>
      <c r="AG66" s="24">
        <f>($I$134+40*($J$14-0.5))/($I$134+$I$137)</f>
        <v>0.50594281548593634</v>
      </c>
      <c r="AH66" s="24">
        <f>($I$135+40*($J$14-0.5))/($I$135+$I$137)</f>
        <v>0.48426265756787051</v>
      </c>
      <c r="AI66" s="24">
        <f>($I$136+40*($J$14-0.5))/($I$136+$I$137)</f>
        <v>0.47562716417022888</v>
      </c>
      <c r="AJ66" s="3">
        <v>0</v>
      </c>
      <c r="AK66" s="24">
        <f>($I$137+40*($J$15-0.5))/($I$137+$I$138)</f>
        <v>0.50973448756504935</v>
      </c>
      <c r="AL66" s="24">
        <f>($I$137+40*($J$15-0.5))/($I$137+$I$139)</f>
        <v>0.51741537514472913</v>
      </c>
      <c r="AM66" s="24">
        <f>($I$137+40*($J$15-0.5))/($I$137+$I$140)</f>
        <v>0.49836321296418862</v>
      </c>
      <c r="AN66" s="24">
        <f>($I$137+40*($K$15-0.5))/($I$137+$I$141)</f>
        <v>0.5919328330882091</v>
      </c>
      <c r="AO66" s="24">
        <f>($I$137+40*($K$15-0.5))/($I$137+$I$142)</f>
        <v>0.58400353951100137</v>
      </c>
      <c r="AP66" s="24">
        <f>($I$137+40*($K$15-0.5))/($I$137+$I$143)</f>
        <v>0.59033321953818185</v>
      </c>
      <c r="AQ66" s="24">
        <f>($I$137+40*($K$15-0.5))/($I$137+$I$144)</f>
        <v>0.57357226557661189</v>
      </c>
      <c r="AR66" s="24">
        <f>($I$137+40*($L$15-0.5))/($I$137+$I$145)</f>
        <v>0.58603947654547661</v>
      </c>
      <c r="AS66" s="24">
        <f>($I$137+40*($L$15-0.5))/($I$137+$I$146)</f>
        <v>0.60648026486361784</v>
      </c>
      <c r="AT66" s="24">
        <f>($I$137+40*($L$15-0.5))/($I$137+$I$147)</f>
        <v>0.5890038852245465</v>
      </c>
      <c r="AU66" s="24">
        <f>($I$137+40*($L$15-0.5))/($I$137+$I$148)</f>
        <v>0.59297196076866288</v>
      </c>
      <c r="AV66" s="24">
        <f>($I$137+40*($M$15-0.5))/($I$137+$I$149)</f>
        <v>0.69112694583006706</v>
      </c>
      <c r="AW66" s="24">
        <f>($I$137+40*($M$15-0.5))/($I$137+$I$150)</f>
        <v>0.69912747122663377</v>
      </c>
      <c r="AX66" s="24">
        <f>($I$137+40*($M$15-0.5))/($I$137+$I$151)</f>
        <v>0.68657543873150206</v>
      </c>
      <c r="AY66" s="24">
        <f>($I$137+40*($M$15-0.5))/($I$137+$I$152)</f>
        <v>0.69236497196823577</v>
      </c>
      <c r="AZ66" s="24">
        <f>($I$137+40*($N$14-0.5))/($I$137+$I$153)</f>
        <v>0.80204782663867757</v>
      </c>
      <c r="BA66" s="24">
        <f>($I$137+40*($N$15-0.5))/($I$137+$I$154)</f>
        <v>0.71507810659903259</v>
      </c>
      <c r="BB66" s="24">
        <f>($I$137+40*($N$7-0.5))/($I$137+$I$155)</f>
        <v>0.83916873003047021</v>
      </c>
      <c r="BC66" s="24">
        <f>($I$137+40*($N$15-0.5))/($I$137+$I$156)</f>
        <v>0.774930924779343</v>
      </c>
      <c r="BD66" s="24">
        <f>($I$137+40*($O$15-0.5))/($I$137+$I$157)</f>
        <v>0.70799444491259655</v>
      </c>
      <c r="BE66" s="24">
        <f>($I$137+40*($O$15-0.5))/($I$137+$I$158)</f>
        <v>0.78601322218124958</v>
      </c>
      <c r="BF66" s="24">
        <f>($I$137+40*($O$15-0.5))/($I$137+$I$159)</f>
        <v>0.7630737067940182</v>
      </c>
      <c r="BG66" s="24">
        <f>($I$137+40*($O$15-0.5))/($I$137+$I$160)</f>
        <v>0.75484810716507944</v>
      </c>
      <c r="BH66" s="24">
        <f>($I$137+40*($P$15-0.5))/($I$137+$I$161)</f>
        <v>0.79451304841202897</v>
      </c>
      <c r="BI66" s="24">
        <f>($I$137+40*($P$15-0.5))/($I$137+$I$162)</f>
        <v>0.81288172871898268</v>
      </c>
      <c r="BJ66" s="24">
        <f>($I$137+40*($P$15-0.5))/($I$137+$I$163)</f>
        <v>0.82040169570407262</v>
      </c>
      <c r="BK66" s="24">
        <f>($I$137+40*($P$15-0.5))/($I$137+$I$164)</f>
        <v>0.82791720772471511</v>
      </c>
      <c r="BL66" s="24">
        <f>($I$137+40*($Q$15-0.5))/($I$137+$I$165)</f>
        <v>0.84865813362212494</v>
      </c>
      <c r="BM66" s="24">
        <f>($I$137+40*($Q$15-0.5))/($I$137+$I$166)</f>
        <v>0.82961683297198707</v>
      </c>
      <c r="BN66" s="24">
        <f>($I$137+40*($Q$7-0.5))/($I$137+$I$167)</f>
        <v>0.91911953172455252</v>
      </c>
      <c r="BO66" s="24">
        <f>($I$137+40*($Q$15-0.5))/($I$137+$I$168)</f>
        <v>0.8442025419862641</v>
      </c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0"/>
      <c r="JG66" s="40"/>
      <c r="JH66" s="40"/>
      <c r="JI66" s="40"/>
      <c r="JJ66" s="40"/>
      <c r="JK66" s="40"/>
      <c r="JL66" s="40"/>
      <c r="JM66" s="40"/>
      <c r="JN66" s="40"/>
      <c r="JO66" s="40"/>
      <c r="JP66" s="40"/>
      <c r="JQ66" s="40"/>
      <c r="JR66" s="40"/>
      <c r="JS66" s="40"/>
      <c r="JT66" s="40"/>
      <c r="JU66" s="40"/>
      <c r="JV66" s="40"/>
      <c r="JW66" s="40"/>
      <c r="JX66" s="40"/>
      <c r="JY66" s="40"/>
      <c r="JZ66" s="40"/>
      <c r="KA66" s="40"/>
      <c r="KB66" s="40"/>
      <c r="KC66" s="40"/>
      <c r="KD66" s="40"/>
      <c r="KE66" s="40"/>
      <c r="KF66" s="40"/>
      <c r="KG66" s="40"/>
      <c r="KH66" s="40"/>
      <c r="KI66" s="40"/>
      <c r="KJ66" s="40"/>
      <c r="KK66" s="40"/>
      <c r="KL66" s="40"/>
      <c r="KM66" s="40"/>
      <c r="KN66" s="40"/>
      <c r="KO66" s="40"/>
      <c r="KP66" s="40"/>
      <c r="KQ66" s="40"/>
      <c r="KR66" s="40"/>
      <c r="KS66" s="40"/>
      <c r="KT66" s="40"/>
      <c r="KU66" s="40"/>
      <c r="KV66" s="40"/>
      <c r="KW66" s="40"/>
      <c r="KX66" s="40"/>
      <c r="KY66" s="40"/>
      <c r="KZ66" s="40"/>
      <c r="LA66" s="40"/>
      <c r="LB66" s="40"/>
      <c r="LC66" s="40"/>
      <c r="LD66" s="40"/>
      <c r="LE66" s="40"/>
      <c r="LF66" s="40"/>
      <c r="LG66" s="40"/>
      <c r="LH66" s="40"/>
      <c r="LI66" s="40"/>
      <c r="LJ66" s="40"/>
      <c r="LK66" s="40"/>
      <c r="LL66" s="40"/>
      <c r="LM66" s="40"/>
      <c r="LN66" s="40"/>
      <c r="LO66" s="40"/>
      <c r="LP66" s="40"/>
      <c r="LQ66" s="40"/>
      <c r="LR66" s="40"/>
      <c r="LS66" s="40"/>
      <c r="LT66" s="40"/>
      <c r="LU66" s="40"/>
      <c r="LV66" s="40"/>
      <c r="LW66" s="40"/>
      <c r="LX66" s="40"/>
      <c r="LY66" s="40"/>
      <c r="LZ66" s="40"/>
      <c r="MA66" s="40"/>
      <c r="MB66" s="40"/>
      <c r="MC66" s="40"/>
      <c r="MD66" s="40"/>
      <c r="ME66" s="40"/>
      <c r="MF66" s="40"/>
      <c r="MG66" s="40"/>
      <c r="MH66" s="40"/>
      <c r="MI66" s="40"/>
      <c r="MJ66" s="40"/>
      <c r="MK66" s="40"/>
      <c r="ML66" s="40"/>
      <c r="MM66" s="40"/>
      <c r="MN66" s="40"/>
      <c r="MO66" s="40"/>
      <c r="MP66" s="40"/>
      <c r="MQ66" s="40"/>
      <c r="MR66" s="40"/>
      <c r="MS66" s="40"/>
      <c r="MT66" s="40"/>
    </row>
    <row r="67" spans="1:358" x14ac:dyDescent="0.25">
      <c r="A67" t="str">
        <f>$A$138</f>
        <v>Oklahoma St</v>
      </c>
      <c r="B67" s="54"/>
      <c r="C67" s="3">
        <v>34</v>
      </c>
      <c r="D67" s="24">
        <f>($I$105+40*($J$7-0.5))/($I$105+$I$138)</f>
        <v>0.7284786649701035</v>
      </c>
      <c r="E67" s="24">
        <f>($I$106+40*($J$7-0.5))/($I$106+$I$138)</f>
        <v>0.72631925290105803</v>
      </c>
      <c r="F67" s="24">
        <f>($I$107+40*($J$7-0.5))/($I$107+$I$138)</f>
        <v>0.73772051850356657</v>
      </c>
      <c r="G67" s="24">
        <f>($I$108+40*($J$7-0.5))/($I$108+$I$138)</f>
        <v>0.70546435142770814</v>
      </c>
      <c r="H67" s="24">
        <f>($I$109+40*($J$8-0.5))/($I$109+$I$138)</f>
        <v>0.52975929545095179</v>
      </c>
      <c r="I67" s="24">
        <f>($I$110+40*($J$8-0.5))/($I$110+$I$138)</f>
        <v>0.52523044975723221</v>
      </c>
      <c r="J67" s="24">
        <f>($I$111+40*($J$8-0.5))/($I$111+$I$138)</f>
        <v>0.53082759333145757</v>
      </c>
      <c r="K67" s="24">
        <f>($I$112+40*($J$8-0.5))/($I$112+$I$138)</f>
        <v>0.53825286742954315</v>
      </c>
      <c r="L67" s="24">
        <f>($I$113+40*($J$9-0.5))/($I$113+$I$138)</f>
        <v>0.74363378859345497</v>
      </c>
      <c r="M67" s="24">
        <f>($I$114+40*($J$9-0.5))/($I$114+$I$138)</f>
        <v>0.68035199221257003</v>
      </c>
      <c r="N67" s="24">
        <f>($I$115+40*($J$9-0.5))/($I$115+$I$138)</f>
        <v>0.75024151945406237</v>
      </c>
      <c r="O67" s="24">
        <f>($I$116+40*($J$9-0.5))/($I$116+$I$138)</f>
        <v>0.73635249527185764</v>
      </c>
      <c r="P67" s="24">
        <f>($I$117+40*($J$10-0.5))/($I$117+$I$138)</f>
        <v>0.73513556681801018</v>
      </c>
      <c r="Q67" s="24">
        <f>($I$118+40*($J$10-0.5))/($I$118+$I$138)</f>
        <v>0.71800056680941715</v>
      </c>
      <c r="R67" s="24">
        <f>($I$119+40*($J$10-0.5))/($I$119+$I$138)</f>
        <v>0.73663109983764041</v>
      </c>
      <c r="S67" s="24">
        <f>($I$120+40*($J$10-0.5))/($I$120+$I$138)</f>
        <v>0.72973160674812032</v>
      </c>
      <c r="T67" s="24">
        <f>($I$121+40*($J$11-0.5))/($I$121+$I$138)</f>
        <v>0.280984307129441</v>
      </c>
      <c r="U67" s="24">
        <f>($I$122+40*($J$11-0.5))/($I$122+$I$138)</f>
        <v>0.27927760537814644</v>
      </c>
      <c r="V67" s="24">
        <f>($I$123+40*($J$11-0.5))/($I$123+$I$138)</f>
        <v>0.31721729275162175</v>
      </c>
      <c r="W67" s="24">
        <f>($I$124+40*($J$11-0.5))/($I$124+$I$138)</f>
        <v>0.28903098571691521</v>
      </c>
      <c r="X67" s="24">
        <f>($I$125+40*($J$12-0.5))/($I$125+$I$138)</f>
        <v>0.50623685858163481</v>
      </c>
      <c r="Y67" s="24">
        <f>($I$126+40*($J$12-0.5))/($I$126+$I$138)</f>
        <v>0.49008832713370337</v>
      </c>
      <c r="Z67" s="24">
        <f>($I$127+40*($J$12-0.5))/($I$127+$I$138)</f>
        <v>0.5090218230378929</v>
      </c>
      <c r="AA67" s="24">
        <f>($I$128+40*($J$12-0.5))/($I$128+$I$138)</f>
        <v>0.49535443029774584</v>
      </c>
      <c r="AB67" s="24">
        <f>($I$129+40*($J$13-0.5))/($I$129+$I$138)</f>
        <v>0.52673715053786085</v>
      </c>
      <c r="AC67" s="24">
        <f>($I$130+40*($J$13-0.5))/($I$130+$I$138)</f>
        <v>0.50302433716654793</v>
      </c>
      <c r="AD67" s="24">
        <f>($I$131+40*($J$13-0.5))/($I$131+$I$138)</f>
        <v>0.49299769541375615</v>
      </c>
      <c r="AE67" s="24">
        <f>($I$132+40*($J$13-0.5))/($I$132+$I$138)</f>
        <v>0.51538358554689234</v>
      </c>
      <c r="AF67" s="24">
        <f>($I$133+40*($J$14-0.5))/($I$133+$I$138)</f>
        <v>0.47519860568223454</v>
      </c>
      <c r="AG67" s="24">
        <f>($I$134+40*($J$14-0.5))/($I$134+$I$138)</f>
        <v>0.51527820849036898</v>
      </c>
      <c r="AH67" s="24">
        <f>($I$135+40*($J$14-0.5))/($I$135+$I$138)</f>
        <v>0.49359767851693215</v>
      </c>
      <c r="AI67" s="24">
        <f>($I$136+40*($J$14-0.5))/($I$136+$I$138)</f>
        <v>0.48495224862069147</v>
      </c>
      <c r="AJ67" s="24">
        <f>($I$137+40*($J$15-0.5))/($I$137+$I$138)</f>
        <v>0.50973448756504935</v>
      </c>
      <c r="AK67" s="3">
        <v>0</v>
      </c>
      <c r="AL67" s="24">
        <f>($I$138+40*($J$15-0.5))/($I$138+$I$139)</f>
        <v>0.50768609966998768</v>
      </c>
      <c r="AM67" s="24">
        <f>($I$138+40*($J$15-0.5))/($I$138+$I$140)</f>
        <v>0.48862945007990038</v>
      </c>
      <c r="AN67" s="24">
        <f>($I$138+40*($K$15-0.5))/($I$138+$I$141)</f>
        <v>0.5837291714942211</v>
      </c>
      <c r="AO67" s="24">
        <f>($I$138+40*($K$15-0.5))/($I$138+$I$142)</f>
        <v>0.5757547194720859</v>
      </c>
      <c r="AP67" s="24">
        <f>($I$138+40*($K$15-0.5))/($I$138+$I$143)</f>
        <v>0.58212010210495069</v>
      </c>
      <c r="AQ67" s="24">
        <f>($I$138+40*($K$15-0.5))/($I$138+$I$144)</f>
        <v>0.5652705756278148</v>
      </c>
      <c r="AR67" s="24">
        <f>($I$138+40*($L$15-0.5))/($I$138+$I$145)</f>
        <v>0.57786477108210854</v>
      </c>
      <c r="AS67" s="24">
        <f>($I$138+40*($L$15-0.5))/($I$138+$I$146)</f>
        <v>0.59843262109439732</v>
      </c>
      <c r="AT67" s="24">
        <f>($I$138+40*($L$15-0.5))/($I$138+$I$147)</f>
        <v>0.58084585002771483</v>
      </c>
      <c r="AU67" s="24">
        <f>($I$138+40*($L$15-0.5))/($I$138+$I$148)</f>
        <v>0.58483717230794208</v>
      </c>
      <c r="AV67" s="24">
        <f>($I$138+40*($M$15-0.5))/($I$138+$I$149)</f>
        <v>0.68427581440314755</v>
      </c>
      <c r="AW67" s="24">
        <f>($I$138+40*($M$15-0.5))/($I$138+$I$150)</f>
        <v>0.69237481124606037</v>
      </c>
      <c r="AX67" s="24">
        <f>($I$138+40*($M$15-0.5))/($I$138+$I$151)</f>
        <v>0.6796701426484425</v>
      </c>
      <c r="AY67" s="24">
        <f>($I$138+40*($M$15-0.5))/($I$138+$I$152)</f>
        <v>0.68552880630450141</v>
      </c>
      <c r="AZ67" s="24">
        <f>($I$138+40*($N$15-0.5))/($I$138+$I$153)</f>
        <v>0.72343694681714754</v>
      </c>
      <c r="BA67" s="24">
        <f>($I$138+40*($N$15-0.5))/($I$138+$I$154)</f>
        <v>0.70897834669158033</v>
      </c>
      <c r="BB67" s="24">
        <f>($I$138+40*($N$7-0.5))/($I$138+$I$155)</f>
        <v>0.83548902110585321</v>
      </c>
      <c r="BC67" s="24">
        <f>($I$138+40*($N$15-0.5))/($I$138+$I$156)</f>
        <v>0.76969984703272842</v>
      </c>
      <c r="BD67" s="24">
        <f>($I$138+40*($O$15-0.5))/($I$138+$I$157)</f>
        <v>0.70184798301256823</v>
      </c>
      <c r="BE67" s="24">
        <f>($I$138+40*($O$15-0.5))/($I$138+$I$158)</f>
        <v>0.78100100872292133</v>
      </c>
      <c r="BF67" s="24">
        <f>($I$138+40*($O$15-0.5))/($I$138+$I$159)</f>
        <v>0.75768982225449821</v>
      </c>
      <c r="BG67" s="24">
        <f>($I$138+40*($O$15-0.5))/($I$138+$I$160)</f>
        <v>0.74933870543885062</v>
      </c>
      <c r="BH67" s="24">
        <f>($I$138+40*($P$15-0.5))/($I$138+$I$161)</f>
        <v>0.78974333964366439</v>
      </c>
      <c r="BI67" s="24">
        <f>($I$138+40*($P$15-0.5))/($I$138+$I$162)</f>
        <v>0.80843558741940014</v>
      </c>
      <c r="BJ67" s="24">
        <f>($I$138+40*($P$15-0.5))/($I$138+$I$163)</f>
        <v>0.81609381212530818</v>
      </c>
      <c r="BK67" s="24">
        <f>($I$138+40*($P$15-0.5))/($I$138+$I$164)</f>
        <v>0.82375086522043905</v>
      </c>
      <c r="BL67" s="24">
        <f>($I$138+40*($Q$15-0.5))/($I$138+$I$165)</f>
        <v>0.8449732153465993</v>
      </c>
      <c r="BM67" s="24">
        <f>($I$138+40*($Q$15-0.5))/($I$138+$I$166)</f>
        <v>0.82556358617771852</v>
      </c>
      <c r="BN67" s="24">
        <f>($I$138+40*($Q$7-0.5))/($I$138+$I$167)</f>
        <v>0.91708831135655144</v>
      </c>
      <c r="BO67" s="24">
        <f>($I$138+40*($Q$15-0.5))/($I$138+$I$168)</f>
        <v>0.84042953589202041</v>
      </c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  <c r="IY67" s="40"/>
      <c r="IZ67" s="40"/>
      <c r="JA67" s="40"/>
      <c r="JB67" s="40"/>
      <c r="JC67" s="40"/>
      <c r="JD67" s="40"/>
      <c r="JE67" s="40"/>
      <c r="JF67" s="40"/>
      <c r="JG67" s="40"/>
      <c r="JH67" s="40"/>
      <c r="JI67" s="40"/>
      <c r="JJ67" s="40"/>
      <c r="JK67" s="40"/>
      <c r="JL67" s="40"/>
      <c r="JM67" s="40"/>
      <c r="JN67" s="40"/>
      <c r="JO67" s="40"/>
      <c r="JP67" s="40"/>
      <c r="JQ67" s="40"/>
      <c r="JR67" s="40"/>
      <c r="JS67" s="40"/>
      <c r="JT67" s="40"/>
      <c r="JU67" s="40"/>
      <c r="JV67" s="40"/>
      <c r="JW67" s="40"/>
      <c r="JX67" s="40"/>
      <c r="JY67" s="40"/>
      <c r="JZ67" s="40"/>
      <c r="KA67" s="40"/>
      <c r="KB67" s="40"/>
      <c r="KC67" s="40"/>
      <c r="KD67" s="40"/>
      <c r="KE67" s="40"/>
      <c r="KF67" s="40"/>
      <c r="KG67" s="40"/>
      <c r="KH67" s="40"/>
      <c r="KI67" s="40"/>
      <c r="KJ67" s="40"/>
      <c r="KK67" s="40"/>
      <c r="KL67" s="40"/>
      <c r="KM67" s="40"/>
      <c r="KN67" s="40"/>
      <c r="KO67" s="40"/>
      <c r="KP67" s="40"/>
      <c r="KQ67" s="40"/>
      <c r="KR67" s="40"/>
      <c r="KS67" s="40"/>
      <c r="KT67" s="40"/>
      <c r="KU67" s="40"/>
      <c r="KV67" s="40"/>
      <c r="KW67" s="40"/>
      <c r="KX67" s="40"/>
      <c r="KY67" s="40"/>
      <c r="KZ67" s="40"/>
      <c r="LA67" s="40"/>
      <c r="LB67" s="40"/>
      <c r="LC67" s="40"/>
      <c r="LD67" s="40"/>
      <c r="LE67" s="40"/>
      <c r="LF67" s="40"/>
      <c r="LG67" s="40"/>
      <c r="LH67" s="40"/>
      <c r="LI67" s="40"/>
      <c r="LJ67" s="40"/>
      <c r="LK67" s="40"/>
      <c r="LL67" s="40"/>
      <c r="LM67" s="40"/>
      <c r="LN67" s="40"/>
      <c r="LO67" s="40"/>
      <c r="LP67" s="40"/>
      <c r="LQ67" s="40"/>
      <c r="LR67" s="40"/>
      <c r="LS67" s="40"/>
      <c r="LT67" s="40"/>
      <c r="LU67" s="40"/>
      <c r="LV67" s="40"/>
      <c r="LW67" s="40"/>
      <c r="LX67" s="40"/>
      <c r="LY67" s="40"/>
      <c r="LZ67" s="40"/>
      <c r="MA67" s="40"/>
      <c r="MB67" s="40"/>
      <c r="MC67" s="40"/>
      <c r="MD67" s="40"/>
      <c r="ME67" s="40"/>
      <c r="MF67" s="40"/>
      <c r="MG67" s="40"/>
      <c r="MH67" s="40"/>
      <c r="MI67" s="40"/>
      <c r="MJ67" s="40"/>
      <c r="MK67" s="40"/>
      <c r="ML67" s="40"/>
      <c r="MM67" s="40"/>
      <c r="MN67" s="40"/>
      <c r="MO67" s="40"/>
      <c r="MP67" s="40"/>
      <c r="MQ67" s="40"/>
      <c r="MR67" s="40"/>
      <c r="MS67" s="40"/>
      <c r="MT67" s="40"/>
    </row>
    <row r="68" spans="1:358" x14ac:dyDescent="0.25">
      <c r="A68" t="str">
        <f>$A$139</f>
        <v>Kansas State</v>
      </c>
      <c r="B68" s="54"/>
      <c r="C68" s="3">
        <v>35</v>
      </c>
      <c r="D68" s="24">
        <f>($I$105+40*($J$7-0.5))/($I$105+$I$139)</f>
        <v>0.73845786935484059</v>
      </c>
      <c r="E68" s="24">
        <f>($I$106+40*($J$7-0.5))/($I$106+$I$139)</f>
        <v>0.73634909833607376</v>
      </c>
      <c r="F68" s="24">
        <f>($I$107+40*($J$7-0.5))/($I$107+$I$139)</f>
        <v>0.74747780033925071</v>
      </c>
      <c r="G68" s="24">
        <f>($I$108+40*($J$7-0.5))/($I$108+$I$139)</f>
        <v>0.71595959726199221</v>
      </c>
      <c r="H68" s="24">
        <f>($I$109+40*($J$8-0.5))/($I$109+$I$139)</f>
        <v>0.53755353302577691</v>
      </c>
      <c r="I68" s="24">
        <f>($I$110+40*($J$8-0.5))/($I$110+$I$139)</f>
        <v>0.53303358492970387</v>
      </c>
      <c r="J68" s="24">
        <f>($I$111+40*($J$8-0.5))/($I$111+$I$139)</f>
        <v>0.53861954536571099</v>
      </c>
      <c r="K68" s="24">
        <f>($I$112+40*($J$8-0.5))/($I$112+$I$139)</f>
        <v>0.54602696517973159</v>
      </c>
      <c r="L68" s="24">
        <f>($I$113+40*($J$9-0.5))/($I$113+$I$139)</f>
        <v>0.75428213384105336</v>
      </c>
      <c r="M68" s="24">
        <f>($I$114+40*($J$9-0.5))/($I$114+$I$139)</f>
        <v>0.6925420472300774</v>
      </c>
      <c r="N68" s="24">
        <f>($I$115+40*($J$9-0.5))/($I$115+$I$139)</f>
        <v>0.76070372635877848</v>
      </c>
      <c r="O68" s="24">
        <f>($I$116+40*($J$9-0.5))/($I$116+$I$139)</f>
        <v>0.74720046123588812</v>
      </c>
      <c r="P68" s="24">
        <f>($I$117+40*($J$10-0.5))/($I$117+$I$139)</f>
        <v>0.74601633348617991</v>
      </c>
      <c r="Q68" s="24">
        <f>($I$118+40*($J$10-0.5))/($I$118+$I$139)</f>
        <v>0.72932606956941837</v>
      </c>
      <c r="R68" s="24">
        <f>($I$119+40*($J$10-0.5))/($I$119+$I$139)</f>
        <v>0.7474715337281802</v>
      </c>
      <c r="S68" s="24">
        <f>($I$120+40*($J$10-0.5))/($I$120+$I$139)</f>
        <v>0.74075608396089543</v>
      </c>
      <c r="T68" s="24">
        <f>($I$121+40*($J$11-0.5))/($I$121+$I$139)</f>
        <v>0.28526704194523206</v>
      </c>
      <c r="U68" s="24">
        <f>($I$122+40*($J$11-0.5))/($I$122+$I$139)</f>
        <v>0.28354458521853149</v>
      </c>
      <c r="V68" s="24">
        <f>($I$123+40*($J$11-0.5))/($I$123+$I$139)</f>
        <v>0.32180511595345823</v>
      </c>
      <c r="W68" s="24">
        <f>($I$124+40*($J$11-0.5))/($I$124+$I$139)</f>
        <v>0.29338632260087938</v>
      </c>
      <c r="X68" s="24">
        <f>($I$125+40*($J$12-0.5))/($I$125+$I$139)</f>
        <v>0.51392028905753906</v>
      </c>
      <c r="Y68" s="24">
        <f>($I$126+40*($J$12-0.5))/($I$126+$I$139)</f>
        <v>0.49777374840155392</v>
      </c>
      <c r="Z68" s="24">
        <f>($I$127+40*($J$12-0.5))/($I$127+$I$139)</f>
        <v>0.51670328970765667</v>
      </c>
      <c r="AA68" s="24">
        <f>($I$128+40*($J$12-0.5))/($I$128+$I$139)</f>
        <v>0.50304096429420997</v>
      </c>
      <c r="AB68" s="24">
        <f>($I$129+40*($J$13-0.5))/($I$129+$I$139)</f>
        <v>0.53425759854888522</v>
      </c>
      <c r="AC68" s="24">
        <f>($I$130+40*($J$13-0.5))/($I$130+$I$139)</f>
        <v>0.51057147463086561</v>
      </c>
      <c r="AD68" s="24">
        <f>($I$131+40*($J$13-0.5))/($I$131+$I$139)</f>
        <v>0.50054591359601164</v>
      </c>
      <c r="AE68" s="24">
        <f>($I$132+40*($J$13-0.5))/($I$132+$I$139)</f>
        <v>0.52292104223396141</v>
      </c>
      <c r="AF68" s="24">
        <f>($I$133+40*($J$14-0.5))/($I$133+$I$139)</f>
        <v>0.48254888620561948</v>
      </c>
      <c r="AG68" s="24">
        <f>($I$134+40*($J$14-0.5))/($I$134+$I$139)</f>
        <v>0.52263105282034472</v>
      </c>
      <c r="AH68" s="24">
        <f>($I$135+40*($J$14-0.5))/($I$135+$I$139)</f>
        <v>0.50096088745278888</v>
      </c>
      <c r="AI68" s="24">
        <f>($I$136+40*($J$14-0.5))/($I$136+$I$139)</f>
        <v>0.4923118690820984</v>
      </c>
      <c r="AJ68" s="24">
        <f>($I$137+40*($J$15-0.5))/($I$137+$I$139)</f>
        <v>0.51741537514472913</v>
      </c>
      <c r="AK68" s="24">
        <f>($I$138+40*($J$15-0.5))/($I$138+$I$139)</f>
        <v>0.50768609966998768</v>
      </c>
      <c r="AL68" s="3">
        <v>0</v>
      </c>
      <c r="AM68" s="24">
        <f>($I$139+40*($J$15-0.5))/($I$139+$I$140)</f>
        <v>0.48095000991916032</v>
      </c>
      <c r="AN68" s="24">
        <f>($I$139+40*($K$15-0.5))/($I$139+$I$141)</f>
        <v>0.57724895125031639</v>
      </c>
      <c r="AO68" s="24">
        <f>($I$139+40*($K$15-0.5))/($I$139+$I$142)</f>
        <v>0.56924196708010866</v>
      </c>
      <c r="AP68" s="24">
        <f>($I$139+40*($K$15-0.5))/($I$139+$I$143)</f>
        <v>0.57563304333474397</v>
      </c>
      <c r="AQ68" s="24">
        <f>($I$139+40*($K$15-0.5))/($I$139+$I$144)</f>
        <v>0.55872023219000755</v>
      </c>
      <c r="AR68" s="24">
        <f>($I$139+40*($L$15-0.5))/($I$139+$I$145)</f>
        <v>0.57141145806149185</v>
      </c>
      <c r="AS68" s="24">
        <f>($I$139+40*($L$15-0.5))/($I$139+$I$146)</f>
        <v>0.59207177375966669</v>
      </c>
      <c r="AT68" s="24">
        <f>($I$139+40*($L$15-0.5))/($I$139+$I$147)</f>
        <v>0.57440454556318843</v>
      </c>
      <c r="AU68" s="24">
        <f>($I$139+40*($L$15-0.5))/($I$139+$I$148)</f>
        <v>0.57841268523667944</v>
      </c>
      <c r="AV68" s="24">
        <f>($I$139+40*($M$15-0.5))/($I$139+$I$149)</f>
        <v>0.67884422412991763</v>
      </c>
      <c r="AW68" s="24">
        <f>($I$139+40*($M$15-0.5))/($I$139+$I$150)</f>
        <v>0.68701882377060208</v>
      </c>
      <c r="AX68" s="24">
        <f>($I$139+40*($M$15-0.5))/($I$139+$I$151)</f>
        <v>0.67419704385782819</v>
      </c>
      <c r="AY68" s="24">
        <f>($I$139+40*($M$15-0.5))/($I$139+$I$152)</f>
        <v>0.68010869482177871</v>
      </c>
      <c r="AZ68" s="24">
        <f>($I$139+40*($N$15-0.5))/($I$139+$I$153)</f>
        <v>0.71875234665580412</v>
      </c>
      <c r="BA68" s="24">
        <f>($I$139+40*($N$15-0.5))/($I$139+$I$154)</f>
        <v>0.70414899360582295</v>
      </c>
      <c r="BB68" s="24">
        <f>($I$139+40*($N$7-0.5))/($I$139+$I$155)</f>
        <v>0.83256816610794138</v>
      </c>
      <c r="BC68" s="24">
        <f>($I$139+40*($N$15-0.5))/($I$139+$I$156)</f>
        <v>0.76554491432456495</v>
      </c>
      <c r="BD68" s="24">
        <f>($I$139+40*($O$15-0.5))/($I$139+$I$157)</f>
        <v>0.69698472181556925</v>
      </c>
      <c r="BE68" s="24">
        <f>($I$139+40*($O$15-0.5))/($I$139+$I$158)</f>
        <v>0.77701865214495991</v>
      </c>
      <c r="BF68" s="24">
        <f>($I$139+40*($O$15-0.5))/($I$139+$I$159)</f>
        <v>0.75341740274973323</v>
      </c>
      <c r="BG68" s="24">
        <f>($I$139+40*($O$15-0.5))/($I$139+$I$160)</f>
        <v>0.74496860083925842</v>
      </c>
      <c r="BH68" s="24">
        <f>($I$139+40*($P$15-0.5))/($I$139+$I$161)</f>
        <v>0.78595506411233307</v>
      </c>
      <c r="BI68" s="24">
        <f>($I$139+40*($P$15-0.5))/($I$139+$I$162)</f>
        <v>0.80490089747655447</v>
      </c>
      <c r="BJ68" s="24">
        <f>($I$139+40*($P$15-0.5))/($I$139+$I$163)</f>
        <v>0.81266768547142776</v>
      </c>
      <c r="BK68" s="24">
        <f>($I$139+40*($P$15-0.5))/($I$139+$I$164)</f>
        <v>0.82043600070283906</v>
      </c>
      <c r="BL68" s="24">
        <f>($I$139+40*($Q$15-0.5))/($I$139+$I$165)</f>
        <v>0.84204068162676204</v>
      </c>
      <c r="BM68" s="24">
        <f>($I$139+40*($Q$15-0.5))/($I$139+$I$166)</f>
        <v>0.82234109051184034</v>
      </c>
      <c r="BN68" s="24">
        <f>($I$139+40*($Q$7-0.5))/($I$139+$I$167)</f>
        <v>0.91546965363702748</v>
      </c>
      <c r="BO68" s="24">
        <f>($I$139+40*($Q$15-0.5))/($I$139+$I$168)</f>
        <v>0.83742758921483174</v>
      </c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  <c r="IT68" s="40"/>
      <c r="IU68" s="40"/>
      <c r="IV68" s="40"/>
      <c r="IW68" s="40"/>
      <c r="IX68" s="40"/>
      <c r="IY68" s="40"/>
      <c r="IZ68" s="40"/>
      <c r="JA68" s="40"/>
      <c r="JB68" s="40"/>
      <c r="JC68" s="40"/>
      <c r="JD68" s="40"/>
      <c r="JE68" s="40"/>
      <c r="JF68" s="40"/>
      <c r="JG68" s="40"/>
      <c r="JH68" s="40"/>
      <c r="JI68" s="40"/>
      <c r="JJ68" s="40"/>
      <c r="JK68" s="40"/>
      <c r="JL68" s="40"/>
      <c r="JM68" s="40"/>
      <c r="JN68" s="40"/>
      <c r="JO68" s="40"/>
      <c r="JP68" s="40"/>
      <c r="JQ68" s="40"/>
      <c r="JR68" s="40"/>
      <c r="JS68" s="40"/>
      <c r="JT68" s="40"/>
      <c r="JU68" s="40"/>
      <c r="JV68" s="40"/>
      <c r="JW68" s="40"/>
      <c r="JX68" s="40"/>
      <c r="JY68" s="40"/>
      <c r="JZ68" s="40"/>
      <c r="KA68" s="40"/>
      <c r="KB68" s="40"/>
      <c r="KC68" s="40"/>
      <c r="KD68" s="40"/>
      <c r="KE68" s="40"/>
      <c r="KF68" s="40"/>
      <c r="KG68" s="40"/>
      <c r="KH68" s="40"/>
      <c r="KI68" s="40"/>
      <c r="KJ68" s="40"/>
      <c r="KK68" s="40"/>
      <c r="KL68" s="40"/>
      <c r="KM68" s="40"/>
      <c r="KN68" s="40"/>
      <c r="KO68" s="40"/>
      <c r="KP68" s="40"/>
      <c r="KQ68" s="40"/>
      <c r="KR68" s="40"/>
      <c r="KS68" s="40"/>
      <c r="KT68" s="40"/>
      <c r="KU68" s="40"/>
      <c r="KV68" s="40"/>
      <c r="KW68" s="40"/>
      <c r="KX68" s="40"/>
      <c r="KY68" s="40"/>
      <c r="KZ68" s="40"/>
      <c r="LA68" s="40"/>
      <c r="LB68" s="40"/>
      <c r="LC68" s="40"/>
      <c r="LD68" s="40"/>
      <c r="LE68" s="40"/>
      <c r="LF68" s="40"/>
      <c r="LG68" s="40"/>
      <c r="LH68" s="40"/>
      <c r="LI68" s="40"/>
      <c r="LJ68" s="40"/>
      <c r="LK68" s="40"/>
      <c r="LL68" s="40"/>
      <c r="LM68" s="40"/>
      <c r="LN68" s="40"/>
      <c r="LO68" s="40"/>
      <c r="LP68" s="40"/>
      <c r="LQ68" s="40"/>
      <c r="LR68" s="40"/>
      <c r="LS68" s="40"/>
      <c r="LT68" s="40"/>
      <c r="LU68" s="40"/>
      <c r="LV68" s="40"/>
      <c r="LW68" s="40"/>
      <c r="LX68" s="40"/>
      <c r="LY68" s="40"/>
      <c r="LZ68" s="40"/>
      <c r="MA68" s="40"/>
      <c r="MB68" s="40"/>
      <c r="MC68" s="40"/>
      <c r="MD68" s="40"/>
      <c r="ME68" s="40"/>
      <c r="MF68" s="40"/>
      <c r="MG68" s="40"/>
      <c r="MH68" s="40"/>
      <c r="MI68" s="40"/>
      <c r="MJ68" s="40"/>
      <c r="MK68" s="40"/>
      <c r="ML68" s="40"/>
      <c r="MM68" s="40"/>
      <c r="MN68" s="40"/>
      <c r="MO68" s="40"/>
      <c r="MP68" s="40"/>
      <c r="MQ68" s="40"/>
      <c r="MR68" s="40"/>
      <c r="MS68" s="40"/>
      <c r="MT68" s="40"/>
    </row>
    <row r="69" spans="1:358" x14ac:dyDescent="0.25">
      <c r="A69" t="str">
        <f>$A$140</f>
        <v>GW</v>
      </c>
      <c r="B69" s="54"/>
      <c r="C69" s="3">
        <v>36</v>
      </c>
      <c r="D69" s="24">
        <f>($I$105+40*($J$7-0.5))/($I$105+$I$140)</f>
        <v>0.71365520036393815</v>
      </c>
      <c r="E69" s="24">
        <f>($I$106+40*($J$7-0.5))/($I$106+$I$140)</f>
        <v>0.71142459786247447</v>
      </c>
      <c r="F69" s="24">
        <f>($I$107+40*($J$7-0.5))/($I$107+$I$140)</f>
        <v>0.72320989737024211</v>
      </c>
      <c r="G69" s="24">
        <f>($I$108+40*($J$7-0.5))/($I$108+$I$140)</f>
        <v>0.68991925368990847</v>
      </c>
      <c r="H69" s="24">
        <f>($I$109+40*($J$8-0.5))/($I$109+$I$140)</f>
        <v>0.51821017408226411</v>
      </c>
      <c r="I69" s="24">
        <f>($I$110+40*($J$8-0.5))/($I$110+$I$140)</f>
        <v>0.51367220948667724</v>
      </c>
      <c r="J69" s="24">
        <f>($I$111+40*($J$8-0.5))/($I$111+$I$140)</f>
        <v>0.51928090077927858</v>
      </c>
      <c r="K69" s="24">
        <f>($I$112+40*($J$8-0.5))/($I$112+$I$140)</f>
        <v>0.52672598816271698</v>
      </c>
      <c r="L69" s="24">
        <f>($I$113+40*($J$9-0.5))/($I$113+$I$140)</f>
        <v>0.72784039178191007</v>
      </c>
      <c r="M69" s="24">
        <f>($I$114+40*($J$9-0.5))/($I$114+$I$140)</f>
        <v>0.66242982647142246</v>
      </c>
      <c r="N69" s="24">
        <f>($I$115+40*($J$9-0.5))/($I$115+$I$140)</f>
        <v>0.73470996994501059</v>
      </c>
      <c r="O69" s="24">
        <f>($I$116+40*($J$9-0.5))/($I$116+$I$140)</f>
        <v>0.72027926427628486</v>
      </c>
      <c r="P69" s="24">
        <f>($I$117+40*($J$10-0.5))/($I$117+$I$140)</f>
        <v>0.71901645594815367</v>
      </c>
      <c r="Q69" s="24">
        <f>($I$118+40*($J$10-0.5))/($I$118+$I$140)</f>
        <v>0.70126241859462779</v>
      </c>
      <c r="R69" s="24">
        <f>($I$119+40*($J$10-0.5))/($I$119+$I$140)</f>
        <v>0.72056840841502412</v>
      </c>
      <c r="S69" s="24">
        <f>($I$120+40*($J$10-0.5))/($I$120+$I$140)</f>
        <v>0.71341183141077935</v>
      </c>
      <c r="T69" s="24">
        <f>($I$121+40*($J$11-0.5))/($I$121+$I$140)</f>
        <v>0.27464656095465656</v>
      </c>
      <c r="U69" s="24">
        <f>($I$122+40*($J$11-0.5))/($I$122+$I$140)</f>
        <v>0.27296374047706096</v>
      </c>
      <c r="V69" s="24">
        <f>($I$123+40*($J$11-0.5))/($I$123+$I$140)</f>
        <v>0.31041511953344125</v>
      </c>
      <c r="W69" s="24">
        <f>($I$124+40*($J$11-0.5))/($I$124+$I$140)</f>
        <v>0.28258307336874749</v>
      </c>
      <c r="X69" s="24">
        <f>($I$125+40*($J$12-0.5))/($I$125+$I$140)</f>
        <v>0.49486485199439778</v>
      </c>
      <c r="Y69" s="24">
        <f>($I$126+40*($J$12-0.5))/($I$126+$I$140)</f>
        <v>0.47872736701620383</v>
      </c>
      <c r="Z69" s="24">
        <f>($I$127+40*($J$12-0.5))/($I$127+$I$140)</f>
        <v>0.49765030896353224</v>
      </c>
      <c r="AA69" s="24">
        <f>($I$128+40*($J$12-0.5))/($I$128+$I$140)</f>
        <v>0.48398726372036527</v>
      </c>
      <c r="AB69" s="24">
        <f>($I$129+40*($J$13-0.5))/($I$129+$I$140)</f>
        <v>0.51558183888180087</v>
      </c>
      <c r="AC69" s="24">
        <f>($I$130+40*($J$13-0.5))/($I$130+$I$140)</f>
        <v>0.49184930287471323</v>
      </c>
      <c r="AD69" s="24">
        <f>($I$131+40*($J$13-0.5))/($I$131+$I$140)</f>
        <v>0.48182944978577635</v>
      </c>
      <c r="AE69" s="24">
        <f>($I$132+40*($J$13-0.5))/($I$132+$I$140)</f>
        <v>0.50421254949245098</v>
      </c>
      <c r="AF69" s="24">
        <f>($I$133+40*($J$14-0.5))/($I$133+$I$140)</f>
        <v>0.46432739296687797</v>
      </c>
      <c r="AG69" s="24">
        <f>($I$134+40*($J$14-0.5))/($I$134+$I$140)</f>
        <v>0.50437130124979002</v>
      </c>
      <c r="AH69" s="24">
        <f>($I$135+40*($J$14-0.5))/($I$135+$I$140)</f>
        <v>0.48269269233430973</v>
      </c>
      <c r="AI69" s="24">
        <f>($I$136+40*($J$14-0.5))/($I$136+$I$140)</f>
        <v>0.47405946135683658</v>
      </c>
      <c r="AJ69" s="24">
        <f>($I$137+40*($J$15-0.5))/($I$137+$I$140)</f>
        <v>0.49836321296418862</v>
      </c>
      <c r="AK69" s="24">
        <f>($I$138+40*($J$15-0.5))/($I$138+$I$140)</f>
        <v>0.48862945007990038</v>
      </c>
      <c r="AL69" s="24">
        <f>($I$139+40*($J$15-0.5))/($I$139+$I$140)</f>
        <v>0.48095000991916032</v>
      </c>
      <c r="AM69" s="3">
        <v>0</v>
      </c>
      <c r="AN69" s="24">
        <f>($I$140+40*($K$15-0.5))/($I$140+$I$141)</f>
        <v>0.59331121978759738</v>
      </c>
      <c r="AO69" s="24">
        <f>($I$140+40*($K$15-0.5))/($I$140+$I$142)</f>
        <v>0.58538994975048109</v>
      </c>
      <c r="AP69" s="24">
        <f>($I$140+40*($K$15-0.5))/($I$140+$I$143)</f>
        <v>0.59171328258414846</v>
      </c>
      <c r="AQ69" s="24">
        <f>($I$140+40*($K$15-0.5))/($I$140+$I$144)</f>
        <v>0.57496813914104417</v>
      </c>
      <c r="AR69" s="24">
        <f>($I$140+40*($L$15-0.5))/($I$140+$I$145)</f>
        <v>0.58741355835874109</v>
      </c>
      <c r="AS69" s="24">
        <f>($I$140+40*($L$15-0.5))/($I$140+$I$146)</f>
        <v>0.60783190071977766</v>
      </c>
      <c r="AT69" s="24">
        <f>($I$140+40*($L$15-0.5))/($I$140+$I$147)</f>
        <v>0.59037500494200656</v>
      </c>
      <c r="AU69" s="24">
        <f>($I$140+40*($L$15-0.5))/($I$140+$I$148)</f>
        <v>0.59433895985822649</v>
      </c>
      <c r="AV69" s="24">
        <f>($I$140+40*($M$15-0.5))/($I$140+$I$149)</f>
        <v>0.69227534761725995</v>
      </c>
      <c r="AW69" s="24">
        <f>($I$140+40*($M$15-0.5))/($I$140+$I$150)</f>
        <v>0.70025902767398096</v>
      </c>
      <c r="AX69" s="24">
        <f>($I$140+40*($M$15-0.5))/($I$140+$I$151)</f>
        <v>0.68773311714502172</v>
      </c>
      <c r="AY69" s="24">
        <f>($I$140+40*($M$15-0.5))/($I$140+$I$152)</f>
        <v>0.69351081199955955</v>
      </c>
      <c r="AZ69" s="24">
        <f>($I$140+40*($N$15-0.5))/($I$140+$I$153)</f>
        <v>0.73034077531615693</v>
      </c>
      <c r="BA69" s="24">
        <f>($I$140+40*($N$15-0.5))/($I$140+$I$154)</f>
        <v>0.71610146488869275</v>
      </c>
      <c r="BB69" s="24">
        <f>($I$140+40*($N$7-0.5))/($I$140+$I$155)</f>
        <v>0.83978503939927152</v>
      </c>
      <c r="BC69" s="24">
        <f>($I$140+40*($N$15-0.5))/($I$140+$I$156)</f>
        <v>0.77580670813070018</v>
      </c>
      <c r="BD69" s="24">
        <f>($I$140+40*($O$15-0.5))/($I$140+$I$157)</f>
        <v>0.70902606230717924</v>
      </c>
      <c r="BE69" s="24">
        <f>($I$140+40*($O$15-0.5))/($I$140+$I$158)</f>
        <v>0.78685219026758624</v>
      </c>
      <c r="BF69" s="24">
        <f>($I$140+40*($O$15-0.5))/($I$140+$I$159)</f>
        <v>0.76397560618812033</v>
      </c>
      <c r="BG69" s="24">
        <f>($I$140+40*($O$15-0.5))/($I$140+$I$160)</f>
        <v>0.7557712969459951</v>
      </c>
      <c r="BH69" s="24">
        <f>($I$140+40*($P$15-0.5))/($I$140+$I$161)</f>
        <v>0.79531161735798783</v>
      </c>
      <c r="BI69" s="24">
        <f>($I$140+40*($P$15-0.5))/($I$140+$I$162)</f>
        <v>0.81362565803669107</v>
      </c>
      <c r="BJ69" s="24">
        <f>($I$140+40*($P$15-0.5))/($I$140+$I$163)</f>
        <v>0.82112230676545817</v>
      </c>
      <c r="BK69" s="24">
        <f>($I$140+40*($P$15-0.5))/($I$140+$I$164)</f>
        <v>0.82861396343064342</v>
      </c>
      <c r="BL69" s="24">
        <f>($I$140+40*($Q$15-0.5))/($I$140+$I$165)</f>
        <v>0.84927428241766301</v>
      </c>
      <c r="BM69" s="24">
        <f>($I$140+40*($Q$15-0.5))/($I$140+$I$166)</f>
        <v>0.83029500153717595</v>
      </c>
      <c r="BN69" s="24">
        <f>($I$140+40*($Q$7-0.5))/($I$140+$I$167)</f>
        <v>0.9194588725484466</v>
      </c>
      <c r="BO69" s="24">
        <f>($I$140+40*($Q$15-0.5))/($I$140+$I$168)</f>
        <v>0.84483351392674633</v>
      </c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  <c r="IY69" s="40"/>
      <c r="IZ69" s="40"/>
      <c r="JA69" s="40"/>
      <c r="JB69" s="40"/>
      <c r="JC69" s="40"/>
      <c r="JD69" s="40"/>
      <c r="JE69" s="40"/>
      <c r="JF69" s="40"/>
      <c r="JG69" s="40"/>
      <c r="JH69" s="40"/>
      <c r="JI69" s="40"/>
      <c r="JJ69" s="40"/>
      <c r="JK69" s="40"/>
      <c r="JL69" s="40"/>
      <c r="JM69" s="40"/>
      <c r="JN69" s="40"/>
      <c r="JO69" s="40"/>
      <c r="JP69" s="40"/>
      <c r="JQ69" s="40"/>
      <c r="JR69" s="40"/>
      <c r="JS69" s="40"/>
      <c r="JT69" s="40"/>
      <c r="JU69" s="40"/>
      <c r="JV69" s="40"/>
      <c r="JW69" s="40"/>
      <c r="JX69" s="40"/>
      <c r="JY69" s="40"/>
      <c r="JZ69" s="40"/>
      <c r="KA69" s="40"/>
      <c r="KB69" s="40"/>
      <c r="KC69" s="40"/>
      <c r="KD69" s="40"/>
      <c r="KE69" s="40"/>
      <c r="KF69" s="40"/>
      <c r="KG69" s="40"/>
      <c r="KH69" s="40"/>
      <c r="KI69" s="40"/>
      <c r="KJ69" s="40"/>
      <c r="KK69" s="40"/>
      <c r="KL69" s="40"/>
      <c r="KM69" s="40"/>
      <c r="KN69" s="40"/>
      <c r="KO69" s="40"/>
      <c r="KP69" s="40"/>
      <c r="KQ69" s="40"/>
      <c r="KR69" s="40"/>
      <c r="KS69" s="40"/>
      <c r="KT69" s="40"/>
      <c r="KU69" s="40"/>
      <c r="KV69" s="40"/>
      <c r="KW69" s="40"/>
      <c r="KX69" s="40"/>
      <c r="KY69" s="40"/>
      <c r="KZ69" s="40"/>
      <c r="LA69" s="40"/>
      <c r="LB69" s="40"/>
      <c r="LC69" s="40"/>
      <c r="LD69" s="40"/>
      <c r="LE69" s="40"/>
      <c r="LF69" s="40"/>
      <c r="LG69" s="40"/>
      <c r="LH69" s="40"/>
      <c r="LI69" s="40"/>
      <c r="LJ69" s="40"/>
      <c r="LK69" s="40"/>
      <c r="LL69" s="40"/>
      <c r="LM69" s="40"/>
      <c r="LN69" s="40"/>
      <c r="LO69" s="40"/>
      <c r="LP69" s="40"/>
      <c r="LQ69" s="40"/>
      <c r="LR69" s="40"/>
      <c r="LS69" s="40"/>
      <c r="LT69" s="40"/>
      <c r="LU69" s="40"/>
      <c r="LV69" s="40"/>
      <c r="LW69" s="40"/>
      <c r="LX69" s="40"/>
      <c r="LY69" s="40"/>
      <c r="LZ69" s="40"/>
      <c r="MA69" s="40"/>
      <c r="MB69" s="40"/>
      <c r="MC69" s="40"/>
      <c r="MD69" s="40"/>
      <c r="ME69" s="40"/>
      <c r="MF69" s="40"/>
      <c r="MG69" s="40"/>
      <c r="MH69" s="40"/>
      <c r="MI69" s="40"/>
      <c r="MJ69" s="40"/>
      <c r="MK69" s="40"/>
      <c r="ML69" s="40"/>
      <c r="MM69" s="40"/>
      <c r="MN69" s="40"/>
      <c r="MO69" s="40"/>
      <c r="MP69" s="40"/>
      <c r="MQ69" s="40"/>
      <c r="MR69" s="40"/>
      <c r="MS69" s="40"/>
      <c r="MT69" s="40"/>
    </row>
    <row r="70" spans="1:358" x14ac:dyDescent="0.25">
      <c r="A70" t="str">
        <f>$A$141</f>
        <v>Stanford</v>
      </c>
      <c r="B70" s="54">
        <v>10</v>
      </c>
      <c r="C70" s="3">
        <v>37</v>
      </c>
      <c r="D70" s="24">
        <f>($I$105+40*($K$7-0.5))/($I$105+$I$141)</f>
        <v>0.76300247958066703</v>
      </c>
      <c r="E70" s="24">
        <f>($I$106+40*($K$7-0.5))/($I$106+$I$141)</f>
        <v>0.76109646754918969</v>
      </c>
      <c r="F70" s="24">
        <f>($I$107+40*($K$7-0.5))/($I$107+$I$141)</f>
        <v>0.77115601669505152</v>
      </c>
      <c r="G70" s="24">
        <f>($I$108+40*($K$7-0.5))/($I$108+$I$141)</f>
        <v>0.74267142211311254</v>
      </c>
      <c r="H70" s="24">
        <f>($I$109+40*($K$8-0.5))/($I$109+$I$141)</f>
        <v>0.54176864386410584</v>
      </c>
      <c r="I70" s="24">
        <f>($I$110+40*($K$8-0.5))/($I$110+$I$141)</f>
        <v>0.53730214649971464</v>
      </c>
      <c r="J70" s="24">
        <f>($I$111+40*($K$8-0.5))/($I$111+$I$141)</f>
        <v>0.5428220845281978</v>
      </c>
      <c r="K70" s="24">
        <f>($I$112+40*($K$8-0.5))/($I$112+$I$141)</f>
        <v>0.55014251070105413</v>
      </c>
      <c r="L70" s="24">
        <f>($I$113+40*($K$9-0.5))/($I$113+$I$141)</f>
        <v>0.62490377562298516</v>
      </c>
      <c r="M70" s="24">
        <f>($I$114+40*($K$9-0.5))/($I$114+$I$141)</f>
        <v>0.53096631944616179</v>
      </c>
      <c r="N70" s="24">
        <f>($I$115+40*($K$9-0.5))/($I$115+$I$141)</f>
        <v>0.63468136723845725</v>
      </c>
      <c r="O70" s="24">
        <f>($I$116+40*($K$9-0.5))/($I$116+$I$141)</f>
        <v>0.61412270080291032</v>
      </c>
      <c r="P70" s="24">
        <f>($I$117+40*($K$10-0.5))/($I$117+$I$141)</f>
        <v>0.74398310847030691</v>
      </c>
      <c r="Q70" s="24">
        <f>($I$118+40*($K$10-0.5))/($I$118+$I$141)</f>
        <v>0.72720809026648259</v>
      </c>
      <c r="R70" s="24">
        <f>($I$119+40*($K$10-0.5))/($I$119+$I$141)</f>
        <v>0.74544598311001276</v>
      </c>
      <c r="S70" s="24">
        <f>($I$120+40*($K$10-0.5))/($I$120+$I$141)</f>
        <v>0.73869549861780937</v>
      </c>
      <c r="T70" s="24">
        <f>($I$121+40*($K$11-0.5))/($I$121+$I$141)</f>
        <v>0.73637874586533836</v>
      </c>
      <c r="U70" s="24">
        <f>($I$122+40*($K$11-0.5))/($I$122+$I$141)</f>
        <v>0.73574522418777655</v>
      </c>
      <c r="V70" s="24">
        <f>($I$123+40*($K$11-0.5))/($I$123+$I$141)</f>
        <v>0.74981951308421613</v>
      </c>
      <c r="W70" s="24">
        <f>($I$124+40*($K$11-0.5))/($I$124+$I$141)</f>
        <v>0.73936514256284469</v>
      </c>
      <c r="X70" s="24">
        <f>($I$125+40*($K$12-0.5))/($I$125+$I$141)</f>
        <v>0.58763566552675683</v>
      </c>
      <c r="Y70" s="24">
        <f>($I$126+40*($K$12-0.5))/($I$126+$I$141)</f>
        <v>0.57397734156001978</v>
      </c>
      <c r="Z70" s="24">
        <f>($I$127+40*($K$12-0.5))/($I$127+$I$141)</f>
        <v>0.58999005598776633</v>
      </c>
      <c r="AA70" s="24">
        <f>($I$128+40*($K$12-0.5))/($I$128+$I$141)</f>
        <v>0.57843258947467135</v>
      </c>
      <c r="AB70" s="24">
        <f>($I$129+40*($K$13-0.5))/($I$129+$I$141)</f>
        <v>0.58662357939353849</v>
      </c>
      <c r="AC70" s="24">
        <f>($I$130+40*($K$13-0.5))/($I$130+$I$141)</f>
        <v>0.56565869530167379</v>
      </c>
      <c r="AD70" s="24">
        <f>($I$131+40*($K$13-0.5))/($I$131+$I$141)</f>
        <v>0.55678663450200083</v>
      </c>
      <c r="AE70" s="24">
        <f>($I$132+40*($K$13-0.5))/($I$132+$I$141)</f>
        <v>0.57658875230795492</v>
      </c>
      <c r="AF70" s="24">
        <f>($I$133+40*($K$14-0.5))/($I$133+$I$141)</f>
        <v>0.56738979354354391</v>
      </c>
      <c r="AG70" s="24">
        <f>($I$134+40*($K$14-0.5))/($I$134+$I$141)</f>
        <v>0.60081205712533858</v>
      </c>
      <c r="AH70" s="24">
        <f>($I$135+40*($K$14-0.5))/($I$135+$I$141)</f>
        <v>0.58274069423141173</v>
      </c>
      <c r="AI70" s="24">
        <f>($I$136+40*($K$14-0.5))/($I$136+$I$141)</f>
        <v>0.57552923716720461</v>
      </c>
      <c r="AJ70" s="24">
        <f>($I$137+40*($K$15-0.5))/($I$137+$I$141)</f>
        <v>0.5919328330882091</v>
      </c>
      <c r="AK70" s="24">
        <f>($I$138+40*($K$15-0.5))/($I$138+$I$141)</f>
        <v>0.5837291714942211</v>
      </c>
      <c r="AL70" s="24">
        <f>($I$139+40*($K$15-0.5))/($I$139+$I$141)</f>
        <v>0.57724895125031639</v>
      </c>
      <c r="AM70" s="24">
        <f>($I$140+40*($K$15-0.5))/($I$140+$I$141)</f>
        <v>0.59331121978759738</v>
      </c>
      <c r="AN70" s="3">
        <v>0</v>
      </c>
      <c r="AO70" s="24">
        <f>($I$141+40*($K$16-0.5))/($I$141+$I$142)</f>
        <v>0.49308413429482251</v>
      </c>
      <c r="AP70" s="24">
        <f>($I$141+40*($K$16-0.5))/($I$141+$I$143)</f>
        <v>0.4986043375047553</v>
      </c>
      <c r="AQ70" s="24">
        <f>($I$141+40*($K$16-0.5))/($I$141+$I$144)</f>
        <v>0.48399536891375122</v>
      </c>
      <c r="AR70" s="24">
        <f>($I$141+40*($L$16-0.5))/($I$141+$I$145)</f>
        <v>0.55902017314364583</v>
      </c>
      <c r="AS70" s="24">
        <f>($I$141+40*($L$16-0.5))/($I$141+$I$146)</f>
        <v>0.57917351843283549</v>
      </c>
      <c r="AT70" s="24">
        <f>($I$141+40*($L$16-0.5))/($I$141+$I$147)</f>
        <v>0.56194006925130779</v>
      </c>
      <c r="AU70" s="24">
        <f>($I$141+40*($L$16-0.5))/($I$141+$I$148)</f>
        <v>0.56585006113052827</v>
      </c>
      <c r="AV70" s="24">
        <f>($I$141+40*($M$16-0.5))/($I$141+$I$149)</f>
        <v>0.67476223673730873</v>
      </c>
      <c r="AW70" s="24">
        <f>($I$141+40*($M$16-0.5))/($I$141+$I$150)</f>
        <v>0.68286164372713509</v>
      </c>
      <c r="AX70" s="24">
        <f>($I$141+40*($M$16-0.5))/($I$141+$I$151)</f>
        <v>0.67015752737256751</v>
      </c>
      <c r="AY70" s="24">
        <f>($I$141+40*($M$16-0.5))/($I$141+$I$152)</f>
        <v>0.67601511679404724</v>
      </c>
      <c r="AZ70" s="24">
        <f>($I$141+40*($N$15-0.5))/($I$141+$I$153)</f>
        <v>0.71962922917106664</v>
      </c>
      <c r="BA70" s="24">
        <f>($I$141+40*($N$16-0.5))/($I$141+$I$154)</f>
        <v>0.67062022166382995</v>
      </c>
      <c r="BB70" s="24">
        <f>($I$141+40*($N$7-0.5))/($I$141+$I$155)</f>
        <v>0.83311526022358573</v>
      </c>
      <c r="BC70" s="24">
        <f>($I$141+40*($N$16-0.5))/($I$141+$I$156)</f>
        <v>0.72889857647518475</v>
      </c>
      <c r="BD70" s="24">
        <f>($I$141+40*($O$16-0.5))/($I$141+$I$157)</f>
        <v>0.76558815610026287</v>
      </c>
      <c r="BE70" s="24">
        <f>($I$141+40*($O$16-0.5))/($I$141+$I$158)</f>
        <v>0.85320555380286955</v>
      </c>
      <c r="BF70" s="24">
        <f>($I$141+40*($O$16-0.5))/($I$141+$I$159)</f>
        <v>0.82737429168403287</v>
      </c>
      <c r="BG70" s="24">
        <f>($I$141+40*($O$16-0.5))/($I$141+$I$160)</f>
        <v>0.81812591075708319</v>
      </c>
      <c r="BH70" s="24">
        <f>($I$141+40*($P$16-0.5))/($I$141+$I$161)</f>
        <v>0.8453971629822058</v>
      </c>
      <c r="BI70" s="24">
        <f>($I$141+40*($P$16-0.5))/($I$141+$I$162)</f>
        <v>0.86570668368706305</v>
      </c>
      <c r="BJ70" s="24">
        <f>($I$141+40*($P$16-0.5))/($I$141+$I$163)</f>
        <v>0.87403157308805224</v>
      </c>
      <c r="BK70" s="24">
        <f>($I$141+40*($P$16-0.5))/($I$141+$I$164)</f>
        <v>0.88235755384064729</v>
      </c>
      <c r="BL70" s="24">
        <f>($I$141+40*($Q$16-0.5))/($I$141+$I$165)</f>
        <v>0.88742860984100802</v>
      </c>
      <c r="BM70" s="24">
        <f>($I$141+40*($Q$16-0.5))/($I$141+$I$166)</f>
        <v>0.86673774264670056</v>
      </c>
      <c r="BN70" s="24">
        <f>($I$141+40*($Q$7-0.5))/($I$141+$I$167)</f>
        <v>0.91577326605436538</v>
      </c>
      <c r="BO70" s="24">
        <f>($I$141+40*($Q$16-0.5))/($I$141+$I$168)</f>
        <v>0.88258369049392849</v>
      </c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  <c r="IT70" s="40"/>
      <c r="IU70" s="40"/>
      <c r="IV70" s="40"/>
      <c r="IW70" s="40"/>
      <c r="IX70" s="40"/>
      <c r="IY70" s="40"/>
      <c r="IZ70" s="40"/>
      <c r="JA70" s="40"/>
      <c r="JB70" s="40"/>
      <c r="JC70" s="40"/>
      <c r="JD70" s="40"/>
      <c r="JE70" s="40"/>
      <c r="JF70" s="40"/>
      <c r="JG70" s="40"/>
      <c r="JH70" s="40"/>
      <c r="JI70" s="40"/>
      <c r="JJ70" s="40"/>
      <c r="JK70" s="40"/>
      <c r="JL70" s="40"/>
      <c r="JM70" s="40"/>
      <c r="JN70" s="40"/>
      <c r="JO70" s="40"/>
      <c r="JP70" s="40"/>
      <c r="JQ70" s="40"/>
      <c r="JR70" s="40"/>
      <c r="JS70" s="40"/>
      <c r="JT70" s="40"/>
      <c r="JU70" s="40"/>
      <c r="JV70" s="40"/>
      <c r="JW70" s="40"/>
      <c r="JX70" s="40"/>
      <c r="JY70" s="40"/>
      <c r="JZ70" s="40"/>
      <c r="KA70" s="40"/>
      <c r="KB70" s="40"/>
      <c r="KC70" s="40"/>
      <c r="KD70" s="40"/>
      <c r="KE70" s="40"/>
      <c r="KF70" s="40"/>
      <c r="KG70" s="40"/>
      <c r="KH70" s="40"/>
      <c r="KI70" s="40"/>
      <c r="KJ70" s="40"/>
      <c r="KK70" s="40"/>
      <c r="KL70" s="40"/>
      <c r="KM70" s="40"/>
      <c r="KN70" s="40"/>
      <c r="KO70" s="40"/>
      <c r="KP70" s="40"/>
      <c r="KQ70" s="40"/>
      <c r="KR70" s="40"/>
      <c r="KS70" s="40"/>
      <c r="KT70" s="40"/>
      <c r="KU70" s="40"/>
      <c r="KV70" s="40"/>
      <c r="KW70" s="40"/>
      <c r="KX70" s="40"/>
      <c r="KY70" s="40"/>
      <c r="KZ70" s="40"/>
      <c r="LA70" s="40"/>
      <c r="LB70" s="40"/>
      <c r="LC70" s="40"/>
      <c r="LD70" s="40"/>
      <c r="LE70" s="40"/>
      <c r="LF70" s="40"/>
      <c r="LG70" s="40"/>
      <c r="LH70" s="40"/>
      <c r="LI70" s="40"/>
      <c r="LJ70" s="40"/>
      <c r="LK70" s="40"/>
      <c r="LL70" s="40"/>
      <c r="LM70" s="40"/>
      <c r="LN70" s="40"/>
      <c r="LO70" s="40"/>
      <c r="LP70" s="40"/>
      <c r="LQ70" s="40"/>
      <c r="LR70" s="40"/>
      <c r="LS70" s="40"/>
      <c r="LT70" s="40"/>
      <c r="LU70" s="40"/>
      <c r="LV70" s="40"/>
      <c r="LW70" s="40"/>
      <c r="LX70" s="40"/>
      <c r="LY70" s="40"/>
      <c r="LZ70" s="40"/>
      <c r="MA70" s="40"/>
      <c r="MB70" s="40"/>
      <c r="MC70" s="40"/>
      <c r="MD70" s="40"/>
      <c r="ME70" s="40"/>
      <c r="MF70" s="40"/>
      <c r="MG70" s="40"/>
      <c r="MH70" s="40"/>
      <c r="MI70" s="40"/>
      <c r="MJ70" s="40"/>
      <c r="MK70" s="40"/>
      <c r="ML70" s="40"/>
      <c r="MM70" s="40"/>
      <c r="MN70" s="40"/>
      <c r="MO70" s="40"/>
      <c r="MP70" s="40"/>
      <c r="MQ70" s="40"/>
      <c r="MR70" s="40"/>
      <c r="MS70" s="40"/>
      <c r="MT70" s="40"/>
    </row>
    <row r="71" spans="1:358" x14ac:dyDescent="0.25">
      <c r="A71" t="str">
        <f>$A$142</f>
        <v>BYU</v>
      </c>
      <c r="B71" s="54"/>
      <c r="C71" s="3">
        <v>38</v>
      </c>
      <c r="D71" s="24">
        <f>($I$105+40*($K$7-0.5))/($I$105+$I$142)</f>
        <v>0.75369703641219854</v>
      </c>
      <c r="E71" s="24">
        <f>($I$106+40*($K$7-0.5))/($I$106+$I$142)</f>
        <v>0.75174053693368792</v>
      </c>
      <c r="F71" s="24">
        <f>($I$107+40*($K$7-0.5))/($I$107+$I$142)</f>
        <v>0.76207088308943949</v>
      </c>
      <c r="G71" s="24">
        <f>($I$108+40*($K$7-0.5))/($I$108+$I$142)</f>
        <v>0.73284720599853448</v>
      </c>
      <c r="H71" s="24">
        <f>($I$109+40*($K$8-0.5))/($I$109+$I$142)</f>
        <v>0.53467990493804862</v>
      </c>
      <c r="I71" s="24">
        <f>($I$110+40*($K$8-0.5))/($I$110+$I$142)</f>
        <v>0.53020422834415037</v>
      </c>
      <c r="J71" s="24">
        <f>($I$111+40*($K$8-0.5))/($I$111+$I$142)</f>
        <v>0.53573567694584701</v>
      </c>
      <c r="K71" s="24">
        <f>($I$112+40*($K$8-0.5))/($I$112+$I$142)</f>
        <v>0.54307405844922985</v>
      </c>
      <c r="L71" s="24">
        <f>($I$113+40*($K$9-0.5))/($I$113+$I$142)</f>
        <v>0.61694256206499365</v>
      </c>
      <c r="M71" s="24">
        <f>($I$114+40*($K$9-0.5))/($I$114+$I$142)</f>
        <v>0.52253469966452026</v>
      </c>
      <c r="N71" s="24">
        <f>($I$115+40*($K$9-0.5))/($I$115+$I$142)</f>
        <v>0.62680374313959974</v>
      </c>
      <c r="O71" s="24">
        <f>($I$116+40*($K$9-0.5))/($I$116+$I$142)</f>
        <v>0.60607690851563589</v>
      </c>
      <c r="P71" s="24">
        <f>($I$117+40*($K$10-0.5))/($I$117+$I$142)</f>
        <v>0.73419104645284661</v>
      </c>
      <c r="Q71" s="24">
        <f>($I$118+40*($K$10-0.5))/($I$118+$I$142)</f>
        <v>0.71701846350319609</v>
      </c>
      <c r="R71" s="24">
        <f>($I$119+40*($K$10-0.5))/($I$119+$I$142)</f>
        <v>0.73568999514548028</v>
      </c>
      <c r="S71" s="24">
        <f>($I$120+40*($K$10-0.5))/($I$120+$I$142)</f>
        <v>0.72877492545896716</v>
      </c>
      <c r="T71" s="24">
        <f>($I$121+40*($K$11-0.5))/($I$121+$I$142)</f>
        <v>0.7264027932291709</v>
      </c>
      <c r="U71" s="24">
        <f>($I$122+40*($K$11-0.5))/($I$122+$I$142)</f>
        <v>0.7257542262413762</v>
      </c>
      <c r="V71" s="24">
        <f>($I$123+40*($K$11-0.5))/($I$123+$I$142)</f>
        <v>0.74017272009000201</v>
      </c>
      <c r="W71" s="24">
        <f>($I$124+40*($K$11-0.5))/($I$124+$I$142)</f>
        <v>0.72946068176292489</v>
      </c>
      <c r="X71" s="24">
        <f>($I$125+40*($K$12-0.5))/($I$125+$I$142)</f>
        <v>0.57970785090629962</v>
      </c>
      <c r="Y71" s="24">
        <f>($I$126+40*($K$12-0.5))/($I$126+$I$142)</f>
        <v>0.56598088340188768</v>
      </c>
      <c r="Z71" s="24">
        <f>($I$127+40*($K$12-0.5))/($I$127+$I$142)</f>
        <v>0.58207531368736865</v>
      </c>
      <c r="AA71" s="24">
        <f>($I$128+40*($K$12-0.5))/($I$128+$I$142)</f>
        <v>0.57045717457982881</v>
      </c>
      <c r="AB71" s="24">
        <f>($I$129+40*($K$13-0.5))/($I$129+$I$142)</f>
        <v>0.57917159558406284</v>
      </c>
      <c r="AC71" s="24">
        <f>($I$130+40*($K$13-0.5))/($I$130+$I$142)</f>
        <v>0.55811346363768188</v>
      </c>
      <c r="AD71" s="24">
        <f>($I$131+40*($K$13-0.5))/($I$131+$I$142)</f>
        <v>0.54921010505505841</v>
      </c>
      <c r="AE71" s="24">
        <f>($I$132+40*($K$13-0.5))/($I$132+$I$142)</f>
        <v>0.56908875099411738</v>
      </c>
      <c r="AF71" s="24">
        <f>($I$133+40*($K$14-0.5))/($I$133+$I$142)</f>
        <v>0.55959114620766137</v>
      </c>
      <c r="AG71" s="24">
        <f>($I$134+40*($K$14-0.5))/($I$134+$I$142)</f>
        <v>0.5931839203621212</v>
      </c>
      <c r="AH71" s="24">
        <f>($I$135+40*($K$14-0.5))/($I$135+$I$142)</f>
        <v>0.57501149954148356</v>
      </c>
      <c r="AI71" s="24">
        <f>($I$136+40*($K$14-0.5))/($I$136+$I$142)</f>
        <v>0.56776554158040893</v>
      </c>
      <c r="AJ71" s="24">
        <f>($I$137+40*($K$15-0.5))/($I$137+$I$142)</f>
        <v>0.58400353951100137</v>
      </c>
      <c r="AK71" s="24">
        <f>($I$138+40*($K$15-0.5))/($I$138+$I$142)</f>
        <v>0.5757547194720859</v>
      </c>
      <c r="AL71" s="24">
        <f>($I$139+40*($K$15-0.5))/($I$139+$I$142)</f>
        <v>0.56924196708010866</v>
      </c>
      <c r="AM71" s="24">
        <f>($I$140+40*($K$15-0.5))/($I$140+$I$142)</f>
        <v>0.58538994975048109</v>
      </c>
      <c r="AN71" s="24">
        <f>($I$141+40*($K$16-0.5))/($I$141+$I$142)</f>
        <v>0.49308413429482251</v>
      </c>
      <c r="AO71" s="3">
        <v>0</v>
      </c>
      <c r="AP71" s="24">
        <f>($I$142+40*($K$16-0.5))/($I$142+$I$143)</f>
        <v>0.50552041634690115</v>
      </c>
      <c r="AQ71" s="24">
        <f>($I$142+40*($K$16-0.5))/($I$142+$I$144)</f>
        <v>0.4909072088445931</v>
      </c>
      <c r="AR71" s="24">
        <f>($I$142+40*($L$16-0.5))/($I$142+$I$145)</f>
        <v>0.5650117724320679</v>
      </c>
      <c r="AS71" s="24">
        <f>($I$142+40*($L$16-0.5))/($I$142+$I$146)</f>
        <v>0.58509452629061731</v>
      </c>
      <c r="AT71" s="24">
        <f>($I$142+40*($L$16-0.5))/($I$142+$I$147)</f>
        <v>0.56792265963193012</v>
      </c>
      <c r="AU71" s="24">
        <f>($I$142+40*($L$16-0.5))/($I$142+$I$148)</f>
        <v>0.57181994085747267</v>
      </c>
      <c r="AV71" s="24">
        <f>($I$142+40*($M$16-0.5))/($I$142+$I$149)</f>
        <v>0.67972499493165928</v>
      </c>
      <c r="AW71" s="24">
        <f>($I$142+40*($M$16-0.5))/($I$142+$I$150)</f>
        <v>0.68775800363648987</v>
      </c>
      <c r="AX71" s="24">
        <f>($I$142+40*($M$16-0.5))/($I$142+$I$151)</f>
        <v>0.67515672243818481</v>
      </c>
      <c r="AY71" s="24">
        <f>($I$142+40*($M$16-0.5))/($I$142+$I$152)</f>
        <v>0.68096779636054872</v>
      </c>
      <c r="AZ71" s="24">
        <f>($I$142+40*($N$16-0.5))/($I$142+$I$153)</f>
        <v>0.68922645397084392</v>
      </c>
      <c r="BA71" s="24">
        <f>($I$142+40*($N$16-0.5))/($I$142+$I$154)</f>
        <v>0.67547138901195081</v>
      </c>
      <c r="BB71" s="24">
        <f>($I$142+40*($N$7-0.5))/($I$142+$I$155)</f>
        <v>0.83574177053421317</v>
      </c>
      <c r="BC71" s="24">
        <f>($I$142+40*($N$16-0.5))/($I$142+$I$156)</f>
        <v>0.73323284761100582</v>
      </c>
      <c r="BD71" s="24">
        <f>($I$142+40*($O$16-0.5))/($I$142+$I$157)</f>
        <v>0.7689827397753638</v>
      </c>
      <c r="BE71" s="24">
        <f>($I$142+40*($O$16-0.5))/($I$142+$I$158)</f>
        <v>0.85557068859945218</v>
      </c>
      <c r="BF71" s="24">
        <f>($I$142+40*($O$16-0.5))/($I$142+$I$159)</f>
        <v>0.83007272688566114</v>
      </c>
      <c r="BG71" s="24">
        <f>($I$142+40*($O$16-0.5))/($I$142+$I$160)</f>
        <v>0.82093762621227961</v>
      </c>
      <c r="BH71" s="24">
        <f>($I$142+40*($P$16-0.5))/($I$142+$I$161)</f>
        <v>0.84786567296014914</v>
      </c>
      <c r="BI71" s="24">
        <f>($I$142+40*($P$16-0.5))/($I$142+$I$162)</f>
        <v>0.86790158630307768</v>
      </c>
      <c r="BJ71" s="24">
        <f>($I$142+40*($P$16-0.5))/($I$142+$I$163)</f>
        <v>0.87610988468764395</v>
      </c>
      <c r="BK71" s="24">
        <f>($I$142+40*($P$16-0.5))/($I$142+$I$164)</f>
        <v>0.8843166792529128</v>
      </c>
      <c r="BL71" s="24">
        <f>($I$142+40*($Q$16-0.5))/($I$142+$I$165)</f>
        <v>0.88931387948613139</v>
      </c>
      <c r="BM71" s="24">
        <f>($I$142+40*($Q$16-0.5))/($I$142+$I$166)</f>
        <v>0.8689183451550182</v>
      </c>
      <c r="BN71" s="24">
        <f>($I$142+40*($Q$7-0.5))/($I$142+$I$167)</f>
        <v>0.91722811429670514</v>
      </c>
      <c r="BO71" s="24">
        <f>($I$142+40*($Q$16-0.5))/($I$142+$I$168)</f>
        <v>0.88453954278837998</v>
      </c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  <c r="IT71" s="40"/>
      <c r="IU71" s="40"/>
      <c r="IV71" s="40"/>
      <c r="IW71" s="40"/>
      <c r="IX71" s="40"/>
      <c r="IY71" s="40"/>
      <c r="IZ71" s="40"/>
      <c r="JA71" s="40"/>
      <c r="JB71" s="40"/>
      <c r="JC71" s="40"/>
      <c r="JD71" s="40"/>
      <c r="JE71" s="40"/>
      <c r="JF71" s="40"/>
      <c r="JG71" s="40"/>
      <c r="JH71" s="40"/>
      <c r="JI71" s="40"/>
      <c r="JJ71" s="40"/>
      <c r="JK71" s="40"/>
      <c r="JL71" s="40"/>
      <c r="JM71" s="40"/>
      <c r="JN71" s="40"/>
      <c r="JO71" s="40"/>
      <c r="JP71" s="40"/>
      <c r="JQ71" s="40"/>
      <c r="JR71" s="40"/>
      <c r="JS71" s="40"/>
      <c r="JT71" s="40"/>
      <c r="JU71" s="40"/>
      <c r="JV71" s="40"/>
      <c r="JW71" s="40"/>
      <c r="JX71" s="40"/>
      <c r="JY71" s="40"/>
      <c r="JZ71" s="40"/>
      <c r="KA71" s="40"/>
      <c r="KB71" s="40"/>
      <c r="KC71" s="40"/>
      <c r="KD71" s="40"/>
      <c r="KE71" s="40"/>
      <c r="KF71" s="40"/>
      <c r="KG71" s="40"/>
      <c r="KH71" s="40"/>
      <c r="KI71" s="40"/>
      <c r="KJ71" s="40"/>
      <c r="KK71" s="40"/>
      <c r="KL71" s="40"/>
      <c r="KM71" s="40"/>
      <c r="KN71" s="40"/>
      <c r="KO71" s="40"/>
      <c r="KP71" s="40"/>
      <c r="KQ71" s="40"/>
      <c r="KR71" s="40"/>
      <c r="KS71" s="40"/>
      <c r="KT71" s="40"/>
      <c r="KU71" s="40"/>
      <c r="KV71" s="40"/>
      <c r="KW71" s="40"/>
      <c r="KX71" s="40"/>
      <c r="KY71" s="40"/>
      <c r="KZ71" s="40"/>
      <c r="LA71" s="40"/>
      <c r="LB71" s="40"/>
      <c r="LC71" s="40"/>
      <c r="LD71" s="40"/>
      <c r="LE71" s="40"/>
      <c r="LF71" s="40"/>
      <c r="LG71" s="40"/>
      <c r="LH71" s="40"/>
      <c r="LI71" s="40"/>
      <c r="LJ71" s="40"/>
      <c r="LK71" s="40"/>
      <c r="LL71" s="40"/>
      <c r="LM71" s="40"/>
      <c r="LN71" s="40"/>
      <c r="LO71" s="40"/>
      <c r="LP71" s="40"/>
      <c r="LQ71" s="40"/>
      <c r="LR71" s="40"/>
      <c r="LS71" s="40"/>
      <c r="LT71" s="40"/>
      <c r="LU71" s="40"/>
      <c r="LV71" s="40"/>
      <c r="LW71" s="40"/>
      <c r="LX71" s="40"/>
      <c r="LY71" s="40"/>
      <c r="LZ71" s="40"/>
      <c r="MA71" s="40"/>
      <c r="MB71" s="40"/>
      <c r="MC71" s="40"/>
      <c r="MD71" s="40"/>
      <c r="ME71" s="40"/>
      <c r="MF71" s="40"/>
      <c r="MG71" s="40"/>
      <c r="MH71" s="40"/>
      <c r="MI71" s="40"/>
      <c r="MJ71" s="40"/>
      <c r="MK71" s="40"/>
      <c r="ML71" s="40"/>
      <c r="MM71" s="40"/>
      <c r="MN71" s="40"/>
      <c r="MO71" s="40"/>
      <c r="MP71" s="40"/>
      <c r="MQ71" s="40"/>
      <c r="MR71" s="40"/>
      <c r="MS71" s="40"/>
      <c r="MT71" s="40"/>
    </row>
    <row r="72" spans="1:358" x14ac:dyDescent="0.25">
      <c r="A72" t="str">
        <f>$A$143</f>
        <v>Arizona St</v>
      </c>
      <c r="B72" s="54"/>
      <c r="C72" s="3">
        <v>39</v>
      </c>
      <c r="D72" s="24">
        <f>($I$105+40*($K$7-0.5))/($I$105+$I$143)</f>
        <v>0.76112706946340192</v>
      </c>
      <c r="E72" s="24">
        <f>($I$106+40*($K$7-0.5))/($I$106+$I$143)</f>
        <v>0.75921073457286581</v>
      </c>
      <c r="F72" s="24">
        <f>($I$107+40*($K$7-0.5))/($I$107+$I$143)</f>
        <v>0.76932562102774871</v>
      </c>
      <c r="G72" s="24">
        <f>($I$108+40*($K$7-0.5))/($I$108+$I$143)</f>
        <v>0.74068980533134066</v>
      </c>
      <c r="H72" s="24">
        <f>($I$109+40*($K$8-0.5))/($I$109+$I$143)</f>
        <v>0.54033895927827036</v>
      </c>
      <c r="I72" s="24">
        <f>($I$110+40*($K$8-0.5))/($I$110+$I$143)</f>
        <v>0.53587046486272938</v>
      </c>
      <c r="J72" s="24">
        <f>($I$111+40*($K$8-0.5))/($I$111+$I$143)</f>
        <v>0.5413929044575102</v>
      </c>
      <c r="K72" s="24">
        <f>($I$112+40*($K$8-0.5))/($I$112+$I$143)</f>
        <v>0.54871718974811678</v>
      </c>
      <c r="L72" s="24">
        <f>($I$113+40*($K$9-0.5))/($I$113+$I$143)</f>
        <v>0.62329857430385183</v>
      </c>
      <c r="M72" s="24">
        <f>($I$114+40*($K$9-0.5))/($I$114+$I$143)</f>
        <v>0.52926194356865508</v>
      </c>
      <c r="N72" s="24">
        <f>($I$115+40*($K$9-0.5))/($I$115+$I$143)</f>
        <v>0.63309344101977039</v>
      </c>
      <c r="O72" s="24">
        <f>($I$116+40*($K$9-0.5))/($I$116+$I$143)</f>
        <v>0.61249997184974603</v>
      </c>
      <c r="P72" s="24">
        <f>($I$117+40*($K$10-0.5))/($I$117+$I$143)</f>
        <v>0.7420080837249361</v>
      </c>
      <c r="Q72" s="24">
        <f>($I$118+40*($K$10-0.5))/($I$118+$I$143)</f>
        <v>0.72515146343066827</v>
      </c>
      <c r="R72" s="24">
        <f>($I$119+40*($K$10-0.5))/($I$119+$I$143)</f>
        <v>0.74347835251440497</v>
      </c>
      <c r="S72" s="24">
        <f>($I$120+40*($K$10-0.5))/($I$120+$I$143)</f>
        <v>0.73669411943217233</v>
      </c>
      <c r="T72" s="24">
        <f>($I$121+40*($K$11-0.5))/($I$121+$I$143)</f>
        <v>0.734366003121809</v>
      </c>
      <c r="U72" s="24">
        <f>($I$122+40*($K$11-0.5))/($I$122+$I$143)</f>
        <v>0.73372939352557687</v>
      </c>
      <c r="V72" s="24">
        <f>($I$123+40*($K$11-0.5))/($I$123+$I$143)</f>
        <v>0.74787425467726809</v>
      </c>
      <c r="W72" s="24">
        <f>($I$124+40*($K$11-0.5))/($I$124+$I$143)</f>
        <v>0.7373670687847651</v>
      </c>
      <c r="X72" s="24">
        <f>($I$125+40*($K$12-0.5))/($I$125+$I$143)</f>
        <v>0.58603622682308809</v>
      </c>
      <c r="Y72" s="24">
        <f>($I$126+40*($K$12-0.5))/($I$126+$I$143)</f>
        <v>0.57236347860015235</v>
      </c>
      <c r="Z72" s="24">
        <f>($I$127+40*($K$12-0.5))/($I$127+$I$143)</f>
        <v>0.58839335281178562</v>
      </c>
      <c r="AA72" s="24">
        <f>($I$128+40*($K$12-0.5))/($I$128+$I$143)</f>
        <v>0.57682316070044404</v>
      </c>
      <c r="AB72" s="24">
        <f>($I$129+40*($K$13-0.5))/($I$129+$I$143)</f>
        <v>0.58512109752792896</v>
      </c>
      <c r="AC72" s="24">
        <f>($I$130+40*($K$13-0.5))/($I$130+$I$143)</f>
        <v>0.56413663025581107</v>
      </c>
      <c r="AD72" s="24">
        <f>($I$131+40*($K$13-0.5))/($I$131+$I$143)</f>
        <v>0.55525792349010572</v>
      </c>
      <c r="AE72" s="24">
        <f>($I$132+40*($K$13-0.5))/($I$132+$I$143)</f>
        <v>0.57507621680098142</v>
      </c>
      <c r="AF72" s="24">
        <f>($I$133+40*($K$14-0.5))/($I$133+$I$143)</f>
        <v>0.56581609126233112</v>
      </c>
      <c r="AG72" s="24">
        <f>($I$134+40*($K$14-0.5))/($I$134+$I$143)</f>
        <v>0.59927406745422163</v>
      </c>
      <c r="AH72" s="24">
        <f>($I$135+40*($K$14-0.5))/($I$135+$I$143)</f>
        <v>0.58118161417290015</v>
      </c>
      <c r="AI72" s="24">
        <f>($I$136+40*($K$14-0.5))/($I$136+$I$143)</f>
        <v>0.57396291126352417</v>
      </c>
      <c r="AJ72" s="24">
        <f>($I$137+40*($K$15-0.5))/($I$137+$I$143)</f>
        <v>0.59033321953818185</v>
      </c>
      <c r="AK72" s="24">
        <f>($I$138+40*($K$15-0.5))/($I$138+$I$143)</f>
        <v>0.58212010210495069</v>
      </c>
      <c r="AL72" s="24">
        <f>($I$139+40*($K$15-0.5))/($I$139+$I$143)</f>
        <v>0.57563304333474397</v>
      </c>
      <c r="AM72" s="24">
        <f>($I$140+40*($K$15-0.5))/($I$140+$I$143)</f>
        <v>0.59171328258414846</v>
      </c>
      <c r="AN72" s="24">
        <f>($I$141+40*($K$16-0.5))/($I$141+$I$143)</f>
        <v>0.4986043375047553</v>
      </c>
      <c r="AO72" s="24">
        <f>($I$142+40*($K$16-0.5))/($I$142+$I$143)</f>
        <v>0.50552041634690115</v>
      </c>
      <c r="AP72" s="3">
        <v>0</v>
      </c>
      <c r="AQ72" s="24">
        <f>($I$143+40*($K$16-0.5))/($I$143+$I$144)</f>
        <v>0.48538972600653246</v>
      </c>
      <c r="AR72" s="24">
        <f>($I$143+40*($L$16-0.5))/($I$143+$I$145)</f>
        <v>0.56022907377533793</v>
      </c>
      <c r="AS72" s="24">
        <f>($I$143+40*($L$16-0.5))/($I$143+$I$146)</f>
        <v>0.58036864318051928</v>
      </c>
      <c r="AT72" s="24">
        <f>($I$143+40*($L$16-0.5))/($I$143+$I$147)</f>
        <v>0.56314722057166777</v>
      </c>
      <c r="AU72" s="24">
        <f>($I$143+40*($L$16-0.5))/($I$143+$I$148)</f>
        <v>0.56705473909694226</v>
      </c>
      <c r="AV72" s="24">
        <f>($I$143+40*($M$16-0.5))/($I$143+$I$149)</f>
        <v>0.67576490880664786</v>
      </c>
      <c r="AW72" s="24">
        <f>($I$143+40*($M$16-0.5))/($I$143+$I$150)</f>
        <v>0.68385104531208052</v>
      </c>
      <c r="AX72" s="24">
        <f>($I$143+40*($M$16-0.5))/($I$143+$I$151)</f>
        <v>0.67116747719427439</v>
      </c>
      <c r="AY72" s="24">
        <f>($I$143+40*($M$16-0.5))/($I$143+$I$152)</f>
        <v>0.67701577520697664</v>
      </c>
      <c r="AZ72" s="24">
        <f>($I$143+40*($N$16-0.5))/($I$143+$I$153)</f>
        <v>0.68544266782859387</v>
      </c>
      <c r="BA72" s="24">
        <f>($I$143+40*($N$16-0.5))/($I$143+$I$154)</f>
        <v>0.67159992670806823</v>
      </c>
      <c r="BB72" s="24">
        <f>($I$143+40*($N$7-0.5))/($I$143+$I$155)</f>
        <v>0.83364612477739664</v>
      </c>
      <c r="BC72" s="24">
        <f>($I$143+40*($N$16-0.5))/($I$143+$I$156)</f>
        <v>0.7297747869160911</v>
      </c>
      <c r="BD72" s="24">
        <f>($I$143+40*($O$16-0.5))/($I$143+$I$157)</f>
        <v>0.76627356345497855</v>
      </c>
      <c r="BE72" s="24">
        <f>($I$143+40*($O$16-0.5))/($I$143+$I$158)</f>
        <v>0.85368373445304979</v>
      </c>
      <c r="BF72" s="24">
        <f>($I$143+40*($O$16-0.5))/($I$143+$I$159)</f>
        <v>0.82791964634419857</v>
      </c>
      <c r="BG72" s="24">
        <f>($I$143+40*($O$16-0.5))/($I$143+$I$160)</f>
        <v>0.8186940801677044</v>
      </c>
      <c r="BH72" s="24">
        <f>($I$143+40*($P$16-0.5))/($I$143+$I$161)</f>
        <v>0.84589618521164345</v>
      </c>
      <c r="BI72" s="24">
        <f>($I$143+40*($P$16-0.5))/($I$143+$I$162)</f>
        <v>0.86615053053603575</v>
      </c>
      <c r="BJ72" s="24">
        <f>($I$143+40*($P$16-0.5))/($I$143+$I$163)</f>
        <v>0.87445189593424855</v>
      </c>
      <c r="BK72" s="24">
        <f>($I$143+40*($P$16-0.5))/($I$143+$I$164)</f>
        <v>0.88275382185563378</v>
      </c>
      <c r="BL72" s="24">
        <f>($I$143+40*($Q$16-0.5))/($I$143+$I$165)</f>
        <v>0.88780996832534287</v>
      </c>
      <c r="BM72" s="24">
        <f>($I$143+40*($Q$16-0.5))/($I$143+$I$166)</f>
        <v>0.8671787046171171</v>
      </c>
      <c r="BN72" s="24">
        <f>($I$143+40*($Q$7-0.5))/($I$143+$I$167)</f>
        <v>0.91606768305867214</v>
      </c>
      <c r="BO72" s="24">
        <f>($I$143+40*($Q$16-0.5))/($I$143+$I$168)</f>
        <v>0.88297929780945639</v>
      </c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  <c r="IT72" s="40"/>
      <c r="IU72" s="40"/>
      <c r="IV72" s="40"/>
      <c r="IW72" s="40"/>
      <c r="IX72" s="40"/>
      <c r="IY72" s="40"/>
      <c r="IZ72" s="40"/>
      <c r="JA72" s="40"/>
      <c r="JB72" s="40"/>
      <c r="JC72" s="40"/>
      <c r="JD72" s="40"/>
      <c r="JE72" s="40"/>
      <c r="JF72" s="40"/>
      <c r="JG72" s="40"/>
      <c r="JH72" s="40"/>
      <c r="JI72" s="40"/>
      <c r="JJ72" s="40"/>
      <c r="JK72" s="40"/>
      <c r="JL72" s="40"/>
      <c r="JM72" s="40"/>
      <c r="JN72" s="40"/>
      <c r="JO72" s="40"/>
      <c r="JP72" s="40"/>
      <c r="JQ72" s="40"/>
      <c r="JR72" s="40"/>
      <c r="JS72" s="40"/>
      <c r="JT72" s="40"/>
      <c r="JU72" s="40"/>
      <c r="JV72" s="40"/>
      <c r="JW72" s="40"/>
      <c r="JX72" s="40"/>
      <c r="JY72" s="40"/>
      <c r="JZ72" s="40"/>
      <c r="KA72" s="40"/>
      <c r="KB72" s="40"/>
      <c r="KC72" s="40"/>
      <c r="KD72" s="40"/>
      <c r="KE72" s="40"/>
      <c r="KF72" s="40"/>
      <c r="KG72" s="40"/>
      <c r="KH72" s="40"/>
      <c r="KI72" s="40"/>
      <c r="KJ72" s="40"/>
      <c r="KK72" s="40"/>
      <c r="KL72" s="40"/>
      <c r="KM72" s="40"/>
      <c r="KN72" s="40"/>
      <c r="KO72" s="40"/>
      <c r="KP72" s="40"/>
      <c r="KQ72" s="40"/>
      <c r="KR72" s="40"/>
      <c r="KS72" s="40"/>
      <c r="KT72" s="40"/>
      <c r="KU72" s="40"/>
      <c r="KV72" s="40"/>
      <c r="KW72" s="40"/>
      <c r="KX72" s="40"/>
      <c r="KY72" s="40"/>
      <c r="KZ72" s="40"/>
      <c r="LA72" s="40"/>
      <c r="LB72" s="40"/>
      <c r="LC72" s="40"/>
      <c r="LD72" s="40"/>
      <c r="LE72" s="40"/>
      <c r="LF72" s="40"/>
      <c r="LG72" s="40"/>
      <c r="LH72" s="40"/>
      <c r="LI72" s="40"/>
      <c r="LJ72" s="40"/>
      <c r="LK72" s="40"/>
      <c r="LL72" s="40"/>
      <c r="LM72" s="40"/>
      <c r="LN72" s="40"/>
      <c r="LO72" s="40"/>
      <c r="LP72" s="40"/>
      <c r="LQ72" s="40"/>
      <c r="LR72" s="40"/>
      <c r="LS72" s="40"/>
      <c r="LT72" s="40"/>
      <c r="LU72" s="40"/>
      <c r="LV72" s="40"/>
      <c r="LW72" s="40"/>
      <c r="LX72" s="40"/>
      <c r="LY72" s="40"/>
      <c r="LZ72" s="40"/>
      <c r="MA72" s="40"/>
      <c r="MB72" s="40"/>
      <c r="MC72" s="40"/>
      <c r="MD72" s="40"/>
      <c r="ME72" s="40"/>
      <c r="MF72" s="40"/>
      <c r="MG72" s="40"/>
      <c r="MH72" s="40"/>
      <c r="MI72" s="40"/>
      <c r="MJ72" s="40"/>
      <c r="MK72" s="40"/>
      <c r="ML72" s="40"/>
      <c r="MM72" s="40"/>
      <c r="MN72" s="40"/>
      <c r="MO72" s="40"/>
      <c r="MP72" s="40"/>
      <c r="MQ72" s="40"/>
      <c r="MR72" s="40"/>
      <c r="MS72" s="40"/>
      <c r="MT72" s="40"/>
    </row>
    <row r="73" spans="1:358" x14ac:dyDescent="0.25">
      <c r="A73" t="str">
        <f>$A$144</f>
        <v>Saint Joseph's</v>
      </c>
      <c r="B73" s="54"/>
      <c r="C73" s="3">
        <v>40</v>
      </c>
      <c r="D73" s="24">
        <f>($I$105+40*($K$7-0.5))/($I$105+$I$144)</f>
        <v>0.74142086191141554</v>
      </c>
      <c r="E73" s="24">
        <f>($I$106+40*($K$7-0.5))/($I$106+$I$144)</f>
        <v>0.73940056411420096</v>
      </c>
      <c r="F73" s="24">
        <f>($I$107+40*($K$7-0.5))/($I$107+$I$144)</f>
        <v>0.75007367667862779</v>
      </c>
      <c r="G73" s="24">
        <f>($I$108+40*($K$7-0.5))/($I$108+$I$144)</f>
        <v>0.71991801428323099</v>
      </c>
      <c r="H73" s="24">
        <f>($I$109+40*($K$8-0.5))/($I$109+$I$144)</f>
        <v>0.52534759816178711</v>
      </c>
      <c r="I73" s="24">
        <f>($I$110+40*($K$8-0.5))/($I$110+$I$144)</f>
        <v>0.52086259702667304</v>
      </c>
      <c r="J73" s="24">
        <f>($I$111+40*($K$8-0.5))/($I$111+$I$144)</f>
        <v>0.52640578926497239</v>
      </c>
      <c r="K73" s="24">
        <f>($I$112+40*($K$8-0.5))/($I$112+$I$144)</f>
        <v>0.53376330183763765</v>
      </c>
      <c r="L73" s="24">
        <f>($I$113+40*($K$9-0.5))/($I$113+$I$144)</f>
        <v>0.60645316485396394</v>
      </c>
      <c r="M73" s="24">
        <f>($I$114+40*($K$9-0.5))/($I$114+$I$144)</f>
        <v>0.51150705389699236</v>
      </c>
      <c r="N73" s="24">
        <f>($I$115+40*($K$9-0.5))/($I$115+$I$144)</f>
        <v>0.61641648584002329</v>
      </c>
      <c r="O73" s="24">
        <f>($I$116+40*($K$9-0.5))/($I$116+$I$144)</f>
        <v>0.59548506206377394</v>
      </c>
      <c r="P73" s="24">
        <f>($I$117+40*($K$10-0.5))/($I$117+$I$144)</f>
        <v>0.72130215841176304</v>
      </c>
      <c r="Q73" s="24">
        <f>($I$118+40*($K$10-0.5))/($I$118+$I$144)</f>
        <v>0.70363301514473109</v>
      </c>
      <c r="R73" s="24">
        <f>($I$119+40*($K$10-0.5))/($I$119+$I$144)</f>
        <v>0.72284635259157481</v>
      </c>
      <c r="S73" s="24">
        <f>($I$120+40*($K$10-0.5))/($I$120+$I$144)</f>
        <v>0.71572510012243418</v>
      </c>
      <c r="T73" s="24">
        <f>($I$121+40*($K$11-0.5))/($I$121+$I$144)</f>
        <v>0.71328373695086089</v>
      </c>
      <c r="U73" s="24">
        <f>($I$122+40*($K$11-0.5))/($I$122+$I$144)</f>
        <v>0.71261637455531845</v>
      </c>
      <c r="V73" s="24">
        <f>($I$123+40*($K$11-0.5))/($I$123+$I$144)</f>
        <v>0.72746621286078617</v>
      </c>
      <c r="W73" s="24">
        <f>($I$124+40*($K$11-0.5))/($I$124+$I$144)</f>
        <v>0.71643101279060006</v>
      </c>
      <c r="X73" s="24">
        <f>($I$125+40*($K$12-0.5))/($I$125+$I$144)</f>
        <v>0.56928085842610632</v>
      </c>
      <c r="Y73" s="24">
        <f>($I$126+40*($K$12-0.5))/($I$126+$I$144)</f>
        <v>0.5554744776425572</v>
      </c>
      <c r="Z73" s="24">
        <f>($I$127+40*($K$12-0.5))/($I$127+$I$144)</f>
        <v>0.57166365769450345</v>
      </c>
      <c r="AA73" s="24">
        <f>($I$128+40*($K$12-0.5))/($I$128+$I$144)</f>
        <v>0.55997488341332957</v>
      </c>
      <c r="AB73" s="24">
        <f>($I$129+40*($K$13-0.5))/($I$129+$I$144)</f>
        <v>0.56935229394432962</v>
      </c>
      <c r="AC73" s="24">
        <f>($I$130+40*($K$13-0.5))/($I$130+$I$144)</f>
        <v>0.54818611483028556</v>
      </c>
      <c r="AD73" s="24">
        <f>($I$131+40*($K$13-0.5))/($I$131+$I$144)</f>
        <v>0.5392478630829145</v>
      </c>
      <c r="AE73" s="24">
        <f>($I$132+40*($K$13-0.5))/($I$132+$I$144)</f>
        <v>0.55921323595306294</v>
      </c>
      <c r="AF73" s="24">
        <f>($I$133+40*($K$14-0.5))/($I$133+$I$144)</f>
        <v>0.54934014604813608</v>
      </c>
      <c r="AG73" s="24">
        <f>($I$134+40*($K$14-0.5))/($I$134+$I$144)</f>
        <v>0.58313234570619132</v>
      </c>
      <c r="AH73" s="24">
        <f>($I$135+40*($K$14-0.5))/($I$135+$I$144)</f>
        <v>0.56484031058830786</v>
      </c>
      <c r="AI73" s="24">
        <f>($I$136+40*($K$14-0.5))/($I$136+$I$144)</f>
        <v>0.55755437237257577</v>
      </c>
      <c r="AJ73" s="24">
        <f>($I$137+40*($K$15-0.5))/($I$137+$I$144)</f>
        <v>0.57357226557661189</v>
      </c>
      <c r="AK73" s="24">
        <f>($I$138+40*($K$15-0.5))/($I$138+$I$144)</f>
        <v>0.5652705756278148</v>
      </c>
      <c r="AL73" s="24">
        <f>($I$139+40*($K$15-0.5))/($I$139+$I$144)</f>
        <v>0.55872023219000755</v>
      </c>
      <c r="AM73" s="24">
        <f>($I$140+40*($K$15-0.5))/($I$140+$I$144)</f>
        <v>0.57496813914104417</v>
      </c>
      <c r="AN73" s="24">
        <f>($I$141+40*($K$16-0.5))/($I$141+$I$144)</f>
        <v>0.48399536891375122</v>
      </c>
      <c r="AO73" s="24">
        <f>($I$142+40*($K$16-0.5))/($I$142+$I$144)</f>
        <v>0.4909072088445931</v>
      </c>
      <c r="AP73" s="24">
        <f>($I$143+40*($K$16-0.5))/($I$143+$I$144)</f>
        <v>0.48538972600653246</v>
      </c>
      <c r="AQ73" s="3">
        <v>0</v>
      </c>
      <c r="AR73" s="24">
        <f>($I$144+40*($L$16-0.5))/($I$144+$I$145)</f>
        <v>0.57289039891372484</v>
      </c>
      <c r="AS73" s="24">
        <f>($I$144+40*($L$16-0.5))/($I$144+$I$146)</f>
        <v>0.59287151036912455</v>
      </c>
      <c r="AT73" s="24">
        <f>($I$144+40*($L$16-0.5))/($I$144+$I$147)</f>
        <v>0.57578814768889597</v>
      </c>
      <c r="AU73" s="24">
        <f>($I$144+40*($L$16-0.5))/($I$144+$I$148)</f>
        <v>0.57966699181320047</v>
      </c>
      <c r="AV73" s="24">
        <f>($I$144+40*($M$16-0.5))/($I$144+$I$149)</f>
        <v>0.68622520428686873</v>
      </c>
      <c r="AW73" s="24">
        <f>($I$144+40*($M$16-0.5))/($I$144+$I$150)</f>
        <v>0.6941685326524859</v>
      </c>
      <c r="AX73" s="24">
        <f>($I$144+40*($M$16-0.5))/($I$144+$I$151)</f>
        <v>0.68170623199903646</v>
      </c>
      <c r="AY73" s="24">
        <f>($I$144+40*($M$16-0.5))/($I$144+$I$152)</f>
        <v>0.687454380258683</v>
      </c>
      <c r="AZ73" s="24">
        <f>($I$144+40*($N$16-0.5))/($I$144+$I$153)</f>
        <v>0.69544034754984385</v>
      </c>
      <c r="BA73" s="24">
        <f>($I$144+40*($N$16-0.5))/($I$144+$I$154)</f>
        <v>0.68183335167439796</v>
      </c>
      <c r="BB73" s="24">
        <f>($I$144+40*($N$7-0.5))/($I$144+$I$155)</f>
        <v>0.83917810012508409</v>
      </c>
      <c r="BC73" s="24">
        <f>($I$144+40*($N$16-0.5))/($I$144+$I$156)</f>
        <v>0.73890017111997941</v>
      </c>
      <c r="BD73" s="24">
        <f>($I$144+40*($O$16-0.5))/($I$144+$I$157)</f>
        <v>0.77343707551808105</v>
      </c>
      <c r="BE73" s="24">
        <f>($I$144+40*($O$16-0.5))/($I$144+$I$158)</f>
        <v>0.85866234550281728</v>
      </c>
      <c r="BF73" s="24">
        <f>($I$144+40*($O$16-0.5))/($I$144+$I$159)</f>
        <v>0.83360404167121593</v>
      </c>
      <c r="BG73" s="24">
        <f>($I$144+40*($O$16-0.5))/($I$144+$I$160)</f>
        <v>0.82461867042807968</v>
      </c>
      <c r="BH73" s="24">
        <f>($I$144+40*($P$16-0.5))/($I$144+$I$161)</f>
        <v>0.85109355796287511</v>
      </c>
      <c r="BI73" s="24">
        <f>($I$144+40*($P$16-0.5))/($I$144+$I$162)</f>
        <v>0.87076915726113702</v>
      </c>
      <c r="BJ73" s="24">
        <f>($I$144+40*($P$16-0.5))/($I$144+$I$163)</f>
        <v>0.87882414922525265</v>
      </c>
      <c r="BK73" s="24">
        <f>($I$144+40*($P$16-0.5))/($I$144+$I$164)</f>
        <v>0.88687436026485011</v>
      </c>
      <c r="BL73" s="24">
        <f>($I$144+40*($Q$16-0.5))/($I$144+$I$165)</f>
        <v>0.89177459720210361</v>
      </c>
      <c r="BM73" s="24">
        <f>($I$144+40*($Q$16-0.5))/($I$144+$I$166)</f>
        <v>0.87176710557202575</v>
      </c>
      <c r="BN73" s="24">
        <f>($I$144+40*($Q$7-0.5))/($I$144+$I$167)</f>
        <v>0.91912469276703723</v>
      </c>
      <c r="BO73" s="24">
        <f>($I$144+40*($Q$16-0.5))/($I$144+$I$168)</f>
        <v>0.88709292554831742</v>
      </c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  <c r="IW73" s="40"/>
      <c r="IX73" s="40"/>
      <c r="IY73" s="40"/>
      <c r="IZ73" s="40"/>
      <c r="JA73" s="40"/>
      <c r="JB73" s="40"/>
      <c r="JC73" s="40"/>
      <c r="JD73" s="40"/>
      <c r="JE73" s="40"/>
      <c r="JF73" s="40"/>
      <c r="JG73" s="40"/>
      <c r="JH73" s="40"/>
      <c r="JI73" s="40"/>
      <c r="JJ73" s="40"/>
      <c r="JK73" s="40"/>
      <c r="JL73" s="40"/>
      <c r="JM73" s="40"/>
      <c r="JN73" s="40"/>
      <c r="JO73" s="40"/>
      <c r="JP73" s="40"/>
      <c r="JQ73" s="40"/>
      <c r="JR73" s="40"/>
      <c r="JS73" s="40"/>
      <c r="JT73" s="40"/>
      <c r="JU73" s="40"/>
      <c r="JV73" s="40"/>
      <c r="JW73" s="40"/>
      <c r="JX73" s="40"/>
      <c r="JY73" s="40"/>
      <c r="JZ73" s="40"/>
      <c r="KA73" s="40"/>
      <c r="KB73" s="40"/>
      <c r="KC73" s="40"/>
      <c r="KD73" s="40"/>
      <c r="KE73" s="40"/>
      <c r="KF73" s="40"/>
      <c r="KG73" s="40"/>
      <c r="KH73" s="40"/>
      <c r="KI73" s="40"/>
      <c r="KJ73" s="40"/>
      <c r="KK73" s="40"/>
      <c r="KL73" s="40"/>
      <c r="KM73" s="40"/>
      <c r="KN73" s="40"/>
      <c r="KO73" s="40"/>
      <c r="KP73" s="40"/>
      <c r="KQ73" s="40"/>
      <c r="KR73" s="40"/>
      <c r="KS73" s="40"/>
      <c r="KT73" s="40"/>
      <c r="KU73" s="40"/>
      <c r="KV73" s="40"/>
      <c r="KW73" s="40"/>
      <c r="KX73" s="40"/>
      <c r="KY73" s="40"/>
      <c r="KZ73" s="40"/>
      <c r="LA73" s="40"/>
      <c r="LB73" s="40"/>
      <c r="LC73" s="40"/>
      <c r="LD73" s="40"/>
      <c r="LE73" s="40"/>
      <c r="LF73" s="40"/>
      <c r="LG73" s="40"/>
      <c r="LH73" s="40"/>
      <c r="LI73" s="40"/>
      <c r="LJ73" s="40"/>
      <c r="LK73" s="40"/>
      <c r="LL73" s="40"/>
      <c r="LM73" s="40"/>
      <c r="LN73" s="40"/>
      <c r="LO73" s="40"/>
      <c r="LP73" s="40"/>
      <c r="LQ73" s="40"/>
      <c r="LR73" s="40"/>
      <c r="LS73" s="40"/>
      <c r="LT73" s="40"/>
      <c r="LU73" s="40"/>
      <c r="LV73" s="40"/>
      <c r="LW73" s="40"/>
      <c r="LX73" s="40"/>
      <c r="LY73" s="40"/>
      <c r="LZ73" s="40"/>
      <c r="MA73" s="40"/>
      <c r="MB73" s="40"/>
      <c r="MC73" s="40"/>
      <c r="MD73" s="40"/>
      <c r="ME73" s="40"/>
      <c r="MF73" s="40"/>
      <c r="MG73" s="40"/>
      <c r="MH73" s="40"/>
      <c r="MI73" s="40"/>
      <c r="MJ73" s="40"/>
      <c r="MK73" s="40"/>
      <c r="ML73" s="40"/>
      <c r="MM73" s="40"/>
      <c r="MN73" s="40"/>
      <c r="MO73" s="40"/>
      <c r="MP73" s="40"/>
      <c r="MQ73" s="40"/>
      <c r="MR73" s="40"/>
      <c r="MS73" s="40"/>
      <c r="MT73" s="40"/>
    </row>
    <row r="74" spans="1:358" x14ac:dyDescent="0.25">
      <c r="A74" t="str">
        <f>$A$145</f>
        <v>Dayton</v>
      </c>
      <c r="B74" s="54">
        <v>11</v>
      </c>
      <c r="C74" s="3">
        <v>41</v>
      </c>
      <c r="D74" s="24">
        <f>($I$105+40*($L$7-0.5))/($I$105+$I$145)</f>
        <v>0.61778166228025888</v>
      </c>
      <c r="E74" s="24">
        <f>($I$106+40*($L$7-0.5))/($I$106+$I$145)</f>
        <v>0.61475675899027626</v>
      </c>
      <c r="F74" s="24">
        <f>($I$107+40*($L$7-0.5))/($I$107+$I$145)</f>
        <v>0.63073028695540612</v>
      </c>
      <c r="G74" s="24">
        <f>($I$108+40*($L$7-0.5))/($I$108+$I$145)</f>
        <v>0.58555524744778575</v>
      </c>
      <c r="H74" s="24">
        <f>($I$109+40*($L$8-0.5))/($I$109+$I$145)</f>
        <v>0.68524963203383671</v>
      </c>
      <c r="I74" s="24">
        <f>($I$110+40*($L$8-0.5))/($I$110+$I$145)</f>
        <v>0.68223424500299668</v>
      </c>
      <c r="J74" s="24">
        <f>($I$111+40*($L$8-0.5))/($I$111+$I$145)</f>
        <v>0.68596096811560558</v>
      </c>
      <c r="K74" s="24">
        <f>($I$112+40*($L$8-0.5))/($I$112+$I$145)</f>
        <v>0.69090562128208344</v>
      </c>
      <c r="L74" s="24">
        <f>($I$113+40*($L$9-0.5))/($I$113+$I$145)</f>
        <v>0.60705972885147896</v>
      </c>
      <c r="M74" s="24">
        <f>($I$114+40*($L$9-0.5))/($I$114+$I$145)</f>
        <v>0.51067861018717808</v>
      </c>
      <c r="N74" s="24">
        <f>($I$115+40*($L$9-0.5))/($I$115+$I$145)</f>
        <v>0.61713753178721098</v>
      </c>
      <c r="O74" s="24">
        <f>($I$116+40*($L$9-0.5))/($I$116+$I$145)</f>
        <v>0.59595769186462766</v>
      </c>
      <c r="P74" s="24">
        <f>($I$117+40*($L$10-0.5))/($I$117+$I$145)</f>
        <v>0.58892589634928127</v>
      </c>
      <c r="Q74" s="24">
        <f>($I$118+40*($L$10-0.5))/($I$118+$I$145)</f>
        <v>0.56248042626384709</v>
      </c>
      <c r="R74" s="24">
        <f>($I$119+40*($L$10-0.5))/($I$119+$I$145)</f>
        <v>0.59123489278878238</v>
      </c>
      <c r="S74" s="24">
        <f>($I$120+40*($L$10-0.5))/($I$120+$I$145)</f>
        <v>0.58058370589614983</v>
      </c>
      <c r="T74" s="24">
        <f>($I$121+40*($L$11-0.5))/($I$121+$I$145)</f>
        <v>0.57249072168328896</v>
      </c>
      <c r="U74" s="24">
        <f>($I$122+40*($L$11-0.5))/($I$122+$I$145)</f>
        <v>0.5714814446121923</v>
      </c>
      <c r="V74" s="24">
        <f>($I$123+40*($L$11-0.5))/($I$123+$I$145)</f>
        <v>0.59392360084166707</v>
      </c>
      <c r="W74" s="24">
        <f>($I$124+40*($L$11-0.5))/($I$124+$I$145)</f>
        <v>0.57724956278481787</v>
      </c>
      <c r="X74" s="24">
        <f>($I$125+40*($L$12-0.5))/($I$125+$I$145)</f>
        <v>0.59282907355013559</v>
      </c>
      <c r="Y74" s="24">
        <f>($I$126+40*($L$12-0.5))/($I$126+$I$145)</f>
        <v>0.57958639797835965</v>
      </c>
      <c r="Z74" s="24">
        <f>($I$127+40*($L$12-0.5))/($I$127+$I$145)</f>
        <v>0.59511336654816804</v>
      </c>
      <c r="AA74" s="24">
        <f>($I$128+40*($L$12-0.5))/($I$128+$I$145)</f>
        <v>0.58390437828342878</v>
      </c>
      <c r="AB74" s="24">
        <f>($I$129+40*($L$13-0.5))/($I$129+$I$145)</f>
        <v>0.3241934131859403</v>
      </c>
      <c r="AC74" s="24">
        <f>($I$130+40*($L$13-0.5))/($I$130+$I$145)</f>
        <v>0.29051199708714887</v>
      </c>
      <c r="AD74" s="24">
        <f>($I$131+40*($L$13-0.5))/($I$131+$I$145)</f>
        <v>0.27627540138149209</v>
      </c>
      <c r="AE74" s="24">
        <f>($I$132+40*($L$13-0.5))/($I$132+$I$145)</f>
        <v>0.30806480557648303</v>
      </c>
      <c r="AF74" s="24">
        <f>($I$133+40*($L$14-0.5))/($I$133+$I$145)</f>
        <v>0.56178090181909968</v>
      </c>
      <c r="AG74" s="24">
        <f>($I$134+40*($L$14-0.5))/($I$134+$I$145)</f>
        <v>0.59507890818945552</v>
      </c>
      <c r="AH74" s="24">
        <f>($I$135+40*($L$14-0.5))/($I$135+$I$145)</f>
        <v>0.57706333669722099</v>
      </c>
      <c r="AI74" s="24">
        <f>($I$136+40*($L$14-0.5))/($I$136+$I$145)</f>
        <v>0.56988163471497222</v>
      </c>
      <c r="AJ74" s="24">
        <f>($I$137+40*($L$15-0.5))/($I$137+$I$145)</f>
        <v>0.58603947654547661</v>
      </c>
      <c r="AK74" s="24">
        <f>($I$138+40*($L$15-0.5))/($I$138+$I$145)</f>
        <v>0.57786477108210854</v>
      </c>
      <c r="AL74" s="24">
        <f>($I$139+40*($L$15-0.5))/($I$139+$I$145)</f>
        <v>0.57141145806149185</v>
      </c>
      <c r="AM74" s="24">
        <f>($I$140+40*($L$15-0.5))/($I$140+$I$145)</f>
        <v>0.58741355835874109</v>
      </c>
      <c r="AN74" s="24">
        <f>($I$141+40*($L$16-0.5))/($I$141+$I$145)</f>
        <v>0.55902017314364583</v>
      </c>
      <c r="AO74" s="24">
        <f>($I$142+40*($L$16-0.5))/($I$142+$I$145)</f>
        <v>0.5650117724320679</v>
      </c>
      <c r="AP74" s="24">
        <f>($I$143+40*($L$16-0.5))/($I$143+$I$145)</f>
        <v>0.56022907377533793</v>
      </c>
      <c r="AQ74" s="24">
        <f>($I$144+40*($L$16-0.5))/($I$144+$I$145)</f>
        <v>0.57289039891372484</v>
      </c>
      <c r="AR74" s="3">
        <v>0</v>
      </c>
      <c r="AS74" s="24">
        <f>($I$145+40*($L$17-0.5))/($I$145+$I$146)</f>
        <v>0.51769674340462157</v>
      </c>
      <c r="AT74" s="24">
        <f>($I$145+40*($L$17-0.5))/($I$145+$I$147)</f>
        <v>0.50256536654347717</v>
      </c>
      <c r="AU74" s="24">
        <f>($I$145+40*($L$17-0.5))/($I$145+$I$148)</f>
        <v>0.50599987349663911</v>
      </c>
      <c r="AV74" s="24">
        <f>($I$145+40*($M$17-0.5))/($I$145+$I$149)</f>
        <v>0.6612026209985562</v>
      </c>
      <c r="AW74" s="24">
        <f>($I$145+40*($M$17-0.5))/($I$145+$I$150)</f>
        <v>0.66898044771512843</v>
      </c>
      <c r="AX74" s="24">
        <f>($I$145+40*($M$17-0.5))/($I$145+$I$151)</f>
        <v>0.65677909099574727</v>
      </c>
      <c r="AY74" s="24">
        <f>($I$145+40*($M$17-0.5))/($I$145+$I$152)</f>
        <v>0.66240599792435906</v>
      </c>
      <c r="AZ74" s="24">
        <f>($I$145+40*($N$16-0.5))/($I$145+$I$153)</f>
        <v>0.69063125181455975</v>
      </c>
      <c r="BA74" s="24">
        <f>($I$145+40*($N$17-0.5))/($I$145+$I$154)</f>
        <v>0.6624341888419315</v>
      </c>
      <c r="BB74" s="24">
        <f>($I$145+40*($N$7-0.5))/($I$145+$I$155)</f>
        <v>0.83651920236922539</v>
      </c>
      <c r="BC74" s="24">
        <f>($I$145+40*($N$17-0.5))/($I$145+$I$156)</f>
        <v>0.71880846797343145</v>
      </c>
      <c r="BD74" s="24">
        <f>($I$145+40*($O$17-0.5))/($I$145+$I$157)</f>
        <v>0.76998918077512535</v>
      </c>
      <c r="BE74" s="24">
        <f>($I$145+40*($O$17-0.5))/($I$145+$I$158)</f>
        <v>0.85627041062718756</v>
      </c>
      <c r="BF74" s="24">
        <f>($I$145+40*($O$17-0.5))/($I$145+$I$159)</f>
        <v>0.83087156035156873</v>
      </c>
      <c r="BG74" s="24">
        <f>($I$145+40*($O$17-0.5))/($I$145+$I$160)</f>
        <v>0.8217701832294485</v>
      </c>
      <c r="BH74" s="24">
        <f>($I$145+40*($P$17-0.5))/($I$145+$I$161)</f>
        <v>0.84859611797096335</v>
      </c>
      <c r="BI74" s="24">
        <f>($I$145+40*($P$17-0.5))/($I$145+$I$162)</f>
        <v>0.868550746777631</v>
      </c>
      <c r="BJ74" s="24">
        <f>($I$145+40*($P$17-0.5))/($I$145+$I$163)</f>
        <v>0.87672443725560545</v>
      </c>
      <c r="BK74" s="24">
        <f>($I$145+40*($P$17-0.5))/($I$145+$I$164)</f>
        <v>0.88489587075854093</v>
      </c>
      <c r="BL74" s="24">
        <f>($I$145+40*($Q$17-0.5))/($I$145+$I$165)</f>
        <v>0.8898711673301366</v>
      </c>
      <c r="BM74" s="24">
        <f>($I$145+40*($Q$17-0.5))/($I$145+$I$166)</f>
        <v>0.86956325998856177</v>
      </c>
      <c r="BN74" s="24">
        <f>($I$145+40*($Q$7-0.5))/($I$145+$I$167)</f>
        <v>0.91765787125000076</v>
      </c>
      <c r="BO74" s="24">
        <f>($I$145+40*($Q$17-0.5))/($I$145+$I$168)</f>
        <v>0.88511776343925874</v>
      </c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  <c r="IT74" s="40"/>
      <c r="IU74" s="40"/>
      <c r="IV74" s="40"/>
      <c r="IW74" s="40"/>
      <c r="IX74" s="40"/>
      <c r="IY74" s="40"/>
      <c r="IZ74" s="40"/>
      <c r="JA74" s="40"/>
      <c r="JB74" s="40"/>
      <c r="JC74" s="40"/>
      <c r="JD74" s="40"/>
      <c r="JE74" s="40"/>
      <c r="JF74" s="40"/>
      <c r="JG74" s="40"/>
      <c r="JH74" s="40"/>
      <c r="JI74" s="40"/>
      <c r="JJ74" s="40"/>
      <c r="JK74" s="40"/>
      <c r="JL74" s="40"/>
      <c r="JM74" s="40"/>
      <c r="JN74" s="40"/>
      <c r="JO74" s="40"/>
      <c r="JP74" s="40"/>
      <c r="JQ74" s="40"/>
      <c r="JR74" s="40"/>
      <c r="JS74" s="40"/>
      <c r="JT74" s="40"/>
      <c r="JU74" s="40"/>
      <c r="JV74" s="40"/>
      <c r="JW74" s="40"/>
      <c r="JX74" s="40"/>
      <c r="JY74" s="40"/>
      <c r="JZ74" s="40"/>
      <c r="KA74" s="40"/>
      <c r="KB74" s="40"/>
      <c r="KC74" s="40"/>
      <c r="KD74" s="40"/>
      <c r="KE74" s="40"/>
      <c r="KF74" s="40"/>
      <c r="KG74" s="40"/>
      <c r="KH74" s="40"/>
      <c r="KI74" s="40"/>
      <c r="KJ74" s="40"/>
      <c r="KK74" s="40"/>
      <c r="KL74" s="40"/>
      <c r="KM74" s="40"/>
      <c r="KN74" s="40"/>
      <c r="KO74" s="40"/>
      <c r="KP74" s="40"/>
      <c r="KQ74" s="40"/>
      <c r="KR74" s="40"/>
      <c r="KS74" s="40"/>
      <c r="KT74" s="40"/>
      <c r="KU74" s="40"/>
      <c r="KV74" s="40"/>
      <c r="KW74" s="40"/>
      <c r="KX74" s="40"/>
      <c r="KY74" s="40"/>
      <c r="KZ74" s="40"/>
      <c r="LA74" s="40"/>
      <c r="LB74" s="40"/>
      <c r="LC74" s="40"/>
      <c r="LD74" s="40"/>
      <c r="LE74" s="40"/>
      <c r="LF74" s="40"/>
      <c r="LG74" s="40"/>
      <c r="LH74" s="40"/>
      <c r="LI74" s="40"/>
      <c r="LJ74" s="40"/>
      <c r="LK74" s="40"/>
      <c r="LL74" s="40"/>
      <c r="LM74" s="40"/>
      <c r="LN74" s="40"/>
      <c r="LO74" s="40"/>
      <c r="LP74" s="40"/>
      <c r="LQ74" s="40"/>
      <c r="LR74" s="40"/>
      <c r="LS74" s="40"/>
      <c r="LT74" s="40"/>
      <c r="LU74" s="40"/>
      <c r="LV74" s="40"/>
      <c r="LW74" s="40"/>
      <c r="LX74" s="40"/>
      <c r="LY74" s="40"/>
      <c r="LZ74" s="40"/>
      <c r="MA74" s="40"/>
      <c r="MB74" s="40"/>
      <c r="MC74" s="40"/>
      <c r="MD74" s="40"/>
      <c r="ME74" s="40"/>
      <c r="MF74" s="40"/>
      <c r="MG74" s="40"/>
      <c r="MH74" s="40"/>
      <c r="MI74" s="40"/>
      <c r="MJ74" s="40"/>
      <c r="MK74" s="40"/>
      <c r="ML74" s="40"/>
      <c r="MM74" s="40"/>
      <c r="MN74" s="40"/>
      <c r="MO74" s="40"/>
      <c r="MP74" s="40"/>
      <c r="MQ74" s="40"/>
      <c r="MR74" s="40"/>
      <c r="MS74" s="40"/>
      <c r="MT74" s="40"/>
    </row>
    <row r="75" spans="1:358" x14ac:dyDescent="0.25">
      <c r="A75" t="str">
        <f>$A$146</f>
        <v>Nebraska</v>
      </c>
      <c r="B75" s="54"/>
      <c r="C75" s="3">
        <v>42</v>
      </c>
      <c r="D75" s="24">
        <f>($I$105+40*($L$7-0.5))/($I$105+$I$146)</f>
        <v>0.63734585868141225</v>
      </c>
      <c r="E75" s="24">
        <f>($I$106+40*($L$7-0.5))/($I$106+$I$146)</f>
        <v>0.63438415482565313</v>
      </c>
      <c r="F75" s="24">
        <f>($I$107+40*($L$7-0.5))/($I$107+$I$146)</f>
        <v>0.65000718601205576</v>
      </c>
      <c r="G75" s="24">
        <f>($I$108+40*($L$7-0.5))/($I$108+$I$146)</f>
        <v>0.60571620543421145</v>
      </c>
      <c r="H75" s="24">
        <f>($I$109+40*($L$8-0.5))/($I$109+$I$146)</f>
        <v>0.70857899938606506</v>
      </c>
      <c r="I75" s="24">
        <f>($I$110+40*($L$8-0.5))/($I$110+$I$146)</f>
        <v>0.70569112167024717</v>
      </c>
      <c r="J75" s="24">
        <f>($I$111+40*($L$8-0.5))/($I$111+$I$146)</f>
        <v>0.70925998116008593</v>
      </c>
      <c r="K75" s="24">
        <f>($I$112+40*($L$8-0.5))/($I$112+$I$146)</f>
        <v>0.71399074068180157</v>
      </c>
      <c r="L75" s="24">
        <f>($I$113+40*($L$9-0.5))/($I$113+$I$146)</f>
        <v>0.62716703800162821</v>
      </c>
      <c r="M75" s="24">
        <f>($I$114+40*($L$9-0.5))/($I$114+$I$146)</f>
        <v>0.5319149969065472</v>
      </c>
      <c r="N75" s="24">
        <f>($I$115+40*($L$9-0.5))/($I$115+$I$146)</f>
        <v>0.63703748108815506</v>
      </c>
      <c r="O75" s="24">
        <f>($I$116+40*($L$9-0.5))/($I$116+$I$146)</f>
        <v>0.6162740042392465</v>
      </c>
      <c r="P75" s="24">
        <f>($I$117+40*($L$10-0.5))/($I$117+$I$146)</f>
        <v>0.60909783360907455</v>
      </c>
      <c r="Q75" s="24">
        <f>($I$118+40*($L$10-0.5))/($I$118+$I$146)</f>
        <v>0.58303127557984025</v>
      </c>
      <c r="R75" s="24">
        <f>($I$119+40*($L$10-0.5))/($I$119+$I$146)</f>
        <v>0.61136829477415744</v>
      </c>
      <c r="S75" s="24">
        <f>($I$120+40*($L$10-0.5))/($I$120+$I$146)</f>
        <v>0.60088758239891116</v>
      </c>
      <c r="T75" s="24">
        <f>($I$121+40*($L$11-0.5))/($I$121+$I$146)</f>
        <v>0.59269211646264675</v>
      </c>
      <c r="U75" s="24">
        <f>($I$122+40*($L$11-0.5))/($I$122+$I$146)</f>
        <v>0.59169651722039773</v>
      </c>
      <c r="V75" s="24">
        <f>($I$123+40*($L$11-0.5))/($I$123+$I$146)</f>
        <v>0.61379544019331722</v>
      </c>
      <c r="W75" s="24">
        <f>($I$124+40*($L$11-0.5))/($I$124+$I$146)</f>
        <v>0.59738423113084049</v>
      </c>
      <c r="X75" s="24">
        <f>($I$125+40*($L$12-0.5))/($I$125+$I$146)</f>
        <v>0.61365855999524921</v>
      </c>
      <c r="Y75" s="24">
        <f>($I$126+40*($L$12-0.5))/($I$126+$I$146)</f>
        <v>0.60063696612031969</v>
      </c>
      <c r="Z75" s="24">
        <f>($I$127+40*($L$12-0.5))/($I$127+$I$146)</f>
        <v>0.61590170860430216</v>
      </c>
      <c r="AA75" s="24">
        <f>($I$128+40*($L$12-0.5))/($I$128+$I$146)</f>
        <v>0.60488613172255745</v>
      </c>
      <c r="AB75" s="24">
        <f>($I$129+40*($L$13-0.5))/($I$129+$I$146)</f>
        <v>0.33489964085966395</v>
      </c>
      <c r="AC75" s="24">
        <f>($I$130+40*($L$13-0.5))/($I$130+$I$146)</f>
        <v>0.30060067795564049</v>
      </c>
      <c r="AD75" s="24">
        <f>($I$131+40*($L$13-0.5))/($I$131+$I$146)</f>
        <v>0.28606902810189178</v>
      </c>
      <c r="AE75" s="24">
        <f>($I$132+40*($L$13-0.5))/($I$132+$I$146)</f>
        <v>0.31848941510657486</v>
      </c>
      <c r="AF75" s="24">
        <f>($I$133+40*($L$14-0.5))/($I$133+$I$146)</f>
        <v>0.58190244137879132</v>
      </c>
      <c r="AG75" s="24">
        <f>($I$134+40*($L$14-0.5))/($I$134+$I$146)</f>
        <v>0.61472008612138418</v>
      </c>
      <c r="AH75" s="24">
        <f>($I$135+40*($L$14-0.5))/($I$135+$I$146)</f>
        <v>0.59698656060474331</v>
      </c>
      <c r="AI75" s="24">
        <f>($I$136+40*($L$14-0.5))/($I$136+$I$146)</f>
        <v>0.58990274368666606</v>
      </c>
      <c r="AJ75" s="24">
        <f>($I$137+40*($L$15-0.5))/($I$137+$I$146)</f>
        <v>0.60648026486361784</v>
      </c>
      <c r="AK75" s="24">
        <f>($I$138+40*($L$15-0.5))/($I$138+$I$146)</f>
        <v>0.59843262109439732</v>
      </c>
      <c r="AL75" s="24">
        <f>($I$139+40*($L$15-0.5))/($I$139+$I$146)</f>
        <v>0.59207177375966669</v>
      </c>
      <c r="AM75" s="24">
        <f>($I$140+40*($L$15-0.5))/($I$140+$I$146)</f>
        <v>0.60783190071977766</v>
      </c>
      <c r="AN75" s="24">
        <f>($I$141+40*($L$16-0.5))/($I$141+$I$146)</f>
        <v>0.57917351843283549</v>
      </c>
      <c r="AO75" s="24">
        <f>($I$142+40*($L$16-0.5))/($I$142+$I$146)</f>
        <v>0.58509452629061731</v>
      </c>
      <c r="AP75" s="24">
        <f>($I$143+40*($L$16-0.5))/($I$143+$I$146)</f>
        <v>0.58036864318051928</v>
      </c>
      <c r="AQ75" s="24">
        <f>($I$144+40*($L$16-0.5))/($I$144+$I$146)</f>
        <v>0.59287151036912455</v>
      </c>
      <c r="AR75" s="24">
        <f>($I$145+40*($L$17-0.5))/($I$145+$I$146)</f>
        <v>0.51769674340462157</v>
      </c>
      <c r="AS75" s="3">
        <v>0</v>
      </c>
      <c r="AT75" s="24">
        <f>($I$146+40*($L$17-0.5))/($I$146+$I$147)</f>
        <v>0.48486587486445659</v>
      </c>
      <c r="AU75" s="24">
        <f>($I$146+40*($L$17-0.5))/($I$146+$I$148)</f>
        <v>0.48829816016984096</v>
      </c>
      <c r="AV75" s="24">
        <f>($I$146+40*($M$17-0.5))/($I$146+$I$149)</f>
        <v>0.64768407866778444</v>
      </c>
      <c r="AW75" s="24">
        <f>($I$146+40*($M$17-0.5))/($I$146+$I$150)</f>
        <v>0.6556106073903557</v>
      </c>
      <c r="AX75" s="24">
        <f>($I$146+40*($M$17-0.5))/($I$146+$I$151)</f>
        <v>0.64317929497726134</v>
      </c>
      <c r="AY75" s="24">
        <f>($I$146+40*($M$17-0.5))/($I$146+$I$152)</f>
        <v>0.64890997600627687</v>
      </c>
      <c r="AZ75" s="24">
        <f>($I$146+40*($N$17-0.5))/($I$146+$I$153)</f>
        <v>0.66313156598778034</v>
      </c>
      <c r="BA75" s="24">
        <f>($I$146+40*($N$17-0.5))/($I$146+$I$154)</f>
        <v>0.64944909209378154</v>
      </c>
      <c r="BB75" s="24">
        <f>($I$146+40*($N$7-0.5))/($I$146+$I$155)</f>
        <v>0.82978359600677276</v>
      </c>
      <c r="BC75" s="24">
        <f>($I$146+40*($N$17-0.5))/($I$146+$I$156)</f>
        <v>0.70703285683593997</v>
      </c>
      <c r="BD75" s="24">
        <f>($I$146+40*($O$17-0.5))/($I$146+$I$157)</f>
        <v>0.76129465001872021</v>
      </c>
      <c r="BE75" s="24">
        <f>($I$146+40*($O$17-0.5))/($I$146+$I$158)</f>
        <v>0.85020285385263306</v>
      </c>
      <c r="BF75" s="24">
        <f>($I$146+40*($O$17-0.5))/($I$146+$I$159)</f>
        <v>0.82395223449660537</v>
      </c>
      <c r="BG75" s="24">
        <f>($I$146+40*($O$17-0.5))/($I$146+$I$160)</f>
        <v>0.81456160852672366</v>
      </c>
      <c r="BH75" s="24">
        <f>($I$146+40*($P$17-0.5))/($I$146+$I$161)</f>
        <v>0.84226426978114921</v>
      </c>
      <c r="BI75" s="24">
        <f>($I$146+40*($P$17-0.5))/($I$146+$I$162)</f>
        <v>0.86291861166572037</v>
      </c>
      <c r="BJ75" s="24">
        <f>($I$146+40*($P$17-0.5))/($I$146+$I$163)</f>
        <v>0.87139065847711838</v>
      </c>
      <c r="BK75" s="24">
        <f>($I$146+40*($P$17-0.5))/($I$146+$I$164)</f>
        <v>0.87986720074320501</v>
      </c>
      <c r="BL75" s="24">
        <f>($I$146+40*($Q$17-0.5))/($I$146+$I$165)</f>
        <v>0.88503161792684537</v>
      </c>
      <c r="BM75" s="24">
        <f>($I$146+40*($Q$17-0.5))/($I$146+$I$166)</f>
        <v>0.86396771290572472</v>
      </c>
      <c r="BN75" s="24">
        <f>($I$146+40*($Q$7-0.5))/($I$146+$I$167)</f>
        <v>0.91392127663151035</v>
      </c>
      <c r="BO75" s="24">
        <f>($I$146+40*($Q$17-0.5))/($I$146+$I$168)</f>
        <v>0.88009747393876192</v>
      </c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  <c r="IN75" s="40"/>
      <c r="IO75" s="40"/>
      <c r="IP75" s="40"/>
      <c r="IQ75" s="40"/>
      <c r="IR75" s="40"/>
      <c r="IS75" s="40"/>
      <c r="IT75" s="40"/>
      <c r="IU75" s="40"/>
      <c r="IV75" s="40"/>
      <c r="IW75" s="40"/>
      <c r="IX75" s="40"/>
      <c r="IY75" s="40"/>
      <c r="IZ75" s="40"/>
      <c r="JA75" s="40"/>
      <c r="JB75" s="40"/>
      <c r="JC75" s="40"/>
      <c r="JD75" s="40"/>
      <c r="JE75" s="40"/>
      <c r="JF75" s="40"/>
      <c r="JG75" s="40"/>
      <c r="JH75" s="40"/>
      <c r="JI75" s="40"/>
      <c r="JJ75" s="40"/>
      <c r="JK75" s="40"/>
      <c r="JL75" s="40"/>
      <c r="JM75" s="40"/>
      <c r="JN75" s="40"/>
      <c r="JO75" s="40"/>
      <c r="JP75" s="40"/>
      <c r="JQ75" s="40"/>
      <c r="JR75" s="40"/>
      <c r="JS75" s="40"/>
      <c r="JT75" s="40"/>
      <c r="JU75" s="40"/>
      <c r="JV75" s="40"/>
      <c r="JW75" s="40"/>
      <c r="JX75" s="40"/>
      <c r="JY75" s="40"/>
      <c r="JZ75" s="40"/>
      <c r="KA75" s="40"/>
      <c r="KB75" s="40"/>
      <c r="KC75" s="40"/>
      <c r="KD75" s="40"/>
      <c r="KE75" s="40"/>
      <c r="KF75" s="40"/>
      <c r="KG75" s="40"/>
      <c r="KH75" s="40"/>
      <c r="KI75" s="40"/>
      <c r="KJ75" s="40"/>
      <c r="KK75" s="40"/>
      <c r="KL75" s="40"/>
      <c r="KM75" s="40"/>
      <c r="KN75" s="40"/>
      <c r="KO75" s="40"/>
      <c r="KP75" s="40"/>
      <c r="KQ75" s="40"/>
      <c r="KR75" s="40"/>
      <c r="KS75" s="40"/>
      <c r="KT75" s="40"/>
      <c r="KU75" s="40"/>
      <c r="KV75" s="40"/>
      <c r="KW75" s="40"/>
      <c r="KX75" s="40"/>
      <c r="KY75" s="40"/>
      <c r="KZ75" s="40"/>
      <c r="LA75" s="40"/>
      <c r="LB75" s="40"/>
      <c r="LC75" s="40"/>
      <c r="LD75" s="40"/>
      <c r="LE75" s="40"/>
      <c r="LF75" s="40"/>
      <c r="LG75" s="40"/>
      <c r="LH75" s="40"/>
      <c r="LI75" s="40"/>
      <c r="LJ75" s="40"/>
      <c r="LK75" s="40"/>
      <c r="LL75" s="40"/>
      <c r="LM75" s="40"/>
      <c r="LN75" s="40"/>
      <c r="LO75" s="40"/>
      <c r="LP75" s="40"/>
      <c r="LQ75" s="40"/>
      <c r="LR75" s="40"/>
      <c r="LS75" s="40"/>
      <c r="LT75" s="40"/>
      <c r="LU75" s="40"/>
      <c r="LV75" s="40"/>
      <c r="LW75" s="40"/>
      <c r="LX75" s="40"/>
      <c r="LY75" s="40"/>
      <c r="LZ75" s="40"/>
      <c r="MA75" s="40"/>
      <c r="MB75" s="40"/>
      <c r="MC75" s="40"/>
      <c r="MD75" s="40"/>
      <c r="ME75" s="40"/>
      <c r="MF75" s="40"/>
      <c r="MG75" s="40"/>
      <c r="MH75" s="40"/>
      <c r="MI75" s="40"/>
      <c r="MJ75" s="40"/>
      <c r="MK75" s="40"/>
      <c r="ML75" s="40"/>
      <c r="MM75" s="40"/>
      <c r="MN75" s="40"/>
      <c r="MO75" s="40"/>
      <c r="MP75" s="40"/>
      <c r="MQ75" s="40"/>
      <c r="MR75" s="40"/>
      <c r="MS75" s="40"/>
      <c r="MT75" s="40"/>
    </row>
    <row r="76" spans="1:358" x14ac:dyDescent="0.25">
      <c r="A76" t="str">
        <f>$A$147</f>
        <v>Tennessee</v>
      </c>
      <c r="B76" s="54"/>
      <c r="C76" s="3">
        <v>43</v>
      </c>
      <c r="D76" s="24">
        <f>($I$105+40*($L$7-0.5))/($I$105+$I$147)</f>
        <v>0.62062649087087951</v>
      </c>
      <c r="E76" s="24">
        <f>($I$106+40*($L$7-0.5))/($I$106+$I$147)</f>
        <v>0.61761016610247832</v>
      </c>
      <c r="F76" s="24">
        <f>($I$107+40*($L$7-0.5))/($I$107+$I$147)</f>
        <v>0.63353590922705882</v>
      </c>
      <c r="G76" s="59">
        <f>($I$108+40*($L$7-0.5))/($I$108+$I$147)</f>
        <v>0.58848015905302697</v>
      </c>
      <c r="H76" s="24">
        <f>($I$109+40*($L$8-0.5))/($I$109+$I$147)</f>
        <v>0.68863528864751355</v>
      </c>
      <c r="I76" s="24">
        <f>($I$110+40*($L$8-0.5))/($I$110+$I$147)</f>
        <v>0.68563745709345369</v>
      </c>
      <c r="J76" s="24">
        <f>($I$111+40*($L$8-0.5))/($I$111+$I$147)</f>
        <v>0.68934244198539729</v>
      </c>
      <c r="K76" s="24">
        <f>($I$112+40*($L$8-0.5))/($I$112+$I$147)</f>
        <v>0.69425758359380541</v>
      </c>
      <c r="L76" s="24">
        <f>($I$113+40*($L$9-0.5))/($I$113+$I$147)</f>
        <v>0.60998001416955461</v>
      </c>
      <c r="M76" s="24">
        <f>($I$114+40*($L$9-0.5))/($I$114+$I$147)</f>
        <v>0.51374143341850076</v>
      </c>
      <c r="N76" s="24">
        <f>($I$115+40*($L$9-0.5))/($I$115+$I$147)</f>
        <v>0.62002979954654736</v>
      </c>
      <c r="O76" s="24">
        <f>($I$116+40*($L$9-0.5))/($I$116+$I$147)</f>
        <v>0.59890597117850075</v>
      </c>
      <c r="P76" s="24">
        <f>($I$117+40*($L$10-0.5))/($I$117+$I$147)</f>
        <v>0.59185283239661146</v>
      </c>
      <c r="Q76" s="24">
        <f>($I$118+40*($L$10-0.5))/($I$118+$I$147)</f>
        <v>0.56545672310779216</v>
      </c>
      <c r="R76" s="24">
        <f>($I$119+40*($L$10-0.5))/($I$119+$I$147)</f>
        <v>0.59415671787199975</v>
      </c>
      <c r="S76" s="24">
        <f>($I$120+40*($L$10-0.5))/($I$120+$I$147)</f>
        <v>0.58352803539071529</v>
      </c>
      <c r="T76" s="24">
        <f>($I$121+40*($L$11-0.5))/($I$121+$I$147)</f>
        <v>0.57541942699245652</v>
      </c>
      <c r="U76" s="24">
        <f>($I$122+40*($L$11-0.5))/($I$122+$I$147)</f>
        <v>0.57441192411779385</v>
      </c>
      <c r="V76" s="24">
        <f>($I$123+40*($L$11-0.5))/($I$123+$I$147)</f>
        <v>0.59680888531865972</v>
      </c>
      <c r="W76" s="24">
        <f>($I$124+40*($L$11-0.5))/($I$124+$I$147)</f>
        <v>0.58016957470760577</v>
      </c>
      <c r="X76" s="24">
        <f>($I$125+40*($L$12-0.5))/($I$125+$I$147)</f>
        <v>0.59584921362066923</v>
      </c>
      <c r="Y76" s="24">
        <f>($I$126+40*($L$12-0.5))/($I$126+$I$147)</f>
        <v>0.5826356108107027</v>
      </c>
      <c r="Z76" s="24">
        <f>($I$127+40*($L$12-0.5))/($I$127+$I$147)</f>
        <v>0.59812804893325677</v>
      </c>
      <c r="AA76" s="24">
        <f>($I$128+40*($L$12-0.5))/($I$128+$I$147)</f>
        <v>0.58694459264898469</v>
      </c>
      <c r="AB76" s="24">
        <f>($I$129+40*($L$13-0.5))/($I$129+$I$147)</f>
        <v>0.32574845872414349</v>
      </c>
      <c r="AC76" s="24">
        <f>($I$130+40*($L$13-0.5))/($I$130+$I$147)</f>
        <v>0.29197528392848793</v>
      </c>
      <c r="AD76" s="24">
        <f>($I$131+40*($L$13-0.5))/($I$131+$I$147)</f>
        <v>0.27769504648411286</v>
      </c>
      <c r="AE76" s="24">
        <f>($I$132+40*($L$13-0.5))/($I$132+$I$147)</f>
        <v>0.30957792682546093</v>
      </c>
      <c r="AF76" s="24">
        <f>($I$133+40*($L$14-0.5))/($I$133+$I$147)</f>
        <v>0.56469675240966011</v>
      </c>
      <c r="AG76" s="24">
        <f>($I$134+40*($L$14-0.5))/($I$134+$I$147)</f>
        <v>0.59793176979626794</v>
      </c>
      <c r="AH76" s="24">
        <f>($I$135+40*($L$14-0.5))/($I$135+$I$147)</f>
        <v>0.57995353211626532</v>
      </c>
      <c r="AI76" s="24">
        <f>($I$136+40*($L$14-0.5))/($I$136+$I$147)</f>
        <v>0.57278457415456041</v>
      </c>
      <c r="AJ76" s="24">
        <f>($I$137+40*($L$15-0.5))/($I$137+$I$147)</f>
        <v>0.5890038852245465</v>
      </c>
      <c r="AK76" s="24">
        <f>($I$138+40*($L$15-0.5))/($I$138+$I$147)</f>
        <v>0.58084585002771483</v>
      </c>
      <c r="AL76" s="24">
        <f>($I$139+40*($L$15-0.5))/($I$139+$I$147)</f>
        <v>0.57440454556318843</v>
      </c>
      <c r="AM76" s="24">
        <f>($I$140+40*($L$15-0.5))/($I$140+$I$147)</f>
        <v>0.59037500494200656</v>
      </c>
      <c r="AN76" s="24">
        <f>($I$141+40*($L$16-0.5))/($I$141+$I$147)</f>
        <v>0.56194006925130779</v>
      </c>
      <c r="AO76" s="24">
        <f>($I$142+40*($L$16-0.5))/($I$142+$I$147)</f>
        <v>0.56792265963193012</v>
      </c>
      <c r="AP76" s="24">
        <f>($I$143+40*($L$16-0.5))/($I$143+$I$147)</f>
        <v>0.56314722057166777</v>
      </c>
      <c r="AQ76" s="24">
        <f>($I$144+40*($L$16-0.5))/($I$144+$I$147)</f>
        <v>0.57578814768889597</v>
      </c>
      <c r="AR76" s="24">
        <f>($I$145+40*($L$17-0.5))/($I$145+$I$147)</f>
        <v>0.50256536654347717</v>
      </c>
      <c r="AS76" s="24">
        <f>($I$146+40*($L$17-0.5))/($I$146+$I$147)</f>
        <v>0.48486587486445659</v>
      </c>
      <c r="AT76" s="3">
        <v>0</v>
      </c>
      <c r="AU76" s="24">
        <f>($I$147+40*($L$17-0.5))/($I$147+$I$148)</f>
        <v>0.50343471842018461</v>
      </c>
      <c r="AV76" s="24">
        <f>($I$147+40*($M$17-0.5))/($I$147+$I$149)</f>
        <v>0.65925020594805428</v>
      </c>
      <c r="AW76" s="24">
        <f>($I$147+40*($M$17-0.5))/($I$147+$I$150)</f>
        <v>0.66705028442531067</v>
      </c>
      <c r="AX76" s="24">
        <f>($I$147+40*($M$17-0.5))/($I$147+$I$151)</f>
        <v>0.65481449230358113</v>
      </c>
      <c r="AY76" s="24">
        <f>($I$147+40*($M$17-0.5))/($I$147+$I$152)</f>
        <v>0.66045695649030567</v>
      </c>
      <c r="AZ76" s="24">
        <f>($I$147+40*($N$17-0.5))/($I$147+$I$153)</f>
        <v>0.67402313974361705</v>
      </c>
      <c r="BA76" s="24">
        <f>($I$147+40*($N$17-0.5))/($I$147+$I$154)</f>
        <v>0.66055660036597319</v>
      </c>
      <c r="BB76" s="24">
        <f>($I$147+40*($N$7-0.5))/($I$147+$I$155)</f>
        <v>0.8355474517102387</v>
      </c>
      <c r="BC76" s="24">
        <f>($I$147+40*($N$17-0.5))/($I$147+$I$156)</f>
        <v>0.71711053609857245</v>
      </c>
      <c r="BD76" s="24">
        <f>($I$147+40*($O$17-0.5))/($I$147+$I$157)</f>
        <v>0.76873129905632442</v>
      </c>
      <c r="BE76" s="24">
        <f>($I$147+40*($O$17-0.5))/($I$147+$I$158)</f>
        <v>0.85539576876587176</v>
      </c>
      <c r="BF76" s="24">
        <f>($I$147+40*($O$17-0.5))/($I$147+$I$159)</f>
        <v>0.82987306674383887</v>
      </c>
      <c r="BG76" s="24">
        <f>($I$147+40*($O$17-0.5))/($I$147+$I$160)</f>
        <v>0.82072955067470799</v>
      </c>
      <c r="BH76" s="24">
        <f>($I$147+40*($P$17-0.5))/($I$147+$I$161)</f>
        <v>0.84768308280782179</v>
      </c>
      <c r="BI76" s="24">
        <f>($I$147+40*($P$17-0.5))/($I$147+$I$162)</f>
        <v>0.86773929192251054</v>
      </c>
      <c r="BJ76" s="24">
        <f>($I$147+40*($P$17-0.5))/($I$147+$I$163)</f>
        <v>0.87595623358477082</v>
      </c>
      <c r="BK76" s="24">
        <f>($I$147+40*($P$17-0.5))/($I$147+$I$164)</f>
        <v>0.88417186075017407</v>
      </c>
      <c r="BL76" s="24">
        <f>($I$147+40*($Q$17-0.5))/($I$147+$I$165)</f>
        <v>0.88917453275076319</v>
      </c>
      <c r="BM76" s="24">
        <f>($I$147+40*($Q$17-0.5))/($I$147+$I$166)</f>
        <v>0.86875711105228182</v>
      </c>
      <c r="BN76" s="24">
        <f>($I$147+40*($Q$7-0.5))/($I$147+$I$167)</f>
        <v>0.91712063472392846</v>
      </c>
      <c r="BO76" s="24">
        <f>($I$147+40*($Q$17-0.5))/($I$147+$I$168)</f>
        <v>0.88439496680586838</v>
      </c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  <c r="IN76" s="40"/>
      <c r="IO76" s="40"/>
      <c r="IP76" s="40"/>
      <c r="IQ76" s="40"/>
      <c r="IR76" s="40"/>
      <c r="IS76" s="40"/>
      <c r="IT76" s="40"/>
      <c r="IU76" s="40"/>
      <c r="IV76" s="40"/>
      <c r="IW76" s="40"/>
      <c r="IX76" s="40"/>
      <c r="IY76" s="40"/>
      <c r="IZ76" s="40"/>
      <c r="JA76" s="40"/>
      <c r="JB76" s="40"/>
      <c r="JC76" s="40"/>
      <c r="JD76" s="40"/>
      <c r="JE76" s="40"/>
      <c r="JF76" s="40"/>
      <c r="JG76" s="40"/>
      <c r="JH76" s="40"/>
      <c r="JI76" s="40"/>
      <c r="JJ76" s="40"/>
      <c r="JK76" s="40"/>
      <c r="JL76" s="40"/>
      <c r="JM76" s="40"/>
      <c r="JN76" s="40"/>
      <c r="JO76" s="40"/>
      <c r="JP76" s="40"/>
      <c r="JQ76" s="40"/>
      <c r="JR76" s="40"/>
      <c r="JS76" s="40"/>
      <c r="JT76" s="40"/>
      <c r="JU76" s="40"/>
      <c r="JV76" s="40"/>
      <c r="JW76" s="40"/>
      <c r="JX76" s="40"/>
      <c r="JY76" s="40"/>
      <c r="JZ76" s="40"/>
      <c r="KA76" s="40"/>
      <c r="KB76" s="40"/>
      <c r="KC76" s="40"/>
      <c r="KD76" s="40"/>
      <c r="KE76" s="40"/>
      <c r="KF76" s="40"/>
      <c r="KG76" s="40"/>
      <c r="KH76" s="40"/>
      <c r="KI76" s="40"/>
      <c r="KJ76" s="40"/>
      <c r="KK76" s="40"/>
      <c r="KL76" s="40"/>
      <c r="KM76" s="40"/>
      <c r="KN76" s="40"/>
      <c r="KO76" s="40"/>
      <c r="KP76" s="40"/>
      <c r="KQ76" s="40"/>
      <c r="KR76" s="40"/>
      <c r="KS76" s="40"/>
      <c r="KT76" s="40"/>
      <c r="KU76" s="40"/>
      <c r="KV76" s="40"/>
      <c r="KW76" s="40"/>
      <c r="KX76" s="40"/>
      <c r="KY76" s="40"/>
      <c r="KZ76" s="40"/>
      <c r="LA76" s="40"/>
      <c r="LB76" s="40"/>
      <c r="LC76" s="40"/>
      <c r="LD76" s="40"/>
      <c r="LE76" s="40"/>
      <c r="LF76" s="40"/>
      <c r="LG76" s="40"/>
      <c r="LH76" s="40"/>
      <c r="LI76" s="40"/>
      <c r="LJ76" s="40"/>
      <c r="LK76" s="40"/>
      <c r="LL76" s="40"/>
      <c r="LM76" s="40"/>
      <c r="LN76" s="40"/>
      <c r="LO76" s="40"/>
      <c r="LP76" s="40"/>
      <c r="LQ76" s="40"/>
      <c r="LR76" s="40"/>
      <c r="LS76" s="40"/>
      <c r="LT76" s="40"/>
      <c r="LU76" s="40"/>
      <c r="LV76" s="40"/>
      <c r="LW76" s="40"/>
      <c r="LX76" s="40"/>
      <c r="LY76" s="40"/>
      <c r="LZ76" s="40"/>
      <c r="MA76" s="40"/>
      <c r="MB76" s="40"/>
      <c r="MC76" s="40"/>
      <c r="MD76" s="40"/>
      <c r="ME76" s="40"/>
      <c r="MF76" s="40"/>
      <c r="MG76" s="40"/>
      <c r="MH76" s="40"/>
      <c r="MI76" s="40"/>
      <c r="MJ76" s="40"/>
      <c r="MK76" s="40"/>
      <c r="ML76" s="40"/>
      <c r="MM76" s="40"/>
      <c r="MN76" s="40"/>
      <c r="MO76" s="40"/>
      <c r="MP76" s="40"/>
      <c r="MQ76" s="40"/>
      <c r="MR76" s="40"/>
      <c r="MS76" s="40"/>
      <c r="MT76" s="40"/>
    </row>
    <row r="77" spans="1:358" x14ac:dyDescent="0.25">
      <c r="A77" t="str">
        <f>$A$148</f>
        <v>Providence</v>
      </c>
      <c r="B77" s="54"/>
      <c r="C77" s="3">
        <v>44</v>
      </c>
      <c r="D77" s="24">
        <f>($I$105+40*($L$7-0.5))/($I$105+$I$148)</f>
        <v>0.62443048429428993</v>
      </c>
      <c r="E77" s="24">
        <f>($I$106+40*($L$7-0.5))/($I$106+$I$148)</f>
        <v>0.62142595539712209</v>
      </c>
      <c r="F77" s="24">
        <f>($I$107+40*($L$7-0.5))/($I$107+$I$148)</f>
        <v>0.63728611015609182</v>
      </c>
      <c r="G77" s="24">
        <f>($I$108+40*($L$7-0.5))/($I$108+$I$148)</f>
        <v>0.59239478857655414</v>
      </c>
      <c r="H77" s="24">
        <f>($I$109+40*($L$8-0.5))/($I$109+$I$148)</f>
        <v>0.69316599500573206</v>
      </c>
      <c r="I77" s="24">
        <f>($I$110+40*($L$8-0.5))/($I$110+$I$148)</f>
        <v>0.69019216039455089</v>
      </c>
      <c r="J77" s="24">
        <f>($I$111+40*($L$8-0.5))/($I$111+$I$148)</f>
        <v>0.69386743282851138</v>
      </c>
      <c r="K77" s="24">
        <f>($I$112+40*($L$8-0.5))/($I$112+$I$148)</f>
        <v>0.69874226902809944</v>
      </c>
      <c r="L77" s="24">
        <f>($I$113+40*($L$9-0.5))/($I$113+$I$148)</f>
        <v>0.61388677394586477</v>
      </c>
      <c r="M77" s="24">
        <f>($I$114+40*($L$9-0.5))/($I$114+$I$148)</f>
        <v>0.51785021442670109</v>
      </c>
      <c r="N77" s="24">
        <f>($I$115+40*($L$9-0.5))/($I$115+$I$148)</f>
        <v>0.62389796171821188</v>
      </c>
      <c r="O77" s="24">
        <f>($I$116+40*($L$9-0.5))/($I$116+$I$148)</f>
        <v>0.60285143499010285</v>
      </c>
      <c r="P77" s="24">
        <f>($I$117+40*($L$10-0.5))/($I$117+$I$148)</f>
        <v>0.59576994214416601</v>
      </c>
      <c r="Q77" s="24">
        <f>($I$118+40*($L$10-0.5))/($I$118+$I$148)</f>
        <v>0.56944287240385694</v>
      </c>
      <c r="R77" s="24">
        <f>($I$119+40*($L$10-0.5))/($I$119+$I$148)</f>
        <v>0.59806673240038144</v>
      </c>
      <c r="S77" s="24">
        <f>($I$120+40*($L$10-0.5))/($I$120+$I$148)</f>
        <v>0.58746935224559693</v>
      </c>
      <c r="T77" s="24">
        <f>($I$121+40*($L$11-0.5))/($I$121+$I$148)</f>
        <v>0.57934023414722258</v>
      </c>
      <c r="U77" s="24">
        <f>($I$122+40*($L$11-0.5))/($I$122+$I$148)</f>
        <v>0.5783352172969195</v>
      </c>
      <c r="V77" s="24">
        <f>($I$123+40*($L$11-0.5))/($I$123+$I$148)</f>
        <v>0.60066924724082393</v>
      </c>
      <c r="W77" s="24">
        <f>($I$124+40*($L$11-0.5))/($I$124+$I$148)</f>
        <v>0.58407822301948309</v>
      </c>
      <c r="X77" s="24">
        <f>($I$125+40*($L$12-0.5))/($I$125+$I$148)</f>
        <v>0.59989222903326878</v>
      </c>
      <c r="Y77" s="24">
        <f>($I$126+40*($L$12-0.5))/($I$126+$I$148)</f>
        <v>0.58671912783602498</v>
      </c>
      <c r="Z77" s="24">
        <f>($I$127+40*($L$12-0.5))/($I$127+$I$148)</f>
        <v>0.6021634884919842</v>
      </c>
      <c r="AA77" s="24">
        <f>($I$128+40*($L$12-0.5))/($I$128+$I$148)</f>
        <v>0.5910155443328563</v>
      </c>
      <c r="AB77" s="24">
        <f>($I$129+40*($L$13-0.5))/($I$129+$I$148)</f>
        <v>0.32782873256942291</v>
      </c>
      <c r="AC77" s="24">
        <f>($I$130+40*($L$13-0.5))/($I$130+$I$148)</f>
        <v>0.29393390148931831</v>
      </c>
      <c r="AD77" s="24">
        <f>($I$131+40*($L$13-0.5))/($I$131+$I$148)</f>
        <v>0.27959569856411226</v>
      </c>
      <c r="AE77" s="24">
        <f>($I$132+40*($L$13-0.5))/($I$132+$I$148)</f>
        <v>0.31160265798943848</v>
      </c>
      <c r="AF77" s="24">
        <f>($I$133+40*($L$14-0.5))/($I$133+$I$148)</f>
        <v>0.56860102836498749</v>
      </c>
      <c r="AG77" s="24">
        <f>($I$134+40*($L$14-0.5))/($I$134+$I$148)</f>
        <v>0.60174818401017882</v>
      </c>
      <c r="AH77" s="24">
        <f>($I$135+40*($L$14-0.5))/($I$135+$I$148)</f>
        <v>0.58382181847771819</v>
      </c>
      <c r="AI77" s="24">
        <f>($I$136+40*($L$14-0.5))/($I$136+$I$148)</f>
        <v>0.57667069017524764</v>
      </c>
      <c r="AJ77" s="24">
        <f>($I$137+40*($L$15-0.5))/($I$137+$I$148)</f>
        <v>0.59297196076866288</v>
      </c>
      <c r="AK77" s="24">
        <f>($I$138+40*($L$15-0.5))/($I$138+$I$148)</f>
        <v>0.58483717230794208</v>
      </c>
      <c r="AL77" s="24">
        <f>($I$139+40*($L$15-0.5))/($I$139+$I$148)</f>
        <v>0.57841268523667944</v>
      </c>
      <c r="AM77" s="24">
        <f>($I$140+40*($L$15-0.5))/($I$140+$I$148)</f>
        <v>0.59433895985822649</v>
      </c>
      <c r="AN77" s="24">
        <f>($I$141+40*($L$16-0.5))/($I$141+$I$148)</f>
        <v>0.56585006113052827</v>
      </c>
      <c r="AO77" s="24">
        <f>($I$142+40*($L$16-0.5))/($I$142+$I$148)</f>
        <v>0.57181994085747267</v>
      </c>
      <c r="AP77" s="24">
        <f>($I$143+40*($L$16-0.5))/($I$143+$I$148)</f>
        <v>0.56705473909694226</v>
      </c>
      <c r="AQ77" s="24">
        <f>($I$144+40*($L$16-0.5))/($I$144+$I$148)</f>
        <v>0.57966699181320047</v>
      </c>
      <c r="AR77" s="24">
        <f>($I$145+40*($L$17-0.5))/($I$145+$I$148)</f>
        <v>0.50599987349663911</v>
      </c>
      <c r="AS77" s="24">
        <f>($I$146+40*($L$17-0.5))/($I$146+$I$148)</f>
        <v>0.48829816016984096</v>
      </c>
      <c r="AT77" s="24">
        <f>($I$147+40*($L$17-0.5))/($I$147+$I$148)</f>
        <v>0.50343471842018461</v>
      </c>
      <c r="AU77" s="3">
        <v>0</v>
      </c>
      <c r="AV77" s="24">
        <f>($I$148+40*($M$17-0.5))/($I$148+$I$149)</f>
        <v>0.65663246962444544</v>
      </c>
      <c r="AW77" s="24">
        <f>($I$148+40*($M$17-0.5))/($I$148+$I$150)</f>
        <v>0.66446197185244327</v>
      </c>
      <c r="AX77" s="24">
        <f>($I$148+40*($M$17-0.5))/($I$148+$I$151)</f>
        <v>0.65218065823007387</v>
      </c>
      <c r="AY77" s="24">
        <f>($I$148+40*($M$17-0.5))/($I$148+$I$152)</f>
        <v>0.65784367924802067</v>
      </c>
      <c r="AZ77" s="24">
        <f>($I$148+40*($N$17-0.5))/($I$148+$I$153)</f>
        <v>0.67155709369262695</v>
      </c>
      <c r="BA77" s="24">
        <f>($I$148+40*($N$17-0.5))/($I$148+$I$154)</f>
        <v>0.65804036436587121</v>
      </c>
      <c r="BB77" s="24">
        <f>($I$148+40*($N$7-0.5))/($I$148+$I$155)</f>
        <v>0.83424400914503793</v>
      </c>
      <c r="BC77" s="24">
        <f>($I$148+40*($N$17-0.5))/($I$148+$I$156)</f>
        <v>0.71483254219818404</v>
      </c>
      <c r="BD77" s="24">
        <f>($I$148+40*($O$17-0.5))/($I$148+$I$157)</f>
        <v>0.76704592454033083</v>
      </c>
      <c r="BE77" s="24">
        <f>($I$148+40*($O$17-0.5))/($I$148+$I$158)</f>
        <v>0.85422219593176751</v>
      </c>
      <c r="BF77" s="24">
        <f>($I$148+40*($O$17-0.5))/($I$148+$I$159)</f>
        <v>0.82853387877217177</v>
      </c>
      <c r="BG77" s="24">
        <f>($I$148+40*($O$17-0.5))/($I$148+$I$160)</f>
        <v>0.81933405688070138</v>
      </c>
      <c r="BH77" s="24">
        <f>($I$148+40*($P$17-0.5))/($I$148+$I$161)</f>
        <v>0.84645815123762735</v>
      </c>
      <c r="BI77" s="24">
        <f>($I$148+40*($P$17-0.5))/($I$148+$I$162)</f>
        <v>0.86665027928436178</v>
      </c>
      <c r="BJ77" s="24">
        <f>($I$148+40*($P$17-0.5))/($I$148+$I$163)</f>
        <v>0.87492512588898108</v>
      </c>
      <c r="BK77" s="24">
        <f>($I$148+40*($P$17-0.5))/($I$148+$I$164)</f>
        <v>0.88319993899118066</v>
      </c>
      <c r="BL77" s="24">
        <f>($I$148+40*($Q$17-0.5))/($I$148+$I$165)</f>
        <v>0.88823928269626407</v>
      </c>
      <c r="BM77" s="24">
        <f>($I$148+40*($Q$17-0.5))/($I$148+$I$166)</f>
        <v>0.86767520098550843</v>
      </c>
      <c r="BN77" s="24">
        <f>($I$148+40*($Q$7-0.5))/($I$148+$I$167)</f>
        <v>0.91639904682691686</v>
      </c>
      <c r="BO77" s="24">
        <f>($I$148+40*($Q$17-0.5))/($I$148+$I$168)</f>
        <v>0.88342467031455141</v>
      </c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  <c r="IN77" s="40"/>
      <c r="IO77" s="40"/>
      <c r="IP77" s="40"/>
      <c r="IQ77" s="40"/>
      <c r="IR77" s="40"/>
      <c r="IS77" s="40"/>
      <c r="IT77" s="40"/>
      <c r="IU77" s="40"/>
      <c r="IV77" s="40"/>
      <c r="IW77" s="40"/>
      <c r="IX77" s="40"/>
      <c r="IY77" s="40"/>
      <c r="IZ77" s="40"/>
      <c r="JA77" s="40"/>
      <c r="JB77" s="40"/>
      <c r="JC77" s="40"/>
      <c r="JD77" s="40"/>
      <c r="JE77" s="40"/>
      <c r="JF77" s="40"/>
      <c r="JG77" s="40"/>
      <c r="JH77" s="40"/>
      <c r="JI77" s="40"/>
      <c r="JJ77" s="40"/>
      <c r="JK77" s="40"/>
      <c r="JL77" s="40"/>
      <c r="JM77" s="40"/>
      <c r="JN77" s="40"/>
      <c r="JO77" s="40"/>
      <c r="JP77" s="40"/>
      <c r="JQ77" s="40"/>
      <c r="JR77" s="40"/>
      <c r="JS77" s="40"/>
      <c r="JT77" s="40"/>
      <c r="JU77" s="40"/>
      <c r="JV77" s="40"/>
      <c r="JW77" s="40"/>
      <c r="JX77" s="40"/>
      <c r="JY77" s="40"/>
      <c r="JZ77" s="40"/>
      <c r="KA77" s="40"/>
      <c r="KB77" s="40"/>
      <c r="KC77" s="40"/>
      <c r="KD77" s="40"/>
      <c r="KE77" s="40"/>
      <c r="KF77" s="40"/>
      <c r="KG77" s="40"/>
      <c r="KH77" s="40"/>
      <c r="KI77" s="40"/>
      <c r="KJ77" s="40"/>
      <c r="KK77" s="40"/>
      <c r="KL77" s="40"/>
      <c r="KM77" s="40"/>
      <c r="KN77" s="40"/>
      <c r="KO77" s="40"/>
      <c r="KP77" s="40"/>
      <c r="KQ77" s="40"/>
      <c r="KR77" s="40"/>
      <c r="KS77" s="40"/>
      <c r="KT77" s="40"/>
      <c r="KU77" s="40"/>
      <c r="KV77" s="40"/>
      <c r="KW77" s="40"/>
      <c r="KX77" s="40"/>
      <c r="KY77" s="40"/>
      <c r="KZ77" s="40"/>
      <c r="LA77" s="40"/>
      <c r="LB77" s="40"/>
      <c r="LC77" s="40"/>
      <c r="LD77" s="40"/>
      <c r="LE77" s="40"/>
      <c r="LF77" s="40"/>
      <c r="LG77" s="40"/>
      <c r="LH77" s="40"/>
      <c r="LI77" s="40"/>
      <c r="LJ77" s="40"/>
      <c r="LK77" s="40"/>
      <c r="LL77" s="40"/>
      <c r="LM77" s="40"/>
      <c r="LN77" s="40"/>
      <c r="LO77" s="40"/>
      <c r="LP77" s="40"/>
      <c r="LQ77" s="40"/>
      <c r="LR77" s="40"/>
      <c r="LS77" s="40"/>
      <c r="LT77" s="40"/>
      <c r="LU77" s="40"/>
      <c r="LV77" s="40"/>
      <c r="LW77" s="40"/>
      <c r="LX77" s="40"/>
      <c r="LY77" s="40"/>
      <c r="LZ77" s="40"/>
      <c r="MA77" s="40"/>
      <c r="MB77" s="40"/>
      <c r="MC77" s="40"/>
      <c r="MD77" s="40"/>
      <c r="ME77" s="40"/>
      <c r="MF77" s="40"/>
      <c r="MG77" s="40"/>
      <c r="MH77" s="40"/>
      <c r="MI77" s="40"/>
      <c r="MJ77" s="40"/>
      <c r="MK77" s="40"/>
      <c r="ML77" s="40"/>
      <c r="MM77" s="40"/>
      <c r="MN77" s="40"/>
      <c r="MO77" s="40"/>
      <c r="MP77" s="40"/>
      <c r="MQ77" s="40"/>
      <c r="MR77" s="40"/>
      <c r="MS77" s="40"/>
      <c r="MT77" s="40"/>
    </row>
    <row r="78" spans="1:358" x14ac:dyDescent="0.25">
      <c r="A78" t="str">
        <f>$A$149</f>
        <v>SF Austin</v>
      </c>
      <c r="B78" s="54">
        <v>12</v>
      </c>
      <c r="C78" s="3">
        <v>45</v>
      </c>
      <c r="D78" s="24">
        <f>($I$105+40*($M$7-0.5))/($I$105+$I$149)</f>
        <v>0.83250353554212941</v>
      </c>
      <c r="E78" s="24">
        <f>($I$106+40*($M$7-0.5))/($I$106+$I$149)</f>
        <v>0.83103269401373636</v>
      </c>
      <c r="F78" s="24">
        <f>($I$107+40*($M$7-0.5))/($I$107+$I$149)</f>
        <v>0.83877124965567063</v>
      </c>
      <c r="G78" s="24">
        <f>($I$108+40*($M$7-0.5))/($I$108+$I$149)</f>
        <v>0.81670237748792374</v>
      </c>
      <c r="H78" s="24">
        <f>($I$109+40*($M$8-0.5))/($I$109+$I$149)</f>
        <v>0.81891979354579925</v>
      </c>
      <c r="I78" s="24">
        <f>($I$110+40*($M$8-0.5))/($I$110+$I$149)</f>
        <v>0.81697908224941551</v>
      </c>
      <c r="J78" s="24">
        <f>($I$111+40*($M$8-0.5))/($I$111+$I$149)</f>
        <v>0.81937697494743611</v>
      </c>
      <c r="K78" s="24">
        <f>($I$112+40*($M$8-0.5))/($I$112+$I$149)</f>
        <v>0.82254825060802239</v>
      </c>
      <c r="L78" s="24">
        <f>($I$113+40*($M$9-0.5))/($I$113+$I$149)</f>
        <v>0.7079048925135969</v>
      </c>
      <c r="M78" s="24">
        <f>($I$114+40*($M$9-0.5))/($I$114+$I$149)</f>
        <v>0.62579492910573886</v>
      </c>
      <c r="N78" s="24">
        <f>($I$115+40*($M$9-0.5))/($I$115+$I$149)</f>
        <v>0.7162260551919668</v>
      </c>
      <c r="O78" s="24">
        <f>($I$116+40*($M$9-0.5))/($I$116+$I$149)</f>
        <v>0.69868151401366652</v>
      </c>
      <c r="P78" s="24">
        <f>($I$117+40*($M$10-0.5))/($I$117+$I$149)</f>
        <v>0.5982466516740963</v>
      </c>
      <c r="Q78" s="24">
        <f>($I$118+40*($M$10-0.5))/($I$118+$I$149)</f>
        <v>0.56912404344353384</v>
      </c>
      <c r="R78" s="24">
        <f>($I$119+40*($M$10-0.5))/($I$119+$I$149)</f>
        <v>0.60076838163937696</v>
      </c>
      <c r="S78" s="24">
        <f>($I$120+40*($M$10-0.5))/($I$120+$I$149)</f>
        <v>0.58910790171514271</v>
      </c>
      <c r="T78" s="24">
        <f>($I$121+40*($M$11-0.5))/($I$121+$I$149)</f>
        <v>0.65184729251713669</v>
      </c>
      <c r="U78" s="24">
        <f>($I$122+40*($M$11-0.5))/($I$122+$I$149)</f>
        <v>0.65092475353173895</v>
      </c>
      <c r="V78" s="24">
        <f>($I$123+40*($M$11-0.5))/($I$123+$I$149)</f>
        <v>0.67131342317942444</v>
      </c>
      <c r="W78" s="24">
        <f>($I$124+40*($M$11-0.5))/($I$124+$I$149)</f>
        <v>0.65618999966015645</v>
      </c>
      <c r="X78" s="24">
        <f>($I$125+40*($M$12-0.5))/($I$125+$I$149)</f>
        <v>0.68371027887043534</v>
      </c>
      <c r="Y78" s="24">
        <f>($I$126+40*($M$12-0.5))/($I$126+$I$149)</f>
        <v>0.67212758804704553</v>
      </c>
      <c r="Z78" s="24">
        <f>($I$127+40*($M$12-0.5))/($I$127+$I$149)</f>
        <v>0.6856989811215235</v>
      </c>
      <c r="AA78" s="24">
        <f>($I$128+40*($M$12-0.5))/($I$128+$I$149)</f>
        <v>0.67591439062768344</v>
      </c>
      <c r="AB78" s="24">
        <f>($I$129+40*($M$13-0.5))/($I$129+$I$149)</f>
        <v>0.72738850874328032</v>
      </c>
      <c r="AC78" s="24">
        <f>($I$130+40*($M$13-0.5))/($I$130+$I$149)</f>
        <v>0.71217164585224968</v>
      </c>
      <c r="AD78" s="24">
        <f>($I$131+40*($M$13-0.5))/($I$131+$I$149)</f>
        <v>0.70568747256168907</v>
      </c>
      <c r="AE78" s="24">
        <f>($I$132+40*($M$13-0.5))/($I$132+$I$149)</f>
        <v>0.72012336235318175</v>
      </c>
      <c r="AF78" s="24">
        <f>($I$133+40*($M$14-0.5))/($I$133+$I$149)</f>
        <v>0.30238694554947765</v>
      </c>
      <c r="AG78" s="24">
        <f>($I$134+40*($M$14-0.5))/($I$134+$I$149)</f>
        <v>0.36141540884392842</v>
      </c>
      <c r="AH78" s="24">
        <f>($I$135+40*($M$14-0.5))/($I$135+$I$149)</f>
        <v>0.32961621139990566</v>
      </c>
      <c r="AI78" s="24">
        <f>($I$136+40*($M$14-0.5))/($I$136+$I$149)</f>
        <v>0.31684959518700306</v>
      </c>
      <c r="AJ78" s="24">
        <f>($I$137+40*($M$15-0.5))/($I$137+$I$149)</f>
        <v>0.69112694583006706</v>
      </c>
      <c r="AK78" s="24">
        <f>($I$138+40*($M$15-0.5))/($I$138+$I$149)</f>
        <v>0.68427581440314755</v>
      </c>
      <c r="AL78" s="24">
        <f>($I$139+40*($M$15-0.5))/($I$139+$I$149)</f>
        <v>0.67884422412991763</v>
      </c>
      <c r="AM78" s="24">
        <f>($I$140+40*($M$15-0.5))/($I$140+$I$149)</f>
        <v>0.69227534761725995</v>
      </c>
      <c r="AN78" s="24">
        <f>($I$141+40*($M$16-0.5))/($I$141+$I$149)</f>
        <v>0.67476223673730873</v>
      </c>
      <c r="AO78" s="24">
        <f>($I$142+40*($M$16-0.5))/($I$142+$I$149)</f>
        <v>0.67972499493165928</v>
      </c>
      <c r="AP78" s="24">
        <f>($I$143+40*($M$16-0.5))/($I$143+$I$149)</f>
        <v>0.67576490880664786</v>
      </c>
      <c r="AQ78" s="24">
        <f>($I$144+40*($M$16-0.5))/($I$144+$I$149)</f>
        <v>0.68622520428686873</v>
      </c>
      <c r="AR78" s="24">
        <f>($I$145+40*($M$17-0.5))/($I$145+$I$149)</f>
        <v>0.6612026209985562</v>
      </c>
      <c r="AS78" s="24">
        <f>($I$146+40*($M$17-0.5))/($I$146+$I$149)</f>
        <v>0.64768407866778444</v>
      </c>
      <c r="AT78" s="24">
        <f>($I$147+40*($M$17-0.5))/($I$147+$I$149)</f>
        <v>0.65925020594805428</v>
      </c>
      <c r="AU78" s="24">
        <f>($I$148+40*($M$17-0.5))/($I$148+$I$149)</f>
        <v>0.65663246962444544</v>
      </c>
      <c r="AV78" s="3">
        <v>0</v>
      </c>
      <c r="AW78" s="24">
        <f>($I$149+40*($M$18-0.5))/($I$149+$I$150)</f>
        <v>0.50671354162059523</v>
      </c>
      <c r="AX78" s="24">
        <f>($I$149+40*($M$18-0.5))/($I$149+$I$151)</f>
        <v>0.49619159262976514</v>
      </c>
      <c r="AY78" s="24">
        <f>($I$149+40*($M$18-0.5))/($I$149+$I$152)</f>
        <v>0.50103726994060616</v>
      </c>
      <c r="AZ78" s="24">
        <f>($I$149+40*($N$17-0.5))/($I$149+$I$153)</f>
        <v>0.63139466462545701</v>
      </c>
      <c r="BA78" s="24">
        <f>($I$149+40*($N$18-0.5))/($I$149+$I$154)</f>
        <v>0.64452748899455281</v>
      </c>
      <c r="BB78" s="24">
        <f>($I$149+40*($N$7-0.5))/($I$149+$I$155)</f>
        <v>0.81288373756171883</v>
      </c>
      <c r="BC78" s="24">
        <f>($I$149+40*($N$18-0.5))/($I$149+$I$156)</f>
        <v>0.70745128292643678</v>
      </c>
      <c r="BD78" s="24">
        <f>($I$149+40*($O$18-0.5))/($I$149+$I$157)</f>
        <v>0.64846018676139439</v>
      </c>
      <c r="BE78" s="24">
        <f>($I$149+40*($O$18-0.5))/($I$149+$I$158)</f>
        <v>0.731913745183844</v>
      </c>
      <c r="BF78" s="24">
        <f>($I$149+40*($O$18-0.5))/($I$149+$I$159)</f>
        <v>0.70708903952329794</v>
      </c>
      <c r="BG78" s="24">
        <f>($I$149+40*($O$18-0.5))/($I$149+$I$160)</f>
        <v>0.69824630754444028</v>
      </c>
      <c r="BH78" s="24">
        <f>($I$149+40*($P$18-0.5))/($I$149+$I$161)</f>
        <v>0.73638453110201962</v>
      </c>
      <c r="BI78" s="24">
        <f>($I$149+40*($P$18-0.5))/($I$149+$I$162)</f>
        <v>0.75631433419793748</v>
      </c>
      <c r="BJ78" s="24">
        <f>($I$149+40*($P$18-0.5))/($I$149+$I$163)</f>
        <v>0.76451781992378753</v>
      </c>
      <c r="BK78" s="24">
        <f>($I$149+40*($P$18-0.5))/($I$149+$I$164)</f>
        <v>0.77274240376899961</v>
      </c>
      <c r="BL78" s="24">
        <f>($I$149+40*($Q$18-0.5))/($I$149+$I$165)</f>
        <v>0.79043014258319155</v>
      </c>
      <c r="BM78" s="24">
        <f>($I$149+40*($Q$18-0.5))/($I$149+$I$166)</f>
        <v>0.76966505831027798</v>
      </c>
      <c r="BN78" s="24">
        <f>($I$149+40*($Q$7-0.5))/($I$149+$I$167)</f>
        <v>0.90441269612082331</v>
      </c>
      <c r="BO78" s="24">
        <f>($I$149+40*($Q$18-0.5))/($I$149+$I$168)</f>
        <v>0.78555655189354234</v>
      </c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  <c r="IN78" s="40"/>
      <c r="IO78" s="40"/>
      <c r="IP78" s="40"/>
      <c r="IQ78" s="40"/>
      <c r="IR78" s="40"/>
      <c r="IS78" s="40"/>
      <c r="IT78" s="40"/>
      <c r="IU78" s="40"/>
      <c r="IV78" s="40"/>
      <c r="IW78" s="40"/>
      <c r="IX78" s="40"/>
      <c r="IY78" s="40"/>
      <c r="IZ78" s="40"/>
      <c r="JA78" s="40"/>
      <c r="JB78" s="40"/>
      <c r="JC78" s="40"/>
      <c r="JD78" s="40"/>
      <c r="JE78" s="40"/>
      <c r="JF78" s="40"/>
      <c r="JG78" s="40"/>
      <c r="JH78" s="40"/>
      <c r="JI78" s="40"/>
      <c r="JJ78" s="40"/>
      <c r="JK78" s="40"/>
      <c r="JL78" s="40"/>
      <c r="JM78" s="40"/>
      <c r="JN78" s="40"/>
      <c r="JO78" s="40"/>
      <c r="JP78" s="40"/>
      <c r="JQ78" s="40"/>
      <c r="JR78" s="40"/>
      <c r="JS78" s="40"/>
      <c r="JT78" s="40"/>
      <c r="JU78" s="40"/>
      <c r="JV78" s="40"/>
      <c r="JW78" s="40"/>
      <c r="JX78" s="40"/>
      <c r="JY78" s="40"/>
      <c r="JZ78" s="40"/>
      <c r="KA78" s="40"/>
      <c r="KB78" s="40"/>
      <c r="KC78" s="40"/>
      <c r="KD78" s="40"/>
      <c r="KE78" s="40"/>
      <c r="KF78" s="40"/>
      <c r="KG78" s="40"/>
      <c r="KH78" s="40"/>
      <c r="KI78" s="40"/>
      <c r="KJ78" s="40"/>
      <c r="KK78" s="40"/>
      <c r="KL78" s="40"/>
      <c r="KM78" s="40"/>
      <c r="KN78" s="40"/>
      <c r="KO78" s="40"/>
      <c r="KP78" s="40"/>
      <c r="KQ78" s="40"/>
      <c r="KR78" s="40"/>
      <c r="KS78" s="40"/>
      <c r="KT78" s="40"/>
      <c r="KU78" s="40"/>
      <c r="KV78" s="40"/>
      <c r="KW78" s="40"/>
      <c r="KX78" s="40"/>
      <c r="KY78" s="40"/>
      <c r="KZ78" s="40"/>
      <c r="LA78" s="40"/>
      <c r="LB78" s="40"/>
      <c r="LC78" s="40"/>
      <c r="LD78" s="40"/>
      <c r="LE78" s="40"/>
      <c r="LF78" s="40"/>
      <c r="LG78" s="40"/>
      <c r="LH78" s="40"/>
      <c r="LI78" s="40"/>
      <c r="LJ78" s="40"/>
      <c r="LK78" s="40"/>
      <c r="LL78" s="40"/>
      <c r="LM78" s="40"/>
      <c r="LN78" s="40"/>
      <c r="LO78" s="40"/>
      <c r="LP78" s="40"/>
      <c r="LQ78" s="40"/>
      <c r="LR78" s="40"/>
      <c r="LS78" s="40"/>
      <c r="LT78" s="40"/>
      <c r="LU78" s="40"/>
      <c r="LV78" s="40"/>
      <c r="LW78" s="40"/>
      <c r="LX78" s="40"/>
      <c r="LY78" s="40"/>
      <c r="LZ78" s="40"/>
      <c r="MA78" s="40"/>
      <c r="MB78" s="40"/>
      <c r="MC78" s="40"/>
      <c r="MD78" s="40"/>
      <c r="ME78" s="40"/>
      <c r="MF78" s="40"/>
      <c r="MG78" s="40"/>
      <c r="MH78" s="40"/>
      <c r="MI78" s="40"/>
      <c r="MJ78" s="40"/>
      <c r="MK78" s="40"/>
      <c r="ML78" s="40"/>
      <c r="MM78" s="40"/>
      <c r="MN78" s="40"/>
      <c r="MO78" s="40"/>
      <c r="MP78" s="40"/>
      <c r="MQ78" s="40"/>
      <c r="MR78" s="40"/>
      <c r="MS78" s="40"/>
      <c r="MT78" s="40"/>
    </row>
    <row r="79" spans="1:358" x14ac:dyDescent="0.25">
      <c r="A79" t="str">
        <f>$A$150</f>
        <v>North Dakota St</v>
      </c>
      <c r="B79" s="54"/>
      <c r="C79" s="3">
        <v>46</v>
      </c>
      <c r="D79" s="24">
        <f>($I$105+40*($M$7-0.5))/($I$105+$I$150)</f>
        <v>0.84117731504750892</v>
      </c>
      <c r="E79" s="24">
        <f>($I$106+40*($M$7-0.5))/($I$106+$I$150)</f>
        <v>0.83976798090100679</v>
      </c>
      <c r="F79" s="24">
        <f>($I$107+40*($M$7-0.5))/($I$107+$I$150)</f>
        <v>0.84718003726076496</v>
      </c>
      <c r="G79" s="24">
        <f>($I$108+40*($M$7-0.5))/($I$108+$I$150)</f>
        <v>0.82602341751537289</v>
      </c>
      <c r="H79" s="24">
        <f>($I$109+40*($M$8-0.5))/($I$109+$I$150)</f>
        <v>0.82815180028215751</v>
      </c>
      <c r="I79" s="24">
        <f>($I$110+40*($M$8-0.5))/($I$110+$I$150)</f>
        <v>0.82628904417045057</v>
      </c>
      <c r="J79" s="24">
        <f>($I$111+40*($M$8-0.5))/($I$111+$I$150)</f>
        <v>0.82859055195136866</v>
      </c>
      <c r="K79" s="24">
        <f>($I$112+40*($M$8-0.5))/($I$112+$I$150)</f>
        <v>0.83163330094635546</v>
      </c>
      <c r="L79" s="24">
        <f>($I$113+40*($M$9-0.5))/($I$113+$I$150)</f>
        <v>0.71564963271196758</v>
      </c>
      <c r="M79" s="24">
        <f>($I$114+40*($M$9-0.5))/($I$114+$I$150)</f>
        <v>0.63459299191982443</v>
      </c>
      <c r="N79" s="24">
        <f>($I$115+40*($M$9-0.5))/($I$115+$I$150)</f>
        <v>0.72383623566509148</v>
      </c>
      <c r="O79" s="24">
        <f>($I$116+40*($M$9-0.5))/($I$116+$I$150)</f>
        <v>0.70656943848790954</v>
      </c>
      <c r="P79" s="24">
        <f>($I$117+40*($M$10-0.5))/($I$117+$I$150)</f>
        <v>0.60503576483102428</v>
      </c>
      <c r="Q79" s="24">
        <f>($I$118+40*($M$10-0.5))/($I$118+$I$150)</f>
        <v>0.57605654330434442</v>
      </c>
      <c r="R79" s="24">
        <f>($I$119+40*($M$10-0.5))/($I$119+$I$150)</f>
        <v>0.60754283611067572</v>
      </c>
      <c r="S79" s="24">
        <f>($I$120+40*($M$10-0.5))/($I$120+$I$150)</f>
        <v>0.59594714460749632</v>
      </c>
      <c r="T79" s="24">
        <f>($I$121+40*($M$11-0.5))/($I$121+$I$150)</f>
        <v>0.65948973871883687</v>
      </c>
      <c r="U79" s="24">
        <f>($I$122+40*($M$11-0.5))/($I$122+$I$150)</f>
        <v>0.65857684372799796</v>
      </c>
      <c r="V79" s="24">
        <f>($I$123+40*($M$11-0.5))/($I$123+$I$150)</f>
        <v>0.67873915814408803</v>
      </c>
      <c r="W79" s="24">
        <f>($I$124+40*($M$11-0.5))/($I$124+$I$150)</f>
        <v>0.66378628642623838</v>
      </c>
      <c r="X79" s="24">
        <f>($I$125+40*($M$12-0.5))/($I$125+$I$150)</f>
        <v>0.69168866915978855</v>
      </c>
      <c r="Y79" s="24">
        <f>($I$126+40*($M$12-0.5))/($I$126+$I$150)</f>
        <v>0.68026151589727113</v>
      </c>
      <c r="Z79" s="24">
        <f>($I$127+40*($M$12-0.5))/($I$127+$I$150)</f>
        <v>0.69364968391520043</v>
      </c>
      <c r="AA79" s="24">
        <f>($I$128+40*($M$12-0.5))/($I$128+$I$150)</f>
        <v>0.68399854245154212</v>
      </c>
      <c r="AB79" s="24">
        <f>($I$129+40*($M$13-0.5))/($I$129+$I$150)</f>
        <v>0.73532068000444684</v>
      </c>
      <c r="AC79" s="24">
        <f>($I$130+40*($M$13-0.5))/($I$130+$I$150)</f>
        <v>0.72037637367703633</v>
      </c>
      <c r="AD79" s="24">
        <f>($I$131+40*($M$13-0.5))/($I$131+$I$150)</f>
        <v>0.71400280874635635</v>
      </c>
      <c r="AE79" s="24">
        <f>($I$132+40*($M$13-0.5))/($I$132+$I$150)</f>
        <v>0.72818793334946574</v>
      </c>
      <c r="AF79" s="24">
        <f>($I$133+40*($M$14-0.5))/($I$133+$I$150)</f>
        <v>0.30599075470657283</v>
      </c>
      <c r="AG79" s="24">
        <f>($I$134+40*($M$14-0.5))/($I$134+$I$150)</f>
        <v>0.36535427761710615</v>
      </c>
      <c r="AH79" s="24">
        <f>($I$135+40*($M$14-0.5))/($I$135+$I$150)</f>
        <v>0.33338944972093226</v>
      </c>
      <c r="AI79" s="24">
        <f>($I$136+40*($M$14-0.5))/($I$136+$I$150)</f>
        <v>0.32054656873438325</v>
      </c>
      <c r="AJ79" s="24">
        <f>($I$137+40*($M$15-0.5))/($I$137+$I$150)</f>
        <v>0.69912747122663377</v>
      </c>
      <c r="AK79" s="24">
        <f>($I$138+40*($M$15-0.5))/($I$138+$I$150)</f>
        <v>0.69237481124606037</v>
      </c>
      <c r="AL79" s="24">
        <f>($I$139+40*($M$15-0.5))/($I$139+$I$150)</f>
        <v>0.68701882377060208</v>
      </c>
      <c r="AM79" s="24">
        <f>($I$140+40*($M$15-0.5))/($I$140+$I$150)</f>
        <v>0.70025902767398096</v>
      </c>
      <c r="AN79" s="24">
        <f>($I$141+40*($M$16-0.5))/($I$141+$I$150)</f>
        <v>0.68286164372713509</v>
      </c>
      <c r="AO79" s="24">
        <f>($I$142+40*($M$16-0.5))/($I$142+$I$150)</f>
        <v>0.68775800363648987</v>
      </c>
      <c r="AP79" s="24">
        <f>($I$143+40*($M$16-0.5))/($I$143+$I$150)</f>
        <v>0.68385104531208052</v>
      </c>
      <c r="AQ79" s="24">
        <f>($I$144+40*($M$16-0.5))/($I$144+$I$150)</f>
        <v>0.6941685326524859</v>
      </c>
      <c r="AR79" s="24">
        <f>($I$145+40*($M$17-0.5))/($I$145+$I$150)</f>
        <v>0.66898044771512843</v>
      </c>
      <c r="AS79" s="24">
        <f>($I$146+40*($M$17-0.5))/($I$146+$I$150)</f>
        <v>0.6556106073903557</v>
      </c>
      <c r="AT79" s="24">
        <f>($I$147+40*($M$17-0.5))/($I$147+$I$150)</f>
        <v>0.66705028442531067</v>
      </c>
      <c r="AU79" s="24">
        <f>($I$148+40*($M$17-0.5))/($I$148+$I$150)</f>
        <v>0.66446197185244327</v>
      </c>
      <c r="AV79" s="24">
        <f>($I$149+40*($M$18-0.5))/($I$149+$I$150)</f>
        <v>0.50671354162059523</v>
      </c>
      <c r="AW79" s="3">
        <v>0</v>
      </c>
      <c r="AX79" s="24">
        <f>($I$150+40*($M$18-0.5))/($I$150+$I$151)</f>
        <v>0.48947912699574375</v>
      </c>
      <c r="AY79" s="24">
        <f>($I$150+40*($M$18-0.5))/($I$150+$I$152)</f>
        <v>0.49432357020294715</v>
      </c>
      <c r="AZ79" s="24">
        <f>($I$150+40*($N$18-0.5))/($I$150+$I$153)</f>
        <v>0.65489142429778557</v>
      </c>
      <c r="BA79" s="24">
        <f>($I$150+40*($N$18-0.5))/($I$150+$I$154)</f>
        <v>0.63994436621691253</v>
      </c>
      <c r="BB79" s="24">
        <f>($I$150+40*($N$7-0.5))/($I$150+$I$155)</f>
        <v>0.810280101977504</v>
      </c>
      <c r="BC79" s="24">
        <f>($I$150+40*($N$18-0.5))/($I$150+$I$156)</f>
        <v>0.70330598488973184</v>
      </c>
      <c r="BD79" s="24">
        <f>($I$150+40*($O$18-0.5))/($I$150+$I$157)</f>
        <v>0.64401445590873474</v>
      </c>
      <c r="BE79" s="24">
        <f>($I$150+40*($O$18-0.5))/($I$150+$I$158)</f>
        <v>0.72808084783892413</v>
      </c>
      <c r="BF79" s="24">
        <f>($I$150+40*($O$18-0.5))/($I$150+$I$159)</f>
        <v>0.70304521860017133</v>
      </c>
      <c r="BG79" s="24">
        <f>($I$150+40*($O$18-0.5))/($I$150+$I$160)</f>
        <v>0.69413321526950678</v>
      </c>
      <c r="BH79" s="24">
        <f>($I$150+40*($P$18-0.5))/($I$150+$I$161)</f>
        <v>0.73265484576190221</v>
      </c>
      <c r="BI79" s="24">
        <f>($I$150+40*($P$18-0.5))/($I$150+$I$162)</f>
        <v>0.752771953037352</v>
      </c>
      <c r="BJ79" s="24">
        <f>($I$150+40*($P$18-0.5))/($I$150+$I$163)</f>
        <v>0.76105701502047018</v>
      </c>
      <c r="BK79" s="24">
        <f>($I$150+40*($P$18-0.5))/($I$150+$I$164)</f>
        <v>0.76936600852653703</v>
      </c>
      <c r="BL79" s="24">
        <f>($I$150+40*($Q$18-0.5))/($I$150+$I$165)</f>
        <v>0.78729601030026664</v>
      </c>
      <c r="BM79" s="24">
        <f>($I$150+40*($Q$18-0.5))/($I$150+$I$166)</f>
        <v>0.766312193708513</v>
      </c>
      <c r="BN79" s="24">
        <f>($I$150+40*($Q$7-0.5))/($I$150+$I$167)</f>
        <v>0.90293056012577555</v>
      </c>
      <c r="BO79" s="24">
        <f>($I$150+40*($Q$18-0.5))/($I$150+$I$168)</f>
        <v>0.78236960222757324</v>
      </c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  <c r="IN79" s="40"/>
      <c r="IO79" s="40"/>
      <c r="IP79" s="40"/>
      <c r="IQ79" s="40"/>
      <c r="IR79" s="40"/>
      <c r="IS79" s="40"/>
      <c r="IT79" s="40"/>
      <c r="IU79" s="40"/>
      <c r="IV79" s="40"/>
      <c r="IW79" s="40"/>
      <c r="IX79" s="40"/>
      <c r="IY79" s="40"/>
      <c r="IZ79" s="40"/>
      <c r="JA79" s="40"/>
      <c r="JB79" s="40"/>
      <c r="JC79" s="40"/>
      <c r="JD79" s="40"/>
      <c r="JE79" s="40"/>
      <c r="JF79" s="40"/>
      <c r="JG79" s="40"/>
      <c r="JH79" s="40"/>
      <c r="JI79" s="40"/>
      <c r="JJ79" s="40"/>
      <c r="JK79" s="40"/>
      <c r="JL79" s="40"/>
      <c r="JM79" s="40"/>
      <c r="JN79" s="40"/>
      <c r="JO79" s="40"/>
      <c r="JP79" s="40"/>
      <c r="JQ79" s="40"/>
      <c r="JR79" s="40"/>
      <c r="JS79" s="40"/>
      <c r="JT79" s="40"/>
      <c r="JU79" s="40"/>
      <c r="JV79" s="40"/>
      <c r="JW79" s="40"/>
      <c r="JX79" s="40"/>
      <c r="JY79" s="40"/>
      <c r="JZ79" s="40"/>
      <c r="KA79" s="40"/>
      <c r="KB79" s="40"/>
      <c r="KC79" s="40"/>
      <c r="KD79" s="40"/>
      <c r="KE79" s="40"/>
      <c r="KF79" s="40"/>
      <c r="KG79" s="40"/>
      <c r="KH79" s="40"/>
      <c r="KI79" s="40"/>
      <c r="KJ79" s="40"/>
      <c r="KK79" s="40"/>
      <c r="KL79" s="40"/>
      <c r="KM79" s="40"/>
      <c r="KN79" s="40"/>
      <c r="KO79" s="40"/>
      <c r="KP79" s="40"/>
      <c r="KQ79" s="40"/>
      <c r="KR79" s="40"/>
      <c r="KS79" s="40"/>
      <c r="KT79" s="40"/>
      <c r="KU79" s="40"/>
      <c r="KV79" s="40"/>
      <c r="KW79" s="40"/>
      <c r="KX79" s="40"/>
      <c r="KY79" s="40"/>
      <c r="KZ79" s="40"/>
      <c r="LA79" s="40"/>
      <c r="LB79" s="40"/>
      <c r="LC79" s="40"/>
      <c r="LD79" s="40"/>
      <c r="LE79" s="40"/>
      <c r="LF79" s="40"/>
      <c r="LG79" s="40"/>
      <c r="LH79" s="40"/>
      <c r="LI79" s="40"/>
      <c r="LJ79" s="40"/>
      <c r="LK79" s="40"/>
      <c r="LL79" s="40"/>
      <c r="LM79" s="40"/>
      <c r="LN79" s="40"/>
      <c r="LO79" s="40"/>
      <c r="LP79" s="40"/>
      <c r="LQ79" s="40"/>
      <c r="LR79" s="40"/>
      <c r="LS79" s="40"/>
      <c r="LT79" s="40"/>
      <c r="LU79" s="40"/>
      <c r="LV79" s="40"/>
      <c r="LW79" s="40"/>
      <c r="LX79" s="40"/>
      <c r="LY79" s="40"/>
      <c r="LZ79" s="40"/>
      <c r="MA79" s="40"/>
      <c r="MB79" s="40"/>
      <c r="MC79" s="40"/>
      <c r="MD79" s="40"/>
      <c r="ME79" s="40"/>
      <c r="MF79" s="40"/>
      <c r="MG79" s="40"/>
      <c r="MH79" s="40"/>
      <c r="MI79" s="40"/>
      <c r="MJ79" s="40"/>
      <c r="MK79" s="40"/>
      <c r="ML79" s="40"/>
      <c r="MM79" s="40"/>
      <c r="MN79" s="40"/>
      <c r="MO79" s="40"/>
      <c r="MP79" s="40"/>
      <c r="MQ79" s="40"/>
      <c r="MR79" s="40"/>
      <c r="MS79" s="40"/>
      <c r="MT79" s="40"/>
    </row>
    <row r="80" spans="1:358" x14ac:dyDescent="0.25">
      <c r="A80" t="str">
        <f>$A$151</f>
        <v>NC State</v>
      </c>
      <c r="B80" s="54"/>
      <c r="C80" s="3">
        <v>47</v>
      </c>
      <c r="D80" s="24">
        <f>($I$105+40*($M$7-0.5))/($I$105+$I$151)</f>
        <v>0.82756014170682457</v>
      </c>
      <c r="E80" s="24">
        <f>($I$106+40*($M$7-0.5))/($I$106+$I$151)</f>
        <v>0.82605496069788753</v>
      </c>
      <c r="F80" s="24">
        <f>($I$107+40*($M$7-0.5))/($I$107+$I$151)</f>
        <v>0.83397594708576184</v>
      </c>
      <c r="G80" s="24">
        <f>($I$108+40*($M$7-0.5))/($I$108+$I$151)</f>
        <v>0.81139828704948758</v>
      </c>
      <c r="H80" s="24">
        <f>($I$109+40*($M$8-0.5))/($I$109+$I$151)</f>
        <v>0.8136652288896602</v>
      </c>
      <c r="I80" s="24">
        <f>($I$110+40*($M$8-0.5))/($I$110+$I$151)</f>
        <v>0.81168115253415585</v>
      </c>
      <c r="J80" s="24">
        <f>($I$111+40*($M$8-0.5))/($I$111+$I$151)</f>
        <v>0.81413266569228582</v>
      </c>
      <c r="K80" s="24">
        <f>($I$112+40*($M$8-0.5))/($I$112+$I$151)</f>
        <v>0.81737549570597035</v>
      </c>
      <c r="L80" s="24">
        <f>($I$113+40*($M$9-0.5))/($I$113+$I$151)</f>
        <v>0.7034945536317766</v>
      </c>
      <c r="M80" s="24">
        <f>($I$114+40*($M$9-0.5))/($I$114+$I$151)</f>
        <v>0.62080890304932179</v>
      </c>
      <c r="N80" s="24">
        <f>($I$115+40*($M$9-0.5))/($I$115+$I$151)</f>
        <v>0.71189022280935155</v>
      </c>
      <c r="O80" s="24">
        <f>($I$116+40*($M$9-0.5))/($I$116+$I$151)</f>
        <v>0.69419207201605648</v>
      </c>
      <c r="P80" s="24">
        <f>($I$117+40*($M$10-0.5))/($I$117+$I$151)</f>
        <v>0.59438295373442851</v>
      </c>
      <c r="Q80" s="24">
        <f>($I$118+40*($M$10-0.5))/($I$118+$I$151)</f>
        <v>0.56518383400251271</v>
      </c>
      <c r="R80" s="24">
        <f>($I$119+40*($M$10-0.5))/($I$119+$I$151)</f>
        <v>0.5969125950587959</v>
      </c>
      <c r="S80" s="24">
        <f>($I$120+40*($M$10-0.5))/($I$120+$I$151)</f>
        <v>0.58521725116667955</v>
      </c>
      <c r="T80" s="24">
        <f>($I$121+40*($M$11-0.5))/($I$121+$I$151)</f>
        <v>0.64750049636500073</v>
      </c>
      <c r="U80" s="24">
        <f>($I$122+40*($M$11-0.5))/($I$122+$I$151)</f>
        <v>0.64657268427664227</v>
      </c>
      <c r="V80" s="24">
        <f>($I$123+40*($M$11-0.5))/($I$123+$I$151)</f>
        <v>0.66708554089266159</v>
      </c>
      <c r="W80" s="24">
        <f>($I$124+40*($M$11-0.5))/($I$124+$I$151)</f>
        <v>0.65186846630900042</v>
      </c>
      <c r="X80" s="24">
        <f>($I$125+40*($M$12-0.5))/($I$125+$I$151)</f>
        <v>0.67917202044274338</v>
      </c>
      <c r="Y80" s="24">
        <f>($I$126+40*($M$12-0.5))/($I$126+$I$151)</f>
        <v>0.66750395798188822</v>
      </c>
      <c r="Z80" s="24">
        <f>($I$127+40*($M$12-0.5))/($I$127+$I$151)</f>
        <v>0.68117595126913721</v>
      </c>
      <c r="AA80" s="24">
        <f>($I$128+40*($M$12-0.5))/($I$128+$I$151)</f>
        <v>0.67131804764780623</v>
      </c>
      <c r="AB80" s="24">
        <f>($I$129+40*($M$13-0.5))/($I$129+$I$151)</f>
        <v>0.7228711868624943</v>
      </c>
      <c r="AC80" s="24">
        <f>($I$130+40*($M$13-0.5))/($I$130+$I$151)</f>
        <v>0.70750356711783824</v>
      </c>
      <c r="AD80" s="24">
        <f>($I$131+40*($M$13-0.5))/($I$131+$I$151)</f>
        <v>0.7009583894072916</v>
      </c>
      <c r="AE80" s="24">
        <f>($I$132+40*($M$13-0.5))/($I$132+$I$151)</f>
        <v>0.71553273416857499</v>
      </c>
      <c r="AF80" s="24">
        <f>($I$133+40*($M$14-0.5))/($I$133+$I$151)</f>
        <v>0.30033782114320384</v>
      </c>
      <c r="AG80" s="24">
        <f>($I$134+40*($M$14-0.5))/($I$134+$I$151)</f>
        <v>0.3591722249336593</v>
      </c>
      <c r="AH80" s="24">
        <f>($I$135+40*($M$14-0.5))/($I$135+$I$151)</f>
        <v>0.32746918372686062</v>
      </c>
      <c r="AI80" s="24">
        <f>($I$136+40*($M$14-0.5))/($I$136+$I$151)</f>
        <v>0.31474668273356832</v>
      </c>
      <c r="AJ80" s="24">
        <f>($I$137+40*($M$15-0.5))/($I$137+$I$151)</f>
        <v>0.68657543873150206</v>
      </c>
      <c r="AK80" s="24">
        <f>($I$138+40*($M$15-0.5))/($I$138+$I$151)</f>
        <v>0.6796701426484425</v>
      </c>
      <c r="AL80" s="24">
        <f>($I$139+40*($M$15-0.5))/($I$139+$I$151)</f>
        <v>0.67419704385782819</v>
      </c>
      <c r="AM80" s="24">
        <f>($I$140+40*($M$15-0.5))/($I$140+$I$151)</f>
        <v>0.68773311714502172</v>
      </c>
      <c r="AN80" s="24">
        <f>($I$141+40*($M$16-0.5))/($I$141+$I$151)</f>
        <v>0.67015752737256751</v>
      </c>
      <c r="AO80" s="24">
        <f>($I$142+40*($M$16-0.5))/($I$142+$I$151)</f>
        <v>0.67515672243818481</v>
      </c>
      <c r="AP80" s="24">
        <f>($I$143+40*($M$16-0.5))/($I$143+$I$151)</f>
        <v>0.67116747719427439</v>
      </c>
      <c r="AQ80" s="24">
        <f>($I$144+40*($M$16-0.5))/($I$144+$I$151)</f>
        <v>0.68170623199903646</v>
      </c>
      <c r="AR80" s="24">
        <f>($I$145+40*($M$17-0.5))/($I$145+$I$151)</f>
        <v>0.65677909099574727</v>
      </c>
      <c r="AS80" s="24">
        <f>($I$146+40*($M$17-0.5))/($I$146+$I$151)</f>
        <v>0.64317929497726134</v>
      </c>
      <c r="AT80" s="24">
        <f>($I$147+40*($M$17-0.5))/($I$147+$I$151)</f>
        <v>0.65481449230358113</v>
      </c>
      <c r="AU80" s="24">
        <f>($I$148+40*($M$17-0.5))/($I$148+$I$151)</f>
        <v>0.65218065823007387</v>
      </c>
      <c r="AV80" s="24">
        <f>($I$149+40*($M$18-0.5))/($I$149+$I$151)</f>
        <v>0.49619159262976514</v>
      </c>
      <c r="AW80" s="24">
        <f>($I$150+40*($M$18-0.5))/($I$150+$I$151)</f>
        <v>0.48947912699574375</v>
      </c>
      <c r="AX80" s="3">
        <v>0</v>
      </c>
      <c r="AY80" s="24">
        <f>($I$151+40*($M$18-0.5))/($I$151+$I$152)</f>
        <v>0.5048456007436336</v>
      </c>
      <c r="AZ80" s="24">
        <f>($I$151+40*($N$18-0.5))/($I$151+$I$153)</f>
        <v>0.66193586887542077</v>
      </c>
      <c r="BA80" s="24">
        <f>($I$151+40*($N$18-0.5))/($I$151+$I$154)</f>
        <v>0.64712951739854607</v>
      </c>
      <c r="BB80" s="24">
        <f>($I$151+40*($N$7-0.5))/($I$151+$I$155)</f>
        <v>0.81435959579324491</v>
      </c>
      <c r="BC80" s="24">
        <f>($I$151+40*($N$18-0.5))/($I$151+$I$156)</f>
        <v>0.70980009924230758</v>
      </c>
      <c r="BD80" s="24">
        <f>($I$151+40*($O$18-0.5))/($I$151+$I$157)</f>
        <v>0.65098517580860493</v>
      </c>
      <c r="BE80" s="24">
        <f>($I$151+40*($O$18-0.5))/($I$151+$I$158)</f>
        <v>0.73408512027093387</v>
      </c>
      <c r="BF80" s="24">
        <f>($I$151+40*($O$18-0.5))/($I$151+$I$159)</f>
        <v>0.70938164566947903</v>
      </c>
      <c r="BG80" s="24">
        <f>($I$151+40*($O$18-0.5))/($I$151+$I$160)</f>
        <v>0.70057881734371108</v>
      </c>
      <c r="BH80" s="24">
        <f>($I$151+40*($P$18-0.5))/($I$151+$I$161)</f>
        <v>0.7384979220436626</v>
      </c>
      <c r="BI80" s="24">
        <f>($I$151+40*($P$18-0.5))/($I$151+$I$162)</f>
        <v>0.75832038713196814</v>
      </c>
      <c r="BJ80" s="24">
        <f>($I$151+40*($P$18-0.5))/($I$151+$I$163)</f>
        <v>0.76647719219220545</v>
      </c>
      <c r="BK80" s="24">
        <f>($I$151+40*($P$18-0.5))/($I$151+$I$164)</f>
        <v>0.77465351329207588</v>
      </c>
      <c r="BL80" s="24">
        <f>($I$151+40*($Q$18-0.5))/($I$151+$I$165)</f>
        <v>0.79220385818879024</v>
      </c>
      <c r="BM80" s="24">
        <f>($I$151+40*($Q$18-0.5))/($I$151+$I$166)</f>
        <v>0.77156372986973565</v>
      </c>
      <c r="BN80" s="24">
        <f>($I$151+40*($Q$7-0.5))/($I$151+$I$167)</f>
        <v>0.90525077714632085</v>
      </c>
      <c r="BO80" s="24">
        <f>($I$151+40*($Q$18-0.5))/($I$151+$I$168)</f>
        <v>0.78736041915523913</v>
      </c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  <c r="IN80" s="40"/>
      <c r="IO80" s="40"/>
      <c r="IP80" s="40"/>
      <c r="IQ80" s="40"/>
      <c r="IR80" s="40"/>
      <c r="IS80" s="40"/>
      <c r="IT80" s="40"/>
      <c r="IU80" s="40"/>
      <c r="IV80" s="40"/>
      <c r="IW80" s="40"/>
      <c r="IX80" s="40"/>
      <c r="IY80" s="40"/>
      <c r="IZ80" s="40"/>
      <c r="JA80" s="40"/>
      <c r="JB80" s="40"/>
      <c r="JC80" s="40"/>
      <c r="JD80" s="40"/>
      <c r="JE80" s="40"/>
      <c r="JF80" s="40"/>
      <c r="JG80" s="40"/>
      <c r="JH80" s="40"/>
      <c r="JI80" s="40"/>
      <c r="JJ80" s="40"/>
      <c r="JK80" s="40"/>
      <c r="JL80" s="40"/>
      <c r="JM80" s="40"/>
      <c r="JN80" s="40"/>
      <c r="JO80" s="40"/>
      <c r="JP80" s="40"/>
      <c r="JQ80" s="40"/>
      <c r="JR80" s="40"/>
      <c r="JS80" s="40"/>
      <c r="JT80" s="40"/>
      <c r="JU80" s="40"/>
      <c r="JV80" s="40"/>
      <c r="JW80" s="40"/>
      <c r="JX80" s="40"/>
      <c r="JY80" s="40"/>
      <c r="JZ80" s="40"/>
      <c r="KA80" s="40"/>
      <c r="KB80" s="40"/>
      <c r="KC80" s="40"/>
      <c r="KD80" s="40"/>
      <c r="KE80" s="40"/>
      <c r="KF80" s="40"/>
      <c r="KG80" s="40"/>
      <c r="KH80" s="40"/>
      <c r="KI80" s="40"/>
      <c r="KJ80" s="40"/>
      <c r="KK80" s="40"/>
      <c r="KL80" s="40"/>
      <c r="KM80" s="40"/>
      <c r="KN80" s="40"/>
      <c r="KO80" s="40"/>
      <c r="KP80" s="40"/>
      <c r="KQ80" s="40"/>
      <c r="KR80" s="40"/>
      <c r="KS80" s="40"/>
      <c r="KT80" s="40"/>
      <c r="KU80" s="40"/>
      <c r="KV80" s="40"/>
      <c r="KW80" s="40"/>
      <c r="KX80" s="40"/>
      <c r="KY80" s="40"/>
      <c r="KZ80" s="40"/>
      <c r="LA80" s="40"/>
      <c r="LB80" s="40"/>
      <c r="LC80" s="40"/>
      <c r="LD80" s="40"/>
      <c r="LE80" s="40"/>
      <c r="LF80" s="40"/>
      <c r="LG80" s="40"/>
      <c r="LH80" s="40"/>
      <c r="LI80" s="40"/>
      <c r="LJ80" s="40"/>
      <c r="LK80" s="40"/>
      <c r="LL80" s="40"/>
      <c r="LM80" s="40"/>
      <c r="LN80" s="40"/>
      <c r="LO80" s="40"/>
      <c r="LP80" s="40"/>
      <c r="LQ80" s="40"/>
      <c r="LR80" s="40"/>
      <c r="LS80" s="40"/>
      <c r="LT80" s="40"/>
      <c r="LU80" s="40"/>
      <c r="LV80" s="40"/>
      <c r="LW80" s="40"/>
      <c r="LX80" s="40"/>
      <c r="LY80" s="40"/>
      <c r="LZ80" s="40"/>
      <c r="MA80" s="40"/>
      <c r="MB80" s="40"/>
      <c r="MC80" s="40"/>
      <c r="MD80" s="40"/>
      <c r="ME80" s="40"/>
      <c r="MF80" s="40"/>
      <c r="MG80" s="40"/>
      <c r="MH80" s="40"/>
      <c r="MI80" s="40"/>
      <c r="MJ80" s="40"/>
      <c r="MK80" s="40"/>
      <c r="ML80" s="40"/>
      <c r="MM80" s="40"/>
      <c r="MN80" s="40"/>
      <c r="MO80" s="40"/>
      <c r="MP80" s="40"/>
      <c r="MQ80" s="40"/>
      <c r="MR80" s="40"/>
      <c r="MS80" s="40"/>
      <c r="MT80" s="40"/>
    </row>
    <row r="81" spans="1:358" x14ac:dyDescent="0.25">
      <c r="A81" t="str">
        <f>$A$152</f>
        <v>Harvard</v>
      </c>
      <c r="B81" s="54"/>
      <c r="C81" s="3">
        <v>48</v>
      </c>
      <c r="D81" s="24">
        <f>($I$105+40*($M$7-0.5))/($I$105+$I$152)</f>
        <v>0.83384704213993543</v>
      </c>
      <c r="E81" s="59">
        <f>($I$106+40*($M$7-0.5))/($I$106+$I$152)</f>
        <v>0.83238562304778962</v>
      </c>
      <c r="F81" s="59">
        <f>($I$107+40*($M$7-0.5))/($I$107+$I$152)</f>
        <v>0.84007414001507197</v>
      </c>
      <c r="G81" s="59">
        <f>($I$108+40*($M$7-0.5))/($I$108+$I$152)</f>
        <v>0.81814494068336763</v>
      </c>
      <c r="H81" s="59">
        <f>($I$109+40*($M$8-0.5))/($I$109+$I$152)</f>
        <v>0.82034874431094529</v>
      </c>
      <c r="I81" s="24">
        <f>($I$110+40*($M$8-0.5))/($I$110+$I$152)</f>
        <v>0.81841995193312511</v>
      </c>
      <c r="J81" s="24">
        <f>($I$111+40*($M$8-0.5))/($I$111+$I$152)</f>
        <v>0.82080310742459917</v>
      </c>
      <c r="K81" s="24">
        <f>($I$112+40*($M$8-0.5))/($I$112+$I$152)</f>
        <v>0.82395472360874089</v>
      </c>
      <c r="L81" s="24">
        <f>($I$113+40*($M$9-0.5))/($I$113+$I$152)</f>
        <v>0.70910397457492969</v>
      </c>
      <c r="M81" s="24">
        <f>($I$114+40*($M$9-0.5))/($I$114+$I$152)</f>
        <v>0.62715354989800864</v>
      </c>
      <c r="N81" s="24">
        <f>($I$115+40*($M$9-0.5))/($I$115+$I$152)</f>
        <v>0.71740461434936276</v>
      </c>
      <c r="O81" s="24">
        <f>($I$116+40*($M$9-0.5))/($I$116+$I$152)</f>
        <v>0.69990240803721238</v>
      </c>
      <c r="P81" s="24">
        <f>($I$117+40*($M$10-0.5))/($I$117+$I$152)</f>
        <v>0.59929742004882181</v>
      </c>
      <c r="Q81" s="24">
        <f>($I$118+40*($M$10-0.5))/($I$118+$I$152)</f>
        <v>0.57019625801147744</v>
      </c>
      <c r="R81" s="24">
        <f>($I$119+40*($M$10-0.5))/($I$119+$I$152)</f>
        <v>0.60181694437800126</v>
      </c>
      <c r="S81" s="24">
        <f>($I$120+40*($M$10-0.5))/($I$120+$I$152)</f>
        <v>0.59016619782837354</v>
      </c>
      <c r="T81" s="24">
        <f>($I$121+40*($M$11-0.5))/($I$121+$I$152)</f>
        <v>0.65302976190842343</v>
      </c>
      <c r="U81" s="24">
        <f>($I$122+40*($M$11-0.5))/($I$122+$I$152)</f>
        <v>0.65210868398850519</v>
      </c>
      <c r="V81" s="24">
        <f>($I$123+40*($M$11-0.5))/($I$123+$I$152)</f>
        <v>0.6724629987266576</v>
      </c>
      <c r="W81" s="24">
        <f>($I$124+40*($M$11-0.5))/($I$124+$I$152)</f>
        <v>0.65736547236805309</v>
      </c>
      <c r="X81" s="24">
        <f>($I$125+40*($M$12-0.5))/($I$125+$I$152)</f>
        <v>0.68494478361627897</v>
      </c>
      <c r="Y81" s="24">
        <f>($I$126+40*($M$12-0.5))/($I$126+$I$152)</f>
        <v>0.67338570464235215</v>
      </c>
      <c r="Z81" s="24">
        <f>($I$127+40*($M$12-0.5))/($I$127+$I$152)</f>
        <v>0.68692927804779103</v>
      </c>
      <c r="AA81" s="24">
        <f>($I$128+40*($M$12-0.5))/($I$128+$I$152)</f>
        <v>0.67716495584389558</v>
      </c>
      <c r="AB81" s="24">
        <f>($I$129+40*($M$13-0.5))/($I$129+$I$152)</f>
        <v>0.7286166461984912</v>
      </c>
      <c r="AC81" s="24">
        <f>($I$130+40*($M$13-0.5))/($I$130+$I$152)</f>
        <v>0.71344132962083306</v>
      </c>
      <c r="AD81" s="24">
        <f>($I$131+40*($M$13-0.5))/($I$131+$I$152)</f>
        <v>0.70697399070060463</v>
      </c>
      <c r="AE81" s="24">
        <f>($I$132+40*($M$13-0.5))/($I$132+$I$152)</f>
        <v>0.72137169254060829</v>
      </c>
      <c r="AF81" s="24">
        <f>($I$133+40*($M$14-0.5))/($I$133+$I$152)</f>
        <v>0.30294445093471334</v>
      </c>
      <c r="AG81" s="24">
        <f>($I$134+40*($M$14-0.5))/($I$134+$I$152)</f>
        <v>0.36202526692558046</v>
      </c>
      <c r="AH81" s="24">
        <f>($I$135+40*($M$14-0.5))/($I$135+$I$152)</f>
        <v>0.33020015680393622</v>
      </c>
      <c r="AI81" s="24">
        <f>($I$136+40*($M$14-0.5))/($I$136+$I$152)</f>
        <v>0.3174216324457515</v>
      </c>
      <c r="AJ81" s="24">
        <f>($I$137+40*($M$15-0.5))/($I$137+$I$152)</f>
        <v>0.69236497196823577</v>
      </c>
      <c r="AK81" s="24">
        <f>($I$138+40*($M$15-0.5))/($I$138+$I$152)</f>
        <v>0.68552880630450141</v>
      </c>
      <c r="AL81" s="24">
        <f>($I$139+40*($M$15-0.5))/($I$139+$I$152)</f>
        <v>0.68010869482177871</v>
      </c>
      <c r="AM81" s="24">
        <f>($I$140+40*($M$15-0.5))/($I$140+$I$152)</f>
        <v>0.69351081199955955</v>
      </c>
      <c r="AN81" s="24">
        <f>($I$141+40*($M$16-0.5))/($I$141+$I$152)</f>
        <v>0.67601511679404724</v>
      </c>
      <c r="AO81" s="24">
        <f>($I$142+40*($M$16-0.5))/($I$142+$I$152)</f>
        <v>0.68096779636054872</v>
      </c>
      <c r="AP81" s="24">
        <f>($I$143+40*($M$16-0.5))/($I$143+$I$152)</f>
        <v>0.67701577520697664</v>
      </c>
      <c r="AQ81" s="24">
        <f>($I$144+40*($M$16-0.5))/($I$144+$I$152)</f>
        <v>0.687454380258683</v>
      </c>
      <c r="AR81" s="24">
        <f>($I$145+40*($M$17-0.5))/($I$145+$I$152)</f>
        <v>0.66240599792435906</v>
      </c>
      <c r="AS81" s="24">
        <f>($I$146+40*($M$17-0.5))/($I$146+$I$152)</f>
        <v>0.64890997600627687</v>
      </c>
      <c r="AT81" s="24">
        <f>($I$147+40*($M$17-0.5))/($I$147+$I$152)</f>
        <v>0.66045695649030567</v>
      </c>
      <c r="AU81" s="24">
        <f>($I$148+40*($M$17-0.5))/($I$148+$I$152)</f>
        <v>0.65784367924802067</v>
      </c>
      <c r="AV81" s="24">
        <f>($I$149+40*($M$18-0.5))/($I$149+$I$152)</f>
        <v>0.50103726994060616</v>
      </c>
      <c r="AW81" s="24">
        <f>($I$150+40*($M$18-0.5))/($I$150+$I$152)</f>
        <v>0.49432357020294715</v>
      </c>
      <c r="AX81" s="24">
        <f>($I$151+40*($M$18-0.5))/($I$151+$I$152)</f>
        <v>0.5048456007436336</v>
      </c>
      <c r="AY81" s="3">
        <v>0</v>
      </c>
      <c r="AZ81" s="24">
        <f>($I$152+40*($N$18-0.5))/($I$152+$I$153)</f>
        <v>0.65869105755480339</v>
      </c>
      <c r="BA81" s="24">
        <f>($I$152+40*($N$18-0.5))/($I$152+$I$154)</f>
        <v>0.64381906193791383</v>
      </c>
      <c r="BB81" s="24">
        <f>($I$152+40*($N$7-0.5))/($I$152+$I$155)</f>
        <v>0.81248162862650997</v>
      </c>
      <c r="BC81" s="24">
        <f>($I$152+40*($N$18-0.5))/($I$152+$I$156)</f>
        <v>0.70681121374682787</v>
      </c>
      <c r="BD81" s="24">
        <f>($I$152+40*($O$18-0.5))/($I$152+$I$157)</f>
        <v>0.64777285531858686</v>
      </c>
      <c r="BE81" s="24">
        <f>($I$152+40*($O$18-0.5))/($I$152+$I$158)</f>
        <v>0.73132197630649176</v>
      </c>
      <c r="BF81" s="24">
        <f>($I$152+40*($O$18-0.5))/($I$152+$I$159)</f>
        <v>0.70646444972811218</v>
      </c>
      <c r="BG81" s="24">
        <f>($I$152+40*($O$18-0.5))/($I$152+$I$160)</f>
        <v>0.69761092567847749</v>
      </c>
      <c r="BH81" s="24">
        <f>($I$152+40*($P$18-0.5))/($I$152+$I$161)</f>
        <v>0.73580862577463013</v>
      </c>
      <c r="BI81" s="24">
        <f>($I$152+40*($P$18-0.5))/($I$152+$I$162)</f>
        <v>0.75576752785700496</v>
      </c>
      <c r="BJ81" s="24">
        <f>($I$152+40*($P$18-0.5))/($I$152+$I$163)</f>
        <v>0.76398367702642911</v>
      </c>
      <c r="BK81" s="24">
        <f>($I$152+40*($P$18-0.5))/($I$152+$I$164)</f>
        <v>0.77222135839032513</v>
      </c>
      <c r="BL81" s="24">
        <f>($I$152+40*($Q$18-0.5))/($I$152+$I$165)</f>
        <v>0.7899465227004131</v>
      </c>
      <c r="BM81" s="24">
        <f>($I$152+40*($Q$18-0.5))/($I$152+$I$166)</f>
        <v>0.76914751451771057</v>
      </c>
      <c r="BN81" s="24">
        <f>($I$152+40*($Q$7-0.5))/($I$152+$I$167)</f>
        <v>0.90418409638932984</v>
      </c>
      <c r="BO81" s="24">
        <f>($I$152+40*($Q$18-0.5))/($I$152+$I$168)</f>
        <v>0.78506474354840661</v>
      </c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  <c r="IN81" s="40"/>
      <c r="IO81" s="40"/>
      <c r="IP81" s="40"/>
      <c r="IQ81" s="40"/>
      <c r="IR81" s="40"/>
      <c r="IS81" s="40"/>
      <c r="IT81" s="40"/>
      <c r="IU81" s="40"/>
      <c r="IV81" s="40"/>
      <c r="IW81" s="40"/>
      <c r="IX81" s="40"/>
      <c r="IY81" s="40"/>
      <c r="IZ81" s="40"/>
      <c r="JA81" s="40"/>
      <c r="JB81" s="40"/>
      <c r="JC81" s="40"/>
      <c r="JD81" s="40"/>
      <c r="JE81" s="40"/>
      <c r="JF81" s="40"/>
      <c r="JG81" s="40"/>
      <c r="JH81" s="40"/>
      <c r="JI81" s="40"/>
      <c r="JJ81" s="40"/>
      <c r="JK81" s="40"/>
      <c r="JL81" s="40"/>
      <c r="JM81" s="40"/>
      <c r="JN81" s="40"/>
      <c r="JO81" s="40"/>
      <c r="JP81" s="40"/>
      <c r="JQ81" s="40"/>
      <c r="JR81" s="40"/>
      <c r="JS81" s="40"/>
      <c r="JT81" s="40"/>
      <c r="JU81" s="40"/>
      <c r="JV81" s="40"/>
      <c r="JW81" s="40"/>
      <c r="JX81" s="40"/>
      <c r="JY81" s="40"/>
      <c r="JZ81" s="40"/>
      <c r="KA81" s="40"/>
      <c r="KB81" s="40"/>
      <c r="KC81" s="40"/>
      <c r="KD81" s="40"/>
      <c r="KE81" s="40"/>
      <c r="KF81" s="40"/>
      <c r="KG81" s="40"/>
      <c r="KH81" s="40"/>
      <c r="KI81" s="40"/>
      <c r="KJ81" s="40"/>
      <c r="KK81" s="40"/>
      <c r="KL81" s="40"/>
      <c r="KM81" s="40"/>
      <c r="KN81" s="40"/>
      <c r="KO81" s="40"/>
      <c r="KP81" s="40"/>
      <c r="KQ81" s="40"/>
      <c r="KR81" s="40"/>
      <c r="KS81" s="40"/>
      <c r="KT81" s="40"/>
      <c r="KU81" s="40"/>
      <c r="KV81" s="40"/>
      <c r="KW81" s="40"/>
      <c r="KX81" s="40"/>
      <c r="KY81" s="40"/>
      <c r="KZ81" s="40"/>
      <c r="LA81" s="40"/>
      <c r="LB81" s="40"/>
      <c r="LC81" s="40"/>
      <c r="LD81" s="40"/>
      <c r="LE81" s="40"/>
      <c r="LF81" s="40"/>
      <c r="LG81" s="40"/>
      <c r="LH81" s="40"/>
      <c r="LI81" s="40"/>
      <c r="LJ81" s="40"/>
      <c r="LK81" s="40"/>
      <c r="LL81" s="40"/>
      <c r="LM81" s="40"/>
      <c r="LN81" s="40"/>
      <c r="LO81" s="40"/>
      <c r="LP81" s="40"/>
      <c r="LQ81" s="40"/>
      <c r="LR81" s="40"/>
      <c r="LS81" s="40"/>
      <c r="LT81" s="40"/>
      <c r="LU81" s="40"/>
      <c r="LV81" s="40"/>
      <c r="LW81" s="40"/>
      <c r="LX81" s="40"/>
      <c r="LY81" s="40"/>
      <c r="LZ81" s="40"/>
      <c r="MA81" s="40"/>
      <c r="MB81" s="40"/>
      <c r="MC81" s="40"/>
      <c r="MD81" s="40"/>
      <c r="ME81" s="40"/>
      <c r="MF81" s="40"/>
      <c r="MG81" s="40"/>
      <c r="MH81" s="40"/>
      <c r="MI81" s="40"/>
      <c r="MJ81" s="40"/>
      <c r="MK81" s="40"/>
      <c r="ML81" s="40"/>
      <c r="MM81" s="40"/>
      <c r="MN81" s="40"/>
      <c r="MO81" s="40"/>
      <c r="MP81" s="40"/>
      <c r="MQ81" s="40"/>
      <c r="MR81" s="40"/>
      <c r="MS81" s="40"/>
      <c r="MT81" s="40"/>
    </row>
    <row r="82" spans="1:358" x14ac:dyDescent="0.25">
      <c r="A82" t="str">
        <f>$A$153</f>
        <v>Tulsa</v>
      </c>
      <c r="B82" s="54">
        <v>13</v>
      </c>
      <c r="C82" s="3">
        <v>49</v>
      </c>
      <c r="D82" s="24">
        <f>($I$105+40*($N$7-0.5))/($I$105+$I$153)</f>
        <v>0.82136925518117376</v>
      </c>
      <c r="E82" s="24">
        <f>($I$106+40*($N$7-0.5))/($I$106+$I$153)</f>
        <v>0.81982180099087265</v>
      </c>
      <c r="F82" s="24">
        <f>($I$107+40*($N$7-0.5))/($I$107+$I$153)</f>
        <v>0.82796751642281419</v>
      </c>
      <c r="G82" s="24">
        <f>($I$108+40*($N$7-0.5))/($I$108+$I$153)</f>
        <v>0.80476405062262824</v>
      </c>
      <c r="H82" s="24">
        <f>($I$109+40*($N$7-0.5))/($I$109+$I$153)</f>
        <v>0.80709177577048419</v>
      </c>
      <c r="I82" s="24">
        <f>($I$110+40*($N$8-0.5))/($I$110+$I$153)</f>
        <v>0.78118971523996483</v>
      </c>
      <c r="J82" s="24">
        <f>($I$111+40*($N$8-0.5))/($I$111+$I$153)</f>
        <v>0.78401520760850807</v>
      </c>
      <c r="K82" s="24">
        <f>($I$112+40*($N$8-0.5))/($I$112+$I$153)</f>
        <v>0.78775365539570263</v>
      </c>
      <c r="L82" s="24">
        <f>($I$113+40*($N$8-0.5))/($I$113+$I$153)</f>
        <v>0.78971476537629515</v>
      </c>
      <c r="M82" s="24">
        <f>($I$114+40*($N$9-0.5))/($I$114+$I$153)</f>
        <v>0.649713357488367</v>
      </c>
      <c r="N82" s="24">
        <f>($I$115+40*($N$9-0.5))/($I$115+$I$153)</f>
        <v>0.7332102510600994</v>
      </c>
      <c r="O82" s="24">
        <f>($I$116+40*($N$9-0.5))/($I$116+$I$153)</f>
        <v>0.71695434416085901</v>
      </c>
      <c r="P82" s="24">
        <f>($I$117+40*($N$9-0.5))/($I$117+$I$153)</f>
        <v>0.71552222114334585</v>
      </c>
      <c r="Q82" s="24">
        <f>($I$118+40*($N$10-0.5))/($I$118+$I$153)</f>
        <v>0.68911047056295305</v>
      </c>
      <c r="R82" s="24">
        <f>($I$119+40*($N$10-0.5))/($I$119+$I$153)</f>
        <v>0.71161292021792166</v>
      </c>
      <c r="S82" s="24">
        <f>($I$120+40*($N$10-0.5))/($I$120+$I$153)</f>
        <v>0.70331509991277852</v>
      </c>
      <c r="T82" s="24">
        <f>($I$121+40*($N$10-0.5))/($I$121+$I$153)</f>
        <v>0.70045889786419668</v>
      </c>
      <c r="U82" s="24">
        <f>($I$122+40*($N$11-0.5))/($I$122+$I$153)</f>
        <v>0.71689638774452014</v>
      </c>
      <c r="V82" s="24">
        <f>($I$123+40*($N$11-0.5))/($I$123+$I$153)</f>
        <v>0.73319735694796484</v>
      </c>
      <c r="W82" s="24">
        <f>($I$124+40*($N$11-0.5))/($I$124+$I$153)</f>
        <v>0.72110326634154842</v>
      </c>
      <c r="X82" s="24">
        <f>($I$125+40*($N$11-0.5))/($I$125+$I$153)</f>
        <v>0.7189239060484669</v>
      </c>
      <c r="Y82" s="24">
        <f>($I$126+40*($N$12-0.5))/($I$126+$I$153)</f>
        <v>0.68196852407248609</v>
      </c>
      <c r="Z82" s="24">
        <f>($I$127+40*($N$12-0.5))/($I$127+$I$153)</f>
        <v>0.69493716108395609</v>
      </c>
      <c r="AA82" s="24">
        <f>($I$128+40*($N$12-0.5))/($I$128+$I$153)</f>
        <v>0.6855854691402079</v>
      </c>
      <c r="AB82" s="24">
        <f>($I$129+40*($N$12-0.5))/($I$129+$I$153)</f>
        <v>0.71264485431458913</v>
      </c>
      <c r="AC82" s="24">
        <f>($I$130+40*($N$13-0.5))/($I$130+$I$153)</f>
        <v>0.72578562355481102</v>
      </c>
      <c r="AD82" s="24">
        <f>($I$131+40*($N$13-0.5))/($I$131+$I$153)</f>
        <v>0.71970129748399014</v>
      </c>
      <c r="AE82" s="24">
        <f>($I$132+40*($N$13-0.5))/($I$132+$I$153)</f>
        <v>0.73325251942618408</v>
      </c>
      <c r="AF82" s="24">
        <f>($I$133+40*($N$13-0.5))/($I$133+$I$153)</f>
        <v>0.71658634119467679</v>
      </c>
      <c r="AG82" s="24">
        <f>($I$134+40*($N$14-0.5))/($I$134+$I$153)</f>
        <v>0.81334985966802686</v>
      </c>
      <c r="AH82" s="24">
        <f>($I$135+40*($N$14-0.5))/($I$135+$I$153)</f>
        <v>0.80419162213864681</v>
      </c>
      <c r="AI82" s="24">
        <f>($I$136+40*($N$14-0.5))/($I$136+$I$153)</f>
        <v>0.80051839154878623</v>
      </c>
      <c r="AJ82" s="24">
        <f>($I$137+40*($N$14-0.5))/($I$137+$I$153)</f>
        <v>0.80204782663867757</v>
      </c>
      <c r="AK82" s="24">
        <f>($I$138+40*($N$15-0.5))/($I$138+$I$153)</f>
        <v>0.72343694681714754</v>
      </c>
      <c r="AL82" s="24">
        <f>($I$139+40*($N$15-0.5))/($I$139+$I$153)</f>
        <v>0.71875234665580412</v>
      </c>
      <c r="AM82" s="24">
        <f>($I$140+40*($N$15-0.5))/($I$140+$I$153)</f>
        <v>0.73034077531615693</v>
      </c>
      <c r="AN82" s="24">
        <f>($I$141+40*($N$15-0.5))/($I$141+$I$153)</f>
        <v>0.71962922917106664</v>
      </c>
      <c r="AO82" s="24">
        <f>($I$142+40*($N$16-0.5))/($I$142+$I$153)</f>
        <v>0.68922645397084392</v>
      </c>
      <c r="AP82" s="24">
        <f>($I$143+40*($N$16-0.5))/($I$143+$I$153)</f>
        <v>0.68544266782859387</v>
      </c>
      <c r="AQ82" s="24">
        <f>($I$144+40*($N$16-0.5))/($I$144+$I$153)</f>
        <v>0.69544034754984385</v>
      </c>
      <c r="AR82" s="24">
        <f>($I$145+40*($N$16-0.5))/($I$145+$I$153)</f>
        <v>0.69063125181455975</v>
      </c>
      <c r="AS82" s="24">
        <f>($I$146+40*($N$17-0.5))/($I$146+$I$153)</f>
        <v>0.66313156598778034</v>
      </c>
      <c r="AT82" s="24">
        <f>($I$147+40*($N$17-0.5))/($I$147+$I$153)</f>
        <v>0.67402313974361705</v>
      </c>
      <c r="AU82" s="24">
        <f>($I$148+40*($N$17-0.5))/($I$148+$I$153)</f>
        <v>0.67155709369262695</v>
      </c>
      <c r="AV82" s="24">
        <f>($I$149+40*($N$17-0.5))/($I$149+$I$153)</f>
        <v>0.63139466462545701</v>
      </c>
      <c r="AW82" s="24">
        <f>($I$150+40*($N$18-0.5))/($I$150+$I$153)</f>
        <v>0.65489142429778557</v>
      </c>
      <c r="AX82" s="24">
        <f>($I$151+40*($N$18-0.5))/($I$151+$I$153)</f>
        <v>0.66193586887542077</v>
      </c>
      <c r="AY82" s="24">
        <f>($I$152+40*($N$18-0.5))/($I$152+$I$153)</f>
        <v>0.65869105755480339</v>
      </c>
      <c r="AZ82" s="3">
        <v>0</v>
      </c>
      <c r="BA82" s="24">
        <f>($I$153+40*($N$19-0.5))/($I$153+$I$154)</f>
        <v>0.48891883121999363</v>
      </c>
      <c r="BB82" s="24">
        <f>($I$153+40*($N$7-0.5))/($I$153+$I$155)</f>
        <v>0.81619975110249954</v>
      </c>
      <c r="BC82" s="24">
        <f>($I$153+40*($N$19-0.5))/($I$153+$I$156)</f>
        <v>0.53578999025021168</v>
      </c>
      <c r="BD82" s="24">
        <f>($I$153+40*($O$19-0.5))/($I$153+$I$157)</f>
        <v>0.63829256535865619</v>
      </c>
      <c r="BE82" s="24">
        <f>($I$153+40*($O$19-0.5))/($I$153+$I$158)</f>
        <v>0.71894309667668121</v>
      </c>
      <c r="BF82" s="24">
        <f>($I$153+40*($O$19-0.5))/($I$153+$I$159)</f>
        <v>0.69498718498130285</v>
      </c>
      <c r="BG82" s="24">
        <f>($I$153+40*($O$19-0.5))/($I$153+$I$160)</f>
        <v>0.68644677607687576</v>
      </c>
      <c r="BH82" s="24">
        <f>($I$153+40*($P$19-0.5))/($I$153+$I$161)</f>
        <v>0.72935359949236667</v>
      </c>
      <c r="BI82" s="24">
        <f>($I$153+40*($P$19-0.5))/($I$153+$I$162)</f>
        <v>0.74872816546420351</v>
      </c>
      <c r="BJ82" s="24">
        <f>($I$153+40*($P$19-0.5))/($I$153+$I$163)</f>
        <v>0.756697621580526</v>
      </c>
      <c r="BK82" s="24">
        <f>($I$153+40*($P$19-0.5))/($I$153+$I$164)</f>
        <v>0.76468436655100902</v>
      </c>
      <c r="BL82" s="24">
        <f>($I$153+40*($Q$19-0.5))/($I$153+$I$165)</f>
        <v>0.78198464853708993</v>
      </c>
      <c r="BM82" s="24">
        <f>($I$153+40*($Q$19-0.5))/($I$153+$I$166)</f>
        <v>0.76182174104565203</v>
      </c>
      <c r="BN82" s="24">
        <f>($I$153+40*($Q$7-0.5))/($I$153+$I$167)</f>
        <v>0.9062936469865176</v>
      </c>
      <c r="BO82" s="24">
        <f>($I$153+40*($Q$19-0.5))/($I$153+$I$168)</f>
        <v>0.7772541976191456</v>
      </c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  <c r="IN82" s="40"/>
      <c r="IO82" s="40"/>
      <c r="IP82" s="40"/>
      <c r="IQ82" s="40"/>
      <c r="IR82" s="40"/>
      <c r="IS82" s="40"/>
      <c r="IT82" s="40"/>
      <c r="IU82" s="40"/>
      <c r="IV82" s="40"/>
      <c r="IW82" s="40"/>
      <c r="IX82" s="40"/>
      <c r="IY82" s="40"/>
      <c r="IZ82" s="40"/>
      <c r="JA82" s="40"/>
      <c r="JB82" s="40"/>
      <c r="JC82" s="40"/>
      <c r="JD82" s="40"/>
      <c r="JE82" s="40"/>
      <c r="JF82" s="40"/>
      <c r="JG82" s="40"/>
      <c r="JH82" s="40"/>
      <c r="JI82" s="40"/>
      <c r="JJ82" s="40"/>
      <c r="JK82" s="40"/>
      <c r="JL82" s="40"/>
      <c r="JM82" s="40"/>
      <c r="JN82" s="40"/>
      <c r="JO82" s="40"/>
      <c r="JP82" s="40"/>
      <c r="JQ82" s="40"/>
      <c r="JR82" s="40"/>
      <c r="JS82" s="40"/>
      <c r="JT82" s="40"/>
      <c r="JU82" s="40"/>
      <c r="JV82" s="40"/>
      <c r="JW82" s="40"/>
      <c r="JX82" s="40"/>
      <c r="JY82" s="40"/>
      <c r="JZ82" s="40"/>
      <c r="KA82" s="40"/>
      <c r="KB82" s="40"/>
      <c r="KC82" s="40"/>
      <c r="KD82" s="40"/>
      <c r="KE82" s="40"/>
      <c r="KF82" s="40"/>
      <c r="KG82" s="40"/>
      <c r="KH82" s="40"/>
      <c r="KI82" s="40"/>
      <c r="KJ82" s="40"/>
      <c r="KK82" s="40"/>
      <c r="KL82" s="40"/>
      <c r="KM82" s="40"/>
      <c r="KN82" s="40"/>
      <c r="KO82" s="40"/>
      <c r="KP82" s="40"/>
      <c r="KQ82" s="40"/>
      <c r="KR82" s="40"/>
      <c r="KS82" s="40"/>
      <c r="KT82" s="40"/>
      <c r="KU82" s="40"/>
      <c r="KV82" s="40"/>
      <c r="KW82" s="40"/>
      <c r="KX82" s="40"/>
      <c r="KY82" s="40"/>
      <c r="KZ82" s="40"/>
      <c r="LA82" s="40"/>
      <c r="LB82" s="40"/>
      <c r="LC82" s="40"/>
      <c r="LD82" s="40"/>
      <c r="LE82" s="40"/>
      <c r="LF82" s="40"/>
      <c r="LG82" s="40"/>
      <c r="LH82" s="40"/>
      <c r="LI82" s="40"/>
      <c r="LJ82" s="40"/>
      <c r="LK82" s="40"/>
      <c r="LL82" s="40"/>
      <c r="LM82" s="40"/>
      <c r="LN82" s="40"/>
      <c r="LO82" s="40"/>
      <c r="LP82" s="40"/>
      <c r="LQ82" s="40"/>
      <c r="LR82" s="40"/>
      <c r="LS82" s="40"/>
      <c r="LT82" s="40"/>
      <c r="LU82" s="40"/>
      <c r="LV82" s="40"/>
      <c r="LW82" s="40"/>
      <c r="LX82" s="40"/>
      <c r="LY82" s="40"/>
      <c r="LZ82" s="40"/>
      <c r="MA82" s="40"/>
      <c r="MB82" s="40"/>
      <c r="MC82" s="40"/>
      <c r="MD82" s="40"/>
      <c r="ME82" s="40"/>
      <c r="MF82" s="40"/>
      <c r="MG82" s="40"/>
      <c r="MH82" s="40"/>
      <c r="MI82" s="40"/>
      <c r="MJ82" s="40"/>
      <c r="MK82" s="40"/>
      <c r="ML82" s="40"/>
      <c r="MM82" s="40"/>
      <c r="MN82" s="40"/>
      <c r="MO82" s="40"/>
      <c r="MP82" s="40"/>
      <c r="MQ82" s="40"/>
      <c r="MR82" s="40"/>
      <c r="MS82" s="40"/>
      <c r="MT82" s="40"/>
    </row>
    <row r="83" spans="1:358" x14ac:dyDescent="0.25">
      <c r="A83" t="str">
        <f>$A$154</f>
        <v>New Mexico St</v>
      </c>
      <c r="B83" s="54"/>
      <c r="C83" s="3">
        <v>50</v>
      </c>
      <c r="D83" s="24">
        <f>($I$105+40*($N$7-0.5))/($I$105+$I$154)</f>
        <v>0.80683841591604788</v>
      </c>
      <c r="E83" s="24">
        <f>($I$106+40*($N$7-0.5))/($I$106+$I$154)</f>
        <v>0.80519493780812457</v>
      </c>
      <c r="F83" s="24">
        <f>($I$107+40*($N$7-0.5))/($I$107+$I$154)</f>
        <v>0.81385177494767214</v>
      </c>
      <c r="G83" s="24">
        <f>($I$108+40*($N$7-0.5))/($I$108+$I$154)</f>
        <v>0.78922906761987888</v>
      </c>
      <c r="H83" s="24">
        <f>($I$109+40*($N$8-0.5))/($I$109+$I$154)</f>
        <v>0.76852924375646148</v>
      </c>
      <c r="I83" s="24">
        <f>($I$110+40*($N$8-0.5))/($I$110+$I$154)</f>
        <v>0.76613180572532269</v>
      </c>
      <c r="J83" s="24">
        <f>($I$111+40*($N$8-0.5))/($I$111+$I$154)</f>
        <v>0.76909426682886717</v>
      </c>
      <c r="K83" s="24">
        <f>($I$112+40*($N$8-0.5))/($I$112+$I$154)</f>
        <v>0.77301620763883339</v>
      </c>
      <c r="L83" s="24">
        <f>($I$113+40*($N$9-0.5))/($I$113+$I$154)</f>
        <v>0.71204720562972978</v>
      </c>
      <c r="M83" s="59">
        <f>($I$114+40*($N$9-0.5))/($I$114+$I$154)</f>
        <v>0.6344216325621872</v>
      </c>
      <c r="N83" s="24">
        <f>($I$115+40*($N$9-0.5))/($I$115+$I$154)</f>
        <v>0.71999266557095787</v>
      </c>
      <c r="O83" s="24">
        <f>($I$116+40*($N$9-0.5))/($I$116+$I$154)</f>
        <v>0.70325733699833304</v>
      </c>
      <c r="P83" s="24">
        <f>($I$117+40*($N$10-0.5))/($I$117+$I$154)</f>
        <v>0.69618985232017871</v>
      </c>
      <c r="Q83" s="24">
        <f>($I$118+40*($N$10-0.5))/($I$118+$I$154)</f>
        <v>0.67495534722216255</v>
      </c>
      <c r="R83" s="24">
        <f>($I$119+40*($N$10-0.5))/($I$119+$I$154)</f>
        <v>0.69803339702487577</v>
      </c>
      <c r="S83" s="24">
        <f>($I$120+40*($N$10-0.5))/($I$120+$I$154)</f>
        <v>0.68951532861983478</v>
      </c>
      <c r="T83" s="24">
        <f>($I$121+40*($N$11-0.5))/($I$121+$I$154)</f>
        <v>0.70341976800749151</v>
      </c>
      <c r="U83" s="24">
        <f>($I$122+40*($N$11-0.5))/($I$122+$I$154)</f>
        <v>0.70266108031808483</v>
      </c>
      <c r="V83" s="24">
        <f>($I$123+40*($N$11-0.5))/($I$123+$I$154)</f>
        <v>0.7194609578638943</v>
      </c>
      <c r="W83" s="24">
        <f>($I$124+40*($N$11-0.5))/($I$124+$I$154)</f>
        <v>0.70699303595881724</v>
      </c>
      <c r="X83" s="24">
        <f>($I$125+40*($N$12-0.5))/($I$125+$I$154)</f>
        <v>0.67937084812445547</v>
      </c>
      <c r="Y83" s="24">
        <f>($I$126+40*($N$12-0.5))/($I$126+$I$154)</f>
        <v>0.66804693769336487</v>
      </c>
      <c r="Z83" s="24">
        <f>($I$127+40*($N$12-0.5))/($I$127+$I$154)</f>
        <v>0.68131798592276172</v>
      </c>
      <c r="AA83" s="24">
        <f>($I$128+40*($N$12-0.5))/($I$128+$I$154)</f>
        <v>0.67174600279132346</v>
      </c>
      <c r="AB83" s="24">
        <f>($I$129+40*($N$13-0.5))/($I$129+$I$154)</f>
        <v>0.72640249203247476</v>
      </c>
      <c r="AC83" s="24">
        <f>($I$130+40*($N$13-0.5))/($I$130+$I$154)</f>
        <v>0.7116489570503336</v>
      </c>
      <c r="AD83" s="24">
        <f>($I$131+40*($N$13-0.5))/($I$131+$I$154)</f>
        <v>0.70537829216879411</v>
      </c>
      <c r="AE83" s="24">
        <f>($I$132+40*($N$13-0.5))/($I$132+$I$154)</f>
        <v>0.7193519457398353</v>
      </c>
      <c r="AF83" s="24">
        <f>($I$133+40*($N$14-0.5))/($I$133+$I$154)</f>
        <v>0.78033846221516778</v>
      </c>
      <c r="AG83" s="24">
        <f>($I$134+40*($N$14-0.5))/($I$134+$I$154)</f>
        <v>0.79832684892039685</v>
      </c>
      <c r="AH83" s="24">
        <f>($I$135+40*($N$14-0.5))/($I$135+$I$154)</f>
        <v>0.7886230544132331</v>
      </c>
      <c r="AI83" s="24">
        <f>($I$136+40*($N$14-0.5))/($I$136+$I$154)</f>
        <v>0.7847359449330038</v>
      </c>
      <c r="AJ83" s="24">
        <f>($I$137+40*($N$15-0.5))/($I$137+$I$154)</f>
        <v>0.71507810659903259</v>
      </c>
      <c r="AK83" s="24">
        <f>($I$138+40*($N$15-0.5))/($I$138+$I$154)</f>
        <v>0.70897834669158033</v>
      </c>
      <c r="AL83" s="24">
        <f>($I$139+40*($N$15-0.5))/($I$139+$I$154)</f>
        <v>0.70414899360582295</v>
      </c>
      <c r="AM83" s="24">
        <f>($I$140+40*($N$15-0.5))/($I$140+$I$154)</f>
        <v>0.71610146488869275</v>
      </c>
      <c r="AN83" s="24">
        <f>($I$141+40*($N$16-0.5))/($I$141+$I$154)</f>
        <v>0.67062022166382995</v>
      </c>
      <c r="AO83" s="24">
        <f>($I$142+40*($N$16-0.5))/($I$142+$I$154)</f>
        <v>0.67547138901195081</v>
      </c>
      <c r="AP83" s="24">
        <f>($I$143+40*($N$16-0.5))/($I$143+$I$154)</f>
        <v>0.67159992670806823</v>
      </c>
      <c r="AQ83" s="24">
        <f>($I$144+40*($N$16-0.5))/($I$144+$I$154)</f>
        <v>0.68183335167439796</v>
      </c>
      <c r="AR83" s="24">
        <f>($I$145+40*($N$17-0.5))/($I$145+$I$154)</f>
        <v>0.6624341888419315</v>
      </c>
      <c r="AS83" s="24">
        <f>($I$146+40*($N$17-0.5))/($I$146+$I$154)</f>
        <v>0.64944909209378154</v>
      </c>
      <c r="AT83" s="24">
        <f>($I$147+40*($N$17-0.5))/($I$147+$I$154)</f>
        <v>0.66055660036597319</v>
      </c>
      <c r="AU83" s="24">
        <f>($I$148+40*($N$17-0.5))/($I$148+$I$154)</f>
        <v>0.65804036436587121</v>
      </c>
      <c r="AV83" s="24">
        <f>($I$149+40*($N$18-0.5))/($I$149+$I$154)</f>
        <v>0.64452748899455281</v>
      </c>
      <c r="AW83" s="24">
        <f>($I$150+40*($N$18-0.5))/($I$150+$I$154)</f>
        <v>0.63994436621691253</v>
      </c>
      <c r="AX83" s="24">
        <f>($I$151+40*($N$18-0.5))/($I$151+$I$154)</f>
        <v>0.64712951739854607</v>
      </c>
      <c r="AY83" s="24">
        <f>($I$152+40*($N$18-0.5))/($I$152+$I$154)</f>
        <v>0.64381906193791383</v>
      </c>
      <c r="AZ83" s="24">
        <f>($I$153+40*($N$19-0.5))/($I$153+$I$154)</f>
        <v>0.48891883121999363</v>
      </c>
      <c r="BA83" s="3">
        <v>0</v>
      </c>
      <c r="BB83" s="24">
        <f>($I$154+40*($N$7-0.5))/($I$154+$I$155)</f>
        <v>0.82048362709648059</v>
      </c>
      <c r="BC83" s="24">
        <f>($I$154+40*($N$19-0.5))/($I$154+$I$156)</f>
        <v>0.54679692134462421</v>
      </c>
      <c r="BD83" s="24">
        <f>($I$154+40*($O$19-0.5))/($I$154+$I$157)</f>
        <v>0.64599241212761571</v>
      </c>
      <c r="BE83" s="24">
        <f>($I$154+40*($O$19-0.5))/($I$154+$I$158)</f>
        <v>0.72566399089764577</v>
      </c>
      <c r="BF83" s="24">
        <f>($I$154+40*($O$19-0.5))/($I$154+$I$159)</f>
        <v>0.7020435226253442</v>
      </c>
      <c r="BG83" s="24">
        <f>($I$154+40*($O$19-0.5))/($I$154+$I$160)</f>
        <v>0.69361358942976792</v>
      </c>
      <c r="BH83" s="24">
        <f>($I$154+40*($P$19-0.5))/($I$154+$I$161)</f>
        <v>0.73576176356944301</v>
      </c>
      <c r="BI83" s="24">
        <f>($I$154+40*($P$19-0.5))/($I$154+$I$162)</f>
        <v>0.75483179475816364</v>
      </c>
      <c r="BJ83" s="24">
        <f>($I$154+40*($P$19-0.5))/($I$154+$I$163)</f>
        <v>0.76266902781827861</v>
      </c>
      <c r="BK83" s="24">
        <f>($I$154+40*($P$19-0.5))/($I$154+$I$164)</f>
        <v>0.77051919912222067</v>
      </c>
      <c r="BL83" s="24">
        <f>($I$154+40*($Q$19-0.5))/($I$154+$I$165)</f>
        <v>0.78742409296650839</v>
      </c>
      <c r="BM83" s="24">
        <f>($I$154+40*($Q$19-0.5))/($I$154+$I$166)</f>
        <v>0.7676147499711119</v>
      </c>
      <c r="BN83" s="24">
        <f>($I$154+40*($Q$7-0.5))/($I$154+$I$167)</f>
        <v>0.90871253873461244</v>
      </c>
      <c r="BO83" s="24">
        <f>($I$154+40*($Q$19-0.5))/($I$154+$I$168)</f>
        <v>0.78277888106426752</v>
      </c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  <c r="IN83" s="40"/>
      <c r="IO83" s="40"/>
      <c r="IP83" s="40"/>
      <c r="IQ83" s="40"/>
      <c r="IR83" s="40"/>
      <c r="IS83" s="40"/>
      <c r="IT83" s="40"/>
      <c r="IU83" s="40"/>
      <c r="IV83" s="40"/>
      <c r="IW83" s="40"/>
      <c r="IX83" s="40"/>
      <c r="IY83" s="40"/>
      <c r="IZ83" s="40"/>
      <c r="JA83" s="40"/>
      <c r="JB83" s="40"/>
      <c r="JC83" s="40"/>
      <c r="JD83" s="40"/>
      <c r="JE83" s="40"/>
      <c r="JF83" s="40"/>
      <c r="JG83" s="40"/>
      <c r="JH83" s="40"/>
      <c r="JI83" s="40"/>
      <c r="JJ83" s="40"/>
      <c r="JK83" s="40"/>
      <c r="JL83" s="40"/>
      <c r="JM83" s="40"/>
      <c r="JN83" s="40"/>
      <c r="JO83" s="40"/>
      <c r="JP83" s="40"/>
      <c r="JQ83" s="40"/>
      <c r="JR83" s="40"/>
      <c r="JS83" s="40"/>
      <c r="JT83" s="40"/>
      <c r="JU83" s="40"/>
      <c r="JV83" s="40"/>
      <c r="JW83" s="40"/>
      <c r="JX83" s="40"/>
      <c r="JY83" s="40"/>
      <c r="JZ83" s="40"/>
      <c r="KA83" s="40"/>
      <c r="KB83" s="40"/>
      <c r="KC83" s="40"/>
      <c r="KD83" s="40"/>
      <c r="KE83" s="40"/>
      <c r="KF83" s="40"/>
      <c r="KG83" s="40"/>
      <c r="KH83" s="40"/>
      <c r="KI83" s="40"/>
      <c r="KJ83" s="40"/>
      <c r="KK83" s="40"/>
      <c r="KL83" s="40"/>
      <c r="KM83" s="40"/>
      <c r="KN83" s="40"/>
      <c r="KO83" s="40"/>
      <c r="KP83" s="40"/>
      <c r="KQ83" s="40"/>
      <c r="KR83" s="40"/>
      <c r="KS83" s="40"/>
      <c r="KT83" s="40"/>
      <c r="KU83" s="40"/>
      <c r="KV83" s="40"/>
      <c r="KW83" s="40"/>
      <c r="KX83" s="40"/>
      <c r="KY83" s="40"/>
      <c r="KZ83" s="40"/>
      <c r="LA83" s="40"/>
      <c r="LB83" s="40"/>
      <c r="LC83" s="40"/>
      <c r="LD83" s="40"/>
      <c r="LE83" s="40"/>
      <c r="LF83" s="40"/>
      <c r="LG83" s="40"/>
      <c r="LH83" s="40"/>
      <c r="LI83" s="40"/>
      <c r="LJ83" s="40"/>
      <c r="LK83" s="40"/>
      <c r="LL83" s="40"/>
      <c r="LM83" s="40"/>
      <c r="LN83" s="40"/>
      <c r="LO83" s="40"/>
      <c r="LP83" s="40"/>
      <c r="LQ83" s="40"/>
      <c r="LR83" s="40"/>
      <c r="LS83" s="40"/>
      <c r="LT83" s="40"/>
      <c r="LU83" s="40"/>
      <c r="LV83" s="40"/>
      <c r="LW83" s="40"/>
      <c r="LX83" s="40"/>
      <c r="LY83" s="40"/>
      <c r="LZ83" s="40"/>
      <c r="MA83" s="40"/>
      <c r="MB83" s="40"/>
      <c r="MC83" s="40"/>
      <c r="MD83" s="40"/>
      <c r="ME83" s="40"/>
      <c r="MF83" s="40"/>
      <c r="MG83" s="40"/>
      <c r="MH83" s="40"/>
      <c r="MI83" s="40"/>
      <c r="MJ83" s="40"/>
      <c r="MK83" s="40"/>
      <c r="ML83" s="40"/>
      <c r="MM83" s="40"/>
      <c r="MN83" s="40"/>
      <c r="MO83" s="40"/>
      <c r="MP83" s="40"/>
      <c r="MQ83" s="40"/>
      <c r="MR83" s="40"/>
      <c r="MS83" s="40"/>
      <c r="MT83" s="40"/>
    </row>
    <row r="84" spans="1:358" x14ac:dyDescent="0.25">
      <c r="A84" t="str">
        <f>$A$155</f>
        <v>Manhattan</v>
      </c>
      <c r="B84" s="54"/>
      <c r="C84" s="3">
        <v>51</v>
      </c>
      <c r="D84" s="24">
        <f>($I105+40*($N7-0.5))/($I105+$I155)</f>
        <v>0.85551960407886629</v>
      </c>
      <c r="E84" s="24">
        <f>($I$106+40*($N$7-0.5))/($I$106+$I$155)</f>
        <v>0.85421548127106073</v>
      </c>
      <c r="F84" s="24">
        <f>($I$107+40*($N$7-0.5))/($I$107+$I$155)</f>
        <v>0.86106978669471168</v>
      </c>
      <c r="G84" s="24">
        <f>($I$108+40*($N$7-0.5))/($I$108+$I$155)</f>
        <v>0.84147626930521924</v>
      </c>
      <c r="H84" s="24">
        <f>($I$109+40*($N$7-0.5))/($I$109+$I$155)</f>
        <v>0.84345143417903456</v>
      </c>
      <c r="I84" s="24">
        <f>($I$110+40*($N$7-0.5))/($I$110+$I$155)</f>
        <v>0.84172282341788163</v>
      </c>
      <c r="J84" s="24">
        <f>($I$111+40*($N$7-0.5))/($I$111+$I$155)</f>
        <v>0.84385848865512847</v>
      </c>
      <c r="K84" s="24">
        <f>($I$112+40*($N$7-0.5))/($I$112+$I$155)</f>
        <v>0.84668036100960531</v>
      </c>
      <c r="L84" s="24">
        <f>($I$113+40*($N$7-0.5))/($I$113+$I$155)</f>
        <v>0.84815890192207721</v>
      </c>
      <c r="M84" s="24">
        <f>($I$114+40*($N$7-0.5))/($I$114+$I$155)</f>
        <v>0.80387342169685605</v>
      </c>
      <c r="N84" s="24">
        <f>($I$115+40*($N$7-0.5))/($I$115+$I$155)</f>
        <v>0.85260652991885311</v>
      </c>
      <c r="O84" s="24">
        <f>($I$116+40*($N$7-0.5))/($I$116+$I$155)</f>
        <v>0.84322043174549932</v>
      </c>
      <c r="P84" s="24">
        <f>($I$117+40*($N$7-0.5))/($I$117+$I$155)</f>
        <v>0.8423911974991023</v>
      </c>
      <c r="Q84" s="24">
        <f>($I$118+40*($N$7-0.5))/($I$118+$I$155)</f>
        <v>0.83059597949830499</v>
      </c>
      <c r="R84" s="24">
        <f>($I$119+40*($N$7-0.5))/($I$119+$I$155)</f>
        <v>0.84341012102462243</v>
      </c>
      <c r="S84" s="24">
        <f>($I$120+40*($N$7-0.5))/($I$120+$I$155)</f>
        <v>0.83869538395750554</v>
      </c>
      <c r="T84" s="24">
        <f>($I$121+40*($N$7-0.5))/($I$121+$I$155)</f>
        <v>0.83706968562022532</v>
      </c>
      <c r="U84" s="24">
        <f>($I$122+40*($N$7-0.5))/($I$122+$I$155)</f>
        <v>0.83662445394230056</v>
      </c>
      <c r="V84" s="24">
        <f>($I$123+40*($N$7-0.5))/($I$123+$I$155)</f>
        <v>0.8464472202852692</v>
      </c>
      <c r="W84" s="24">
        <f>($I$124+40*($N$7-0.5))/($I$124+$I$155)</f>
        <v>0.83916455587686811</v>
      </c>
      <c r="X84" s="24">
        <f>($I$125+40*($N$7-0.5))/($I$125+$I$155)</f>
        <v>0.83784910694108361</v>
      </c>
      <c r="Y84" s="24">
        <f>($I$126+40*($N$7-0.5))/($I$126+$I$155)</f>
        <v>0.83171984762715045</v>
      </c>
      <c r="Z84" s="24">
        <f>($I$127+40*($N$7-0.5))/($I$127+$I$155)</f>
        <v>0.83890007574120995</v>
      </c>
      <c r="AA84" s="24">
        <f>($I$128+40*($N$7-0.5))/($I$128+$I$155)</f>
        <v>0.83372525894957838</v>
      </c>
      <c r="AB84" s="24">
        <f>($I$129+40*($N$7-0.5))/($I$129+$I$155)</f>
        <v>0.84865855203233975</v>
      </c>
      <c r="AC84" s="24">
        <f>($I$130+40*($N$7-0.5))/($I$130+$I$155)</f>
        <v>0.83995212785566331</v>
      </c>
      <c r="AD84" s="24">
        <f>($I$131+40*($N$7-0.5))/($I$131+$I$155)</f>
        <v>0.83623359477768477</v>
      </c>
      <c r="AE84" s="24">
        <f>($I$132+40*($N$7-0.5))/($I$132+$I$155)</f>
        <v>0.84450526668304726</v>
      </c>
      <c r="AF84" s="24">
        <f>($I$133+40*($N$7-0.5))/($I$133+$I$155)</f>
        <v>0.83432689340167343</v>
      </c>
      <c r="AG84" s="24">
        <f>($I$134+40*($N$7-0.5))/($I$134+$I$155)</f>
        <v>0.84875102877762532</v>
      </c>
      <c r="AH84" s="24">
        <f>($I$135+40*($N$7-0.5))/($I$135+$I$155)</f>
        <v>0.8409902123870836</v>
      </c>
      <c r="AI84" s="24">
        <f>($I$136+40*($N$7-0.5))/($I$136+$I$155)</f>
        <v>0.8378681244250108</v>
      </c>
      <c r="AJ84" s="24">
        <f>($I$137+40*($N$7-0.5))/($I$137+$I$155)</f>
        <v>0.83916873003047021</v>
      </c>
      <c r="AK84" s="24">
        <f>($I$138+40*($N$7-0.5))/($I$138+$I$155)</f>
        <v>0.83548902110585321</v>
      </c>
      <c r="AL84" s="24">
        <f>($I$139+40*($N$7-0.5))/($I$139+$I$155)</f>
        <v>0.83256816610794138</v>
      </c>
      <c r="AM84" s="24">
        <f>($I$140+40*($N$7-0.5))/($I$140+$I$155)</f>
        <v>0.83978503939927152</v>
      </c>
      <c r="AN84" s="24">
        <f>($I$141+40*($N$7-0.5))/($I$141+$I$155)</f>
        <v>0.83311526022358573</v>
      </c>
      <c r="AO84" s="24">
        <f>($I$142+40*($N$7-0.5))/($I$142+$I$155)</f>
        <v>0.83574177053421317</v>
      </c>
      <c r="AP84" s="24">
        <f>($I$143+40*($N$7-0.5))/($I$143+$I$155)</f>
        <v>0.83364612477739664</v>
      </c>
      <c r="AQ84" s="24">
        <f>($I$144+40*($N$7-0.5))/($I$144+$I$155)</f>
        <v>0.83917810012508409</v>
      </c>
      <c r="AR84" s="24">
        <f>($I$145+40*($N$7-0.5))/($I$145+$I$155)</f>
        <v>0.83651920236922539</v>
      </c>
      <c r="AS84" s="24">
        <f>($I$146+40*($N$7-0.5))/($I$146+$I$155)</f>
        <v>0.82978359600677276</v>
      </c>
      <c r="AT84" s="24">
        <f>($I$147+40*($N$7-0.5))/($I$147+$I$155)</f>
        <v>0.8355474517102387</v>
      </c>
      <c r="AU84" s="24">
        <f>($I$148+40*($N$7-0.5))/($I$148+$I$155)</f>
        <v>0.83424400914503793</v>
      </c>
      <c r="AV84" s="24">
        <f>($I$149+40*($N$7-0.5))/($I$149+$I$155)</f>
        <v>0.81288373756171883</v>
      </c>
      <c r="AW84" s="24">
        <f>($I$150+40*($N$7-0.5))/($I$150+$I$155)</f>
        <v>0.810280101977504</v>
      </c>
      <c r="AX84" s="24">
        <f>($I$151+40*($N$7-0.5))/($I$151+$I$155)</f>
        <v>0.81435959579324491</v>
      </c>
      <c r="AY84" s="24">
        <f>($I$152+40*($N$7-0.5))/($I$152+$I$155)</f>
        <v>0.81248162862650997</v>
      </c>
      <c r="AZ84" s="24">
        <f>($I$153+40*($N$7-0.5))/($I$153+$I$155)</f>
        <v>0.81619975110249954</v>
      </c>
      <c r="BA84" s="24">
        <f>($I$154+40*($N$7-0.5))/($I$154+$I$155)</f>
        <v>0.82048362709648059</v>
      </c>
      <c r="BB84" s="3">
        <v>0</v>
      </c>
      <c r="BC84" s="24">
        <f>($I$155+40*($N$19-0.5))/($I$155+$I$156)</f>
        <v>0.50937926395382827</v>
      </c>
      <c r="BD84" s="24">
        <f>($I$155+40*($O$19-0.5))/($I$155+$I$157)</f>
        <v>0.61997167712767809</v>
      </c>
      <c r="BE84" s="24">
        <f>($I$155+40*($O$19-0.5))/($I$155+$I$158)</f>
        <v>0.70280521697474585</v>
      </c>
      <c r="BF84" s="24">
        <f>($I$155+40*($O$19-0.5))/($I$155+$I$159)</f>
        <v>0.67808968461860653</v>
      </c>
      <c r="BG84" s="24">
        <f>($I$155+40*($O$19-0.5))/($I$155+$I$160)</f>
        <v>0.66930127572569287</v>
      </c>
      <c r="BH84" s="24">
        <f>($I$155+40*($P$19-0.5))/($I$155+$I$161)</f>
        <v>0.71397925743600976</v>
      </c>
      <c r="BI84" s="24">
        <f>($I$155+40*($P$19-0.5))/($I$155+$I$162)</f>
        <v>0.7340531023426341</v>
      </c>
      <c r="BJ84" s="24">
        <f>($I$155+40*($P$19-0.5))/($I$155+$I$163)</f>
        <v>0.74232781971655815</v>
      </c>
      <c r="BK84" s="24">
        <f>($I$155+40*($P$19-0.5))/($I$155+$I$164)</f>
        <v>0.75063082237072831</v>
      </c>
      <c r="BL84" s="24">
        <f>($I$155+40*($Q$19-0.5))/($I$155+$I$165)</f>
        <v>0.76887636229812995</v>
      </c>
      <c r="BM84" s="24">
        <f>($I$155+40*($Q$19-0.5))/($I$155+$I$166)</f>
        <v>0.74789199079010371</v>
      </c>
      <c r="BN84" s="24">
        <f>($I$155+40*($Q$7-0.5))/($I$155+$I$167)</f>
        <v>0.90044680217285533</v>
      </c>
      <c r="BO84" s="24">
        <f>($I$155+40*($Q$19-0.5))/($I$155+$I$168)</f>
        <v>0.76394734683653687</v>
      </c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  <c r="IN84" s="40"/>
      <c r="IO84" s="40"/>
      <c r="IP84" s="40"/>
      <c r="IQ84" s="40"/>
      <c r="IR84" s="40"/>
      <c r="IS84" s="40"/>
      <c r="IT84" s="40"/>
      <c r="IU84" s="40"/>
      <c r="IV84" s="40"/>
      <c r="IW84" s="40"/>
      <c r="IX84" s="40"/>
      <c r="IY84" s="40"/>
      <c r="IZ84" s="40"/>
      <c r="JA84" s="40"/>
      <c r="JB84" s="40"/>
      <c r="JC84" s="40"/>
      <c r="JD84" s="40"/>
      <c r="JE84" s="40"/>
      <c r="JF84" s="40"/>
      <c r="JG84" s="40"/>
      <c r="JH84" s="40"/>
      <c r="JI84" s="40"/>
      <c r="JJ84" s="40"/>
      <c r="JK84" s="40"/>
      <c r="JL84" s="40"/>
      <c r="JM84" s="40"/>
      <c r="JN84" s="40"/>
      <c r="JO84" s="40"/>
      <c r="JP84" s="40"/>
      <c r="JQ84" s="40"/>
      <c r="JR84" s="40"/>
      <c r="JS84" s="40"/>
      <c r="JT84" s="40"/>
      <c r="JU84" s="40"/>
      <c r="JV84" s="40"/>
      <c r="JW84" s="40"/>
      <c r="JX84" s="40"/>
      <c r="JY84" s="40"/>
      <c r="JZ84" s="40"/>
      <c r="KA84" s="40"/>
      <c r="KB84" s="40"/>
      <c r="KC84" s="40"/>
      <c r="KD84" s="40"/>
      <c r="KE84" s="40"/>
      <c r="KF84" s="40"/>
      <c r="KG84" s="40"/>
      <c r="KH84" s="40"/>
      <c r="KI84" s="40"/>
      <c r="KJ84" s="40"/>
      <c r="KK84" s="40"/>
      <c r="KL84" s="40"/>
      <c r="KM84" s="40"/>
      <c r="KN84" s="40"/>
      <c r="KO84" s="40"/>
      <c r="KP84" s="40"/>
      <c r="KQ84" s="40"/>
      <c r="KR84" s="40"/>
      <c r="KS84" s="40"/>
      <c r="KT84" s="40"/>
      <c r="KU84" s="40"/>
      <c r="KV84" s="40"/>
      <c r="KW84" s="40"/>
      <c r="KX84" s="40"/>
      <c r="KY84" s="40"/>
      <c r="KZ84" s="40"/>
      <c r="LA84" s="40"/>
      <c r="LB84" s="40"/>
      <c r="LC84" s="40"/>
      <c r="LD84" s="40"/>
      <c r="LE84" s="40"/>
      <c r="LF84" s="40"/>
      <c r="LG84" s="40"/>
      <c r="LH84" s="40"/>
      <c r="LI84" s="40"/>
      <c r="LJ84" s="40"/>
      <c r="LK84" s="40"/>
      <c r="LL84" s="40"/>
      <c r="LM84" s="40"/>
      <c r="LN84" s="40"/>
      <c r="LO84" s="40"/>
      <c r="LP84" s="40"/>
      <c r="LQ84" s="40"/>
      <c r="LR84" s="40"/>
      <c r="LS84" s="40"/>
      <c r="LT84" s="40"/>
      <c r="LU84" s="40"/>
      <c r="LV84" s="40"/>
      <c r="LW84" s="40"/>
      <c r="LX84" s="40"/>
      <c r="LY84" s="40"/>
      <c r="LZ84" s="40"/>
      <c r="MA84" s="40"/>
      <c r="MB84" s="40"/>
      <c r="MC84" s="40"/>
      <c r="MD84" s="40"/>
      <c r="ME84" s="40"/>
      <c r="MF84" s="40"/>
      <c r="MG84" s="40"/>
      <c r="MH84" s="40"/>
      <c r="MI84" s="40"/>
      <c r="MJ84" s="40"/>
      <c r="MK84" s="40"/>
      <c r="ML84" s="40"/>
      <c r="MM84" s="40"/>
      <c r="MN84" s="40"/>
      <c r="MO84" s="40"/>
      <c r="MP84" s="40"/>
      <c r="MQ84" s="40"/>
      <c r="MR84" s="40"/>
      <c r="MS84" s="40"/>
      <c r="MT84" s="40"/>
    </row>
    <row r="85" spans="1:358" x14ac:dyDescent="0.25">
      <c r="A85" t="str">
        <f>$A$156</f>
        <v>Delaware</v>
      </c>
      <c r="B85" s="54"/>
      <c r="C85" s="3">
        <v>52</v>
      </c>
      <c r="D85" s="24">
        <f>($I$105+40*($N$7-0.5))/($I$105+$I$156)</f>
        <v>0.8674104919395379</v>
      </c>
      <c r="E85" s="24">
        <f>($I$106+40*($N$7-0.5))/($I$106+$I$156)</f>
        <v>0.86619691330959903</v>
      </c>
      <c r="F85" s="24">
        <f>($I$107+40*($N$7-0.5))/($I$107+$I$156)</f>
        <v>0.87257192612691503</v>
      </c>
      <c r="G85" s="24">
        <f>($I$108+40*($N$7-0.5))/($I$108+$I$156)</f>
        <v>0.85432613733129137</v>
      </c>
      <c r="H85" s="24">
        <f>($I$109+40*($N$8-0.5))/($I$109+$I$156)</f>
        <v>0.83111722584096714</v>
      </c>
      <c r="I85" s="24">
        <f>($I$110+40*($N$8-0.5))/($I$110+$I$156)</f>
        <v>0.82922398885905191</v>
      </c>
      <c r="J85" s="24">
        <f>($I$111+40*($N$8-0.5))/($I$111+$I$156)</f>
        <v>0.83156295491789201</v>
      </c>
      <c r="K85" s="24">
        <f>($I$112+40*($N$8-0.5))/($I$112+$I$156)</f>
        <v>0.83465197519019774</v>
      </c>
      <c r="L85" s="24">
        <f>($I$113+40*($N$9-0.5))/($I$113+$I$156)</f>
        <v>0.76826615468581583</v>
      </c>
      <c r="M85" s="24">
        <f>($I$114+40*($N$9-0.5))/($I$114+$I$156)</f>
        <v>0.69939786331773013</v>
      </c>
      <c r="N85" s="24">
        <f>($I$115+40*($N$9-0.5))/($I$115+$I$156)</f>
        <v>0.77515022053331106</v>
      </c>
      <c r="O85" s="24">
        <f>($I$116+40*($N$9-0.5))/($I$116+$I$156)</f>
        <v>0.76061545021793475</v>
      </c>
      <c r="P85" s="24">
        <f>($I$117+40*($N$10-0.5))/($I$117+$I$156)</f>
        <v>0.75327642449514065</v>
      </c>
      <c r="Q85" s="24">
        <f>($I$118+40*($N$10-0.5))/($I$118+$I$156)</f>
        <v>0.73451035170863832</v>
      </c>
      <c r="R85" s="24">
        <f>($I$119+40*($N$10-0.5))/($I$119+$I$156)</f>
        <v>0.75489552084835709</v>
      </c>
      <c r="S85" s="24">
        <f>($I$120+40*($N$10-0.5))/($I$120+$I$156)</f>
        <v>0.74740101136227477</v>
      </c>
      <c r="T85" s="24">
        <f>($I$121+40*($N$11-0.5))/($I$121+$I$156)</f>
        <v>0.76307725278627203</v>
      </c>
      <c r="U85" s="24">
        <f>($I$122+40*($N$11-0.5))/($I$122+$I$156)</f>
        <v>0.76241963164296034</v>
      </c>
      <c r="V85" s="24">
        <f>($I$123+40*($N$11-0.5))/($I$123+$I$156)</f>
        <v>0.77691506554476775</v>
      </c>
      <c r="W85" s="24">
        <f>($I$124+40*($N$11-0.5))/($I$124+$I$156)</f>
        <v>0.76617068453414194</v>
      </c>
      <c r="X85" s="24">
        <f>($I$125+40*($N$12-0.5))/($I$125+$I$156)</f>
        <v>0.73670879086443841</v>
      </c>
      <c r="Y85" s="24">
        <f>($I$126+40*($N$12-0.5))/($I$126+$I$156)</f>
        <v>0.72659497159330244</v>
      </c>
      <c r="Z85" s="24">
        <f>($I$127+40*($N$12-0.5))/($I$127+$I$156)</f>
        <v>0.73844178242680725</v>
      </c>
      <c r="AA85" s="24">
        <f>($I$128+40*($N$12-0.5))/($I$128+$I$156)</f>
        <v>0.7299053929434729</v>
      </c>
      <c r="AB85" s="24">
        <f>($I$129+40*($N$113-0.5))/($I$129+$I$156)</f>
        <v>0.37690358359300252</v>
      </c>
      <c r="AC85" s="24">
        <f>($I$130+40*($N$13-0.5))/($I$130+$I$156)</f>
        <v>0.77092013697906803</v>
      </c>
      <c r="AD85" s="24">
        <f>($I$131+40*($N$13-0.5))/($I$131+$I$156)</f>
        <v>0.76551371591941242</v>
      </c>
      <c r="AE85" s="24">
        <f>($I$132+40*($N$13-0.5))/($I$132+$I$156)</f>
        <v>0.77753472837305149</v>
      </c>
      <c r="AF85" s="24">
        <f>($I$133+40*($N$14-0.5))/($I$133+$I$156)</f>
        <v>0.84765136424010912</v>
      </c>
      <c r="AG85" s="24">
        <f>($I$134+40*($N$14-0.5))/($I$134+$I$156)</f>
        <v>0.86110854004459192</v>
      </c>
      <c r="AH85" s="24">
        <f>($I$135+40*($N$14-0.5))/($I$135+$I$156)</f>
        <v>0.85387263801557522</v>
      </c>
      <c r="AI85" s="24">
        <f>($I$136+40*($N$14-0.5))/($I$136+$I$156)</f>
        <v>0.85095866438506074</v>
      </c>
      <c r="AJ85" s="24">
        <f>($I$137+40*($N$15-0.5))/($I$137+$I$156)</f>
        <v>0.774930924779343</v>
      </c>
      <c r="AK85" s="24">
        <f>($I$138+40*($N$15-0.5))/($I$138+$I$156)</f>
        <v>0.76969984703272842</v>
      </c>
      <c r="AL85" s="24">
        <f>($I$139+40*($N$15-0.5))/($I$139+$I$156)</f>
        <v>0.76554491432456495</v>
      </c>
      <c r="AM85" s="24">
        <f>($I$140+40*($N$15-0.5))/($I$140+$I$156)</f>
        <v>0.77580670813070018</v>
      </c>
      <c r="AN85" s="24">
        <f>($I$141+40*($N$16-0.5))/($I$141+$I$156)</f>
        <v>0.72889857647518475</v>
      </c>
      <c r="AO85" s="24">
        <f>($I$142+40*($N$16-0.5))/($I$142+$I$156)</f>
        <v>0.73323284761100582</v>
      </c>
      <c r="AP85" s="24">
        <f>($I$143+40*($N$16-0.5))/($I$143+$I$156)</f>
        <v>0.7297747869160911</v>
      </c>
      <c r="AQ85" s="24">
        <f>($I$144+40*($N$16-0.5))/($I$144+$I$156)</f>
        <v>0.73890017111997941</v>
      </c>
      <c r="AR85" s="24">
        <f>($I$145+40*($N$17-0.5))/($I$145+$I$156)</f>
        <v>0.71880846797343145</v>
      </c>
      <c r="AS85" s="24">
        <f>($I$146+40*($N$17-0.5))/($I$146+$I$156)</f>
        <v>0.70703285683593997</v>
      </c>
      <c r="AT85" s="24">
        <f>($I$147+40*($N$17-0.5))/($I$147+$I$156)</f>
        <v>0.71711053609857245</v>
      </c>
      <c r="AU85" s="24">
        <f>($I$148+40*($N$17-0.5))/($I$148+$I$156)</f>
        <v>0.71483254219818404</v>
      </c>
      <c r="AV85" s="24">
        <f>($I$149+40*($N$18-0.5))/($I$149+$I$156)</f>
        <v>0.70745128292643678</v>
      </c>
      <c r="AW85" s="24">
        <f>($I$150+40*($N$18-0.5))/($I$150+$I$156)</f>
        <v>0.70330598488973184</v>
      </c>
      <c r="AX85" s="24">
        <f>($I$151+40*($N$18-0.5))/($I$151+$I$156)</f>
        <v>0.70980009924230758</v>
      </c>
      <c r="AY85" s="24">
        <f>($I$152+40*($N$18-0.5))/($I$152+$I$156)</f>
        <v>0.70681121374682787</v>
      </c>
      <c r="AZ85" s="24">
        <f>($I$153+40*($N$19-0.5))/($I$153+$I$156)</f>
        <v>0.53578999025021168</v>
      </c>
      <c r="BA85" s="24">
        <f>($I$154+40*($N$19-0.5))/($I$154+$I$156)</f>
        <v>0.54679692134462421</v>
      </c>
      <c r="BB85" s="24">
        <f>($I$155+40*($N$19-0.5))/($I$155+$I$156)</f>
        <v>0.50937926395382827</v>
      </c>
      <c r="BC85" s="3">
        <v>0</v>
      </c>
      <c r="BD85" s="24">
        <f>($I$156+40*($O$19-0.5))/($I$156+$I$157)</f>
        <v>0.61351733444661383</v>
      </c>
      <c r="BE85" s="24">
        <f>($I$156+40*($O$19-0.5))/($I$156+$I$158)</f>
        <v>0.69707030206209653</v>
      </c>
      <c r="BF85" s="24">
        <f>($I$156+40*($O$19-0.5))/($I$156+$I$159)</f>
        <v>0.67210035472265062</v>
      </c>
      <c r="BG85" s="24">
        <f>($I$156+40*($O$19-0.5))/($I$156+$I$160)</f>
        <v>0.66322964061792733</v>
      </c>
      <c r="BH85" s="24">
        <f>($I$156+40*($P$19-0.5))/($I$156+$I$161)</f>
        <v>0.70851996950612095</v>
      </c>
      <c r="BI85" s="24">
        <f>($I$156+40*($P$20-0.5))/($I$156+$I$162)</f>
        <v>0.69620908243765611</v>
      </c>
      <c r="BJ85" s="24">
        <f>($I$156+40*($P$19-0.5))/($I$156+$I$163)</f>
        <v>0.73721046643758792</v>
      </c>
      <c r="BK85" s="24">
        <f>($I$156+40*($P$19-0.5))/($I$156+$I$164)</f>
        <v>0.74562185987256324</v>
      </c>
      <c r="BL85" s="24">
        <f>($I$156+40*($Q$19-0.5))/($I$156+$I$165)</f>
        <v>0.76420189570552255</v>
      </c>
      <c r="BM85" s="24">
        <f>($I$156+40*($Q$19-0.5))/($I$156+$I$166)</f>
        <v>0.74293501207616131</v>
      </c>
      <c r="BN85" s="24">
        <f>($I$156+40*($Q$7-0.5))/($I$156+$I$167)</f>
        <v>0.89835573334352914</v>
      </c>
      <c r="BO85" s="24">
        <f>($I$156+40*($Q$19-0.5))/($I$156+$I$168)</f>
        <v>0.75920441160052043</v>
      </c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  <c r="IN85" s="40"/>
      <c r="IO85" s="40"/>
      <c r="IP85" s="40"/>
      <c r="IQ85" s="40"/>
      <c r="IR85" s="40"/>
      <c r="IS85" s="40"/>
      <c r="IT85" s="40"/>
      <c r="IU85" s="40"/>
      <c r="IV85" s="40"/>
      <c r="IW85" s="40"/>
      <c r="IX85" s="40"/>
      <c r="IY85" s="40"/>
      <c r="IZ85" s="40"/>
      <c r="JA85" s="40"/>
      <c r="JB85" s="40"/>
      <c r="JC85" s="40"/>
      <c r="JD85" s="40"/>
      <c r="JE85" s="40"/>
      <c r="JF85" s="40"/>
      <c r="JG85" s="40"/>
      <c r="JH85" s="40"/>
      <c r="JI85" s="40"/>
      <c r="JJ85" s="40"/>
      <c r="JK85" s="40"/>
      <c r="JL85" s="40"/>
      <c r="JM85" s="40"/>
      <c r="JN85" s="40"/>
      <c r="JO85" s="40"/>
      <c r="JP85" s="40"/>
      <c r="JQ85" s="40"/>
      <c r="JR85" s="40"/>
      <c r="JS85" s="40"/>
      <c r="JT85" s="40"/>
      <c r="JU85" s="40"/>
      <c r="JV85" s="40"/>
      <c r="JW85" s="40"/>
      <c r="JX85" s="40"/>
      <c r="JY85" s="40"/>
      <c r="JZ85" s="40"/>
      <c r="KA85" s="40"/>
      <c r="KB85" s="40"/>
      <c r="KC85" s="40"/>
      <c r="KD85" s="40"/>
      <c r="KE85" s="40"/>
      <c r="KF85" s="40"/>
      <c r="KG85" s="40"/>
      <c r="KH85" s="40"/>
      <c r="KI85" s="40"/>
      <c r="KJ85" s="40"/>
      <c r="KK85" s="40"/>
      <c r="KL85" s="40"/>
      <c r="KM85" s="40"/>
      <c r="KN85" s="40"/>
      <c r="KO85" s="40"/>
      <c r="KP85" s="40"/>
      <c r="KQ85" s="40"/>
      <c r="KR85" s="40"/>
      <c r="KS85" s="40"/>
      <c r="KT85" s="40"/>
      <c r="KU85" s="40"/>
      <c r="KV85" s="40"/>
      <c r="KW85" s="40"/>
      <c r="KX85" s="40"/>
      <c r="KY85" s="40"/>
      <c r="KZ85" s="40"/>
      <c r="LA85" s="40"/>
      <c r="LB85" s="40"/>
      <c r="LC85" s="40"/>
      <c r="LD85" s="40"/>
      <c r="LE85" s="40"/>
      <c r="LF85" s="40"/>
      <c r="LG85" s="40"/>
      <c r="LH85" s="40"/>
      <c r="LI85" s="40"/>
      <c r="LJ85" s="40"/>
      <c r="LK85" s="40"/>
      <c r="LL85" s="40"/>
      <c r="LM85" s="40"/>
      <c r="LN85" s="40"/>
      <c r="LO85" s="40"/>
      <c r="LP85" s="40"/>
      <c r="LQ85" s="40"/>
      <c r="LR85" s="40"/>
      <c r="LS85" s="40"/>
      <c r="LT85" s="40"/>
      <c r="LU85" s="40"/>
      <c r="LV85" s="40"/>
      <c r="LW85" s="40"/>
      <c r="LX85" s="40"/>
      <c r="LY85" s="40"/>
      <c r="LZ85" s="40"/>
      <c r="MA85" s="40"/>
      <c r="MB85" s="40"/>
      <c r="MC85" s="40"/>
      <c r="MD85" s="40"/>
      <c r="ME85" s="40"/>
      <c r="MF85" s="40"/>
      <c r="MG85" s="40"/>
      <c r="MH85" s="40"/>
      <c r="MI85" s="40"/>
      <c r="MJ85" s="40"/>
      <c r="MK85" s="40"/>
      <c r="ML85" s="40"/>
      <c r="MM85" s="40"/>
      <c r="MN85" s="40"/>
      <c r="MO85" s="40"/>
      <c r="MP85" s="40"/>
      <c r="MQ85" s="40"/>
      <c r="MR85" s="40"/>
      <c r="MS85" s="40"/>
      <c r="MT85" s="40"/>
    </row>
    <row r="86" spans="1:358" x14ac:dyDescent="0.25">
      <c r="A86" t="str">
        <f>$A$157</f>
        <v>W. Michigan</v>
      </c>
      <c r="B86" s="54">
        <v>14</v>
      </c>
      <c r="C86" s="3">
        <v>53</v>
      </c>
      <c r="D86" s="24">
        <f>($I$105+40*($O$7-0.5))/($I$105+$I$157)</f>
        <v>0.79482543463186084</v>
      </c>
      <c r="E86" s="24">
        <f>($I$106+40*($O$7-0.5))/($I$106+$I$157)</f>
        <v>0.79310595568595277</v>
      </c>
      <c r="F86" s="24">
        <f>($I$107+40*($O$7-0.5))/($I$107+$I$157)</f>
        <v>0.802168017617649</v>
      </c>
      <c r="G86" s="59">
        <f>($I$108+40*($O$7-0.5))/($I$108+$I$157)</f>
        <v>0.77642440382547506</v>
      </c>
      <c r="H86" s="59">
        <f>($I$109+40*($O$8-0.5))/($I$109+$I$157)</f>
        <v>0.75620390573790952</v>
      </c>
      <c r="I86" s="24">
        <f>($I$110+40*($O$8-0.5))/($I$110+$I$157)</f>
        <v>0.75371971814571737</v>
      </c>
      <c r="J86" s="24">
        <f>($I$111+40*($O$8-0.5))/($I$111+$I$157)</f>
        <v>0.75678949393678263</v>
      </c>
      <c r="K86" s="24">
        <f>($I$112+40*($O$8-0.5))/($I$112+$I$157)</f>
        <v>0.76085544552853557</v>
      </c>
      <c r="L86" s="24">
        <f>($I$113+40*($O$9-0.5))/($I$113+$I$157)</f>
        <v>0.71113864330230125</v>
      </c>
      <c r="M86" s="24">
        <f>($I$114+40*($O$9-0.5))/($I$114+$I$157)</f>
        <v>0.6348030718342399</v>
      </c>
      <c r="N86" s="24">
        <f>($I$115+40*($O$9-0.5))/($I$115+$I$157)</f>
        <v>0.71898828046561525</v>
      </c>
      <c r="O86" s="24">
        <f>($I$116+40*($O$9-0.5))/($I$116+$I$157)</f>
        <v>0.70246264604316688</v>
      </c>
      <c r="P86" s="24">
        <f>($I$117+40*($O$10-0.5))/($I$117+$I$157)</f>
        <v>0.71339527215243159</v>
      </c>
      <c r="Q86" s="24">
        <f>($I$118+40*($O$10-0.5))/($I$118+$I$157)</f>
        <v>0.6937087998750926</v>
      </c>
      <c r="R86" s="24">
        <f>($I$119+40*($O$10-0.5))/($I$119+$I$157)</f>
        <v>0.71510651458656915</v>
      </c>
      <c r="S86" s="24">
        <f>($I$120+40*($O$10-0.5))/($I$120+$I$157)</f>
        <v>0.70720254893491119</v>
      </c>
      <c r="T86" s="24">
        <f>($I$121+40*($O$11-0.5))/($I$121+$I$157)</f>
        <v>0.70921533963375372</v>
      </c>
      <c r="U86" s="24">
        <f>($I$122+40*($O$11-0.5))/($I$122+$I$157)</f>
        <v>0.70848388633975867</v>
      </c>
      <c r="V86" s="24">
        <f>($I$123+40*($O$11-0.5))/($I$123+$I$157)</f>
        <v>0.72469529348520245</v>
      </c>
      <c r="W86" s="24">
        <f>($I$124+40*($O$11-0.5))/($I$124+$I$157)</f>
        <v>0.71266117645464511</v>
      </c>
      <c r="X86" s="24">
        <f>($I$125+40*($O$12-0.5))/($I$125+$I$157)</f>
        <v>0.68601017498719619</v>
      </c>
      <c r="Y86" s="24">
        <f>($I$126+40*($O$12-0.5))/($I$126+$I$157)</f>
        <v>0.6751108373605359</v>
      </c>
      <c r="Z86" s="24">
        <f>($I$127+40*($O$12-0.5))/($I$127+$I$157)</f>
        <v>0.68788559300894547</v>
      </c>
      <c r="AA86" s="24">
        <f>($I$128+40*($O$12-0.5))/($I$128+$I$157)</f>
        <v>0.67866980954880618</v>
      </c>
      <c r="AB86" s="24">
        <f>($I$129+40*($O$13-0.5))/($I$129+$I$157)</f>
        <v>0.78580377513146749</v>
      </c>
      <c r="AC86" s="24">
        <f>($I$130+40*($O$13-0.5))/($I$130+$I$157)</f>
        <v>0.77444246606684641</v>
      </c>
      <c r="AD86" s="24">
        <f>($I$131+40*($O$13-0.5))/($I$131+$I$157)</f>
        <v>0.76961935290799877</v>
      </c>
      <c r="AE86" s="24">
        <f>($I$132+40*($O$13-0.5))/($I$132+$I$157)</f>
        <v>0.7803719598660328</v>
      </c>
      <c r="AF86" s="24">
        <f>($I$133+40*($O$14-0.5))/($I$133+$I$157)</f>
        <v>0.76715303179519412</v>
      </c>
      <c r="AG86" s="24">
        <f>($I$134+40*($O$14-0.5))/($I$134+$I$157)</f>
        <v>0.78592497083882895</v>
      </c>
      <c r="AH86" s="24">
        <f>($I$135+40*($O$14-0.5))/($I$135+$I$157)</f>
        <v>0.7757920333050502</v>
      </c>
      <c r="AI86" s="24">
        <f>($I$136+40*($O$14-0.5))/($I$136+$I$157)</f>
        <v>0.77173726428155698</v>
      </c>
      <c r="AJ86" s="24">
        <f>($I$137+40*($O$15-0.5))/($I$137+$I$157)</f>
        <v>0.70799444491259655</v>
      </c>
      <c r="AK86" s="24">
        <f>($I$138+40*($O$15-0.5))/($I$138+$I$157)</f>
        <v>0.70184798301256823</v>
      </c>
      <c r="AL86" s="24">
        <f>($I$139+40*($O$15-0.5))/($I$139+$I$157)</f>
        <v>0.69698472181556925</v>
      </c>
      <c r="AM86" s="24">
        <f>($I$140+40*($O$15-0.5))/($I$140+$I$157)</f>
        <v>0.70902606230717924</v>
      </c>
      <c r="AN86" s="24">
        <f>($I$141+40*($O$16-0.5))/($I$141+$I$157)</f>
        <v>0.76558815610026287</v>
      </c>
      <c r="AO86" s="24">
        <f>($I$142+40*($O$16-0.5))/($I$142+$I$157)</f>
        <v>0.7689827397753638</v>
      </c>
      <c r="AP86" s="24">
        <f>($I$143+40*($O$16-0.5))/($I$143+$I$157)</f>
        <v>0.76627356345497855</v>
      </c>
      <c r="AQ86" s="24">
        <f>($I$144+40*($O$16-0.5))/($I$144+$I$157)</f>
        <v>0.77343707551808105</v>
      </c>
      <c r="AR86" s="24">
        <f>($I$145+40*($O$17-0.5))/($I$145+$I$157)</f>
        <v>0.76998918077512535</v>
      </c>
      <c r="AS86" s="24">
        <f>($I$146+40*($O$17-0.5))/($I$146+$I$157)</f>
        <v>0.76129465001872021</v>
      </c>
      <c r="AT86" s="24">
        <f>($I$147+40*($O$17-0.5))/($I$147+$I$157)</f>
        <v>0.76873129905632442</v>
      </c>
      <c r="AU86" s="24">
        <f>($I$148+40*($O$17-0.5))/($I$148+$I$157)</f>
        <v>0.76704592454033083</v>
      </c>
      <c r="AV86" s="24">
        <f>($I$149+40*($O$18-0.5))/($I$149+$I$157)</f>
        <v>0.64846018676139439</v>
      </c>
      <c r="AW86" s="24">
        <f>($I$150+40*($O$18-0.5))/($I$150+$I$157)</f>
        <v>0.64401445590873474</v>
      </c>
      <c r="AX86" s="24">
        <f>($I$151+40*($O$18-0.5))/($I$151+$I$157)</f>
        <v>0.65098517580860493</v>
      </c>
      <c r="AY86" s="24">
        <f>($I$152+40*($O$18-0.5))/($I$152+$I$157)</f>
        <v>0.64777285531858686</v>
      </c>
      <c r="AZ86" s="24">
        <f>($I$153+40*($O$19-0.5))/($I$153+$I$157)</f>
        <v>0.63829256535865619</v>
      </c>
      <c r="BA86" s="24">
        <f>($I$154+40*($O$19-0.5))/($I$154+$I$157)</f>
        <v>0.64599241212761571</v>
      </c>
      <c r="BB86" s="24">
        <f>($I$155+40*($O$19-0.5))/($I$155+$I$157)</f>
        <v>0.61997167712767809</v>
      </c>
      <c r="BC86" s="24">
        <f>($I$156+40*($O$19-0.5))/($I$156+$I$157)</f>
        <v>0.61351733444661383</v>
      </c>
      <c r="BD86" s="61">
        <v>0</v>
      </c>
      <c r="BE86" s="24">
        <f>($I$157+40*($O$20-0.5))/($I$157+$I$158)</f>
        <v>0.56043144352541341</v>
      </c>
      <c r="BF86" s="24">
        <f>($I$157+40*($O$20-0.5))/($I$157+$I$159)</f>
        <v>0.54254287900559606</v>
      </c>
      <c r="BG86" s="24">
        <f>($I$157+40*($O$20-0.5))/($I$157+$I$160)</f>
        <v>0.53615296055336359</v>
      </c>
      <c r="BH86" s="24">
        <f>($I$157+40*($P$20-0.5))/($I$157+$I$161)</f>
        <v>0.71282157972880511</v>
      </c>
      <c r="BI86" s="24">
        <f>($I$157+40*($P$20-0.5))/($I$157+$I$162)</f>
        <v>0.73092141245387232</v>
      </c>
      <c r="BJ86" s="24">
        <f>($I$157+40*($P$20-0.5))/($I$157+$I$163)</f>
        <v>0.73835453221864822</v>
      </c>
      <c r="BK86" s="24">
        <f>($I$157+40*($P$20-0.5))/($I$157+$I$164)</f>
        <v>0.74579677856018489</v>
      </c>
      <c r="BL86" s="24">
        <f>($I$157+40*($Q$20-0.5))/($I$157+$I$165)</f>
        <v>0.77406334973175028</v>
      </c>
      <c r="BM86" s="24">
        <f>($I$157+40*($Q$20-0.5))/($I$157+$I$166)</f>
        <v>0.75498652608288563</v>
      </c>
      <c r="BN86" s="24">
        <f>($I$157+40*($Q$7-0.5))/($I$157+$I$167)</f>
        <v>0.91068229167263381</v>
      </c>
      <c r="BO86" s="24">
        <f>($I$157+40*($Q$20-0.5))/($I$157+$I$168)</f>
        <v>0.76959170889466599</v>
      </c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  <c r="IN86" s="40"/>
      <c r="IO86" s="40"/>
      <c r="IP86" s="40"/>
      <c r="IQ86" s="40"/>
      <c r="IR86" s="40"/>
      <c r="IS86" s="40"/>
      <c r="IT86" s="40"/>
      <c r="IU86" s="40"/>
      <c r="IV86" s="40"/>
      <c r="IW86" s="40"/>
      <c r="IX86" s="40"/>
      <c r="IY86" s="40"/>
      <c r="IZ86" s="40"/>
      <c r="JA86" s="40"/>
      <c r="JB86" s="40"/>
      <c r="JC86" s="40"/>
      <c r="JD86" s="40"/>
      <c r="JE86" s="40"/>
      <c r="JF86" s="40"/>
      <c r="JG86" s="40"/>
      <c r="JH86" s="40"/>
      <c r="JI86" s="40"/>
      <c r="JJ86" s="40"/>
      <c r="JK86" s="40"/>
      <c r="JL86" s="40"/>
      <c r="JM86" s="40"/>
      <c r="JN86" s="40"/>
      <c r="JO86" s="40"/>
      <c r="JP86" s="40"/>
      <c r="JQ86" s="40"/>
      <c r="JR86" s="40"/>
      <c r="JS86" s="40"/>
      <c r="JT86" s="40"/>
      <c r="JU86" s="40"/>
      <c r="JV86" s="40"/>
      <c r="JW86" s="40"/>
      <c r="JX86" s="40"/>
      <c r="JY86" s="40"/>
      <c r="JZ86" s="40"/>
      <c r="KA86" s="40"/>
      <c r="KB86" s="40"/>
      <c r="KC86" s="40"/>
      <c r="KD86" s="40"/>
      <c r="KE86" s="40"/>
      <c r="KF86" s="40"/>
      <c r="KG86" s="40"/>
      <c r="KH86" s="40"/>
      <c r="KI86" s="40"/>
      <c r="KJ86" s="40"/>
      <c r="KK86" s="40"/>
      <c r="KL86" s="40"/>
      <c r="KM86" s="40"/>
      <c r="KN86" s="40"/>
      <c r="KO86" s="40"/>
      <c r="KP86" s="40"/>
      <c r="KQ86" s="40"/>
      <c r="KR86" s="40"/>
      <c r="KS86" s="40"/>
      <c r="KT86" s="40"/>
      <c r="KU86" s="40"/>
      <c r="KV86" s="40"/>
      <c r="KW86" s="40"/>
      <c r="KX86" s="40"/>
      <c r="KY86" s="40"/>
      <c r="KZ86" s="40"/>
      <c r="LA86" s="40"/>
      <c r="LB86" s="40"/>
      <c r="LC86" s="40"/>
      <c r="LD86" s="40"/>
      <c r="LE86" s="40"/>
      <c r="LF86" s="40"/>
      <c r="LG86" s="40"/>
      <c r="LH86" s="40"/>
      <c r="LI86" s="40"/>
      <c r="LJ86" s="40"/>
      <c r="LK86" s="40"/>
      <c r="LL86" s="40"/>
      <c r="LM86" s="40"/>
      <c r="LN86" s="40"/>
      <c r="LO86" s="40"/>
      <c r="LP86" s="40"/>
      <c r="LQ86" s="40"/>
      <c r="LR86" s="40"/>
      <c r="LS86" s="40"/>
      <c r="LT86" s="40"/>
      <c r="LU86" s="40"/>
      <c r="LV86" s="40"/>
      <c r="LW86" s="40"/>
      <c r="LX86" s="40"/>
      <c r="LY86" s="40"/>
      <c r="LZ86" s="40"/>
      <c r="MA86" s="40"/>
      <c r="MB86" s="40"/>
      <c r="MC86" s="40"/>
      <c r="MD86" s="40"/>
      <c r="ME86" s="40"/>
      <c r="MF86" s="40"/>
      <c r="MG86" s="40"/>
      <c r="MH86" s="40"/>
      <c r="MI86" s="40"/>
      <c r="MJ86" s="40"/>
      <c r="MK86" s="40"/>
      <c r="ML86" s="40"/>
      <c r="MM86" s="40"/>
      <c r="MN86" s="40"/>
      <c r="MO86" s="40"/>
      <c r="MP86" s="40"/>
      <c r="MQ86" s="40"/>
      <c r="MR86" s="40"/>
      <c r="MS86" s="40"/>
      <c r="MT86" s="40"/>
    </row>
    <row r="87" spans="1:358" x14ac:dyDescent="0.25">
      <c r="A87" t="str">
        <f>$A$158</f>
        <v>UL-Lafayette</v>
      </c>
      <c r="B87" s="54"/>
      <c r="C87" s="3">
        <v>54</v>
      </c>
      <c r="D87" s="24">
        <f>($I$105+40*($O$7-0.5))/($I$105+$I$158)</f>
        <v>0.87332287255732233</v>
      </c>
      <c r="E87" s="24">
        <f>($I$106+40*($O$7-0.5))/($I$106+$I$158)</f>
        <v>0.87215543347882096</v>
      </c>
      <c r="F87" s="24">
        <f>($I$107+40*($O$7-0.5))/($I$107+$I$158)</f>
        <v>0.87828644523986221</v>
      </c>
      <c r="G87" s="24">
        <f>($I$108+40*($O$7-0.5))/($I$108+$I$158)</f>
        <v>0.86072829115647942</v>
      </c>
      <c r="H87" s="24">
        <f>($I$109+40*($O$8-0.5))/($I$109+$I$158)</f>
        <v>0.83726610162011073</v>
      </c>
      <c r="I87" s="24">
        <f>($I$110+40*($O$8-0.5))/($I$110+$I$158)</f>
        <v>0.83542814651493758</v>
      </c>
      <c r="J87" s="24">
        <f>($I$111+40*($O$8-0.5))/($I$111+$I$158)</f>
        <v>0.83769877122259673</v>
      </c>
      <c r="K87" s="24">
        <f>($I$112+40*($O$8-0.5))/($I$112+$I$158)</f>
        <v>0.84069682164321258</v>
      </c>
      <c r="L87" s="24">
        <f>($I$113+40*($O$9-0.5))/($I$113+$I$158)</f>
        <v>0.78502752481956528</v>
      </c>
      <c r="M87" s="24">
        <f>($I$114+40*($O$9-0.5))/($I$114+$I$158)</f>
        <v>0.7205449418512434</v>
      </c>
      <c r="N87" s="24">
        <f>($I$115+40*($O$9-0.5))/($I$115+$I$158)</f>
        <v>0.79145808939582751</v>
      </c>
      <c r="O87" s="24">
        <f>($I$116+40*($O$9-0.5))/($I$116+$I$158)</f>
        <v>0.77787761025389823</v>
      </c>
      <c r="P87" s="24">
        <f>($I$117+40*($O$10-0.5))/($I$117+$I$158)</f>
        <v>0.79039824493812183</v>
      </c>
      <c r="Q87" s="24">
        <f>($I$118+40*($O$10-0.5))/($I$118+$I$158)</f>
        <v>0.77432782860313953</v>
      </c>
      <c r="R87" s="24">
        <f>($I$119+40*($O$10-0.5))/($I$119+$I$158)</f>
        <v>0.79178391248154867</v>
      </c>
      <c r="S87" s="24">
        <f>($I$120+40*($O$10-0.5))/($I$120+$I$158)</f>
        <v>0.78536876544047307</v>
      </c>
      <c r="T87" s="24">
        <f>($I$121+40*($O$11-0.5))/($I$121+$I$158)</f>
        <v>0.7884126521838033</v>
      </c>
      <c r="U87" s="24">
        <f>($I$122+40*($O$11-0.5))/($I$122+$I$158)</f>
        <v>0.78782081496084599</v>
      </c>
      <c r="V87" s="24">
        <f>($I$123+40*($O$11-0.5))/($I$123+$I$158)</f>
        <v>0.8008603552086998</v>
      </c>
      <c r="W87" s="24">
        <f>($I$124+40*($O$11-0.5))/($I$124+$I$158)</f>
        <v>0.79119629851281659</v>
      </c>
      <c r="X87" s="24">
        <f>($I$125+40*($O$12-0.5))/($I$125+$I$158)</f>
        <v>0.7622411455169682</v>
      </c>
      <c r="Y87" s="24">
        <f>($I$126+40*($O$12-0.5))/($I$126+$I$158)</f>
        <v>0.75303534599899358</v>
      </c>
      <c r="Z87" s="24">
        <f>($I$127+40*($O$12-0.5))/($I$127+$I$158)</f>
        <v>0.76381800461228866</v>
      </c>
      <c r="AA87" s="24">
        <f>($I$128+40*($O$12-0.5))/($I$128+$I$158)</f>
        <v>0.75604915462909139</v>
      </c>
      <c r="AB87" s="24">
        <f>($I$129+40*($O$13-0.5))/($I$129+$I$158)</f>
        <v>0.86717599935116108</v>
      </c>
      <c r="AC87" s="24">
        <f>($I$130+40*($O$13-0.5))/($I$130+$I$158)</f>
        <v>0.85935831300273213</v>
      </c>
      <c r="AD87" s="24">
        <f>($I$131+40*($O$13-0.5))/($I$131+$I$158)</f>
        <v>0.85601336979373666</v>
      </c>
      <c r="AE87" s="24">
        <f>($I$132+40*($O$13-0.5))/($I$132+$I$158)</f>
        <v>0.8634491242938841</v>
      </c>
      <c r="AF87" s="24">
        <f>($I$133+40*($O$14-0.5))/($I$133+$I$158)</f>
        <v>0.854296835096644</v>
      </c>
      <c r="AG87" s="24">
        <f>($I$134+40*($O$14-0.5))/($I$134+$I$158)</f>
        <v>0.86725893088077766</v>
      </c>
      <c r="AH87" s="24">
        <f>($I$135+40*($O$14-0.5))/($I$135+$I$158)</f>
        <v>0.86029146320421901</v>
      </c>
      <c r="AI87" s="24">
        <f>($I$136+40*($O$14-0.5))/($I$136+$I$158)</f>
        <v>0.85748412560897647</v>
      </c>
      <c r="AJ87" s="24">
        <f>($I$137+40*($O$15-0.5))/($I$137+$I$158)</f>
        <v>0.78601322218124958</v>
      </c>
      <c r="AK87" s="24">
        <f>($I$138+40*($O$15-0.5))/($I$138+$I$158)</f>
        <v>0.78100100872292133</v>
      </c>
      <c r="AL87" s="24">
        <f>($I$139+40*($O$15-0.5))/($I$139+$I$158)</f>
        <v>0.77701865214495991</v>
      </c>
      <c r="AM87" s="24">
        <f>($I$140+40*($O$15-0.5))/($I$140+$I$158)</f>
        <v>0.78685219026758624</v>
      </c>
      <c r="AN87" s="24">
        <f>($I$141+40*($O$16-0.5))/($I$141+$I$158)</f>
        <v>0.85320555380286955</v>
      </c>
      <c r="AO87" s="24">
        <f>($I$142+40*($O$16-0.5))/($I$142+$I$158)</f>
        <v>0.85557068859945218</v>
      </c>
      <c r="AP87" s="24">
        <f>($I$143+40*($O$16-0.5))/($I$143+$I$158)</f>
        <v>0.85368373445304979</v>
      </c>
      <c r="AQ87" s="24">
        <f>($I$144+40*($O$16-0.5))/($I$144+$I$158)</f>
        <v>0.85866234550281728</v>
      </c>
      <c r="AR87" s="24">
        <f>($I$145+40*($O$17-0.5))/($I$145+$I$158)</f>
        <v>0.85627041062718756</v>
      </c>
      <c r="AS87" s="24">
        <f>($I$146+40*($O$17-0.5))/($I$146+$I$158)</f>
        <v>0.85020285385263306</v>
      </c>
      <c r="AT87" s="24">
        <f>($I$147+40*($O$17-0.5))/($I$147+$I$158)</f>
        <v>0.85539576876587176</v>
      </c>
      <c r="AU87" s="24">
        <f>($I$148+40*($O$17-0.5))/($I$148+$I$158)</f>
        <v>0.85422219593176751</v>
      </c>
      <c r="AV87" s="24">
        <f>($I$149+40*($O$18-0.5))/($I$149+$I$158)</f>
        <v>0.731913745183844</v>
      </c>
      <c r="AW87" s="24">
        <f>($I$150+40*($O$18-0.5))/($I$150+$I$158)</f>
        <v>0.72808084783892413</v>
      </c>
      <c r="AX87" s="24">
        <f>($I$151+40*($O$18-0.5))/($I$151+$I$158)</f>
        <v>0.73408512027093387</v>
      </c>
      <c r="AY87" s="24">
        <f>($I$152+40*($O$18-0.5))/($I$152+$I$158)</f>
        <v>0.73132197630649176</v>
      </c>
      <c r="AZ87" s="24">
        <f>($I$153+40*($O$19-0.5))/($I$153+$I$158)</f>
        <v>0.71894309667668121</v>
      </c>
      <c r="BA87" s="24">
        <f>($I$154+40*($O$19-0.5))/($I$154+$I$158)</f>
        <v>0.72566399089764577</v>
      </c>
      <c r="BB87" s="24">
        <f>($I$155+40*($O$19-0.5))/($I$155+$I$158)</f>
        <v>0.70280521697474585</v>
      </c>
      <c r="BC87" s="24">
        <f>($I$156+40*($O$19-0.5))/($I$156+$I$158)</f>
        <v>0.69707030206209653</v>
      </c>
      <c r="BD87" s="24">
        <f>($I$157+40*($O$20-0.5))/($I$157+$I$158)</f>
        <v>0.56043144352541341</v>
      </c>
      <c r="BE87" s="61">
        <v>0</v>
      </c>
      <c r="BF87" s="24">
        <f>($I$158+40*($O$20-0.5))/($I$158+$I$159)</f>
        <v>0.4819255632072838</v>
      </c>
      <c r="BG87" s="24">
        <f>($I$158+40*($O$20-0.5))/($I$158+$I$160)</f>
        <v>0.47550747433875395</v>
      </c>
      <c r="BH87" s="24">
        <f>($I$158+40*($P$20-0.5))/($I$158+$I$161)</f>
        <v>0.67377382844800282</v>
      </c>
      <c r="BI87" s="24">
        <f>($I$158+40*($P$20-0.5))/($I$158+$I$162)</f>
        <v>0.6932757258774993</v>
      </c>
      <c r="BJ87" s="24">
        <f>($I$158+40*($P$20-0.5))/($I$158+$I$163)</f>
        <v>0.70132383380148511</v>
      </c>
      <c r="BK87" s="24">
        <f>($I$158+40*($P$20-0.5))/($I$158+$I$164)</f>
        <v>0.70940483241912822</v>
      </c>
      <c r="BL87" s="24">
        <f>($I$158+40*($Q$20-0.5))/($I$158+$I$165)</f>
        <v>0.74149294325942317</v>
      </c>
      <c r="BM87" s="24">
        <f>($I$158+40*($Q$20-0.5))/($I$158+$I$166)</f>
        <v>0.7206584909061412</v>
      </c>
      <c r="BN87" s="24">
        <f>($I$158+40*($Q$7-0.5))/($I$158+$I$167)</f>
        <v>0.89730506567755131</v>
      </c>
      <c r="BO87" s="24">
        <f>($I$158+40*($Q$20-0.5))/($I$158+$I$168)</f>
        <v>0.73659603881146141</v>
      </c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  <c r="IN87" s="40"/>
      <c r="IO87" s="40"/>
      <c r="IP87" s="40"/>
      <c r="IQ87" s="40"/>
      <c r="IR87" s="40"/>
      <c r="IS87" s="40"/>
      <c r="IT87" s="40"/>
      <c r="IU87" s="40"/>
      <c r="IV87" s="40"/>
      <c r="IW87" s="40"/>
      <c r="IX87" s="40"/>
      <c r="IY87" s="40"/>
      <c r="IZ87" s="40"/>
      <c r="JA87" s="40"/>
      <c r="JB87" s="40"/>
      <c r="JC87" s="40"/>
      <c r="JD87" s="40"/>
      <c r="JE87" s="40"/>
      <c r="JF87" s="40"/>
      <c r="JG87" s="40"/>
      <c r="JH87" s="40"/>
      <c r="JI87" s="40"/>
      <c r="JJ87" s="40"/>
      <c r="JK87" s="40"/>
      <c r="JL87" s="40"/>
      <c r="JM87" s="40"/>
      <c r="JN87" s="40"/>
      <c r="JO87" s="40"/>
      <c r="JP87" s="40"/>
      <c r="JQ87" s="40"/>
      <c r="JR87" s="40"/>
      <c r="JS87" s="40"/>
      <c r="JT87" s="40"/>
      <c r="JU87" s="40"/>
      <c r="JV87" s="40"/>
      <c r="JW87" s="40"/>
      <c r="JX87" s="40"/>
      <c r="JY87" s="40"/>
      <c r="JZ87" s="40"/>
      <c r="KA87" s="40"/>
      <c r="KB87" s="40"/>
      <c r="KC87" s="40"/>
      <c r="KD87" s="40"/>
      <c r="KE87" s="40"/>
      <c r="KF87" s="40"/>
      <c r="KG87" s="40"/>
      <c r="KH87" s="40"/>
      <c r="KI87" s="40"/>
      <c r="KJ87" s="40"/>
      <c r="KK87" s="40"/>
      <c r="KL87" s="40"/>
      <c r="KM87" s="40"/>
      <c r="KN87" s="40"/>
      <c r="KO87" s="40"/>
      <c r="KP87" s="40"/>
      <c r="KQ87" s="40"/>
      <c r="KR87" s="40"/>
      <c r="KS87" s="40"/>
      <c r="KT87" s="40"/>
      <c r="KU87" s="40"/>
      <c r="KV87" s="40"/>
      <c r="KW87" s="40"/>
      <c r="KX87" s="40"/>
      <c r="KY87" s="40"/>
      <c r="KZ87" s="40"/>
      <c r="LA87" s="40"/>
      <c r="LB87" s="40"/>
      <c r="LC87" s="40"/>
      <c r="LD87" s="40"/>
      <c r="LE87" s="40"/>
      <c r="LF87" s="40"/>
      <c r="LG87" s="40"/>
      <c r="LH87" s="40"/>
      <c r="LI87" s="40"/>
      <c r="LJ87" s="40"/>
      <c r="LK87" s="40"/>
      <c r="LL87" s="40"/>
      <c r="LM87" s="40"/>
      <c r="LN87" s="40"/>
      <c r="LO87" s="40"/>
      <c r="LP87" s="40"/>
      <c r="LQ87" s="40"/>
      <c r="LR87" s="40"/>
      <c r="LS87" s="40"/>
      <c r="LT87" s="40"/>
      <c r="LU87" s="40"/>
      <c r="LV87" s="40"/>
      <c r="LW87" s="40"/>
      <c r="LX87" s="40"/>
      <c r="LY87" s="40"/>
      <c r="LZ87" s="40"/>
      <c r="MA87" s="40"/>
      <c r="MB87" s="40"/>
      <c r="MC87" s="40"/>
      <c r="MD87" s="40"/>
      <c r="ME87" s="40"/>
      <c r="MF87" s="40"/>
      <c r="MG87" s="40"/>
      <c r="MH87" s="40"/>
      <c r="MI87" s="40"/>
      <c r="MJ87" s="40"/>
      <c r="MK87" s="40"/>
      <c r="ML87" s="40"/>
      <c r="MM87" s="40"/>
      <c r="MN87" s="40"/>
      <c r="MO87" s="40"/>
      <c r="MP87" s="40"/>
      <c r="MQ87" s="40"/>
      <c r="MR87" s="40"/>
      <c r="MS87" s="40"/>
      <c r="MT87" s="40"/>
    </row>
    <row r="88" spans="1:358" x14ac:dyDescent="0.25">
      <c r="A88" t="str">
        <f>$A$159</f>
        <v>Mercer</v>
      </c>
      <c r="B88" s="54"/>
      <c r="C88" s="3">
        <v>55</v>
      </c>
      <c r="D88" s="24">
        <f>($I$105+40*($O$7-0.5))/($I$105+$I$159)</f>
        <v>0.85041097585241687</v>
      </c>
      <c r="E88" s="24">
        <f>(BX39+40*($O$7-0.5))/(BX39+I$159)</f>
        <v>0.60215296437850707</v>
      </c>
      <c r="F88" s="24">
        <f>($I$107+40*($O$7-0.5))/($I$107+$I$159)</f>
        <v>0.85612440181063643</v>
      </c>
      <c r="G88" s="24">
        <f>($I$108+40*($O$7-0.5))/($I$108+$I$159)</f>
        <v>0.83596629503429931</v>
      </c>
      <c r="H88" s="24">
        <f>($I$109+40*($O$8-0.5))/($I$109+$I$159)</f>
        <v>0.81347725839018703</v>
      </c>
      <c r="I88" s="24">
        <f>($I$110+40*($O$8-0.5))/($I$110+$I$159)</f>
        <v>0.81143113779348319</v>
      </c>
      <c r="J88" s="24">
        <f>($I$111+40*($O$8-0.5))/($I$111+$I$159)</f>
        <v>0.81395912281386285</v>
      </c>
      <c r="K88" s="24">
        <f>($I$112+40*($O$8-0.5))/($I$112+$I$159)</f>
        <v>0.8173000547319218</v>
      </c>
      <c r="L88" s="24">
        <f>($I$113+40*($O$9-0.5))/($I$113+$I$159)</f>
        <v>0.76338941078980904</v>
      </c>
      <c r="M88" s="24">
        <f>($I$114+40*($O$9-0.5))/($I$114+$I$159)</f>
        <v>0.69493852678969237</v>
      </c>
      <c r="N88" s="24">
        <f>($I$115+40*($O$9-0.5))/($I$115+$I$159)</f>
        <v>0.77027783529150362</v>
      </c>
      <c r="O88" s="24">
        <f>($I$116+40*($O$9-0.5))/($I$116+$I$159)</f>
        <v>0.75574374234120723</v>
      </c>
      <c r="P88" s="24">
        <f>($I$117+40*($O$10-0.5))/($I$117+$I$159)</f>
        <v>0.76778993290414022</v>
      </c>
      <c r="Q88" s="24">
        <f>($I$118+40*($O$10-0.5))/($I$118+$I$159)</f>
        <v>0.75053321085702418</v>
      </c>
      <c r="R88" s="24">
        <f>($I$119+40*($O$10-0.5))/($I$119+$I$159)</f>
        <v>0.76928143460099818</v>
      </c>
      <c r="S88" s="24">
        <f>($I$120+40*($O$10-0.5))/($I$120+$I$159)</f>
        <v>0.76238104926637995</v>
      </c>
      <c r="T88" s="24">
        <f>($I$121+40*($O$11-0.5))/($I$121+$I$159)</f>
        <v>0.7651048283471622</v>
      </c>
      <c r="U88" s="24">
        <f>($I$122+40*($O$11-0.5))/($I$122+$I$159)</f>
        <v>0.76446727266934855</v>
      </c>
      <c r="V88" s="24">
        <f>($I$123+40*($O$11-0.5))/($I$123+$I$159)</f>
        <v>0.77853856870960736</v>
      </c>
      <c r="W88" s="24">
        <f>($I$124+40*($O$11-0.5))/($I$124+$I$159)</f>
        <v>0.7681049215841369</v>
      </c>
      <c r="X88" s="24">
        <f>($I$125+40*($O$12-0.5))/($I$125+$I$159)</f>
        <v>0.73981410543814718</v>
      </c>
      <c r="Y88" s="24">
        <f>($I$126+40*($O$12-0.5))/($I$126+$I$159)</f>
        <v>0.73004748502038419</v>
      </c>
      <c r="Z88" s="24">
        <f>($I$127+40*($O$12-0.5))/($I$127+$I$159)</f>
        <v>0.74148926009881788</v>
      </c>
      <c r="AA88" s="24">
        <f>($I$128+40*($O$12-0.5))/($I$128+$I$159)</f>
        <v>0.73324244789308102</v>
      </c>
      <c r="AB88" s="24">
        <f>($I$129+40*($O$13-0.5))/($I$129+$I$159)</f>
        <v>0.84335174675504987</v>
      </c>
      <c r="AC88" s="24">
        <f>($I$130+40*($O$13-0.5))/($I$130+$I$159)</f>
        <v>0.83439960299039273</v>
      </c>
      <c r="AD88" s="24">
        <f>($I$131+40*($O$13-0.5))/($I$131+$I$159)</f>
        <v>0.83057808441457071</v>
      </c>
      <c r="AE88" s="24">
        <f>($I$132+40*($O$13-0.5))/($I$132+$I$159)</f>
        <v>0.83908044083951716</v>
      </c>
      <c r="AF88" s="24">
        <f>($I$133+40*($O$14-0.5))/($I$133+$I$159)</f>
        <v>0.82861903174173213</v>
      </c>
      <c r="AG88" s="24">
        <f>($I$134+40*($O$14-0.5))/($I$134+$I$159)</f>
        <v>0.84344686802159241</v>
      </c>
      <c r="AH88" s="24">
        <f>($I$135+40*($O$14-0.5))/($I$135+$I$159)</f>
        <v>0.83546664707929497</v>
      </c>
      <c r="AI88" s="24">
        <f>($I$136+40*($O$14-0.5))/($I$136+$I$159)</f>
        <v>0.83225773810015446</v>
      </c>
      <c r="AJ88" s="24">
        <f>($I$137+40*($O$15-0.5))/($I$137+$I$159)</f>
        <v>0.7630737067940182</v>
      </c>
      <c r="AK88" s="24">
        <f>($I$138+40*($O$15-0.5))/($I$138+$I$159)</f>
        <v>0.75768982225449821</v>
      </c>
      <c r="AL88" s="24">
        <f>($I$139+40*($O$15-0.5))/($I$139+$I$159)</f>
        <v>0.75341740274973323</v>
      </c>
      <c r="AM88" s="24">
        <f>($I$140+40*($O$15-0.5))/($I$140+$I$159)</f>
        <v>0.76397560618812033</v>
      </c>
      <c r="AN88" s="24">
        <f>($I$141+40*($O$16-0.5))/($I$141+$I$159)</f>
        <v>0.82737429168403287</v>
      </c>
      <c r="AO88" s="24">
        <f>($I$142+40*($O$16-0.5))/($I$142+$I$159)</f>
        <v>0.83007272688566114</v>
      </c>
      <c r="AP88" s="24">
        <f>($I$143+40*($O$16-0.5))/($I$143+$I$159)</f>
        <v>0.82791964634419857</v>
      </c>
      <c r="AQ88" s="24">
        <f>($I$144+40*($O$16-0.5))/($I$144+$I$159)</f>
        <v>0.83360404167121593</v>
      </c>
      <c r="AR88" s="24">
        <f>($I$145+40*($O$17-0.5))/($I$145+$I$159)</f>
        <v>0.83087156035156873</v>
      </c>
      <c r="AS88" s="24">
        <f>($I$146+40*($O$17-0.5))/($I$146+$I$159)</f>
        <v>0.82395223449660537</v>
      </c>
      <c r="AT88" s="24">
        <f>($I$147+40*($O$17-0.5))/($I$147+$I$159)</f>
        <v>0.82987306674383887</v>
      </c>
      <c r="AU88" s="24">
        <f>($I$148+40*($O$17-0.5))/($I$148+$I$159)</f>
        <v>0.82853387877217177</v>
      </c>
      <c r="AV88" s="24">
        <f>($I$149+40*($O$18-0.5))/($I$149+$I$159)</f>
        <v>0.70708903952329794</v>
      </c>
      <c r="AW88" s="24">
        <f>($I$150+40*($O$18-0.5))/($I$150+$I$159)</f>
        <v>0.70304521860017133</v>
      </c>
      <c r="AX88" s="24">
        <f>($I$151+40*($O$18-0.5))/($I$151+$I$159)</f>
        <v>0.70938164566947903</v>
      </c>
      <c r="AY88" s="24">
        <f>($I$152+40*($O$18-0.5))/($I$152+$I$159)</f>
        <v>0.70646444972811218</v>
      </c>
      <c r="AZ88" s="24">
        <f>($I$153+40*($O$19-0.5))/($I$153+$I$159)</f>
        <v>0.69498718498130285</v>
      </c>
      <c r="BA88" s="24">
        <f>($I$154+40*($O$19-0.5))/($I$154+$I$159)</f>
        <v>0.7020435226253442</v>
      </c>
      <c r="BB88" s="24">
        <f>($I$155+40*($O$19-0.5))/($I$155+$I$159)</f>
        <v>0.67808968461860653</v>
      </c>
      <c r="BC88" s="24">
        <f>($I$156+40*($O$19-0.5))/($I$156+$I$159)</f>
        <v>0.67210035472265062</v>
      </c>
      <c r="BD88" s="24">
        <f>($I$157+40*($O$20-0.5))/($I$157+$I$159)</f>
        <v>0.54254287900559606</v>
      </c>
      <c r="BE88" s="24">
        <f>($I$158+40*($O$20-0.5))/($I$158+$I$159)</f>
        <v>0.4819255632072838</v>
      </c>
      <c r="BF88" s="61">
        <v>0</v>
      </c>
      <c r="BG88" s="24">
        <f>($I$159+40*($O$20-0.5))/($I$159+$I$160)</f>
        <v>0.49357052611211455</v>
      </c>
      <c r="BH88" s="24">
        <f>($I$159+40*($P$20-0.5))/($I$159+$I$161)</f>
        <v>0.68544175688355957</v>
      </c>
      <c r="BI88" s="24">
        <f>($I$159+40*($P$20-0.5))/($I$159+$I$162)</f>
        <v>0.70455199931003931</v>
      </c>
      <c r="BJ88" s="24">
        <f>($I$159+40*($P$20-0.5))/($I$159+$I$163)</f>
        <v>0.71242696096720848</v>
      </c>
      <c r="BK88" s="24">
        <f>($I$159+40*($P$20-0.5))/($I$159+$I$164)</f>
        <v>0.72032734845792934</v>
      </c>
      <c r="BL88" s="24">
        <f>($I$159+40*($Q$20-0.5))/($I$159+$I$165)</f>
        <v>0.75127444120738218</v>
      </c>
      <c r="BM88" s="24">
        <f>($I$159+40*($Q$20-0.5))/($I$159+$I$166)</f>
        <v>0.73094227395539502</v>
      </c>
      <c r="BN88" s="24">
        <f>($I$159+40*($Q$7-0.5))/($I$159+$I$167)</f>
        <v>0.90133626707075754</v>
      </c>
      <c r="BO88" s="24">
        <f>($I$159+40*($Q$20-0.5))/($I$159+$I$168)</f>
        <v>0.74649948082004614</v>
      </c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  <c r="JD88" s="40"/>
      <c r="JE88" s="40"/>
      <c r="JF88" s="40"/>
      <c r="JG88" s="40"/>
      <c r="JH88" s="40"/>
      <c r="JI88" s="40"/>
      <c r="JJ88" s="40"/>
      <c r="JK88" s="40"/>
      <c r="JL88" s="40"/>
      <c r="JM88" s="40"/>
      <c r="JN88" s="40"/>
      <c r="JO88" s="40"/>
      <c r="JP88" s="40"/>
      <c r="JQ88" s="40"/>
      <c r="JR88" s="40"/>
      <c r="JS88" s="40"/>
      <c r="JT88" s="40"/>
      <c r="JU88" s="40"/>
      <c r="JV88" s="40"/>
      <c r="JW88" s="40"/>
      <c r="JX88" s="40"/>
      <c r="JY88" s="40"/>
      <c r="JZ88" s="40"/>
      <c r="KA88" s="40"/>
      <c r="KB88" s="40"/>
      <c r="KC88" s="40"/>
      <c r="KD88" s="40"/>
      <c r="KE88" s="40"/>
      <c r="KF88" s="40"/>
      <c r="KG88" s="40"/>
      <c r="KH88" s="40"/>
      <c r="KI88" s="40"/>
      <c r="KJ88" s="40"/>
      <c r="KK88" s="40"/>
      <c r="KL88" s="40"/>
      <c r="KM88" s="40"/>
      <c r="KN88" s="40"/>
      <c r="KO88" s="40"/>
      <c r="KP88" s="40"/>
      <c r="KQ88" s="40"/>
      <c r="KR88" s="40"/>
      <c r="KS88" s="40"/>
      <c r="KT88" s="40"/>
      <c r="KU88" s="40"/>
      <c r="KV88" s="40"/>
      <c r="KW88" s="40"/>
      <c r="KX88" s="40"/>
      <c r="KY88" s="40"/>
      <c r="KZ88" s="40"/>
      <c r="LA88" s="40"/>
      <c r="LB88" s="40"/>
      <c r="LC88" s="40"/>
      <c r="LD88" s="40"/>
      <c r="LE88" s="40"/>
      <c r="LF88" s="40"/>
      <c r="LG88" s="40"/>
      <c r="LH88" s="40"/>
      <c r="LI88" s="40"/>
      <c r="LJ88" s="40"/>
      <c r="LK88" s="40"/>
      <c r="LL88" s="40"/>
      <c r="LM88" s="40"/>
      <c r="LN88" s="40"/>
      <c r="LO88" s="40"/>
      <c r="LP88" s="40"/>
      <c r="LQ88" s="40"/>
      <c r="LR88" s="40"/>
      <c r="LS88" s="40"/>
      <c r="LT88" s="40"/>
      <c r="LU88" s="40"/>
      <c r="LV88" s="40"/>
      <c r="LW88" s="40"/>
      <c r="LX88" s="40"/>
      <c r="LY88" s="40"/>
      <c r="LZ88" s="40"/>
      <c r="MA88" s="40"/>
      <c r="MB88" s="40"/>
      <c r="MC88" s="40"/>
      <c r="MD88" s="40"/>
      <c r="ME88" s="40"/>
      <c r="MF88" s="40"/>
      <c r="MG88" s="40"/>
      <c r="MH88" s="40"/>
      <c r="MI88" s="40"/>
      <c r="MJ88" s="40"/>
      <c r="MK88" s="40"/>
      <c r="ML88" s="40"/>
      <c r="MM88" s="40"/>
      <c r="MN88" s="40"/>
      <c r="MO88" s="40"/>
      <c r="MP88" s="40"/>
      <c r="MQ88" s="40"/>
      <c r="MR88" s="40"/>
      <c r="MS88" s="40"/>
      <c r="MT88" s="40"/>
    </row>
    <row r="89" spans="1:358" x14ac:dyDescent="0.25">
      <c r="A89" t="str">
        <f>$A$160</f>
        <v>NC Central</v>
      </c>
      <c r="B89" s="54"/>
      <c r="C89" s="3">
        <v>56</v>
      </c>
      <c r="D89" s="24">
        <f>($I$105+40*($O$7-0.5))/($I$105+$I$160)</f>
        <v>0.84216133361028345</v>
      </c>
      <c r="E89" s="24">
        <f>($I$106+40*($O$7-0.5))/($I$106+$I$160)</f>
        <v>0.84075907828669916</v>
      </c>
      <c r="F89" s="24">
        <f>($I$107+40*($O$7-0.5))/($I$107+$I$160)</f>
        <v>0.84813357921800703</v>
      </c>
      <c r="G89" s="24">
        <f>($I$108+40*($O$7-0.5))/($I$108+$I$160)</f>
        <v>0.82708202470104453</v>
      </c>
      <c r="H89" s="24">
        <f>($I$109+40*($O$8-0.5))/($I$109+$I$160)</f>
        <v>0.80493788908845099</v>
      </c>
      <c r="I89" s="24">
        <f>($I$110+40*($O$8-0.5))/($I$110+$I$160)</f>
        <v>0.802820799176438</v>
      </c>
      <c r="J89" s="24">
        <f>($I$111+40*($O$8-0.5))/($I$111+$I$160)</f>
        <v>0.80543653782692048</v>
      </c>
      <c r="K89" s="24">
        <f>($I$112+40*($O$8-0.5))/($I$112+$I$160)</f>
        <v>0.80889458515599855</v>
      </c>
      <c r="L89" s="24">
        <f>($I$113+40*($O$9-0.5))/($I$113+$I$160)</f>
        <v>0.7556128518807268</v>
      </c>
      <c r="M89" s="24">
        <f>($I$114+40*($O$9-0.5))/($I$114+$I$160)</f>
        <v>0.68583807593391732</v>
      </c>
      <c r="N89" s="24">
        <f>($I$115+40*($O$9-0.5))/($I$115+$I$160)</f>
        <v>0.76265728599503724</v>
      </c>
      <c r="O89" s="24">
        <f>($I$116+40*($O$9-0.5))/($I$116+$I$160)</f>
        <v>0.74779891465224591</v>
      </c>
      <c r="P89" s="24">
        <f>($I$117+40*($O$10-0.5))/($I$117+$I$160)</f>
        <v>0.75967650325769753</v>
      </c>
      <c r="Q89" s="24">
        <f>($I$118+40*($O$10-0.5))/($I$118+$I$160)</f>
        <v>0.74201942448943214</v>
      </c>
      <c r="R89" s="24">
        <f>($I$119+40*($O$10-0.5))/($I$119+$I$160)</f>
        <v>0.76120390999218546</v>
      </c>
      <c r="S89" s="24">
        <f>($I$120+40*($O$10-0.5))/($I$120+$I$160)</f>
        <v>0.7541391500846748</v>
      </c>
      <c r="T89" s="24">
        <f>($I$121+40*($O$11-0.5))/($I$121+$I$160)</f>
        <v>0.75675158581665181</v>
      </c>
      <c r="U89" s="24">
        <f>($I$122+40*($O$11-0.5))/($I$122+$I$160)</f>
        <v>0.75609858522721018</v>
      </c>
      <c r="V89" s="24">
        <f>($I$123+40*($O$11-0.5))/($I$123+$I$160)</f>
        <v>0.77051976564325231</v>
      </c>
      <c r="W89" s="24">
        <f>($I$124+40*($O$11-0.5))/($I$124+$I$160)</f>
        <v>0.75982487650501407</v>
      </c>
      <c r="X89" s="24">
        <f>($I$125+40*($O$12-0.5))/($I$125+$I$160)</f>
        <v>0.7317749446305496</v>
      </c>
      <c r="Y89" s="24">
        <f>($I$126+40*($O$12-0.5))/($I$126+$I$160)</f>
        <v>0.72182002583420202</v>
      </c>
      <c r="Z89" s="24">
        <f>($I$127+40*($O$12-0.5))/($I$127+$I$160)</f>
        <v>0.73348321189351162</v>
      </c>
      <c r="AA89" s="24">
        <f>($I$128+40*($O$12-0.5))/($I$128+$I$160)</f>
        <v>0.72507569336521716</v>
      </c>
      <c r="AB89" s="24">
        <f>($I$129+40*($O$13-0.5))/($I$129+$I$160)</f>
        <v>0.83478842888007709</v>
      </c>
      <c r="AC89" s="24">
        <f>($I$130+40*($O$13-0.5))/($I$130+$I$160)</f>
        <v>0.82544819638123768</v>
      </c>
      <c r="AD89" s="24">
        <f>($I$131+40*($O$13-0.5))/($I$131+$I$160)</f>
        <v>0.82146430790215619</v>
      </c>
      <c r="AE89" s="24">
        <f>($I$132+40*($O$13-0.5))/($I$132+$I$160)</f>
        <v>0.8303306037374808</v>
      </c>
      <c r="AF89" s="24">
        <f>($I$133+40*($O$14-0.5))/($I$133+$I$160)</f>
        <v>0.81942278287959303</v>
      </c>
      <c r="AG89" s="24">
        <f>($I$134+40*($O$14-0.5))/($I$134+$I$160)</f>
        <v>0.83488773199661082</v>
      </c>
      <c r="AH89" s="24">
        <f>($I$135+40*($O$14-0.5))/($I$135+$I$160)</f>
        <v>0.82656092968704797</v>
      </c>
      <c r="AI89" s="24">
        <f>($I$136+40*($O$14-0.5))/($I$136+$I$160)</f>
        <v>0.82321508432207302</v>
      </c>
      <c r="AJ89" s="24">
        <f>($I$137+40*($O$15-0.5))/($I$137+$I$160)</f>
        <v>0.75484810716507944</v>
      </c>
      <c r="AK89" s="24">
        <f>($I$138+40*($O$15-0.5))/($I$138+$I$160)</f>
        <v>0.74933870543885062</v>
      </c>
      <c r="AL89" s="24">
        <f>($I$139+40*($O$15-0.5))/($I$139+$I$160)</f>
        <v>0.74496860083925842</v>
      </c>
      <c r="AM89" s="24">
        <f>($I$140+40*($O$15-0.5))/($I$140+$I$160)</f>
        <v>0.7557712969459951</v>
      </c>
      <c r="AN89" s="24">
        <f>($I$141+40*($O$16-0.5))/($I$141+$I$160)</f>
        <v>0.81812591075708319</v>
      </c>
      <c r="AO89" s="24">
        <f>($I$142+40*($O$16-0.5))/($I$142+$I$160)</f>
        <v>0.82093762621227961</v>
      </c>
      <c r="AP89" s="24">
        <f>($I$143+40*($O$16-0.5))/($I$143+$I$160)</f>
        <v>0.8186940801677044</v>
      </c>
      <c r="AQ89" s="24">
        <f>($I$144+40*($O$16-0.5))/($I$144+$I$160)</f>
        <v>0.82461867042807968</v>
      </c>
      <c r="AR89" s="24">
        <f>($I$145+40*($O$17-0.5))/($I$145+$I$160)</f>
        <v>0.8217701832294485</v>
      </c>
      <c r="AS89" s="24">
        <f>($I$146+40*($O$17-0.5))/($I$146+$I$160)</f>
        <v>0.81456160852672366</v>
      </c>
      <c r="AT89" s="24">
        <f>($I$147+40*($O$17-0.5))/($I$147+$I$160)</f>
        <v>0.82072955067470799</v>
      </c>
      <c r="AU89" s="24">
        <f>($I$148+40*($O$17-0.5))/($I$148+$I$160)</f>
        <v>0.81933405688070138</v>
      </c>
      <c r="AV89" s="24">
        <f>($I$149+40*($O$18-0.5))/($I$149+$I$160)</f>
        <v>0.69824630754444028</v>
      </c>
      <c r="AW89" s="24">
        <f>($I$150+40*($O$18-0.5))/($I$150+$I$160)</f>
        <v>0.69413321526950678</v>
      </c>
      <c r="AX89" s="24">
        <f>($I$151+40*($O$18-0.5))/($I$151+$I$160)</f>
        <v>0.70057881734371108</v>
      </c>
      <c r="AY89" s="24">
        <f>($I$152+40*($O$18-0.5))/($I$152+$I$160)</f>
        <v>0.69761092567847749</v>
      </c>
      <c r="AZ89" s="24">
        <f>($I$153+40*($O$19-0.5))/($I$153+$I$160)</f>
        <v>0.68644677607687576</v>
      </c>
      <c r="BA89" s="24">
        <f>($I$154+40*($O$19-0.5))/($I$154+$I$160)</f>
        <v>0.69361358942976792</v>
      </c>
      <c r="BB89" s="24">
        <f>($I$155+40*($O$19-0.5))/($I$155+$I$160)</f>
        <v>0.66930127572569287</v>
      </c>
      <c r="BC89" s="24">
        <f>($I$156+40*($O$19-0.5))/($I$156+$I$160)</f>
        <v>0.66322964061792733</v>
      </c>
      <c r="BD89" s="24">
        <f>($I$157+40*($O$20-0.5))/($I$157+$I$160)</f>
        <v>0.53615296055336359</v>
      </c>
      <c r="BE89" s="24">
        <f>($I$158+40*($O$20-0.5))/($I$158+$I$160)</f>
        <v>0.47550747433875395</v>
      </c>
      <c r="BF89" s="24">
        <f>($I$159+40*($O$20-0.5))/($I$159+$I$160)</f>
        <v>0.49357052611211455</v>
      </c>
      <c r="BG89" s="3">
        <v>0</v>
      </c>
      <c r="BH89" s="24">
        <f>($I$160+40*($P$20-0.5))/($I$160+$I$161)</f>
        <v>0.68958717388752766</v>
      </c>
      <c r="BI89" s="24">
        <f>($I$160+40*($P$21-0.5))/($I$160+$I$162)</f>
        <v>0.53329025699956079</v>
      </c>
      <c r="BJ89" s="24">
        <f>($I$160+40*($P$20-0.5))/($I$160+$I$163)</f>
        <v>0.71636391046988257</v>
      </c>
      <c r="BK89" s="24">
        <f>($I$160+40*($P$20-0.5))/($I$160+$I$164)</f>
        <v>0.72419801097128744</v>
      </c>
      <c r="BL89" s="24">
        <f>($I$160+40*($Q$20-0.5))/($I$160+$I$165)</f>
        <v>0.75473952813457157</v>
      </c>
      <c r="BM89" s="24">
        <f>($I$160+40*($Q$20-0.5))/($I$160+$I$166)</f>
        <v>0.73459054777001054</v>
      </c>
      <c r="BN89" s="24">
        <f>($I$160+40*($Q$7-0.5))/($I$160+$I$167)</f>
        <v>0.90276147246400407</v>
      </c>
      <c r="BO89" s="24">
        <f>($I$160+40*($Q$20-0.5))/($I$160+$I$168)</f>
        <v>0.75000895397084821</v>
      </c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  <c r="JD89" s="40"/>
      <c r="JE89" s="40"/>
      <c r="JF89" s="40"/>
      <c r="JG89" s="40"/>
      <c r="JH89" s="40"/>
      <c r="JI89" s="40"/>
      <c r="JJ89" s="40"/>
      <c r="JK89" s="40"/>
      <c r="JL89" s="40"/>
      <c r="JM89" s="40"/>
      <c r="JN89" s="40"/>
      <c r="JO89" s="40"/>
      <c r="JP89" s="40"/>
      <c r="JQ89" s="40"/>
      <c r="JR89" s="40"/>
      <c r="JS89" s="40"/>
      <c r="JT89" s="40"/>
      <c r="JU89" s="40"/>
      <c r="JV89" s="40"/>
      <c r="JW89" s="40"/>
      <c r="JX89" s="40"/>
      <c r="JY89" s="40"/>
      <c r="JZ89" s="40"/>
      <c r="KA89" s="40"/>
      <c r="KB89" s="40"/>
      <c r="KC89" s="40"/>
      <c r="KD89" s="40"/>
      <c r="KE89" s="40"/>
      <c r="KF89" s="40"/>
      <c r="KG89" s="40"/>
      <c r="KH89" s="40"/>
      <c r="KI89" s="40"/>
      <c r="KJ89" s="40"/>
      <c r="KK89" s="40"/>
      <c r="KL89" s="40"/>
      <c r="KM89" s="40"/>
      <c r="KN89" s="40"/>
      <c r="KO89" s="40"/>
      <c r="KP89" s="40"/>
      <c r="KQ89" s="40"/>
      <c r="KR89" s="40"/>
      <c r="KS89" s="40"/>
      <c r="KT89" s="40"/>
      <c r="KU89" s="40"/>
      <c r="KV89" s="40"/>
      <c r="KW89" s="40"/>
      <c r="KX89" s="40"/>
      <c r="KY89" s="40"/>
      <c r="KZ89" s="40"/>
      <c r="LA89" s="40"/>
      <c r="LB89" s="40"/>
      <c r="LC89" s="40"/>
      <c r="LD89" s="40"/>
      <c r="LE89" s="40"/>
      <c r="LF89" s="40"/>
      <c r="LG89" s="40"/>
      <c r="LH89" s="40"/>
      <c r="LI89" s="40"/>
      <c r="LJ89" s="40"/>
      <c r="LK89" s="40"/>
      <c r="LL89" s="40"/>
      <c r="LM89" s="40"/>
      <c r="LN89" s="40"/>
      <c r="LO89" s="40"/>
      <c r="LP89" s="40"/>
      <c r="LQ89" s="40"/>
      <c r="LR89" s="40"/>
      <c r="LS89" s="40"/>
      <c r="LT89" s="40"/>
      <c r="LU89" s="40"/>
      <c r="LV89" s="40"/>
      <c r="LW89" s="40"/>
      <c r="LX89" s="40"/>
      <c r="LY89" s="40"/>
      <c r="LZ89" s="40"/>
      <c r="MA89" s="40"/>
      <c r="MB89" s="40"/>
      <c r="MC89" s="40"/>
      <c r="MD89" s="40"/>
      <c r="ME89" s="40"/>
      <c r="MF89" s="40"/>
      <c r="MG89" s="40"/>
      <c r="MH89" s="40"/>
      <c r="MI89" s="40"/>
      <c r="MJ89" s="40"/>
      <c r="MK89" s="40"/>
      <c r="ML89" s="40"/>
      <c r="MM89" s="40"/>
      <c r="MN89" s="40"/>
      <c r="MO89" s="40"/>
      <c r="MP89" s="40"/>
      <c r="MQ89" s="40"/>
      <c r="MR89" s="40"/>
      <c r="MS89" s="40"/>
      <c r="MT89" s="40"/>
    </row>
    <row r="90" spans="1:358" x14ac:dyDescent="0.25">
      <c r="A90" t="str">
        <f>$A$161</f>
        <v>Eastern Ky</v>
      </c>
      <c r="B90" s="54">
        <v>15</v>
      </c>
      <c r="C90" s="3">
        <v>57</v>
      </c>
      <c r="D90" s="24">
        <f>($I$105+40*($P$7-0.5))/($I$105+$I$161)</f>
        <v>0.86641703559799887</v>
      </c>
      <c r="E90" s="24">
        <f>($I$106+40*($P$7-0.5))/($I$106+$I$161)</f>
        <v>0.86519577710445283</v>
      </c>
      <c r="F90" s="24">
        <f>($I$107+40*($P$7-0.5))/($I$107+$I$161)</f>
        <v>0.87161141881774051</v>
      </c>
      <c r="G90" s="24">
        <f>($I$108+40*($P$7-0.5))/($I$108+$I$161)</f>
        <v>0.85325122955914134</v>
      </c>
      <c r="H90" s="24">
        <f>($I$109+40*($P$8-0.5))/($I$109+$I$161)</f>
        <v>0.83108553724882217</v>
      </c>
      <c r="I90" s="24">
        <f>($I$110+40*($P$8-0.5))/($I$110+$I$161)</f>
        <v>0.82919432377483626</v>
      </c>
      <c r="J90" s="24">
        <f>($I$111+40*($P$8-0.5))/($I$111+$I$161)</f>
        <v>0.83153079758746795</v>
      </c>
      <c r="K90" s="24">
        <f>($I$112+40*($P$8-0.5))/($I$112+$I$161)</f>
        <v>0.83461664961670445</v>
      </c>
      <c r="L90" s="24">
        <f>($I$113+40*($P$9-0.5))/($I$113+$I$161)</f>
        <v>0.81100480934461339</v>
      </c>
      <c r="M90" s="24">
        <f>($I$114+40*($P$9-0.5))/($I$114+$I$161)</f>
        <v>0.75492561462456753</v>
      </c>
      <c r="N90" s="24">
        <f>($I$115+40*($P$9-0.5))/($I$115+$I$161)</f>
        <v>0.81661268585221458</v>
      </c>
      <c r="O90" s="24">
        <f>($I$116+40*($P$9-0.5))/($I$116+$I$161)</f>
        <v>0.80477288685326454</v>
      </c>
      <c r="P90" s="24">
        <f>($I$117+40*($P$10-0.5))/($I$117+$I$161)</f>
        <v>0.82387955147468894</v>
      </c>
      <c r="Q90" s="24">
        <f>($I$118+40*($P$10-0.5))/($I$118+$I$161)</f>
        <v>0.8105016607727964</v>
      </c>
      <c r="R90" s="24">
        <f>($I$119+40*($P$10-0.5))/($I$119+$I$161)</f>
        <v>0.82503388636630348</v>
      </c>
      <c r="S90" s="24">
        <f>($I$120+40*($P$10-0.5))/($I$120+$I$161)</f>
        <v>0.81969083430301781</v>
      </c>
      <c r="T90" s="24">
        <f>($I$121+40*($P$11-0.5))/($I$121+$I$161)</f>
        <v>0.80742551504060633</v>
      </c>
      <c r="U90" s="24">
        <f>($I$122+40*($P$11-0.5))/($I$122+$I$161)</f>
        <v>0.80689168378820264</v>
      </c>
      <c r="V90" s="24">
        <f>($I$123+40*($P$11-0.5))/($I$123+$I$161)</f>
        <v>0.81865940208494825</v>
      </c>
      <c r="W90" s="24">
        <f>($I$124+40*($P$11-0.5))/($I$124+$I$161)</f>
        <v>0.8099366939842656</v>
      </c>
      <c r="X90" s="24">
        <f>($I$125+40*($P$12-0.5))/($I$125+$I$161)</f>
        <v>0.79280288430472845</v>
      </c>
      <c r="Y90" s="24">
        <f>($I$126+40*($P$12-0.5))/($I$126+$I$161)</f>
        <v>0.78485444997898468</v>
      </c>
      <c r="Z90" s="24">
        <f>($I$127+40*($P$12-0.5))/($I$127+$I$161)</f>
        <v>0.79416491848485538</v>
      </c>
      <c r="AA90" s="24">
        <f>($I$128+40*($P$12-0.5))/($I$128+$I$161)</f>
        <v>0.78745601825875922</v>
      </c>
      <c r="AB90" s="24">
        <f>($I$129+40*($P$13-0.5))/($I$129+$I$161)</f>
        <v>0.85998878699228665</v>
      </c>
      <c r="AC90" s="24">
        <f>($I$130+40*($P$13-0.5))/($I$130+$I$161)</f>
        <v>0.85182036362501901</v>
      </c>
      <c r="AD90" s="24">
        <f>($I$131+40*($P$13-0.5))/($I$131+$I$161)</f>
        <v>0.84832778373305939</v>
      </c>
      <c r="AE90" s="24">
        <f>($I$132+40*($P$13-0.5))/($I$132+$I$161)</f>
        <v>0.85609371356483766</v>
      </c>
      <c r="AF90" s="24">
        <f>($I$133+40*($P$14-0.5))/($I$133+$I$161)</f>
        <v>0.7988362739256939</v>
      </c>
      <c r="AG90" s="24">
        <f>($I$134+40*($P$14-0.5))/($I$134+$I$161)</f>
        <v>0.81658404012348784</v>
      </c>
      <c r="AH90" s="24">
        <f>($I$135+40*($P$14-0.5))/($I$135+$I$161)</f>
        <v>0.80704058168941806</v>
      </c>
      <c r="AI90" s="24">
        <f>($I$136+40*($P$14-0.5))/($I$136+$I$161)</f>
        <v>0.80319766780413704</v>
      </c>
      <c r="AJ90" s="24">
        <f>($I$137+40*($P$15-0.5))/($I$137+$I$161)</f>
        <v>0.79451304841202897</v>
      </c>
      <c r="AK90" s="24">
        <f>($I$138+40*($P$15-0.5))/($I$138+$I$161)</f>
        <v>0.78974333964366439</v>
      </c>
      <c r="AL90" s="24">
        <f>($I$139+40*($P$15-0.5))/($I$139+$I$161)</f>
        <v>0.78595506411233307</v>
      </c>
      <c r="AM90" s="24">
        <f>($I$140+40*($P$15-0.5))/($I$140+$I$161)</f>
        <v>0.79531161735798783</v>
      </c>
      <c r="AN90" s="24">
        <f>($I$141+40*($P$16-0.5))/($I$141+$I$161)</f>
        <v>0.8453971629822058</v>
      </c>
      <c r="AO90" s="24">
        <f>($I$142+40*($P$16-0.5))/($I$142+$I$161)</f>
        <v>0.84786567296014914</v>
      </c>
      <c r="AP90" s="24">
        <f>($I$143+40*($P$16-0.5))/($I$143+$I$161)</f>
        <v>0.84589618521164345</v>
      </c>
      <c r="AQ90" s="24">
        <f>($I$144+40*($P$16-0.5))/($I$144+$I$161)</f>
        <v>0.85109355796287511</v>
      </c>
      <c r="AR90" s="24">
        <f>($I$145+40*($P$17-0.5))/($I$145+$I$161)</f>
        <v>0.84859611797096335</v>
      </c>
      <c r="AS90" s="24">
        <f>($I$146+40*($P$17-0.5))/($I$146+$I$161)</f>
        <v>0.84226426978114921</v>
      </c>
      <c r="AT90" s="24">
        <f>($I$147+40*($P$17-0.5))/($I$147+$I$161)</f>
        <v>0.84768308280782179</v>
      </c>
      <c r="AU90" s="24">
        <f>($I$148+40*($P$17-0.5))/($I$148+$I$161)</f>
        <v>0.84645815123762735</v>
      </c>
      <c r="AV90" s="24">
        <f>($I$149+40*($P$18-0.5))/($I$149+$I$161)</f>
        <v>0.73638453110201962</v>
      </c>
      <c r="AW90" s="24">
        <f>($I$150+40*($P$18-0.5))/($I$150+$I$161)</f>
        <v>0.73265484576190221</v>
      </c>
      <c r="AX90" s="24">
        <f>($I$151+40*($P$18-0.5))/($I$151+$I$161)</f>
        <v>0.7384979220436626</v>
      </c>
      <c r="AY90" s="24">
        <f>($I$152+40*($P$18-0.5))/($I$152+$I$161)</f>
        <v>0.73580862577463013</v>
      </c>
      <c r="AZ90" s="24">
        <f>($I$153+40*($P$19-0.5))/($I$153+$I$161)</f>
        <v>0.72935359949236667</v>
      </c>
      <c r="BA90" s="24">
        <f>($I$154+40*($P$19-0.5))/($I$154+$I$161)</f>
        <v>0.73576176356944301</v>
      </c>
      <c r="BB90" s="24">
        <f>($I$155+40*($P$19-0.5))/($I$155+$I$161)</f>
        <v>0.71397925743600976</v>
      </c>
      <c r="BC90" s="24">
        <f>($I$156+40*($P$19-0.5))/($I$156+$I$161)</f>
        <v>0.70851996950612095</v>
      </c>
      <c r="BD90" s="24">
        <f>($I$157+40*($P$20-0.5))/($I$157+$I$161)</f>
        <v>0.71282157972880511</v>
      </c>
      <c r="BE90" s="24">
        <f>($I$158+40*($P$20-0.5))/($I$158+$I$161)</f>
        <v>0.67377382844800282</v>
      </c>
      <c r="BF90" s="24">
        <f>($I$159+40*($P$20-0.5))/($I$159+$I$161)</f>
        <v>0.68544175688355957</v>
      </c>
      <c r="BG90" s="24">
        <f>($I$160+40*($P$20-0.5))/($I$160+$I$161)</f>
        <v>0.68958717388752766</v>
      </c>
      <c r="BH90" s="3">
        <v>0</v>
      </c>
      <c r="BI90" s="24">
        <f>($I$161+40*($P$21-0.5))/($I$161+$I$162)</f>
        <v>0.51431055538260684</v>
      </c>
      <c r="BJ90" s="24">
        <f>($I$161+40*($P$21-0.5))/($I$161+$I$163)</f>
        <v>0.52021366301467487</v>
      </c>
      <c r="BK90" s="24">
        <f>($I$161+40*($P$21-0.5))/($I$161+$I$164)</f>
        <v>0.52613935598773376</v>
      </c>
      <c r="BL90" s="24">
        <f>($I$161+40*($Q$21-0.5))/($I$161+$I$165)</f>
        <v>0.65724132202920993</v>
      </c>
      <c r="BM90" s="24">
        <f>($I$161+40*($Q$21-0.5))/($I$161+$I$166)</f>
        <v>0.63898065144861382</v>
      </c>
      <c r="BN90" s="24">
        <f>($I$161+40*($Q$7-0.5))/($I$161+$I$167)</f>
        <v>0.89853155873298696</v>
      </c>
      <c r="BO90" s="24">
        <f>($I$161+40*($Q$21-0.5))/($I$161+$I$168)</f>
        <v>0.6529504171487428</v>
      </c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  <c r="JD90" s="40"/>
      <c r="JE90" s="40"/>
      <c r="JF90" s="40"/>
      <c r="JG90" s="40"/>
      <c r="JH90" s="40"/>
      <c r="JI90" s="40"/>
      <c r="JJ90" s="40"/>
      <c r="JK90" s="40"/>
      <c r="JL90" s="40"/>
      <c r="JM90" s="40"/>
      <c r="JN90" s="40"/>
      <c r="JO90" s="40"/>
      <c r="JP90" s="40"/>
      <c r="JQ90" s="40"/>
      <c r="JR90" s="40"/>
      <c r="JS90" s="40"/>
      <c r="JT90" s="40"/>
      <c r="JU90" s="40"/>
      <c r="JV90" s="40"/>
      <c r="JW90" s="40"/>
      <c r="JX90" s="40"/>
      <c r="JY90" s="40"/>
      <c r="JZ90" s="40"/>
      <c r="KA90" s="40"/>
      <c r="KB90" s="40"/>
      <c r="KC90" s="40"/>
      <c r="KD90" s="40"/>
      <c r="KE90" s="40"/>
      <c r="KF90" s="40"/>
      <c r="KG90" s="40"/>
      <c r="KH90" s="40"/>
      <c r="KI90" s="40"/>
      <c r="KJ90" s="40"/>
      <c r="KK90" s="40"/>
      <c r="KL90" s="40"/>
      <c r="KM90" s="40"/>
      <c r="KN90" s="40"/>
      <c r="KO90" s="40"/>
      <c r="KP90" s="40"/>
      <c r="KQ90" s="40"/>
      <c r="KR90" s="40"/>
      <c r="KS90" s="40"/>
      <c r="KT90" s="40"/>
      <c r="KU90" s="40"/>
      <c r="KV90" s="40"/>
      <c r="KW90" s="40"/>
      <c r="KX90" s="40"/>
      <c r="KY90" s="40"/>
      <c r="KZ90" s="40"/>
      <c r="LA90" s="40"/>
      <c r="LB90" s="40"/>
      <c r="LC90" s="40"/>
      <c r="LD90" s="40"/>
      <c r="LE90" s="40"/>
      <c r="LF90" s="40"/>
      <c r="LG90" s="40"/>
      <c r="LH90" s="40"/>
      <c r="LI90" s="40"/>
      <c r="LJ90" s="40"/>
      <c r="LK90" s="40"/>
      <c r="LL90" s="40"/>
      <c r="LM90" s="40"/>
      <c r="LN90" s="40"/>
      <c r="LO90" s="40"/>
      <c r="LP90" s="40"/>
      <c r="LQ90" s="40"/>
      <c r="LR90" s="40"/>
      <c r="LS90" s="40"/>
      <c r="LT90" s="40"/>
      <c r="LU90" s="40"/>
      <c r="LV90" s="40"/>
      <c r="LW90" s="40"/>
      <c r="LX90" s="40"/>
      <c r="LY90" s="40"/>
      <c r="LZ90" s="40"/>
      <c r="MA90" s="40"/>
      <c r="MB90" s="40"/>
      <c r="MC90" s="40"/>
      <c r="MD90" s="40"/>
      <c r="ME90" s="40"/>
      <c r="MF90" s="40"/>
      <c r="MG90" s="40"/>
      <c r="MH90" s="40"/>
      <c r="MI90" s="40"/>
      <c r="MJ90" s="40"/>
      <c r="MK90" s="40"/>
      <c r="ML90" s="40"/>
      <c r="MM90" s="40"/>
      <c r="MN90" s="40"/>
      <c r="MO90" s="40"/>
      <c r="MP90" s="40"/>
      <c r="MQ90" s="40"/>
      <c r="MR90" s="40"/>
      <c r="MS90" s="40"/>
      <c r="MT90" s="40"/>
    </row>
    <row r="91" spans="1:358" x14ac:dyDescent="0.25">
      <c r="A91" t="str">
        <f>$A$162</f>
        <v>American</v>
      </c>
      <c r="B91" s="54"/>
      <c r="C91" s="3">
        <v>58</v>
      </c>
      <c r="D91" s="24">
        <f>($I$105+40*($P$7-0.5))/($I$105+$I$162)</f>
        <v>0.88434303094454536</v>
      </c>
      <c r="E91" s="24">
        <f>($I$106+40*($P$7-0.5))/($I$106+$I$162)</f>
        <v>0.88326357665172461</v>
      </c>
      <c r="F91" s="24">
        <f>($I$107+40*($P$7-0.5))/($I$107+$I$162)</f>
        <v>0.8889297192885538</v>
      </c>
      <c r="G91" s="24">
        <f>($I$108+40*($P$7-0.5))/($I$108+$I$162)</f>
        <v>0.87268437568994772</v>
      </c>
      <c r="H91" s="24">
        <f>($I$109+40*($P$8-0.5))/($I$109+$I$162)</f>
        <v>0.84976937497449467</v>
      </c>
      <c r="I91" s="24">
        <f>($I$110+40*($P$8-0.5))/($I$110+$I$162)</f>
        <v>0.84804910396565525</v>
      </c>
      <c r="J91" s="24">
        <f>($I$111+40*($P$8-0.5))/($I$111+$I$162)</f>
        <v>0.85017426330974455</v>
      </c>
      <c r="K91" s="24">
        <f>($I$112+40*($P$8-0.5))/($I$112+$I$162)</f>
        <v>0.85297900128602777</v>
      </c>
      <c r="L91" s="24">
        <f>($I$113+40*($P$9-0.5))/($I$113+$I$162)</f>
        <v>0.82866950727005495</v>
      </c>
      <c r="M91" s="24">
        <f>($I$114+40*($P$9-0.5))/($I$114+$I$162)</f>
        <v>0.77638662026032823</v>
      </c>
      <c r="N91" s="24">
        <f>($I$115+40*($P$9-0.5))/($I$115+$I$162)</f>
        <v>0.83386061078995033</v>
      </c>
      <c r="O91" s="24">
        <f>($I$116+40*($P$9-0.5))/($I$116+$I$162)</f>
        <v>0.82289285917836608</v>
      </c>
      <c r="P91" s="24">
        <f>($I$117+40*($P$10-0.5))/($I$117+$I$162)</f>
        <v>0.84253145459213419</v>
      </c>
      <c r="Q91" s="24">
        <f>($I$118+40*($P$10-0.5))/($I$118+$I$162)</f>
        <v>0.83027847955692935</v>
      </c>
      <c r="R91" s="24">
        <f>($I$119+40*($P$10-0.5))/($I$119+$I$162)</f>
        <v>0.84358674944279399</v>
      </c>
      <c r="S91" s="24">
        <f>($I$120+40*($P$10-0.5))/($I$120+$I$162)</f>
        <v>0.83869949103039354</v>
      </c>
      <c r="T91" s="24">
        <f>($I$121+40*($P$11-0.5))/($I$121+$I$162)</f>
        <v>0.82634565027639495</v>
      </c>
      <c r="U91" s="24">
        <f>($I$122+40*($P$11-0.5))/($I$122+$I$162)</f>
        <v>0.82585295499381617</v>
      </c>
      <c r="V91" s="24">
        <f>($I$123+40*($P$11-0.5))/($I$123+$I$162)</f>
        <v>0.83669905034285719</v>
      </c>
      <c r="W91" s="24">
        <f>($I$124+40*($P$11-0.5))/($I$124+$I$162)</f>
        <v>0.82866246430554491</v>
      </c>
      <c r="X91" s="24">
        <f>($I$125+40*($P$12-0.5))/($I$125+$I$162)</f>
        <v>0.81128812757278568</v>
      </c>
      <c r="Y91" s="24">
        <f>($I$126+40*($P$12-0.5))/($I$126+$I$162)</f>
        <v>0.80387339251200618</v>
      </c>
      <c r="Z91" s="24">
        <f>($I$127+40*($P$12-0.5))/($I$127+$I$162)</f>
        <v>0.81255737667050099</v>
      </c>
      <c r="AA91" s="24">
        <f>($I$128+40*($P$12-0.5))/($I$128+$I$162)</f>
        <v>0.80630173907325287</v>
      </c>
      <c r="AB91" s="24">
        <f>($I$129+40*($P$13-0.5))/($I$129+$I$162)</f>
        <v>0.87865659984836908</v>
      </c>
      <c r="AC91" s="24">
        <f>($I$130+40*($P$13-0.5))/($I$130+$I$162)</f>
        <v>0.87141443654715001</v>
      </c>
      <c r="AD91" s="24">
        <f>($I$131+40*($P$13-0.5))/($I$131+$I$162)</f>
        <v>0.86831229011613487</v>
      </c>
      <c r="AE91" s="24">
        <f>($I$132+40*($P$13-0.5))/($I$132+$I$162)</f>
        <v>0.87520549844345874</v>
      </c>
      <c r="AF91" s="24">
        <f>($I$133+40*($P$14-0.5))/($I$133+$I$162)</f>
        <v>0.81788249073634567</v>
      </c>
      <c r="AG91" s="24">
        <f>($I$134+40*($P$14-0.5))/($I$134+$I$162)</f>
        <v>0.83429845050455786</v>
      </c>
      <c r="AH91" s="24">
        <f>($I$135+40*($P$14-0.5))/($I$135+$I$162)</f>
        <v>0.82547971605184567</v>
      </c>
      <c r="AI91" s="24">
        <f>($I$136+40*($P$14-0.5))/($I$136+$I$162)</f>
        <v>0.82192299933053203</v>
      </c>
      <c r="AJ91" s="24">
        <f>($I$137+40*($P$15-0.5))/($I$137+$I$162)</f>
        <v>0.81288172871898268</v>
      </c>
      <c r="AK91" s="24">
        <f>($I$138+40*($P$15-0.5))/($I$138+$I$162)</f>
        <v>0.80843558741940014</v>
      </c>
      <c r="AL91" s="24">
        <f>($I$139+40*($P$15-0.5))/($I$139+$I$162)</f>
        <v>0.80490089747655447</v>
      </c>
      <c r="AM91" s="24">
        <f>($I$140+40*($P$15-0.5))/($I$140+$I$162)</f>
        <v>0.81362565803669107</v>
      </c>
      <c r="AN91" s="24">
        <f>($I$141+40*($P$16-0.5))/($I$141+$I$162)</f>
        <v>0.86570668368706305</v>
      </c>
      <c r="AO91" s="24">
        <f>($I$142+40*($P$16-0.5))/($I$142+$I$162)</f>
        <v>0.86790158630307768</v>
      </c>
      <c r="AP91" s="24">
        <f>($I$143+40*($P$16-0.5))/($I$143+$I$162)</f>
        <v>0.86615053053603575</v>
      </c>
      <c r="AQ91" s="24">
        <f>($I$144+40*($P$16-0.5))/($I$144+$I$162)</f>
        <v>0.87076915726113702</v>
      </c>
      <c r="AR91" s="24">
        <f>($I$145+40*($P$17-0.5))/($I$145+$I$162)</f>
        <v>0.868550746777631</v>
      </c>
      <c r="AS91" s="24">
        <f>($I$146+40*($P$17-0.5))/($I$146+$I$162)</f>
        <v>0.86291861166572037</v>
      </c>
      <c r="AT91" s="24">
        <f>($I$147+40*($P$17-0.5))/($I$147+$I$162)</f>
        <v>0.86773929192251054</v>
      </c>
      <c r="AU91" s="24">
        <f>($I$148+40*($P$17-0.5))/($I$148+$I$162)</f>
        <v>0.86665027928436178</v>
      </c>
      <c r="AV91" s="24">
        <f>($I$149+40*($P$18-0.5))/($I$149+$I$162)</f>
        <v>0.75631433419793748</v>
      </c>
      <c r="AW91" s="24">
        <f>($I$150+40*($P$18-0.5))/($I$150+$I$162)</f>
        <v>0.752771953037352</v>
      </c>
      <c r="AX91" s="24">
        <f>($I$151+40*($P$18-0.5))/($I$151+$I$162)</f>
        <v>0.75832038713196814</v>
      </c>
      <c r="AY91" s="24">
        <f>($I$152+40*($P$18-0.5))/($I$152+$I$162)</f>
        <v>0.75576752785700496</v>
      </c>
      <c r="AZ91" s="24">
        <f>($I$153+40*($P$19-0.5))/($I$153+$I$162)</f>
        <v>0.74872816546420351</v>
      </c>
      <c r="BA91" s="24">
        <f>($I$154+40*($P$19-0.5))/($I$154+$I$162)</f>
        <v>0.75483179475816364</v>
      </c>
      <c r="BB91" s="24">
        <f>($I$155+40*($P$19-0.5))/($I$155+$I$162)</f>
        <v>0.7340531023426341</v>
      </c>
      <c r="BC91" s="24">
        <f>($I$156+40*($P$20-0.5))/($I$156+$I$162)</f>
        <v>0.69620908243765611</v>
      </c>
      <c r="BD91" s="24">
        <f>($I$157+40*($P$20-0.5))/($I$157+$I$162)</f>
        <v>0.73092141245387232</v>
      </c>
      <c r="BE91" s="24">
        <f>($I$158+40*($P$20-0.5))/($I$158+$I$162)</f>
        <v>0.6932757258774993</v>
      </c>
      <c r="BF91" s="24">
        <f>($I$159+40*($P$20-0.5))/($I$159+$I$162)</f>
        <v>0.70455199931003931</v>
      </c>
      <c r="BG91" s="24">
        <f>($I$160+40*($P$21-0.5))/($I$160+$I$162)</f>
        <v>0.53329025699956079</v>
      </c>
      <c r="BH91" s="24">
        <f>($I$161+40*($P$21-0.5))/($I$161+$I$162)</f>
        <v>0.51431055538260684</v>
      </c>
      <c r="BI91" s="61">
        <v>0</v>
      </c>
      <c r="BJ91" s="24">
        <f>($I$162+40*($P$21-0.5))/($I$162+$I$163)</f>
        <v>0.50590994588255966</v>
      </c>
      <c r="BK91" s="24">
        <f>($I$162+40*($P$21-0.5))/($I$162+$I$164)</f>
        <v>0.51184652626391547</v>
      </c>
      <c r="BL91" s="24">
        <f>($I$162+40*($Q$21-0.5))/($I$162+$I$165)</f>
        <v>0.64682956774786637</v>
      </c>
      <c r="BM91" s="24">
        <f>($I$162+40*($Q$21-0.5))/($I$162+$I$166)</f>
        <v>0.62832788515526228</v>
      </c>
      <c r="BN91" s="24">
        <f>($I$162+40*($Q$7-0.5))/($I$162+$I$167)</f>
        <v>0.89532697302953301</v>
      </c>
      <c r="BO91" s="24">
        <f>($I$162+40*($Q$21-0.5))/($I$162+$I$168)</f>
        <v>0.64247922325183493</v>
      </c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  <c r="JD91" s="40"/>
      <c r="JE91" s="40"/>
      <c r="JF91" s="40"/>
      <c r="JG91" s="40"/>
      <c r="JH91" s="40"/>
      <c r="JI91" s="40"/>
      <c r="JJ91" s="40"/>
      <c r="JK91" s="40"/>
      <c r="JL91" s="40"/>
      <c r="JM91" s="40"/>
      <c r="JN91" s="40"/>
      <c r="JO91" s="40"/>
      <c r="JP91" s="40"/>
      <c r="JQ91" s="40"/>
      <c r="JR91" s="40"/>
      <c r="JS91" s="40"/>
      <c r="JT91" s="40"/>
      <c r="JU91" s="40"/>
      <c r="JV91" s="40"/>
      <c r="JW91" s="40"/>
      <c r="JX91" s="40"/>
      <c r="JY91" s="40"/>
      <c r="JZ91" s="40"/>
      <c r="KA91" s="40"/>
      <c r="KB91" s="40"/>
      <c r="KC91" s="40"/>
      <c r="KD91" s="40"/>
      <c r="KE91" s="40"/>
      <c r="KF91" s="40"/>
      <c r="KG91" s="40"/>
      <c r="KH91" s="40"/>
      <c r="KI91" s="40"/>
      <c r="KJ91" s="40"/>
      <c r="KK91" s="40"/>
      <c r="KL91" s="40"/>
      <c r="KM91" s="40"/>
      <c r="KN91" s="40"/>
      <c r="KO91" s="40"/>
      <c r="KP91" s="40"/>
      <c r="KQ91" s="40"/>
      <c r="KR91" s="40"/>
      <c r="KS91" s="40"/>
      <c r="KT91" s="40"/>
      <c r="KU91" s="40"/>
      <c r="KV91" s="40"/>
      <c r="KW91" s="40"/>
      <c r="KX91" s="40"/>
      <c r="KY91" s="40"/>
      <c r="KZ91" s="40"/>
      <c r="LA91" s="40"/>
      <c r="LB91" s="40"/>
      <c r="LC91" s="40"/>
      <c r="LD91" s="40"/>
      <c r="LE91" s="40"/>
      <c r="LF91" s="40"/>
      <c r="LG91" s="40"/>
      <c r="LH91" s="40"/>
      <c r="LI91" s="40"/>
      <c r="LJ91" s="40"/>
      <c r="LK91" s="40"/>
      <c r="LL91" s="40"/>
      <c r="LM91" s="40"/>
      <c r="LN91" s="40"/>
      <c r="LO91" s="40"/>
      <c r="LP91" s="40"/>
      <c r="LQ91" s="40"/>
      <c r="LR91" s="40"/>
      <c r="LS91" s="40"/>
      <c r="LT91" s="40"/>
      <c r="LU91" s="40"/>
      <c r="LV91" s="40"/>
      <c r="LW91" s="40"/>
      <c r="LX91" s="40"/>
      <c r="LY91" s="40"/>
      <c r="LZ91" s="40"/>
      <c r="MA91" s="40"/>
      <c r="MB91" s="40"/>
      <c r="MC91" s="40"/>
      <c r="MD91" s="40"/>
      <c r="ME91" s="40"/>
      <c r="MF91" s="40"/>
      <c r="MG91" s="40"/>
      <c r="MH91" s="40"/>
      <c r="MI91" s="40"/>
      <c r="MJ91" s="40"/>
      <c r="MK91" s="40"/>
      <c r="ML91" s="40"/>
      <c r="MM91" s="40"/>
      <c r="MN91" s="40"/>
      <c r="MO91" s="40"/>
      <c r="MP91" s="40"/>
      <c r="MQ91" s="40"/>
      <c r="MR91" s="40"/>
      <c r="MS91" s="40"/>
      <c r="MT91" s="40"/>
    </row>
    <row r="92" spans="1:358" x14ac:dyDescent="0.25">
      <c r="A92" t="str">
        <f>$A$163</f>
        <v>Wofford</v>
      </c>
      <c r="B92" s="54"/>
      <c r="C92" s="3">
        <v>59</v>
      </c>
      <c r="D92" s="24">
        <f>($I$105+40*($P$7-0.5))/($I$105+$I$163)</f>
        <v>0.891657228631898</v>
      </c>
      <c r="E92" s="24">
        <f>($I$106+40*($P$7-0.5))/($I$106+$I$163)</f>
        <v>0.89063759748318394</v>
      </c>
      <c r="F92" s="24">
        <f>($I$107+40*($P$7-0.5))/($I$107+$I$163)</f>
        <v>0.8959879686922847</v>
      </c>
      <c r="G92" s="24">
        <f>($I$108+40*($P$7-0.5))/($I$108+$I$163)</f>
        <v>0.88063635547214825</v>
      </c>
      <c r="H92" s="24">
        <f>($I$109+40*($P$8-0.5))/($I$109+$I$163)</f>
        <v>0.85741164187480301</v>
      </c>
      <c r="I92" s="24">
        <f>($I$110+40*($P$8-0.5))/($I$110+$I$163)</f>
        <v>0.85576402780570049</v>
      </c>
      <c r="J92" s="24">
        <f>($I$111+40*($P$8-0.5))/($I$111+$I$163)</f>
        <v>0.85779938011373114</v>
      </c>
      <c r="K92" s="24">
        <f>($I$112+40*($P$8-0.5))/($I$112+$I$163)</f>
        <v>0.8604848001575498</v>
      </c>
      <c r="L92" s="24">
        <f>($I$113+40*($P$9-0.5))/($I$113+$I$163)</f>
        <v>0.83588794661227739</v>
      </c>
      <c r="M92" s="24">
        <f>($I$114+40*($P$9-0.5))/($I$114+$I$163)</f>
        <v>0.78523694270834088</v>
      </c>
      <c r="N92" s="24">
        <f>($I$115+40*($P$9-0.5))/($I$115+$I$163)</f>
        <v>0.84090233076085674</v>
      </c>
      <c r="O92" s="24">
        <f>($I$116+40*($P$9-0.5))/($I$116+$I$163)</f>
        <v>0.83030483895370288</v>
      </c>
      <c r="P92" s="24">
        <f>($I$117+40*($P$10-0.5))/($I$117+$I$163)</f>
        <v>0.85016231909903683</v>
      </c>
      <c r="Q92" s="24">
        <f>($I$118+40*($P$10-0.5))/($I$118+$I$163)</f>
        <v>0.83838922320665787</v>
      </c>
      <c r="R92" s="24">
        <f>($I$119+40*($P$10-0.5))/($I$119+$I$163)</f>
        <v>0.85117550797982067</v>
      </c>
      <c r="S92" s="24">
        <f>($I$120+40*($P$10-0.5))/($I$120+$I$163)</f>
        <v>0.84648221540320878</v>
      </c>
      <c r="T92" s="24">
        <f>($I$121+40*($P$11-0.5))/($I$121+$I$163)</f>
        <v>0.83409472060436018</v>
      </c>
      <c r="U92" s="24">
        <f>($I$122+40*($P$11-0.5))/($I$122+$I$163)</f>
        <v>0.83361958439758044</v>
      </c>
      <c r="V92" s="24">
        <f>($I$123+40*($P$11-0.5))/($I$123+$I$163)</f>
        <v>0.84407329315540058</v>
      </c>
      <c r="W92" s="24">
        <f>($I$124+40*($P$11-0.5))/($I$124+$I$163)</f>
        <v>0.83632862719861711</v>
      </c>
      <c r="X92" s="24">
        <f>($I$125+40*($P$12-0.5))/($I$125+$I$163)</f>
        <v>0.81885786713258057</v>
      </c>
      <c r="Y92" s="24">
        <f>($I$126+40*($P$12-0.5))/($I$126+$I$163)</f>
        <v>0.81167151421436756</v>
      </c>
      <c r="Z92" s="24">
        <f>($I$127+40*($P$12-0.5))/($I$127+$I$163)</f>
        <v>0.82008749378580903</v>
      </c>
      <c r="AA92" s="24">
        <f>($I$128+40*($P$12-0.5))/($I$128+$I$163)</f>
        <v>0.81402564537697053</v>
      </c>
      <c r="AB92" s="24">
        <f>($I$129+40*($P$13-0.5))/($I$129+$I$163)</f>
        <v>0.88628416813200139</v>
      </c>
      <c r="AC92" s="24">
        <f>($I$130+40*($P$13-0.5))/($I$130+$I$163)</f>
        <v>0.87943477693790428</v>
      </c>
      <c r="AD92" s="24">
        <f>($I$131+40*($P$13-0.5))/($I$131+$I$163)</f>
        <v>0.87649869978315675</v>
      </c>
      <c r="AE92" s="24">
        <f>($I$132+40*($P$13-0.5))/($I$132+$I$163)</f>
        <v>0.88302111949968032</v>
      </c>
      <c r="AF92" s="24">
        <f>($I$133+40*($P$14-0.5))/($I$133+$I$163)</f>
        <v>0.825687603353911</v>
      </c>
      <c r="AG92" s="24">
        <f>($I$134+40*($P$14-0.5))/($I$134+$I$163)</f>
        <v>0.84153632661249578</v>
      </c>
      <c r="AH92" s="24">
        <f>($I$135+40*($P$14-0.5))/($I$135+$I$163)</f>
        <v>0.83302570248167718</v>
      </c>
      <c r="AI92" s="24">
        <f>($I$136+40*($P$14-0.5))/($I$136+$I$163)</f>
        <v>0.82959102547453112</v>
      </c>
      <c r="AJ92" s="24">
        <f>($I$137+40*($P$15-0.5))/($I$137+$I$163)</f>
        <v>0.82040169570407262</v>
      </c>
      <c r="AK92" s="24">
        <f>($I$138+40*($P$15-0.5))/($I$138+$I$163)</f>
        <v>0.81609381212530818</v>
      </c>
      <c r="AL92" s="24">
        <f>($I$139+40*($P$15-0.5))/($I$139+$I$163)</f>
        <v>0.81266768547142776</v>
      </c>
      <c r="AM92" s="24">
        <f>($I$140+40*($P$15-0.5))/($I$140+$I$163)</f>
        <v>0.82112230676545817</v>
      </c>
      <c r="AN92" s="24">
        <f>($I$141+40*($P$16-0.5))/($I$141+$I$163)</f>
        <v>0.87403157308805224</v>
      </c>
      <c r="AO92" s="24">
        <f>($I$142+40*($P$16-0.5))/($I$142+$I$163)</f>
        <v>0.87610988468764395</v>
      </c>
      <c r="AP92" s="24">
        <f>($I$143+40*($P$16-0.5))/($I$143+$I$163)</f>
        <v>0.87445189593424855</v>
      </c>
      <c r="AQ92" s="24">
        <f>($I$144+40*($P$16-0.5))/($I$144+$I$163)</f>
        <v>0.87882414922525265</v>
      </c>
      <c r="AR92" s="24">
        <f>($I$145+40*($P$17-0.5))/($I$145+$I$163)</f>
        <v>0.87672443725560545</v>
      </c>
      <c r="AS92" s="24">
        <f>($I$146+40*($P$17-0.5))/($I$146+$I$163)</f>
        <v>0.87139065847711838</v>
      </c>
      <c r="AT92" s="24">
        <f>($I$147+40*($P$17-0.5))/($I$147+$I$163)</f>
        <v>0.87595623358477082</v>
      </c>
      <c r="AU92" s="24">
        <f>($I$148+40*($P$17-0.5))/($I$148+$I$163)</f>
        <v>0.87492512588898108</v>
      </c>
      <c r="AV92" s="24">
        <f>($I$149+40*($P$18-0.5))/($I$149+$I$163)</f>
        <v>0.76451781992378753</v>
      </c>
      <c r="AW92" s="24">
        <f>($I$150+40*($P$18-0.5))/($I$150+$I$163)</f>
        <v>0.76105701502047018</v>
      </c>
      <c r="AX92" s="24">
        <f>($I$151+40*($P$18-0.5))/($I$151+$I$163)</f>
        <v>0.76647719219220545</v>
      </c>
      <c r="AY92" s="24">
        <f>($I$152+40*($P$18-0.5))/($I$152+$I$163)</f>
        <v>0.76398367702642911</v>
      </c>
      <c r="AZ92" s="24">
        <f>($I$153+40*($P$19-0.5))/($I$153+$I$163)</f>
        <v>0.756697621580526</v>
      </c>
      <c r="BA92" s="24">
        <f>($I$154+40*($P$19-0.5))/($I$154+$I$163)</f>
        <v>0.76266902781827861</v>
      </c>
      <c r="BB92" s="24">
        <f>($I$155+40*($P$19-0.5))/($I$155+$I$163)</f>
        <v>0.74232781971655815</v>
      </c>
      <c r="BC92" s="24">
        <f>($I$156+40*($P$19-0.5))/($I$156+$I$163)</f>
        <v>0.73721046643758792</v>
      </c>
      <c r="BD92" s="24">
        <f>($I$157+40*($P$20-0.5))/($I$157+$I$163)</f>
        <v>0.73835453221864822</v>
      </c>
      <c r="BE92" s="24">
        <f>($I$158+40*($P$20-0.5))/($I$158+$I$163)</f>
        <v>0.70132383380148511</v>
      </c>
      <c r="BF92" s="24">
        <f>($I$159+40*($P$20-0.5))/($I$159+$I$163)</f>
        <v>0.71242696096720848</v>
      </c>
      <c r="BG92" s="24">
        <f>($I$160+40*($P$20-0.5))/($I$160+$I$163)</f>
        <v>0.71636391046988257</v>
      </c>
      <c r="BH92" s="24">
        <f>($I$161+40*($P$21-0.5))/($I$161+$I$163)</f>
        <v>0.52021366301467487</v>
      </c>
      <c r="BI92" s="24">
        <f>($I$162+40*($P$21-0.5))/($I$162+$I$163)</f>
        <v>0.50590994588255966</v>
      </c>
      <c r="BJ92" s="3">
        <v>0</v>
      </c>
      <c r="BK92" s="24">
        <f>($I$163+40*($P$21-0.5))/($I$163+$I$164)</f>
        <v>0.50593824338235616</v>
      </c>
      <c r="BL92" s="24">
        <f>($I$163+40*($Q$21-0.5))/($I$163+$I$165)</f>
        <v>0.64252435745880276</v>
      </c>
      <c r="BM92" s="24">
        <f>($I$163+40*($Q$21-0.5))/($I$163+$I$166)</f>
        <v>0.62392826607748697</v>
      </c>
      <c r="BN92" s="24">
        <f>($I$163+40*($Q$7-0.5))/($I$163+$I$167)</f>
        <v>0.89399969941253488</v>
      </c>
      <c r="BO92" s="24">
        <f>($I$163+40*($Q$21-0.5))/($I$163+$I$168)</f>
        <v>0.63815064835314128</v>
      </c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0"/>
      <c r="JG92" s="40"/>
      <c r="JH92" s="40"/>
      <c r="JI92" s="40"/>
      <c r="JJ92" s="40"/>
      <c r="JK92" s="40"/>
      <c r="JL92" s="40"/>
      <c r="JM92" s="40"/>
      <c r="JN92" s="40"/>
      <c r="JO92" s="40"/>
      <c r="JP92" s="40"/>
      <c r="JQ92" s="40"/>
      <c r="JR92" s="40"/>
      <c r="JS92" s="40"/>
      <c r="JT92" s="40"/>
      <c r="JU92" s="40"/>
      <c r="JV92" s="40"/>
      <c r="JW92" s="40"/>
      <c r="JX92" s="40"/>
      <c r="JY92" s="40"/>
      <c r="JZ92" s="40"/>
      <c r="KA92" s="40"/>
      <c r="KB92" s="40"/>
      <c r="KC92" s="40"/>
      <c r="KD92" s="40"/>
      <c r="KE92" s="40"/>
      <c r="KF92" s="40"/>
      <c r="KG92" s="40"/>
      <c r="KH92" s="40"/>
      <c r="KI92" s="40"/>
      <c r="KJ92" s="40"/>
      <c r="KK92" s="40"/>
      <c r="KL92" s="40"/>
      <c r="KM92" s="40"/>
      <c r="KN92" s="40"/>
      <c r="KO92" s="40"/>
      <c r="KP92" s="40"/>
      <c r="KQ92" s="40"/>
      <c r="KR92" s="40"/>
      <c r="KS92" s="40"/>
      <c r="KT92" s="40"/>
      <c r="KU92" s="40"/>
      <c r="KV92" s="40"/>
      <c r="KW92" s="40"/>
      <c r="KX92" s="40"/>
      <c r="KY92" s="40"/>
      <c r="KZ92" s="40"/>
      <c r="LA92" s="40"/>
      <c r="LB92" s="40"/>
      <c r="LC92" s="40"/>
      <c r="LD92" s="40"/>
      <c r="LE92" s="40"/>
      <c r="LF92" s="40"/>
      <c r="LG92" s="40"/>
      <c r="LH92" s="40"/>
      <c r="LI92" s="40"/>
      <c r="LJ92" s="40"/>
      <c r="LK92" s="40"/>
      <c r="LL92" s="40"/>
      <c r="LM92" s="40"/>
      <c r="LN92" s="40"/>
      <c r="LO92" s="40"/>
      <c r="LP92" s="40"/>
      <c r="LQ92" s="40"/>
      <c r="LR92" s="40"/>
      <c r="LS92" s="40"/>
      <c r="LT92" s="40"/>
      <c r="LU92" s="40"/>
      <c r="LV92" s="40"/>
      <c r="LW92" s="40"/>
      <c r="LX92" s="40"/>
      <c r="LY92" s="40"/>
      <c r="LZ92" s="40"/>
      <c r="MA92" s="40"/>
      <c r="MB92" s="40"/>
      <c r="MC92" s="40"/>
      <c r="MD92" s="40"/>
      <c r="ME92" s="40"/>
      <c r="MF92" s="40"/>
      <c r="MG92" s="40"/>
      <c r="MH92" s="40"/>
      <c r="MI92" s="40"/>
      <c r="MJ92" s="40"/>
      <c r="MK92" s="40"/>
      <c r="ML92" s="40"/>
      <c r="MM92" s="40"/>
      <c r="MN92" s="40"/>
      <c r="MO92" s="40"/>
      <c r="MP92" s="40"/>
      <c r="MQ92" s="40"/>
      <c r="MR92" s="40"/>
      <c r="MS92" s="40"/>
      <c r="MT92" s="40"/>
    </row>
    <row r="93" spans="1:358" x14ac:dyDescent="0.25">
      <c r="A93" t="str">
        <f>$A$164</f>
        <v>UW-Milwaukee</v>
      </c>
      <c r="B93" s="54"/>
      <c r="C93" s="3">
        <v>60</v>
      </c>
      <c r="D93" s="24">
        <f>($I$105+40*($P$7-0.5))/($I$105+$I$164)</f>
        <v>0.89895291192005589</v>
      </c>
      <c r="E93" s="24">
        <f>($I$106+40*($P$7-0.5))/($I$106+$I$164)</f>
        <v>0.89799408678809833</v>
      </c>
      <c r="F93" s="24">
        <f>($I$107+40*($P$7-0.5))/($I$107+$I$164)</f>
        <v>0.90302374195709678</v>
      </c>
      <c r="G93" s="24">
        <f>($I$108+40*($P$7-0.5))/($I$108+$I$164)</f>
        <v>0.88858143769277309</v>
      </c>
      <c r="H93" s="24">
        <f>($I$109+40*($P$8-0.5))/($I$109+$I$164)</f>
        <v>0.86504548377529022</v>
      </c>
      <c r="I93" s="24">
        <f>($I$110+40*($P$8-0.5))/($I$110+$I$164)</f>
        <v>0.86347203323731547</v>
      </c>
      <c r="J93" s="24">
        <f>($I$111+40*($P$8-0.5))/($I$111+$I$164)</f>
        <v>0.86541572181730009</v>
      </c>
      <c r="K93" s="24">
        <f>($I$112+40*($P$8-0.5))/($I$112+$I$164)</f>
        <v>0.86797944602394173</v>
      </c>
      <c r="L93" s="24">
        <f>($I$113+40*($P$9-0.5))/($I$113+$I$164)</f>
        <v>0.84309439445000867</v>
      </c>
      <c r="M93" s="24">
        <f>($I$114+40*($P$9-0.5))/($I$114+$I$164)</f>
        <v>0.79411974794795726</v>
      </c>
      <c r="N93" s="24">
        <f>($I$115+40*($P$9-0.5))/($I$115+$I$164)</f>
        <v>0.84792864698377779</v>
      </c>
      <c r="O93" s="24">
        <f>($I$116+40*($P$9-0.5))/($I$116+$I$164)</f>
        <v>0.83770885120582017</v>
      </c>
      <c r="P93" s="24">
        <f>($I$117+40*($P$10-0.5))/($I$117+$I$164)</f>
        <v>0.85778573353579179</v>
      </c>
      <c r="Q93" s="24">
        <f>($I$118+40*($P$10-0.5))/($I$118+$I$164)</f>
        <v>0.84650347974522477</v>
      </c>
      <c r="R93" s="24">
        <f>($I$119+40*($P$10-0.5))/($I$119+$I$164)</f>
        <v>0.85875593778474724</v>
      </c>
      <c r="S93" s="24">
        <f>($I$120+40*($P$10-0.5))/($I$120+$I$164)</f>
        <v>0.85426076858469824</v>
      </c>
      <c r="T93" s="24">
        <f>($I$121+40*($P$11-0.5))/($I$121+$I$164)</f>
        <v>0.841841141600015</v>
      </c>
      <c r="U93" s="24">
        <f>($I$122+40*($P$11-0.5))/($I$122+$I$164)</f>
        <v>0.84138397155465672</v>
      </c>
      <c r="V93" s="24">
        <f>($I$123+40*($P$11-0.5))/($I$123+$I$164)</f>
        <v>0.85143678242099374</v>
      </c>
      <c r="W93" s="24">
        <f>($I$124+40*($P$11-0.5))/($I$124+$I$164)</f>
        <v>0.8439902523345868</v>
      </c>
      <c r="X93" s="24">
        <f>($I$125+40*($P$12-0.5))/($I$125+$I$164)</f>
        <v>0.82642431415690276</v>
      </c>
      <c r="Y93" s="24">
        <f>($I$126+40*($P$12-0.5))/($I$126+$I$164)</f>
        <v>0.81947196221739826</v>
      </c>
      <c r="Z93" s="24">
        <f>($I$127+40*($P$12-0.5))/($I$127+$I$164)</f>
        <v>0.82761339121873101</v>
      </c>
      <c r="AA93" s="24">
        <f>($I$128+40*($P$12-0.5))/($I$128+$I$164)</f>
        <v>0.82175000003188114</v>
      </c>
      <c r="AB93" s="24">
        <f>($I$129+40*($P$13-0.5))/($I$129+$I$164)</f>
        <v>0.89389861367554846</v>
      </c>
      <c r="AC93" s="24">
        <f>($I$130+40*($P$13-0.5))/($I$130+$I$164)</f>
        <v>0.88744961678730627</v>
      </c>
      <c r="AD93" s="24">
        <f>($I$131+40*($P$13-0.5))/($I$131+$I$164)</f>
        <v>0.88468312836709617</v>
      </c>
      <c r="AE93" s="24">
        <f>($I$132+40*($P$13-0.5))/($I$132+$I$164)</f>
        <v>0.89082714547120445</v>
      </c>
      <c r="AF93" s="24">
        <f>($I$133+40*($P$14-0.5))/($I$133+$I$164)</f>
        <v>0.83349260694903715</v>
      </c>
      <c r="AG93" s="24">
        <f>($I$134+40*($P$14-0.5))/($I$134+$I$164)</f>
        <v>0.84876167112794665</v>
      </c>
      <c r="AH93" s="24">
        <f>($I$135+40*($P$14-0.5))/($I$135+$I$164)</f>
        <v>0.84056558030819872</v>
      </c>
      <c r="AI93" s="24">
        <f>($I$136+40*($P$14-0.5))/($I$136+$I$164)</f>
        <v>0.8372556989242268</v>
      </c>
      <c r="AJ93" s="24">
        <f>($I$137+40*($P$15-0.5))/($I$137+$I$164)</f>
        <v>0.82791720772471511</v>
      </c>
      <c r="AK93" s="24">
        <f>($I$138+40*($P$15-0.5))/($I$138+$I$164)</f>
        <v>0.82375086522043905</v>
      </c>
      <c r="AL93" s="24">
        <f>($I$139+40*($P$15-0.5))/($I$139+$I$164)</f>
        <v>0.82043600070283906</v>
      </c>
      <c r="AM93" s="24">
        <f>($I$140+40*($P$15-0.5))/($I$140+$I$164)</f>
        <v>0.82861396343064342</v>
      </c>
      <c r="AN93" s="24">
        <f>($I$141+40*($P$16-0.5))/($I$141+$I$164)</f>
        <v>0.88235755384064729</v>
      </c>
      <c r="AO93" s="24">
        <f>($I$142+40*($P$16-0.5))/($I$142+$I$164)</f>
        <v>0.8843166792529128</v>
      </c>
      <c r="AP93" s="24">
        <f>($I$143+40*($P$16-0.5))/($I$143+$I$164)</f>
        <v>0.88275382185563378</v>
      </c>
      <c r="AQ93" s="24">
        <f>($I$144+40*($P$16-0.5))/($I$144+$I$164)</f>
        <v>0.88687436026485011</v>
      </c>
      <c r="AR93" s="24">
        <f>($I$145+40*($P$17-0.5))/($I$145+$I$164)</f>
        <v>0.88489587075854093</v>
      </c>
      <c r="AS93" s="24">
        <f>($I$146+40*($P$17-0.5))/($I$146+$I$164)</f>
        <v>0.87986720074320501</v>
      </c>
      <c r="AT93" s="24">
        <f>($I$147+40*($P$17-0.5))/($I$147+$I$164)</f>
        <v>0.88417186075017407</v>
      </c>
      <c r="AU93" s="24">
        <f>($I$148+40*($P$17-0.5))/($I$148+$I$164)</f>
        <v>0.88319993899118066</v>
      </c>
      <c r="AV93" s="24">
        <f>($I$149+40*($P$18-0.5))/($I$149+$I$164)</f>
        <v>0.77274240376899961</v>
      </c>
      <c r="AW93" s="24">
        <f>($I$150+40*($P$18-0.5))/($I$150+$I$164)</f>
        <v>0.76936600852653703</v>
      </c>
      <c r="AX93" s="24">
        <f>($I$151+40*($P$18-0.5))/($I$151+$I$164)</f>
        <v>0.77465351329207588</v>
      </c>
      <c r="AY93" s="24">
        <f>($I$152+40*($P$18-0.5))/($I$152+$I$164)</f>
        <v>0.77222135839032513</v>
      </c>
      <c r="AZ93" s="24">
        <f>($I$153+40*($P$19-0.5))/($I$153+$I$164)</f>
        <v>0.76468436655100902</v>
      </c>
      <c r="BA93" s="24">
        <f>($I$154+40*($P$19-0.5))/($I$154+$I$164)</f>
        <v>0.77051919912222067</v>
      </c>
      <c r="BB93" s="24">
        <f>($I$155+40*($P$19-0.5))/($I$155+$I$164)</f>
        <v>0.75063082237072831</v>
      </c>
      <c r="BC93" s="24">
        <f>($I$156+40*($P$19-0.5))/($I$156+$I$164)</f>
        <v>0.74562185987256324</v>
      </c>
      <c r="BD93" s="24">
        <f>($I$157+40*($P$20-0.5))/($I$157+$I$164)</f>
        <v>0.74579677856018489</v>
      </c>
      <c r="BE93" s="24">
        <f>($I$158+40*($P$20-0.5))/($I$158+$I$164)</f>
        <v>0.70940483241912822</v>
      </c>
      <c r="BF93" s="24">
        <f>($I$159+40*($P$20-0.5))/($I$159+$I$164)</f>
        <v>0.72032734845792934</v>
      </c>
      <c r="BG93" s="24">
        <f>($I$160+40*($P$20-0.5))/($I$160+$I$164)</f>
        <v>0.72419801097128744</v>
      </c>
      <c r="BH93" s="24">
        <f>($I$161+40*($P$21-0.5))/($I$161+$I$164)</f>
        <v>0.52613935598773376</v>
      </c>
      <c r="BI93" s="24">
        <f>($I$162+40*($P$21-0.5))/($I$162+$I$164)</f>
        <v>0.51184652626391547</v>
      </c>
      <c r="BJ93" s="24">
        <f>($I$163+40*($P$21-0.5))/($I$163+$I$164)</f>
        <v>0.50593824338235616</v>
      </c>
      <c r="BK93" s="3">
        <v>0</v>
      </c>
      <c r="BL93" s="24">
        <f>($I$164+40*($Q$21-0.5))/($I$164+$I$165)</f>
        <v>0.63819657120087636</v>
      </c>
      <c r="BM93" s="24">
        <f>($I$164+40*($Q$21-0.5))/($I$164+$I$166)</f>
        <v>0.61950866612747502</v>
      </c>
      <c r="BN93" s="24">
        <f>($I$164+40*($Q$7-0.5))/($I$164+$I$167)</f>
        <v>0.89266416989769259</v>
      </c>
      <c r="BO93" s="24">
        <f>($I$164+40*($Q$21-0.5))/($I$164+$I$168)</f>
        <v>0.63380009021149197</v>
      </c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0"/>
      <c r="JG93" s="40"/>
      <c r="JH93" s="40"/>
      <c r="JI93" s="40"/>
      <c r="JJ93" s="40"/>
      <c r="JK93" s="40"/>
      <c r="JL93" s="40"/>
      <c r="JM93" s="40"/>
      <c r="JN93" s="40"/>
      <c r="JO93" s="40"/>
      <c r="JP93" s="40"/>
      <c r="JQ93" s="40"/>
      <c r="JR93" s="40"/>
      <c r="JS93" s="40"/>
      <c r="JT93" s="40"/>
      <c r="JU93" s="40"/>
      <c r="JV93" s="40"/>
      <c r="JW93" s="40"/>
      <c r="JX93" s="40"/>
      <c r="JY93" s="40"/>
      <c r="JZ93" s="40"/>
      <c r="KA93" s="40"/>
      <c r="KB93" s="40"/>
      <c r="KC93" s="40"/>
      <c r="KD93" s="40"/>
      <c r="KE93" s="40"/>
      <c r="KF93" s="40"/>
      <c r="KG93" s="40"/>
      <c r="KH93" s="40"/>
      <c r="KI93" s="40"/>
      <c r="KJ93" s="40"/>
      <c r="KK93" s="40"/>
      <c r="KL93" s="40"/>
      <c r="KM93" s="40"/>
      <c r="KN93" s="40"/>
      <c r="KO93" s="40"/>
      <c r="KP93" s="40"/>
      <c r="KQ93" s="40"/>
      <c r="KR93" s="40"/>
      <c r="KS93" s="40"/>
      <c r="KT93" s="40"/>
      <c r="KU93" s="40"/>
      <c r="KV93" s="40"/>
      <c r="KW93" s="40"/>
      <c r="KX93" s="40"/>
      <c r="KY93" s="40"/>
      <c r="KZ93" s="40"/>
      <c r="LA93" s="40"/>
      <c r="LB93" s="40"/>
      <c r="LC93" s="40"/>
      <c r="LD93" s="40"/>
      <c r="LE93" s="40"/>
      <c r="LF93" s="40"/>
      <c r="LG93" s="40"/>
      <c r="LH93" s="40"/>
      <c r="LI93" s="40"/>
      <c r="LJ93" s="40"/>
      <c r="LK93" s="40"/>
      <c r="LL93" s="40"/>
      <c r="LM93" s="40"/>
      <c r="LN93" s="40"/>
      <c r="LO93" s="40"/>
      <c r="LP93" s="40"/>
      <c r="LQ93" s="40"/>
      <c r="LR93" s="40"/>
      <c r="LS93" s="40"/>
      <c r="LT93" s="40"/>
      <c r="LU93" s="40"/>
      <c r="LV93" s="40"/>
      <c r="LW93" s="40"/>
      <c r="LX93" s="40"/>
      <c r="LY93" s="40"/>
      <c r="LZ93" s="40"/>
      <c r="MA93" s="40"/>
      <c r="MB93" s="40"/>
      <c r="MC93" s="40"/>
      <c r="MD93" s="40"/>
      <c r="ME93" s="40"/>
      <c r="MF93" s="40"/>
      <c r="MG93" s="40"/>
      <c r="MH93" s="40"/>
      <c r="MI93" s="40"/>
      <c r="MJ93" s="40"/>
      <c r="MK93" s="40"/>
      <c r="ML93" s="40"/>
      <c r="MM93" s="40"/>
      <c r="MN93" s="40"/>
      <c r="MO93" s="40"/>
      <c r="MP93" s="40"/>
      <c r="MQ93" s="40"/>
      <c r="MR93" s="40"/>
      <c r="MS93" s="40"/>
      <c r="MT93" s="40"/>
    </row>
    <row r="94" spans="1:358" x14ac:dyDescent="0.25">
      <c r="A94" t="str">
        <f>$A$165</f>
        <v>Albany</v>
      </c>
      <c r="B94" s="54">
        <v>16</v>
      </c>
      <c r="C94" s="3">
        <v>61</v>
      </c>
      <c r="D94" s="24">
        <f>($I$105+40*($Q$7-0.5))/($I$105+$I$165)</f>
        <v>0.90338694108644946</v>
      </c>
      <c r="E94" s="24">
        <f>($I$106+40*($Q$7-0.5))/($I$106+$I$165)</f>
        <v>0.90246562504999139</v>
      </c>
      <c r="F94" s="24">
        <f>($I$107+40*($Q$7-0.5))/($I$107+$I$165)</f>
        <v>0.90729756070613454</v>
      </c>
      <c r="G94" s="24">
        <f>($I$108+40*($Q$7-0.5))/($I$108+$I$165)</f>
        <v>0.89341661617639245</v>
      </c>
      <c r="H94" s="24">
        <f>($I$109+40*($Q$8-0.5))/($I$109+$I$165)</f>
        <v>0.89482550539776096</v>
      </c>
      <c r="I94" s="24">
        <f>($I$110+40*($Q$8-0.5))/($I$110+$I$165)</f>
        <v>0.89359260210021418</v>
      </c>
      <c r="J94" s="24">
        <f>($I$111+40*($Q$8-0.5))/($I$111+$I$165)</f>
        <v>0.89511558912870581</v>
      </c>
      <c r="K94" s="24">
        <f>($I$112+40*($Q$8-0.5))/($I$112+$I$165)</f>
        <v>0.89712404799325318</v>
      </c>
      <c r="L94" s="24">
        <f>($I$113+40*($Q$9-0.5))/($I$113+$I$165)</f>
        <v>0.89817463732922109</v>
      </c>
      <c r="M94" s="24">
        <f>($I$114+40*($Q$9-0.5))/($I$114+$I$165)</f>
        <v>0.86617493556285452</v>
      </c>
      <c r="N94" s="24">
        <f>($I$115+40*($Q$9-0.5))/($I$115+$I$165)</f>
        <v>0.90132767483463816</v>
      </c>
      <c r="O94" s="24">
        <f>($I$116+40*($Q$9-0.5))/($I$116+$I$165)</f>
        <v>0.89466084270850543</v>
      </c>
      <c r="P94" s="24">
        <f>($I$117+40*($Q$10-0.5))/($I$117+$I$165)</f>
        <v>0.87297299956882124</v>
      </c>
      <c r="Q94" s="24">
        <f>($I$118+40*($Q$10-0.5))/($I$118+$I$165)</f>
        <v>0.86283674513450292</v>
      </c>
      <c r="R94" s="24">
        <f>($I$119+40*($Q$10-0.5))/($I$119+$I$165)</f>
        <v>0.87384424881929723</v>
      </c>
      <c r="S94" s="24">
        <f>($I$120+40*($Q$10-0.5))/($I$120+$I$165)</f>
        <v>0.86980701866299714</v>
      </c>
      <c r="T94" s="24">
        <f>($I$121+40*($Q$11-0.5))/($I$121+$I$165)</f>
        <v>0.8520209327174858</v>
      </c>
      <c r="U94" s="24">
        <f>($I$122+40*($Q$11-0.5))/($I$122+$I$165)</f>
        <v>0.8515907847898313</v>
      </c>
      <c r="V94" s="24">
        <f>($I$123+40*($Q$11-0.5))/($I$123+$I$165)</f>
        <v>0.86104618659756993</v>
      </c>
      <c r="W94" s="24">
        <f>($I$124+40*($Q$11-0.5))/($I$124+$I$165)</f>
        <v>0.85404282851021274</v>
      </c>
      <c r="X94" s="24">
        <f>($I$125+40*($Q$12-0.5))/($I$125+$I$165)</f>
        <v>0.84733785846183485</v>
      </c>
      <c r="Y94" s="24">
        <f>($I$126+40*($Q$12-0.5))/($I$126+$I$165)</f>
        <v>0.84118771647918</v>
      </c>
      <c r="Z94" s="24">
        <f>($I$127+40*($Q$12-0.5))/($I$127+$I$165)</f>
        <v>0.84838945668549093</v>
      </c>
      <c r="AA94" s="24">
        <f>($I$128+40*($Q$12-0.5))/($I$128+$I$165)</f>
        <v>0.84320320122302306</v>
      </c>
      <c r="AB94" s="24">
        <f>($I$129+40*($Q$13-0.5))/($I$129+$I$165)</f>
        <v>0.89852939509804575</v>
      </c>
      <c r="AC94" s="24">
        <f>($I$130+40*($Q$13-0.5))/($I$130+$I$165)</f>
        <v>0.89232796070218368</v>
      </c>
      <c r="AD94" s="24">
        <f>($I$131+40*($Q$13-0.5))/($I$131+$I$165)</f>
        <v>0.88966647402006915</v>
      </c>
      <c r="AE94" s="24">
        <f>($I$132+40*($Q$13-0.5))/($I$132+$I$165)</f>
        <v>0.89557632079454208</v>
      </c>
      <c r="AF94" s="24">
        <f>($I$133+40*($Q$14-0.5))/($I$133+$I$165)</f>
        <v>0.84936868476438354</v>
      </c>
      <c r="AG94" s="24">
        <f>($I$134+40*($Q$14-0.5))/($I$134+$I$165)</f>
        <v>0.86325339258323197</v>
      </c>
      <c r="AH94" s="24">
        <f>($I$135+40*($Q$14-0.5))/($I$135+$I$165)</f>
        <v>0.85580219817864511</v>
      </c>
      <c r="AI94" s="24">
        <f>($I$136+40*($Q$14-0.5))/($I$136+$I$165)</f>
        <v>0.85279194759463173</v>
      </c>
      <c r="AJ94" s="24">
        <f>($I$137+40*($Q$15-0.5))/($I$137+$I$165)</f>
        <v>0.84865813362212494</v>
      </c>
      <c r="AK94" s="24">
        <f>($I$138+40*($Q$15-0.5))/($I$138+$I$165)</f>
        <v>0.8449732153465993</v>
      </c>
      <c r="AL94" s="24">
        <f>($I$139+40*($Q$15-0.5))/($I$139+$I$165)</f>
        <v>0.84204068162676204</v>
      </c>
      <c r="AM94" s="24">
        <f>($I$140+40*($Q$15-0.5))/($I$140+$I$165)</f>
        <v>0.84927428241766301</v>
      </c>
      <c r="AN94" s="24">
        <f>($I$141+40*($Q$16-0.5))/($I$141+$I$165)</f>
        <v>0.88742860984100802</v>
      </c>
      <c r="AO94" s="24">
        <f>($I$142+40*($Q$16-0.5))/($I$142+$I$165)</f>
        <v>0.88931387948613139</v>
      </c>
      <c r="AP94" s="24">
        <f>($I$143+40*($Q$16-0.5))/($I$143+$I$165)</f>
        <v>0.88780996832534287</v>
      </c>
      <c r="AQ94" s="24">
        <f>($I$144+40*($Q$16-0.5))/($I$144+$I$165)</f>
        <v>0.89177459720210361</v>
      </c>
      <c r="AR94" s="24">
        <f>($I$145+40*($Q$17-0.5))/($I$145+$I$165)</f>
        <v>0.8898711673301366</v>
      </c>
      <c r="AS94" s="24">
        <f>($I$146+40*($Q$17-0.5))/($I$146+$I$165)</f>
        <v>0.88503161792684537</v>
      </c>
      <c r="AT94" s="24">
        <f>($I$147+40*($Q$17-0.5))/($I$147+$I$165)</f>
        <v>0.88917453275076319</v>
      </c>
      <c r="AU94" s="24">
        <f>($I$148+40*($Q$17-0.5))/($I$148+$I$165)</f>
        <v>0.88823928269626407</v>
      </c>
      <c r="AV94" s="24">
        <f>($I$149+40*($Q$18-0.5))/($I$149+$I$165)</f>
        <v>0.79043014258319155</v>
      </c>
      <c r="AW94" s="24">
        <f>($I$150+40*($Q$18-0.5))/($I$150+$I$165)</f>
        <v>0.78729601030026664</v>
      </c>
      <c r="AX94" s="24">
        <f>($I$151+40*($Q$18-0.5))/($I$151+$I$165)</f>
        <v>0.79220385818879024</v>
      </c>
      <c r="AY94" s="24">
        <f>($I$152+40*($Q$18-0.5))/($I$152+$I$165)</f>
        <v>0.7899465227004131</v>
      </c>
      <c r="AZ94" s="24">
        <f>($I$153+40*($Q$19-0.5))/($I$153+$I$165)</f>
        <v>0.78198464853708993</v>
      </c>
      <c r="BA94" s="24">
        <f>($I$154+40*($Q$19-0.5))/($I$154+$I$165)</f>
        <v>0.78742409296650839</v>
      </c>
      <c r="BB94" s="24">
        <f>($I$155+40*($Q$19-0.5))/($I$155+$I$165)</f>
        <v>0.76887636229812995</v>
      </c>
      <c r="BC94" s="24">
        <f>($I$156+40*($Q$19-0.5))/($I$156+$I$165)</f>
        <v>0.76420189570552255</v>
      </c>
      <c r="BD94" s="24">
        <f>($I$157+40*($Q$20-0.5))/($I$157+$I$165)</f>
        <v>0.77406334973175028</v>
      </c>
      <c r="BE94" s="24">
        <f>($I$158+40*($Q$20-0.5))/($I$158+$I$165)</f>
        <v>0.74149294325942317</v>
      </c>
      <c r="BF94" s="24">
        <f>($I$159+40*($Q$20-0.5))/($I$159+$I$165)</f>
        <v>0.75127444120738218</v>
      </c>
      <c r="BG94" s="24">
        <f>($I$160+40*($Q$20-0.5))/($I$160+$I$165)</f>
        <v>0.75473952813457157</v>
      </c>
      <c r="BH94" s="24">
        <f>($I$161+40*($Q$21-0.5))/($I$161+$I$165)</f>
        <v>0.65724132202920993</v>
      </c>
      <c r="BI94" s="24">
        <f>($I$162+40*($Q$21-0.5))/($I$162+$I$165)</f>
        <v>0.64682956774786637</v>
      </c>
      <c r="BJ94" s="24">
        <f>($I$163+40*($Q$21-0.5))/($I$163+$I$165)</f>
        <v>0.64252435745880276</v>
      </c>
      <c r="BK94" s="24">
        <f>($I$164+40*($Q$21-0.5))/($I$164+$I$165)</f>
        <v>0.63819657120087636</v>
      </c>
      <c r="BL94" s="3">
        <v>0</v>
      </c>
      <c r="BM94" s="24">
        <f>($I$165+40*($Q$22-0.5))/($I$165+$I$166)</f>
        <v>0.48525486904503806</v>
      </c>
      <c r="BN94" s="24">
        <f>($I$165+40*($Q$7-0.5))/($I$165+$I$167)</f>
        <v>0.89184675481314146</v>
      </c>
      <c r="BO94" s="24">
        <f>($I$165+40*($Q$22-0.5))/($I$165+$I$168)</f>
        <v>0.49653052030488976</v>
      </c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  <c r="IN94" s="40"/>
      <c r="IO94" s="40"/>
      <c r="IP94" s="40"/>
      <c r="IQ94" s="40"/>
      <c r="IR94" s="40"/>
      <c r="IS94" s="40"/>
      <c r="IT94" s="40"/>
      <c r="IU94" s="40"/>
      <c r="IV94" s="40"/>
      <c r="IW94" s="40"/>
      <c r="IX94" s="40"/>
      <c r="IY94" s="40"/>
      <c r="IZ94" s="40"/>
      <c r="JA94" s="40"/>
      <c r="JB94" s="40"/>
      <c r="JC94" s="40"/>
      <c r="JD94" s="40"/>
      <c r="JE94" s="40"/>
      <c r="JF94" s="40"/>
      <c r="JG94" s="40"/>
      <c r="JH94" s="40"/>
      <c r="JI94" s="40"/>
      <c r="JJ94" s="40"/>
      <c r="JK94" s="40"/>
      <c r="JL94" s="40"/>
      <c r="JM94" s="40"/>
      <c r="JN94" s="40"/>
      <c r="JO94" s="40"/>
      <c r="JP94" s="40"/>
      <c r="JQ94" s="40"/>
      <c r="JR94" s="40"/>
      <c r="JS94" s="40"/>
      <c r="JT94" s="40"/>
      <c r="JU94" s="40"/>
      <c r="JV94" s="40"/>
      <c r="JW94" s="40"/>
      <c r="JX94" s="40"/>
      <c r="JY94" s="40"/>
      <c r="JZ94" s="40"/>
      <c r="KA94" s="40"/>
      <c r="KB94" s="40"/>
      <c r="KC94" s="40"/>
      <c r="KD94" s="40"/>
      <c r="KE94" s="40"/>
      <c r="KF94" s="40"/>
      <c r="KG94" s="40"/>
      <c r="KH94" s="40"/>
      <c r="KI94" s="40"/>
      <c r="KJ94" s="40"/>
      <c r="KK94" s="40"/>
      <c r="KL94" s="40"/>
      <c r="KM94" s="40"/>
      <c r="KN94" s="40"/>
      <c r="KO94" s="40"/>
      <c r="KP94" s="40"/>
      <c r="KQ94" s="40"/>
      <c r="KR94" s="40"/>
      <c r="KS94" s="40"/>
      <c r="KT94" s="40"/>
      <c r="KU94" s="40"/>
      <c r="KV94" s="40"/>
      <c r="KW94" s="40"/>
      <c r="KX94" s="40"/>
      <c r="KY94" s="40"/>
      <c r="KZ94" s="40"/>
      <c r="LA94" s="40"/>
      <c r="LB94" s="40"/>
      <c r="LC94" s="40"/>
      <c r="LD94" s="40"/>
      <c r="LE94" s="40"/>
      <c r="LF94" s="40"/>
      <c r="LG94" s="40"/>
      <c r="LH94" s="40"/>
      <c r="LI94" s="40"/>
      <c r="LJ94" s="40"/>
      <c r="LK94" s="40"/>
      <c r="LL94" s="40"/>
      <c r="LM94" s="40"/>
      <c r="LN94" s="40"/>
      <c r="LO94" s="40"/>
      <c r="LP94" s="40"/>
      <c r="LQ94" s="40"/>
      <c r="LR94" s="40"/>
      <c r="LS94" s="40"/>
      <c r="LT94" s="40"/>
      <c r="LU94" s="40"/>
      <c r="LV94" s="40"/>
      <c r="LW94" s="40"/>
      <c r="LX94" s="40"/>
      <c r="LY94" s="40"/>
      <c r="LZ94" s="40"/>
      <c r="MA94" s="40"/>
      <c r="MB94" s="40"/>
      <c r="MC94" s="40"/>
      <c r="MD94" s="40"/>
      <c r="ME94" s="40"/>
      <c r="MF94" s="40"/>
      <c r="MG94" s="40"/>
      <c r="MH94" s="40"/>
      <c r="MI94" s="40"/>
      <c r="MJ94" s="40"/>
      <c r="MK94" s="40"/>
      <c r="ML94" s="40"/>
      <c r="MM94" s="40"/>
      <c r="MN94" s="40"/>
      <c r="MO94" s="40"/>
      <c r="MP94" s="40"/>
      <c r="MQ94" s="40"/>
      <c r="MR94" s="40"/>
      <c r="MS94" s="40"/>
      <c r="MT94" s="40"/>
    </row>
    <row r="95" spans="1:358" x14ac:dyDescent="0.25">
      <c r="A95" t="str">
        <f>$A$166</f>
        <v>Weber St</v>
      </c>
      <c r="B95" s="54"/>
      <c r="C95" s="3">
        <v>62</v>
      </c>
      <c r="D95" s="24">
        <f>($I$105+40*($Q$7-0.5))/($I$105+$I$166)</f>
        <v>0.88524997212495227</v>
      </c>
      <c r="E95" s="24">
        <f>($I$106+40*($Q$7-0.5))/($I$106+$I$166)</f>
        <v>0.88417787391309344</v>
      </c>
      <c r="F95" s="24">
        <f>($I$107+40*($Q$7-0.5))/($I$107+$I$166)</f>
        <v>0.8898051750192566</v>
      </c>
      <c r="G95" s="24">
        <f>($I$108+40*($Q$7-0.5))/($I$108+$I$166)</f>
        <v>0.87366967995192457</v>
      </c>
      <c r="H95" s="24">
        <f>($I$109+40*($Q$8-0.5))/($I$109+$I$166)</f>
        <v>0.87530316469742586</v>
      </c>
      <c r="I95" s="24">
        <f>($I$110+40*($Q$8-0.5))/($I$110+$I$166)</f>
        <v>0.87387366818356604</v>
      </c>
      <c r="J95" s="24">
        <f>($I$111+40*($Q$8-0.5))/($I$111+$I$166)</f>
        <v>0.87563961013900249</v>
      </c>
      <c r="K95" s="24">
        <f>($I$112+40*($Q$8-0.5))/($I$112+$I$166)</f>
        <v>0.87797017577239878</v>
      </c>
      <c r="L95" s="24">
        <f>($I$113+40*($Q$9-0.5))/($I$113+$I$166)</f>
        <v>0.87919002757637321</v>
      </c>
      <c r="M95" s="24">
        <f>($I$114+40*($Q$9-0.5))/($I$114+$I$166)</f>
        <v>0.84227191762050757</v>
      </c>
      <c r="N95" s="24">
        <f>($I$115+40*($Q$9-0.5))/($I$115+$I$166)</f>
        <v>0.88285425367842429</v>
      </c>
      <c r="O95" s="24">
        <f>($I$116+40*($Q$9-0.5))/($I$116+$I$166)</f>
        <v>0.87511220333160866</v>
      </c>
      <c r="P95" s="24">
        <f>($I$117+40*($Q$10-0.5))/($I$117+$I$166)</f>
        <v>0.8537935204329149</v>
      </c>
      <c r="Q95" s="24">
        <f>($I$118+40*($Q$10-0.5))/($I$118+$I$166)</f>
        <v>0.84240310904727722</v>
      </c>
      <c r="R95" s="24">
        <f>($I$119+40*($Q$10-0.5))/($I$119+$I$166)</f>
        <v>0.8547744334236127</v>
      </c>
      <c r="S95" s="24">
        <f>($I$120+40*($Q$10-0.5))/($I$120+$I$166)</f>
        <v>0.85023152658343315</v>
      </c>
      <c r="T95" s="24">
        <f>($I$121+40*($Q$11-0.5))/($I$121+$I$166)</f>
        <v>0.83264486306586061</v>
      </c>
      <c r="U95" s="24">
        <f>($I$122+40*($Q$11-0.5))/($I$122+$I$166)</f>
        <v>0.83216948686986958</v>
      </c>
      <c r="V95" s="24">
        <f>($I$123+40*($Q$11-0.5))/($I$123+$I$166)</f>
        <v>0.84263359857219833</v>
      </c>
      <c r="W95" s="24">
        <f>($I$124+40*($Q$11-0.5))/($I$124+$I$166)</f>
        <v>0.83488019508532196</v>
      </c>
      <c r="X95" s="24">
        <f>($I$125+40*($Q$12-0.5))/($I$125+$I$166)</f>
        <v>0.82816407979938789</v>
      </c>
      <c r="Y95" s="24">
        <f>($I$126+40*($Q$12-0.5))/($I$126+$I$166)</f>
        <v>0.82140431164866612</v>
      </c>
      <c r="Z95" s="24">
        <f>($I$127+40*($Q$12-0.5))/($I$127+$I$166)</f>
        <v>0.8293211505766116</v>
      </c>
      <c r="AA95" s="24">
        <f>($I$128+40*($Q$12-0.5))/($I$128+$I$166)</f>
        <v>0.82361822232549353</v>
      </c>
      <c r="AB95" s="24">
        <f>($I$129+40*($Q$13-0.5))/($I$129+$I$166)</f>
        <v>0.87960206122435702</v>
      </c>
      <c r="AC95" s="24">
        <f>($I$130+40*($Q$13-0.5))/($I$130+$I$166)</f>
        <v>0.87240813201859879</v>
      </c>
      <c r="AD95" s="24">
        <f>($I$131+40*($Q$13-0.5))/($I$131+$I$166)</f>
        <v>0.869326363744791</v>
      </c>
      <c r="AE95" s="24">
        <f>($I$132+40*($Q$13-0.5))/($I$132+$I$166)</f>
        <v>0.87617406001778486</v>
      </c>
      <c r="AF95" s="24">
        <f>($I$133+40*($Q$14-0.5))/($I$133+$I$166)</f>
        <v>0.82971474279672075</v>
      </c>
      <c r="AG95" s="24">
        <f>($I$134+40*($Q$14-0.5))/($I$134+$I$166)</f>
        <v>0.84508065664676213</v>
      </c>
      <c r="AH95" s="24">
        <f>($I$135+40*($Q$14-0.5))/($I$135+$I$166)</f>
        <v>0.83682641904015576</v>
      </c>
      <c r="AI95" s="24">
        <f>($I$136+40*($Q$14-0.5))/($I$136+$I$166)</f>
        <v>0.83349710426358614</v>
      </c>
      <c r="AJ95" s="24">
        <f>($I$137+40*($Q$15-0.5))/($I$137+$I$166)</f>
        <v>0.82961683297198707</v>
      </c>
      <c r="AK95" s="24">
        <f>($I$138+40*($Q$15-0.5))/($I$138+$I$166)</f>
        <v>0.82556358617771852</v>
      </c>
      <c r="AL95" s="24">
        <f>($I$139+40*($Q$15-0.5))/($I$139+$I$166)</f>
        <v>0.82234109051184034</v>
      </c>
      <c r="AM95" s="24">
        <f>($I$140+40*($Q$15-0.5))/($I$140+$I$166)</f>
        <v>0.83029500153717595</v>
      </c>
      <c r="AN95" s="24">
        <f>($I$141+40*($Q$16-0.5))/($I$141+$I$166)</f>
        <v>0.86673774264670056</v>
      </c>
      <c r="AO95" s="24">
        <f>($I$142+40*($Q$16-0.5))/($I$142+$I$166)</f>
        <v>0.8689183451550182</v>
      </c>
      <c r="AP95" s="24">
        <f>($I$143+40*($Q$16-0.5))/($I$143+$I$166)</f>
        <v>0.8671787046171171</v>
      </c>
      <c r="AQ95" s="24">
        <f>($I$144+40*($Q$16-0.5))/($I$144+$I$166)</f>
        <v>0.87176710557202575</v>
      </c>
      <c r="AR95" s="24">
        <f>($I$145+40*($Q$17-0.5))/($I$145+$I$166)</f>
        <v>0.86956325998856177</v>
      </c>
      <c r="AS95" s="24">
        <f>($I$146+40*($Q$17-0.5))/($I$146+$I$166)</f>
        <v>0.86396771290572472</v>
      </c>
      <c r="AT95" s="24">
        <f>($I$147+40*($Q$17-0.5))/($I$147+$I$166)</f>
        <v>0.86875711105228182</v>
      </c>
      <c r="AU95" s="24">
        <f>($I$148+40*($Q$17-0.5))/($I$148+$I$166)</f>
        <v>0.86767520098550843</v>
      </c>
      <c r="AV95" s="24">
        <f>($I$149+40*($Q$18-0.5))/($I$149+$I$166)</f>
        <v>0.76966505831027798</v>
      </c>
      <c r="AW95" s="24">
        <f>($I$150+40*($Q$18-0.5))/($I$150+$I$166)</f>
        <v>0.766312193708513</v>
      </c>
      <c r="AX95" s="24">
        <f>($I$151+40*($Q$18-0.5))/($I$151+$I$166)</f>
        <v>0.77156372986973565</v>
      </c>
      <c r="AY95" s="24">
        <f>($I$152+40*($Q$18-0.5))/($I$152+$I$166)</f>
        <v>0.76914751451771057</v>
      </c>
      <c r="AZ95" s="24">
        <f>($I$153+40*($Q$19-0.5))/($I$153+$I$166)</f>
        <v>0.76182174104565203</v>
      </c>
      <c r="BA95" s="24">
        <f>($I$154+40*($Q$19-0.5))/($I$154+$I$166)</f>
        <v>0.7676147499711119</v>
      </c>
      <c r="BB95" s="24">
        <f>($I$155+40*($Q$19-0.5))/($I$155+$I$166)</f>
        <v>0.74789199079010371</v>
      </c>
      <c r="BC95" s="24">
        <f>($I$156+40*($Q$19-0.5))/($I$156+$I$166)</f>
        <v>0.74293501207616131</v>
      </c>
      <c r="BD95" s="24">
        <f>($I$157+40*($Q$20-0.5))/($I$157+$I$166)</f>
        <v>0.75498652608288563</v>
      </c>
      <c r="BE95" s="24">
        <f>($I$158+40*($Q$20-0.5))/($I$158+$I$166)</f>
        <v>0.7206584909061412</v>
      </c>
      <c r="BF95" s="24">
        <f>($I$159+40*($Q$20-0.5))/($I$159+$I$166)</f>
        <v>0.73094227395539502</v>
      </c>
      <c r="BG95" s="24">
        <f>($I$160+40*($Q$20-0.5))/($I$160+$I$166)</f>
        <v>0.73459054777001054</v>
      </c>
      <c r="BH95" s="24">
        <f>($I$161+40*($Q$21-0.5))/($I$161+$I$166)</f>
        <v>0.63898065144861382</v>
      </c>
      <c r="BI95" s="24">
        <f>($I$162+40*($Q$21-0.5))/($I$162+$I$166)</f>
        <v>0.62832788515526228</v>
      </c>
      <c r="BJ95" s="24">
        <f>($I$163+40*($Q$21-0.5))/($I$163+$I$166)</f>
        <v>0.62392826607748697</v>
      </c>
      <c r="BK95" s="24">
        <f>($I$164+40*($Q$21-0.5))/($I$164+$I$166)</f>
        <v>0.61950866612747502</v>
      </c>
      <c r="BL95" s="24">
        <f>($I$165+40*($Q$22-0.5))/($I$165+$I$166)</f>
        <v>0.48525486904503806</v>
      </c>
      <c r="BM95" s="3">
        <v>0</v>
      </c>
      <c r="BN95" s="24">
        <f>($I$166+40*($Q$7-0.5))/($I$166+$I$167)</f>
        <v>0.8951630226991194</v>
      </c>
      <c r="BO95" s="24">
        <f>($I$166+40*($Q$22-0.5))/($I$166+$I$168)</f>
        <v>0.51127795908812845</v>
      </c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40"/>
      <c r="IT95" s="40"/>
      <c r="IU95" s="40"/>
      <c r="IV95" s="40"/>
      <c r="IW95" s="40"/>
      <c r="IX95" s="40"/>
      <c r="IY95" s="40"/>
      <c r="IZ95" s="40"/>
      <c r="JA95" s="40"/>
      <c r="JB95" s="40"/>
      <c r="JC95" s="40"/>
      <c r="JD95" s="40"/>
      <c r="JE95" s="40"/>
      <c r="JF95" s="40"/>
      <c r="JG95" s="40"/>
      <c r="JH95" s="40"/>
      <c r="JI95" s="40"/>
      <c r="JJ95" s="40"/>
      <c r="JK95" s="40"/>
      <c r="JL95" s="40"/>
      <c r="JM95" s="40"/>
      <c r="JN95" s="40"/>
      <c r="JO95" s="40"/>
      <c r="JP95" s="40"/>
      <c r="JQ95" s="40"/>
      <c r="JR95" s="40"/>
      <c r="JS95" s="40"/>
      <c r="JT95" s="40"/>
      <c r="JU95" s="40"/>
      <c r="JV95" s="40"/>
      <c r="JW95" s="40"/>
      <c r="JX95" s="40"/>
      <c r="JY95" s="40"/>
      <c r="JZ95" s="40"/>
      <c r="KA95" s="40"/>
      <c r="KB95" s="40"/>
      <c r="KC95" s="40"/>
      <c r="KD95" s="40"/>
      <c r="KE95" s="40"/>
      <c r="KF95" s="40"/>
      <c r="KG95" s="40"/>
      <c r="KH95" s="40"/>
      <c r="KI95" s="40"/>
      <c r="KJ95" s="40"/>
      <c r="KK95" s="40"/>
      <c r="KL95" s="40"/>
      <c r="KM95" s="40"/>
      <c r="KN95" s="40"/>
      <c r="KO95" s="40"/>
      <c r="KP95" s="40"/>
      <c r="KQ95" s="40"/>
      <c r="KR95" s="40"/>
      <c r="KS95" s="40"/>
      <c r="KT95" s="40"/>
      <c r="KU95" s="40"/>
      <c r="KV95" s="40"/>
      <c r="KW95" s="40"/>
      <c r="KX95" s="40"/>
      <c r="KY95" s="40"/>
      <c r="KZ95" s="40"/>
      <c r="LA95" s="40"/>
      <c r="LB95" s="40"/>
      <c r="LC95" s="40"/>
      <c r="LD95" s="40"/>
      <c r="LE95" s="40"/>
      <c r="LF95" s="40"/>
      <c r="LG95" s="40"/>
      <c r="LH95" s="40"/>
      <c r="LI95" s="40"/>
      <c r="LJ95" s="40"/>
      <c r="LK95" s="40"/>
      <c r="LL95" s="40"/>
      <c r="LM95" s="40"/>
      <c r="LN95" s="40"/>
      <c r="LO95" s="40"/>
      <c r="LP95" s="40"/>
      <c r="LQ95" s="40"/>
      <c r="LR95" s="40"/>
      <c r="LS95" s="40"/>
      <c r="LT95" s="40"/>
      <c r="LU95" s="40"/>
      <c r="LV95" s="40"/>
      <c r="LW95" s="40"/>
      <c r="LX95" s="40"/>
      <c r="LY95" s="40"/>
      <c r="LZ95" s="40"/>
      <c r="MA95" s="40"/>
      <c r="MB95" s="40"/>
      <c r="MC95" s="40"/>
      <c r="MD95" s="40"/>
      <c r="ME95" s="40"/>
      <c r="MF95" s="40"/>
      <c r="MG95" s="40"/>
      <c r="MH95" s="40"/>
      <c r="MI95" s="40"/>
      <c r="MJ95" s="40"/>
      <c r="MK95" s="40"/>
      <c r="ML95" s="40"/>
      <c r="MM95" s="40"/>
      <c r="MN95" s="40"/>
      <c r="MO95" s="40"/>
      <c r="MP95" s="40"/>
      <c r="MQ95" s="40"/>
      <c r="MR95" s="40"/>
      <c r="MS95" s="40"/>
      <c r="MT95" s="40"/>
    </row>
    <row r="96" spans="1:358" x14ac:dyDescent="0.25">
      <c r="A96" t="str">
        <f>$A$167</f>
        <v>Cal Poly</v>
      </c>
      <c r="B96" s="54"/>
      <c r="C96" s="3">
        <v>63</v>
      </c>
      <c r="D96" s="24">
        <f>($I$105+40*($Q$7-0.5))/($I$105+$I$167)</f>
        <v>0.92803923714147774</v>
      </c>
      <c r="E96" s="24">
        <f>($I$106+40*($Q$7-0.5))/($I$106+$I$167)</f>
        <v>0.92733409914475318</v>
      </c>
      <c r="F96" s="24">
        <f>($I$107+40*($Q$7-0.5))/($I$107+$I$167)</f>
        <v>0.93102818670610554</v>
      </c>
      <c r="G96" s="24">
        <f>($I$108+40*($Q$7-0.5))/($I$108+$I$167)</f>
        <v>0.92038879500832083</v>
      </c>
      <c r="H96" s="24">
        <f>($I$109+40*($Q$7-0.5))/($I$109+$I$167)</f>
        <v>0.92147248623604971</v>
      </c>
      <c r="I96" s="24">
        <f>($I$110+40*($Q$7-0.5))/($I$110+$I$167)</f>
        <v>0.92052420735819784</v>
      </c>
      <c r="J96" s="24">
        <f>($I$111+40*($Q$7-0.5))/($I$111+$I$167)</f>
        <v>0.92169550588891624</v>
      </c>
      <c r="K96" s="24">
        <f>($I$112+40*($Q$7-0.5))/($I$112+$I$167)</f>
        <v>0.92323862750402208</v>
      </c>
      <c r="L96" s="24">
        <f>($I$113+40*($Q$7-0.5))/($I$113+$I$167)</f>
        <v>0.92404510868471301</v>
      </c>
      <c r="M96" s="24">
        <f>($I$114+40*($Q$7-0.5))/($I$114+$I$167)</f>
        <v>0.8992636349004941</v>
      </c>
      <c r="N96" s="24">
        <f>($I$115+40*($Q$7-0.5))/($I$115+$I$167)</f>
        <v>0.92646265124156446</v>
      </c>
      <c r="O96" s="24">
        <f>($I$116+40*($Q$7-0.5))/($I$116+$I$167)</f>
        <v>0.92134587539779778</v>
      </c>
      <c r="P96" s="24">
        <f>($I$117+40*($Q$7-0.5))/($I$117+$I$167)</f>
        <v>0.92089109292402305</v>
      </c>
      <c r="Q96" s="24">
        <f>($I$118+40*($Q$7-0.5))/($I$118+$I$167)</f>
        <v>0.91437353782028508</v>
      </c>
      <c r="R96" s="24">
        <f>($I$119+40*($Q$7-0.5))/($I$119+$I$167)</f>
        <v>0.92144984531951402</v>
      </c>
      <c r="S96" s="24">
        <f>($I$120+40*($Q$7-0.5))/($I$120+$I$167)</f>
        <v>0.91885873841765109</v>
      </c>
      <c r="T96" s="24">
        <f>($I$121+40*($Q$7-0.5))/($I$121+$I$167)</f>
        <v>0.91796193350347344</v>
      </c>
      <c r="U96" s="24">
        <f>($I$122+40*($Q$7-0.5))/($I$122+$I$167)</f>
        <v>0.9177160228539003</v>
      </c>
      <c r="V96" s="24">
        <f>($I$123+40*($Q$7-0.5))/($I$123+$I$167)</f>
        <v>0.92311133076353091</v>
      </c>
      <c r="W96" s="24">
        <f>($I$124+40*($Q$7-0.5))/($I$124+$I$167)</f>
        <v>0.91911723258480926</v>
      </c>
      <c r="X96" s="24">
        <f>($I$125+40*($Q$7-0.5))/($I$125+$I$167)</f>
        <v>0.91839211144387933</v>
      </c>
      <c r="Y96" s="24">
        <f>($I$126+40*($Q$7-0.5))/($I$126+$I$167)</f>
        <v>0.91499848448160659</v>
      </c>
      <c r="Z96" s="24">
        <f>($I$127+40*($Q$7-0.5))/($I$127+$I$167)</f>
        <v>0.91897153272854104</v>
      </c>
      <c r="AA96" s="24">
        <f>($I$128+40*($Q$7-0.5))/($I$128+$I$167)</f>
        <v>0.91611155488914153</v>
      </c>
      <c r="AB96" s="24">
        <f>($I$129+40*($Q$7-0.5))/($I$129+$I$167)</f>
        <v>0.9243173289805422</v>
      </c>
      <c r="AC96" s="24">
        <f>($I$130+40*($Q$7-0.5))/($I$130+$I$167)</f>
        <v>0.91955082901816032</v>
      </c>
      <c r="AD96" s="24">
        <f>($I$131+40*($Q$7-0.5))/($I$131+$I$167)</f>
        <v>0.91750003615771691</v>
      </c>
      <c r="AE96" s="24">
        <f>($I$132+40*($Q$7-0.5))/($I$132+$I$167)</f>
        <v>0.9220496463190565</v>
      </c>
      <c r="AF96" s="24">
        <f>($I$133+40*($Q$7-0.5))/($I$133+$I$167)</f>
        <v>0.91644496495643757</v>
      </c>
      <c r="AG96" s="24">
        <f>($I$134+40*($Q$7-0.5))/($I$134+$I$167)</f>
        <v>0.92436769475866742</v>
      </c>
      <c r="AH96" s="24">
        <f>($I$135+40*($Q$7-0.5))/($I$135+$I$167)</f>
        <v>0.92012172729588781</v>
      </c>
      <c r="AI96" s="24">
        <f>($I$136+40*($Q$7-0.5))/($I$136+$I$167)</f>
        <v>0.91840260259859252</v>
      </c>
      <c r="AJ96" s="24">
        <f>($I$137+40*($Q$7-0.5))/($I$137+$I$167)</f>
        <v>0.91911953172455252</v>
      </c>
      <c r="AK96" s="24">
        <f>($I$138+40*($Q$7-0.5))/($I$138+$I$167)</f>
        <v>0.91708831135655144</v>
      </c>
      <c r="AL96" s="24">
        <f>($I$139+40*($Q$7-0.5))/($I$139+$I$167)</f>
        <v>0.91546965363702748</v>
      </c>
      <c r="AM96" s="24">
        <f>($I$140+40*($Q$7-0.5))/($I$140+$I$167)</f>
        <v>0.9194588725484466</v>
      </c>
      <c r="AN96" s="24">
        <f>($I$141+40*($Q$7-0.5))/($I$141+$I$167)</f>
        <v>0.91577326605436538</v>
      </c>
      <c r="AO96" s="24">
        <f>($I$142+40*($Q$7-0.5))/($I$142+$I$167)</f>
        <v>0.91722811429670514</v>
      </c>
      <c r="AP96" s="24">
        <f>($I$143+40*($Q$7-0.5))/($I$143+$I$167)</f>
        <v>0.91606768305867214</v>
      </c>
      <c r="AQ96" s="24">
        <f>($I$144+40*($Q$7-0.5))/($I$144+$I$167)</f>
        <v>0.91912469276703723</v>
      </c>
      <c r="AR96" s="24">
        <f>($I$145+40*($Q$7-0.5))/($I$145+$I$167)</f>
        <v>0.91765787125000076</v>
      </c>
      <c r="AS96" s="24">
        <f>($I$146+40*($Q$7-0.5))/($I$146+$I$167)</f>
        <v>0.91392127663151035</v>
      </c>
      <c r="AT96" s="24">
        <f>($I$147+40*($Q$7-0.5))/($I$147+$I$167)</f>
        <v>0.91712063472392846</v>
      </c>
      <c r="AU96" s="24">
        <f>($I$148+40*($Q$7-0.5))/($I$148+$I$167)</f>
        <v>0.91639904682691686</v>
      </c>
      <c r="AV96" s="24">
        <f>($I$149+40*($Q$7-0.5))/($I$149+$I$167)</f>
        <v>0.90441269612082331</v>
      </c>
      <c r="AW96" s="24">
        <f>($I$150+40*($Q$7-0.5))/($I$150+$I$167)</f>
        <v>0.90293056012577555</v>
      </c>
      <c r="AX96" s="24">
        <f>($I$151+40*($Q$7-0.5))/($I$151+$I$167)</f>
        <v>0.90525077714632085</v>
      </c>
      <c r="AY96" s="24">
        <f>($I$152+40*($Q$7-0.5))/($I$152+$I$167)</f>
        <v>0.90418409638932984</v>
      </c>
      <c r="AZ96" s="24">
        <f>($I$153+40*($Q$7-0.5))/($I$153+$I$167)</f>
        <v>0.9062936469865176</v>
      </c>
      <c r="BA96" s="24">
        <f>($I$154+40*($Q$7-0.5))/($I$154+$I$167)</f>
        <v>0.90871253873461244</v>
      </c>
      <c r="BB96" s="24">
        <f>($I$155+40*($Q$7-0.5))/($I$155+$I$167)</f>
        <v>0.90044680217285533</v>
      </c>
      <c r="BC96" s="24">
        <f>($I$156+40*($Q$7-0.5))/($I$156+$I$167)</f>
        <v>0.89835573334352914</v>
      </c>
      <c r="BD96" s="24">
        <f>($I$157+40*($Q$7-0.5))/($I$157+$I$167)</f>
        <v>0.91068229167263381</v>
      </c>
      <c r="BE96" s="24">
        <f>($I$158+40*($Q$7-0.5))/($I$158+$I$167)</f>
        <v>0.89730506567755131</v>
      </c>
      <c r="BF96" s="24">
        <f>($I$159+40*($Q$7-0.5))/($I$159+$I$167)</f>
        <v>0.90133626707075754</v>
      </c>
      <c r="BG96" s="24">
        <f>($I$160+40*($Q$7-0.5))/($I$160+$I$167)</f>
        <v>0.90276147246400407</v>
      </c>
      <c r="BH96" s="24">
        <f>($I$161+40*($Q$7-0.5))/($I$161+$I$167)</f>
        <v>0.89853155873298696</v>
      </c>
      <c r="BI96" s="24">
        <f>($I$162+40*($Q$7-0.5))/($I$162+$I$167)</f>
        <v>0.89532697302953301</v>
      </c>
      <c r="BJ96" s="24">
        <f>($I$163+40*($Q$7-0.5))/($I$163+$I$167)</f>
        <v>0.89399969941253488</v>
      </c>
      <c r="BK96" s="24">
        <f>($I$164+40*($Q$7-0.5))/($I$164+$I$167)</f>
        <v>0.89266416989769259</v>
      </c>
      <c r="BL96" s="24">
        <f>($I$165+40*($Q$7-0.5))/($I$165+$I$167)</f>
        <v>0.89184675481314146</v>
      </c>
      <c r="BM96" s="24">
        <f>($I$166+40*($Q$7-0.5))/($I$166+$I$167)</f>
        <v>0.8951630226991194</v>
      </c>
      <c r="BN96" s="3">
        <v>0</v>
      </c>
      <c r="BO96" s="24">
        <f>($I$167+40*($Q$22-0.5))/($I$167+$I$168)</f>
        <v>0.47603056676200517</v>
      </c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40"/>
      <c r="IT96" s="40"/>
      <c r="IU96" s="40"/>
      <c r="IV96" s="40"/>
      <c r="IW96" s="40"/>
      <c r="IX96" s="40"/>
      <c r="IY96" s="40"/>
      <c r="IZ96" s="40"/>
      <c r="JA96" s="40"/>
      <c r="JB96" s="40"/>
      <c r="JC96" s="40"/>
      <c r="JD96" s="40"/>
      <c r="JE96" s="40"/>
      <c r="JF96" s="40"/>
      <c r="JG96" s="40"/>
      <c r="JH96" s="40"/>
      <c r="JI96" s="40"/>
      <c r="JJ96" s="40"/>
      <c r="JK96" s="40"/>
      <c r="JL96" s="40"/>
      <c r="JM96" s="40"/>
      <c r="JN96" s="40"/>
      <c r="JO96" s="40"/>
      <c r="JP96" s="40"/>
      <c r="JQ96" s="40"/>
      <c r="JR96" s="40"/>
      <c r="JS96" s="40"/>
      <c r="JT96" s="40"/>
      <c r="JU96" s="40"/>
      <c r="JV96" s="40"/>
      <c r="JW96" s="40"/>
      <c r="JX96" s="40"/>
      <c r="JY96" s="40"/>
      <c r="JZ96" s="40"/>
      <c r="KA96" s="40"/>
      <c r="KB96" s="40"/>
      <c r="KC96" s="40"/>
      <c r="KD96" s="40"/>
      <c r="KE96" s="40"/>
      <c r="KF96" s="40"/>
      <c r="KG96" s="40"/>
      <c r="KH96" s="40"/>
      <c r="KI96" s="40"/>
      <c r="KJ96" s="40"/>
      <c r="KK96" s="40"/>
      <c r="KL96" s="40"/>
      <c r="KM96" s="40"/>
      <c r="KN96" s="40"/>
      <c r="KO96" s="40"/>
      <c r="KP96" s="40"/>
      <c r="KQ96" s="40"/>
      <c r="KR96" s="40"/>
      <c r="KS96" s="40"/>
      <c r="KT96" s="40"/>
      <c r="KU96" s="40"/>
      <c r="KV96" s="40"/>
      <c r="KW96" s="40"/>
      <c r="KX96" s="40"/>
      <c r="KY96" s="40"/>
      <c r="KZ96" s="40"/>
      <c r="LA96" s="40"/>
      <c r="LB96" s="40"/>
      <c r="LC96" s="40"/>
      <c r="LD96" s="40"/>
      <c r="LE96" s="40"/>
      <c r="LF96" s="40"/>
      <c r="LG96" s="40"/>
      <c r="LH96" s="40"/>
      <c r="LI96" s="40"/>
      <c r="LJ96" s="40"/>
      <c r="LK96" s="40"/>
      <c r="LL96" s="40"/>
      <c r="LM96" s="40"/>
      <c r="LN96" s="40"/>
      <c r="LO96" s="40"/>
      <c r="LP96" s="40"/>
      <c r="LQ96" s="40"/>
      <c r="LR96" s="40"/>
      <c r="LS96" s="40"/>
      <c r="LT96" s="40"/>
      <c r="LU96" s="40"/>
      <c r="LV96" s="40"/>
      <c r="LW96" s="40"/>
      <c r="LX96" s="40"/>
      <c r="LY96" s="40"/>
      <c r="LZ96" s="40"/>
      <c r="MA96" s="40"/>
      <c r="MB96" s="40"/>
      <c r="MC96" s="40"/>
      <c r="MD96" s="40"/>
      <c r="ME96" s="40"/>
      <c r="MF96" s="40"/>
      <c r="MG96" s="40"/>
      <c r="MH96" s="40"/>
      <c r="MI96" s="40"/>
      <c r="MJ96" s="40"/>
      <c r="MK96" s="40"/>
      <c r="ML96" s="40"/>
      <c r="MM96" s="40"/>
      <c r="MN96" s="40"/>
      <c r="MO96" s="40"/>
      <c r="MP96" s="40"/>
      <c r="MQ96" s="40"/>
      <c r="MR96" s="40"/>
      <c r="MS96" s="40"/>
      <c r="MT96" s="40"/>
    </row>
    <row r="97" spans="1:358" ht="15.75" thickBot="1" x14ac:dyDescent="0.3">
      <c r="A97" t="str">
        <f>$A$168</f>
        <v>Coastal Carolina</v>
      </c>
      <c r="B97" s="55"/>
      <c r="C97" s="4">
        <v>64</v>
      </c>
      <c r="D97" s="60">
        <f>($I$105+40*($Q$7-0.5))/($I$105+$I$168)</f>
        <v>0.8991507944032352</v>
      </c>
      <c r="E97" s="60">
        <f>($I$106+40*($Q$7-0.5))/($I$106+$I$168)</f>
        <v>0.8981936343094058</v>
      </c>
      <c r="F97" s="60">
        <f>($I$107+40*($Q$7-0.5))/($I$107+$I$168)</f>
        <v>0.90321451075583514</v>
      </c>
      <c r="G97" s="60">
        <f>($I$108+40*($Q$7-0.5))/($I$108+$I$168)</f>
        <v>0.88879711835315112</v>
      </c>
      <c r="H97" s="60">
        <f>($I$109+40*($Q$7-0.5))/($I$109+$I$168)</f>
        <v>0.89025957055487259</v>
      </c>
      <c r="I97" s="60">
        <f>($I$110+40*($Q$8-0.5))/($I$110+$I$168)</f>
        <v>0.88897978396244259</v>
      </c>
      <c r="J97" s="60">
        <f>($I$111+40*($Q$8-0.5))/($I$111+$I$168)</f>
        <v>0.89056070747408045</v>
      </c>
      <c r="K97" s="60">
        <f>($I$112+40*($Q$8-0.5))/($I$112+$I$168)</f>
        <v>0.89264592806550835</v>
      </c>
      <c r="L97" s="60">
        <f>($I$113+40*($Q$9-0.5))/($I$113+$I$168)</f>
        <v>0.89373683200902743</v>
      </c>
      <c r="M97" s="60">
        <f>($I$114+40*($Q$9-0.5))/($I$114+$I$168)</f>
        <v>0.86055901771868959</v>
      </c>
      <c r="N97" s="60">
        <f>($I$115+40*($Q$9-0.5))/($I$115+$I$168)</f>
        <v>0.89701152997242173</v>
      </c>
      <c r="O97" s="60">
        <f>($I$116+40*($Q$9-0.5))/($I$116+$I$168)</f>
        <v>0.89008863742181432</v>
      </c>
      <c r="P97" s="60">
        <f>($I$117+40*($Q$10-0.5))/($I$117+$I$168)</f>
        <v>0.86848671515008002</v>
      </c>
      <c r="Q97" s="60">
        <f>($I$118+40*($Q$10-0.5))/($I$118+$I$168)</f>
        <v>0.85805068330844092</v>
      </c>
      <c r="R97" s="60">
        <f>($I$119+40*($Q$10-0.5))/($I$119+$I$168)</f>
        <v>0.86938413087735056</v>
      </c>
      <c r="S97" s="60">
        <f>($I$120+40*($Q$10-0.5))/($I$120+$I$168)</f>
        <v>0.86522618200916024</v>
      </c>
      <c r="T97" s="60">
        <f>($I$121+40*($Q$11-0.5))/($I$121+$I$168)</f>
        <v>0.84748592486353735</v>
      </c>
      <c r="U97" s="60">
        <f>($I$122+40*($Q$11-0.5))/($I$122+$I$168)</f>
        <v>0.84704496101648485</v>
      </c>
      <c r="V97" s="60">
        <f>($I$123+40*($Q$11-0.5))/($I$123+$I$168)</f>
        <v>0.85674126329814593</v>
      </c>
      <c r="W97" s="60">
        <f>($I$124+40*($Q$11-0.5))/($I$124+$I$168)</f>
        <v>0.84955884334291998</v>
      </c>
      <c r="X97" s="60">
        <f>($I$125+40*($Q$12-0.5))/($I$125+$I$168)</f>
        <v>0.84285059481527558</v>
      </c>
      <c r="Y97" s="60">
        <f>($I$126+40*($Q$12-0.5))/($I$126+$I$168)</f>
        <v>0.83655454905038928</v>
      </c>
      <c r="Z97" s="60">
        <f>($I$127+40*($Q$12-0.5))/($I$127+$I$168)</f>
        <v>0.84392740973630509</v>
      </c>
      <c r="AA97" s="60">
        <f>($I$128+40*($Q$12-0.5))/($I$128+$I$168)</f>
        <v>0.83861755254594184</v>
      </c>
      <c r="AB97" s="60">
        <f>($I$129+40*($Q$13-0.5))/($I$129+$I$168)</f>
        <v>0.8941052281340095</v>
      </c>
      <c r="AC97" s="60">
        <f>($I$130+40*($Q$13-0.5))/($I$130+$I$168)</f>
        <v>0.88766721141706806</v>
      </c>
      <c r="AD97" s="60">
        <f>($I$131+40*($Q$13-0.5))/($I$131+$I$168)</f>
        <v>0.88490537782128409</v>
      </c>
      <c r="AE97" s="60">
        <f>($I$132+40*($Q$13-0.5))/($I$132+$I$168)</f>
        <v>0.89103901202448799</v>
      </c>
      <c r="AF97" s="60">
        <f>($I$133+40*($Q$14-0.5))/($I$133+$I$168)</f>
        <v>0.84476720435663888</v>
      </c>
      <c r="AG97" s="60">
        <f>($I$134+40*($Q$14-0.5))/($I$134+$I$168)</f>
        <v>0.85900565336272583</v>
      </c>
      <c r="AH97" s="60">
        <f>($I$135+40*($Q$14-0.5))/($I$135+$I$168)</f>
        <v>0.85136285619255847</v>
      </c>
      <c r="AI97" s="60">
        <f>($I$136+40*($Q$14-0.5))/($I$136+$I$168)</f>
        <v>0.84827636079035906</v>
      </c>
      <c r="AJ97" s="60">
        <f>($I$137+40*($Q$15-0.5))/($I$137+$I$168)</f>
        <v>0.8442025419862641</v>
      </c>
      <c r="AK97" s="60">
        <f>($I$138+40*($Q$15-0.5))/($I$138+$I$168)</f>
        <v>0.84042953589202041</v>
      </c>
      <c r="AL97" s="60">
        <f>($I$139+40*($Q$15-0.5))/($I$139+$I$168)</f>
        <v>0.83742758921483174</v>
      </c>
      <c r="AM97" s="60">
        <f>($I$140+40*($Q$15-0.5))/($I$140+$I$168)</f>
        <v>0.84483351392674633</v>
      </c>
      <c r="AN97" s="60">
        <f>($I$141+40*($Q$16-0.5))/($I$141+$I$168)</f>
        <v>0.88258369049392849</v>
      </c>
      <c r="AO97" s="60">
        <f>($I$142+40*($Q$16-0.5))/($I$142+$I$168)</f>
        <v>0.88453954278837998</v>
      </c>
      <c r="AP97" s="60">
        <f>($I$143+40*($Q$16-0.5))/($I$143+$I$168)</f>
        <v>0.88297929780945639</v>
      </c>
      <c r="AQ97" s="60">
        <f>($I$144+40*($Q$16-0.5))/($I$144+$I$168)</f>
        <v>0.88709292554831742</v>
      </c>
      <c r="AR97" s="60">
        <f>($I$145+40*($Q$17-0.5))/($I$145+$I$168)</f>
        <v>0.88511776343925874</v>
      </c>
      <c r="AS97" s="60">
        <f>($I$146+40*($Q$17-0.5))/($I$146+$I$168)</f>
        <v>0.88009747393876192</v>
      </c>
      <c r="AT97" s="60">
        <f>($I$147+40*($Q$17-0.5))/($I$147+$I$168)</f>
        <v>0.88439496680586838</v>
      </c>
      <c r="AU97" s="60">
        <f>($I$148+40*($Q$17-0.5))/($I$148+$I$168)</f>
        <v>0.88342467031455141</v>
      </c>
      <c r="AV97" s="60">
        <f>($I$149+40*($Q$18-0.5))/($I$149+$I$168)</f>
        <v>0.78555655189354234</v>
      </c>
      <c r="AW97" s="60">
        <f>($I$150+40*($Q$18-0.5))/($I$150+$I$168)</f>
        <v>0.78236960222757324</v>
      </c>
      <c r="AX97" s="60">
        <f>($I$151+40*($Q$18-0.5))/($I$151+$I$168)</f>
        <v>0.78736041915523913</v>
      </c>
      <c r="AY97" s="60">
        <f>($I$152+40*($Q$18-0.5))/($I$152+$I$168)</f>
        <v>0.78506474354840661</v>
      </c>
      <c r="AZ97" s="60">
        <f>($I$153+40*($Q$19-0.5))/($I$153+$I$168)</f>
        <v>0.7772541976191456</v>
      </c>
      <c r="BA97" s="60">
        <f>($I$154+40*($Q$19-0.5))/($I$154+$I$168)</f>
        <v>0.78277888106426752</v>
      </c>
      <c r="BB97" s="60">
        <f>($I$155+40*($Q$19-0.5))/($I$155+$I$168)</f>
        <v>0.76394734683653687</v>
      </c>
      <c r="BC97" s="60">
        <f>($I$156+40*($Q$19-0.5))/($I$156+$I$168)</f>
        <v>0.75920441160052043</v>
      </c>
      <c r="BD97" s="60">
        <f>($I$157+40*($Q$20-0.5))/($I$157+$I$168)</f>
        <v>0.76959170889466599</v>
      </c>
      <c r="BE97" s="60">
        <f>($I$158+40*($Q$20-0.5))/($I$158+$I$168)</f>
        <v>0.73659603881146141</v>
      </c>
      <c r="BF97" s="60">
        <f>($I$159+40*($Q$20-0.5))/($I$159+$I$168)</f>
        <v>0.74649948082004614</v>
      </c>
      <c r="BG97" s="60">
        <f>($I$160+40*($Q$20-0.5))/($I$160+$I$168)</f>
        <v>0.75000895397084821</v>
      </c>
      <c r="BH97" s="60">
        <f>($I$161+40*($Q$21-0.5))/($I$161+$I$168)</f>
        <v>0.6529504171487428</v>
      </c>
      <c r="BI97" s="60">
        <f>($I$162+40*($Q$21-0.5))/($I$162+$I$168)</f>
        <v>0.64247922325183493</v>
      </c>
      <c r="BJ97" s="60">
        <f>($I$163+40*($Q$21-0.5))/($I$163+$I$168)</f>
        <v>0.63815064835314128</v>
      </c>
      <c r="BK97" s="60">
        <f>($I$164+40*($Q$21-0.5))/($I$164+$I$168)</f>
        <v>0.63380009021149197</v>
      </c>
      <c r="BL97" s="60">
        <f>($I$165+40*($Q$22-0.5))/($I$165+$I$168)</f>
        <v>0.49653052030488976</v>
      </c>
      <c r="BM97" s="60">
        <f>($I$166+40*($Q$22-0.5))/($I$166+$I$168)</f>
        <v>0.51127795908812845</v>
      </c>
      <c r="BN97" s="60">
        <f>($I$167+40*($Q$22-0.5))/($I$167+$I$168)</f>
        <v>0.47603056676200517</v>
      </c>
      <c r="BO97" s="5">
        <v>0</v>
      </c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  <c r="IN97" s="40"/>
      <c r="IO97" s="40"/>
      <c r="IP97" s="40"/>
      <c r="IQ97" s="40"/>
      <c r="IR97" s="40"/>
      <c r="IS97" s="40"/>
      <c r="IT97" s="40"/>
      <c r="IU97" s="40"/>
      <c r="IV97" s="40"/>
      <c r="IW97" s="40"/>
      <c r="IX97" s="40"/>
      <c r="IY97" s="40"/>
      <c r="IZ97" s="40"/>
      <c r="JA97" s="40"/>
      <c r="JB97" s="40"/>
      <c r="JC97" s="40"/>
      <c r="JD97" s="40"/>
      <c r="JE97" s="40"/>
      <c r="JF97" s="40"/>
      <c r="JG97" s="40"/>
      <c r="JH97" s="40"/>
      <c r="JI97" s="40"/>
      <c r="JJ97" s="40"/>
      <c r="JK97" s="40"/>
      <c r="JL97" s="40"/>
      <c r="JM97" s="40"/>
      <c r="JN97" s="40"/>
      <c r="JO97" s="40"/>
      <c r="JP97" s="40"/>
      <c r="JQ97" s="40"/>
      <c r="JR97" s="40"/>
      <c r="JS97" s="40"/>
      <c r="JT97" s="40"/>
      <c r="JU97" s="40"/>
      <c r="JV97" s="40"/>
      <c r="JW97" s="40"/>
      <c r="JX97" s="40"/>
      <c r="JY97" s="40"/>
      <c r="JZ97" s="40"/>
      <c r="KA97" s="40"/>
      <c r="KB97" s="40"/>
      <c r="KC97" s="40"/>
      <c r="KD97" s="40"/>
      <c r="KE97" s="40"/>
      <c r="KF97" s="40"/>
      <c r="KG97" s="40"/>
      <c r="KH97" s="40"/>
      <c r="KI97" s="40"/>
      <c r="KJ97" s="40"/>
      <c r="KK97" s="40"/>
      <c r="KL97" s="40"/>
      <c r="KM97" s="40"/>
      <c r="KN97" s="40"/>
      <c r="KO97" s="40"/>
      <c r="KP97" s="40"/>
      <c r="KQ97" s="40"/>
      <c r="KR97" s="40"/>
      <c r="KS97" s="40"/>
      <c r="KT97" s="40"/>
      <c r="KU97" s="40"/>
      <c r="KV97" s="40"/>
      <c r="KW97" s="40"/>
      <c r="KX97" s="40"/>
      <c r="KY97" s="40"/>
      <c r="KZ97" s="40"/>
      <c r="LA97" s="40"/>
      <c r="LB97" s="40"/>
      <c r="LC97" s="40"/>
      <c r="LD97" s="40"/>
      <c r="LE97" s="40"/>
      <c r="LF97" s="40"/>
      <c r="LG97" s="40"/>
      <c r="LH97" s="40"/>
      <c r="LI97" s="40"/>
      <c r="LJ97" s="40"/>
      <c r="LK97" s="40"/>
      <c r="LL97" s="40"/>
      <c r="LM97" s="40"/>
      <c r="LN97" s="40"/>
      <c r="LO97" s="40"/>
      <c r="LP97" s="40"/>
      <c r="LQ97" s="40"/>
      <c r="LR97" s="40"/>
      <c r="LS97" s="40"/>
      <c r="LT97" s="40"/>
      <c r="LU97" s="40"/>
      <c r="LV97" s="40"/>
      <c r="LW97" s="40"/>
      <c r="LX97" s="40"/>
      <c r="LY97" s="40"/>
      <c r="LZ97" s="40"/>
      <c r="MA97" s="40"/>
      <c r="MB97" s="40"/>
      <c r="MC97" s="40"/>
      <c r="MD97" s="40"/>
      <c r="ME97" s="40"/>
      <c r="MF97" s="40"/>
      <c r="MG97" s="40"/>
      <c r="MH97" s="40"/>
      <c r="MI97" s="40"/>
      <c r="MJ97" s="40"/>
      <c r="MK97" s="40"/>
      <c r="ML97" s="40"/>
      <c r="MM97" s="40"/>
      <c r="MN97" s="40"/>
      <c r="MO97" s="40"/>
      <c r="MP97" s="40"/>
      <c r="MQ97" s="40"/>
      <c r="MR97" s="40"/>
      <c r="MS97" s="40"/>
      <c r="MT97" s="40"/>
    </row>
    <row r="98" spans="1:358" x14ac:dyDescent="0.25"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  <c r="IN98" s="40"/>
      <c r="IO98" s="40"/>
      <c r="IP98" s="40"/>
      <c r="IQ98" s="40"/>
      <c r="IR98" s="40"/>
      <c r="IS98" s="40"/>
      <c r="IT98" s="40"/>
      <c r="IU98" s="40"/>
      <c r="IV98" s="40"/>
      <c r="IW98" s="40"/>
      <c r="IX98" s="40"/>
      <c r="IY98" s="40"/>
      <c r="IZ98" s="40"/>
      <c r="JA98" s="40"/>
      <c r="JB98" s="40"/>
      <c r="JC98" s="40"/>
      <c r="JD98" s="40"/>
      <c r="JE98" s="40"/>
      <c r="JF98" s="40"/>
      <c r="JG98" s="40"/>
      <c r="JH98" s="40"/>
      <c r="JI98" s="40"/>
      <c r="JJ98" s="40"/>
      <c r="JK98" s="40"/>
      <c r="JL98" s="40"/>
      <c r="JM98" s="40"/>
      <c r="JN98" s="40"/>
      <c r="JO98" s="40"/>
      <c r="JP98" s="40"/>
      <c r="JQ98" s="40"/>
      <c r="JR98" s="40"/>
      <c r="JS98" s="40"/>
      <c r="JT98" s="40"/>
      <c r="JU98" s="40"/>
      <c r="JV98" s="40"/>
      <c r="JW98" s="40"/>
      <c r="JX98" s="40"/>
      <c r="JY98" s="40"/>
      <c r="JZ98" s="40"/>
      <c r="KA98" s="40"/>
      <c r="KB98" s="40"/>
      <c r="KC98" s="40"/>
      <c r="KD98" s="40"/>
      <c r="KE98" s="40"/>
      <c r="KF98" s="40"/>
      <c r="KG98" s="40"/>
      <c r="KH98" s="40"/>
      <c r="KI98" s="40"/>
      <c r="KJ98" s="40"/>
      <c r="KK98" s="40"/>
      <c r="KL98" s="40"/>
      <c r="KM98" s="40"/>
      <c r="KN98" s="40"/>
      <c r="KO98" s="40"/>
      <c r="KP98" s="40"/>
      <c r="KQ98" s="40"/>
      <c r="KR98" s="40"/>
      <c r="KS98" s="40"/>
      <c r="KT98" s="40"/>
      <c r="KU98" s="40"/>
      <c r="KV98" s="40"/>
      <c r="KW98" s="40"/>
      <c r="KX98" s="40"/>
      <c r="KY98" s="40"/>
      <c r="KZ98" s="40"/>
      <c r="LA98" s="40"/>
      <c r="LB98" s="40"/>
      <c r="LC98" s="40"/>
      <c r="LD98" s="40"/>
      <c r="LE98" s="40"/>
      <c r="LF98" s="40"/>
      <c r="LG98" s="40"/>
      <c r="LH98" s="40"/>
      <c r="LI98" s="40"/>
      <c r="LJ98" s="40"/>
      <c r="LK98" s="40"/>
      <c r="LL98" s="40"/>
      <c r="LM98" s="40"/>
      <c r="LN98" s="40"/>
      <c r="LO98" s="40"/>
      <c r="LP98" s="40"/>
      <c r="LQ98" s="40"/>
      <c r="LR98" s="40"/>
      <c r="LS98" s="40"/>
      <c r="LT98" s="40"/>
      <c r="LU98" s="40"/>
      <c r="LV98" s="40"/>
      <c r="LW98" s="40"/>
      <c r="LX98" s="40"/>
      <c r="LY98" s="40"/>
      <c r="LZ98" s="40"/>
      <c r="MA98" s="40"/>
      <c r="MB98" s="40"/>
      <c r="MC98" s="40"/>
      <c r="MD98" s="40"/>
      <c r="ME98" s="40"/>
      <c r="MF98" s="40"/>
      <c r="MG98" s="40"/>
      <c r="MH98" s="40"/>
      <c r="MI98" s="40"/>
      <c r="MJ98" s="40"/>
      <c r="MK98" s="40"/>
      <c r="ML98" s="40"/>
      <c r="MM98" s="40"/>
      <c r="MN98" s="40"/>
      <c r="MO98" s="40"/>
      <c r="MP98" s="40"/>
      <c r="MQ98" s="40"/>
      <c r="MR98" s="40"/>
      <c r="MS98" s="40"/>
      <c r="MT98" s="40"/>
    </row>
    <row r="99" spans="1:358" x14ac:dyDescent="0.25"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40"/>
      <c r="IT99" s="40"/>
      <c r="IU99" s="40"/>
      <c r="IV99" s="40"/>
      <c r="IW99" s="40"/>
      <c r="IX99" s="40"/>
      <c r="IY99" s="40"/>
      <c r="IZ99" s="40"/>
      <c r="JA99" s="40"/>
      <c r="JB99" s="40"/>
      <c r="JC99" s="40"/>
      <c r="JD99" s="40"/>
      <c r="JE99" s="40"/>
      <c r="JF99" s="40"/>
      <c r="JG99" s="40"/>
      <c r="JH99" s="40"/>
      <c r="JI99" s="40"/>
      <c r="JJ99" s="40"/>
      <c r="JK99" s="40"/>
      <c r="JL99" s="40"/>
      <c r="JM99" s="40"/>
      <c r="JN99" s="40"/>
      <c r="JO99" s="40"/>
      <c r="JP99" s="40"/>
      <c r="JQ99" s="40"/>
      <c r="JR99" s="40"/>
      <c r="JS99" s="40"/>
      <c r="JT99" s="40"/>
      <c r="JU99" s="40"/>
      <c r="JV99" s="40"/>
      <c r="JW99" s="40"/>
      <c r="JX99" s="40"/>
      <c r="JY99" s="40"/>
      <c r="JZ99" s="40"/>
      <c r="KA99" s="40"/>
      <c r="KB99" s="40"/>
      <c r="KC99" s="40"/>
      <c r="KD99" s="40"/>
      <c r="KE99" s="40"/>
      <c r="KF99" s="40"/>
      <c r="KG99" s="40"/>
      <c r="KH99" s="40"/>
      <c r="KI99" s="40"/>
      <c r="KJ99" s="40"/>
      <c r="KK99" s="40"/>
      <c r="KL99" s="40"/>
      <c r="KM99" s="40"/>
      <c r="KN99" s="40"/>
      <c r="KO99" s="40"/>
      <c r="KP99" s="40"/>
      <c r="KQ99" s="40"/>
      <c r="KR99" s="40"/>
      <c r="KS99" s="40"/>
      <c r="KT99" s="40"/>
      <c r="KU99" s="40"/>
      <c r="KV99" s="40"/>
      <c r="KW99" s="40"/>
      <c r="KX99" s="40"/>
      <c r="KY99" s="40"/>
      <c r="KZ99" s="40"/>
      <c r="LA99" s="40"/>
      <c r="LB99" s="40"/>
      <c r="LC99" s="40"/>
      <c r="LD99" s="40"/>
      <c r="LE99" s="40"/>
      <c r="LF99" s="40"/>
      <c r="LG99" s="40"/>
      <c r="LH99" s="40"/>
      <c r="LI99" s="40"/>
      <c r="LJ99" s="40"/>
      <c r="LK99" s="40"/>
      <c r="LL99" s="40"/>
      <c r="LM99" s="40"/>
      <c r="LN99" s="40"/>
      <c r="LO99" s="40"/>
      <c r="LP99" s="40"/>
      <c r="LQ99" s="40"/>
      <c r="LR99" s="40"/>
      <c r="LS99" s="40"/>
      <c r="LT99" s="40"/>
      <c r="LU99" s="40"/>
      <c r="LV99" s="40"/>
      <c r="LW99" s="40"/>
      <c r="LX99" s="40"/>
      <c r="LY99" s="40"/>
      <c r="LZ99" s="40"/>
      <c r="MA99" s="40"/>
      <c r="MB99" s="40"/>
      <c r="MC99" s="40"/>
      <c r="MD99" s="40"/>
      <c r="ME99" s="40"/>
      <c r="MF99" s="40"/>
      <c r="MG99" s="40"/>
      <c r="MH99" s="40"/>
      <c r="MI99" s="40"/>
      <c r="MJ99" s="40"/>
      <c r="MK99" s="40"/>
      <c r="ML99" s="40"/>
      <c r="MM99" s="40"/>
      <c r="MN99" s="40"/>
      <c r="MO99" s="40"/>
      <c r="MP99" s="40"/>
      <c r="MQ99" s="40"/>
      <c r="MR99" s="40"/>
      <c r="MS99" s="40"/>
      <c r="MT99" s="40"/>
    </row>
    <row r="100" spans="1:358" x14ac:dyDescent="0.25"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 s="40"/>
      <c r="IM100" s="40"/>
      <c r="IN100" s="40"/>
      <c r="IO100" s="40"/>
      <c r="IP100" s="40"/>
      <c r="IQ100" s="40"/>
      <c r="IR100" s="40"/>
      <c r="IS100" s="40"/>
      <c r="IT100" s="40"/>
      <c r="IU100" s="40"/>
      <c r="IV100" s="40"/>
      <c r="IW100" s="40"/>
      <c r="IX100" s="40"/>
      <c r="IY100" s="40"/>
      <c r="IZ100" s="40"/>
      <c r="JA100" s="40"/>
      <c r="JB100" s="40"/>
      <c r="JC100" s="40"/>
      <c r="JD100" s="40"/>
      <c r="JE100" s="40"/>
      <c r="JF100" s="40"/>
      <c r="JG100" s="40"/>
      <c r="JH100" s="40"/>
      <c r="JI100" s="40"/>
      <c r="JJ100" s="40"/>
      <c r="JK100" s="40"/>
      <c r="JL100" s="40"/>
      <c r="JM100" s="40"/>
      <c r="JN100" s="40"/>
      <c r="JO100" s="40"/>
      <c r="JP100" s="40"/>
      <c r="JQ100" s="40"/>
      <c r="JR100" s="40"/>
      <c r="JS100" s="40"/>
      <c r="JT100" s="40"/>
      <c r="JU100" s="40"/>
      <c r="JV100" s="40"/>
      <c r="JW100" s="40"/>
      <c r="JX100" s="40"/>
      <c r="JY100" s="40"/>
      <c r="JZ100" s="40"/>
      <c r="KA100" s="40"/>
      <c r="KB100" s="40"/>
      <c r="KC100" s="40"/>
      <c r="KD100" s="40"/>
      <c r="KE100" s="40"/>
      <c r="KF100" s="40"/>
      <c r="KG100" s="40"/>
      <c r="KH100" s="40"/>
      <c r="KI100" s="40"/>
      <c r="KJ100" s="40"/>
      <c r="KK100" s="40"/>
      <c r="KL100" s="40"/>
      <c r="KM100" s="40"/>
      <c r="KN100" s="40"/>
      <c r="KO100" s="40"/>
      <c r="KP100" s="40"/>
      <c r="KQ100" s="40"/>
      <c r="KR100" s="40"/>
      <c r="KS100" s="40"/>
      <c r="KT100" s="40"/>
      <c r="KU100" s="40"/>
      <c r="KV100" s="40"/>
      <c r="KW100" s="40"/>
      <c r="KX100" s="40"/>
      <c r="KY100" s="40"/>
      <c r="KZ100" s="40"/>
      <c r="LA100" s="40"/>
      <c r="LB100" s="40"/>
      <c r="LC100" s="40"/>
      <c r="LD100" s="40"/>
      <c r="LE100" s="40"/>
      <c r="LF100" s="40"/>
      <c r="LG100" s="40"/>
      <c r="LH100" s="40"/>
      <c r="LI100" s="40"/>
      <c r="LJ100" s="40"/>
      <c r="LK100" s="40"/>
      <c r="LL100" s="40"/>
      <c r="LM100" s="40"/>
      <c r="LN100" s="40"/>
      <c r="LO100" s="40"/>
      <c r="LP100" s="40"/>
      <c r="LQ100" s="40"/>
      <c r="LR100" s="40"/>
      <c r="LS100" s="40"/>
      <c r="LT100" s="40"/>
      <c r="LU100" s="40"/>
      <c r="LV100" s="40"/>
      <c r="LW100" s="40"/>
      <c r="LX100" s="40"/>
      <c r="LY100" s="40"/>
      <c r="LZ100" s="40"/>
      <c r="MA100" s="40"/>
      <c r="MB100" s="40"/>
      <c r="MC100" s="40"/>
      <c r="MD100" s="40"/>
      <c r="ME100" s="40"/>
      <c r="MF100" s="40"/>
      <c r="MG100" s="40"/>
      <c r="MH100" s="40"/>
      <c r="MI100" s="40"/>
      <c r="MJ100" s="40"/>
      <c r="MK100" s="40"/>
      <c r="ML100" s="40"/>
      <c r="MM100" s="40"/>
      <c r="MN100" s="40"/>
      <c r="MO100" s="40"/>
      <c r="MP100" s="40"/>
      <c r="MQ100" s="40"/>
      <c r="MR100" s="40"/>
      <c r="MS100" s="40"/>
      <c r="MT100" s="40"/>
    </row>
    <row r="101" spans="1:358" x14ac:dyDescent="0.25"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  <c r="IN101" s="40"/>
      <c r="IO101" s="40"/>
      <c r="IP101" s="40"/>
      <c r="IQ101" s="40"/>
      <c r="IR101" s="40"/>
      <c r="IS101" s="40"/>
      <c r="IT101" s="40"/>
      <c r="IU101" s="40"/>
      <c r="IV101" s="40"/>
      <c r="IW101" s="40"/>
      <c r="IX101" s="40"/>
      <c r="IY101" s="40"/>
      <c r="IZ101" s="40"/>
      <c r="JA101" s="40"/>
      <c r="JB101" s="40"/>
      <c r="JC101" s="40"/>
      <c r="JD101" s="40"/>
      <c r="JE101" s="40"/>
      <c r="JF101" s="40"/>
      <c r="JG101" s="40"/>
      <c r="JH101" s="40"/>
      <c r="JI101" s="40"/>
      <c r="JJ101" s="40"/>
      <c r="JK101" s="40"/>
      <c r="JL101" s="40"/>
      <c r="JM101" s="40"/>
      <c r="JN101" s="40"/>
      <c r="JO101" s="40"/>
      <c r="JP101" s="40"/>
      <c r="JQ101" s="40"/>
      <c r="JR101" s="40"/>
      <c r="JS101" s="40"/>
      <c r="JT101" s="40"/>
      <c r="JU101" s="40"/>
      <c r="JV101" s="40"/>
      <c r="JW101" s="40"/>
      <c r="JX101" s="40"/>
      <c r="JY101" s="40"/>
      <c r="JZ101" s="40"/>
      <c r="KA101" s="40"/>
      <c r="KB101" s="40"/>
      <c r="KC101" s="40"/>
      <c r="KD101" s="40"/>
      <c r="KE101" s="40"/>
      <c r="KF101" s="40"/>
      <c r="KG101" s="40"/>
      <c r="KH101" s="40"/>
      <c r="KI101" s="40"/>
      <c r="KJ101" s="40"/>
      <c r="KK101" s="40"/>
      <c r="KL101" s="40"/>
      <c r="KM101" s="40"/>
      <c r="KN101" s="40"/>
      <c r="KO101" s="40"/>
      <c r="KP101" s="40"/>
      <c r="KQ101" s="40"/>
      <c r="KR101" s="40"/>
      <c r="KS101" s="40"/>
      <c r="KT101" s="40"/>
      <c r="KU101" s="40"/>
      <c r="KV101" s="40"/>
      <c r="KW101" s="40"/>
      <c r="KX101" s="40"/>
      <c r="KY101" s="40"/>
      <c r="KZ101" s="40"/>
      <c r="LA101" s="40"/>
      <c r="LB101" s="40"/>
      <c r="LC101" s="40"/>
      <c r="LD101" s="40"/>
      <c r="LE101" s="40"/>
      <c r="LF101" s="40"/>
      <c r="LG101" s="40"/>
      <c r="LH101" s="40"/>
      <c r="LI101" s="40"/>
      <c r="LJ101" s="40"/>
      <c r="LK101" s="40"/>
      <c r="LL101" s="40"/>
      <c r="LM101" s="40"/>
      <c r="LN101" s="40"/>
      <c r="LO101" s="40"/>
      <c r="LP101" s="40"/>
      <c r="LQ101" s="40"/>
      <c r="LR101" s="40"/>
      <c r="LS101" s="40"/>
      <c r="LT101" s="40"/>
      <c r="LU101" s="40"/>
      <c r="LV101" s="40"/>
      <c r="LW101" s="40"/>
      <c r="LX101" s="40"/>
      <c r="LY101" s="40"/>
      <c r="LZ101" s="40"/>
      <c r="MA101" s="40"/>
      <c r="MB101" s="40"/>
      <c r="MC101" s="40"/>
      <c r="MD101" s="40"/>
      <c r="ME101" s="40"/>
      <c r="MF101" s="40"/>
      <c r="MG101" s="40"/>
      <c r="MH101" s="40"/>
      <c r="MI101" s="40"/>
      <c r="MJ101" s="40"/>
      <c r="MK101" s="40"/>
      <c r="ML101" s="40"/>
      <c r="MM101" s="40"/>
      <c r="MN101" s="40"/>
      <c r="MO101" s="40"/>
      <c r="MP101" s="40"/>
      <c r="MQ101" s="40"/>
      <c r="MR101" s="40"/>
      <c r="MS101" s="40"/>
      <c r="MT101" s="40"/>
    </row>
    <row r="102" spans="1:358" ht="15.75" thickBot="1" x14ac:dyDescent="0.3">
      <c r="C102" s="53" t="s">
        <v>76</v>
      </c>
      <c r="D102" s="53"/>
      <c r="E102" s="53"/>
      <c r="F102" s="53"/>
      <c r="G102" s="53"/>
      <c r="H102" s="53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  <c r="IN102" s="40"/>
      <c r="IO102" s="40"/>
      <c r="IP102" s="40"/>
      <c r="IQ102" s="40"/>
      <c r="IR102" s="40"/>
      <c r="IS102" s="40"/>
      <c r="IT102" s="40"/>
      <c r="IU102" s="40"/>
      <c r="IV102" s="40"/>
      <c r="IW102" s="40"/>
      <c r="IX102" s="40"/>
      <c r="IY102" s="40"/>
      <c r="IZ102" s="40"/>
      <c r="JA102" s="40"/>
      <c r="JB102" s="40"/>
      <c r="JC102" s="40"/>
      <c r="JD102" s="40"/>
      <c r="JE102" s="40"/>
      <c r="JF102" s="40"/>
      <c r="JG102" s="40"/>
      <c r="JH102" s="40"/>
      <c r="JI102" s="40"/>
      <c r="JJ102" s="40"/>
      <c r="JK102" s="40"/>
      <c r="JL102" s="40"/>
      <c r="JM102" s="40"/>
      <c r="JN102" s="40"/>
      <c r="JO102" s="40"/>
      <c r="JP102" s="40"/>
      <c r="JQ102" s="40"/>
      <c r="JR102" s="40"/>
      <c r="JS102" s="40"/>
      <c r="JT102" s="40"/>
      <c r="JU102" s="40"/>
      <c r="JV102" s="40"/>
      <c r="JW102" s="40"/>
      <c r="JX102" s="40"/>
      <c r="JY102" s="40"/>
      <c r="JZ102" s="40"/>
      <c r="KA102" s="40"/>
      <c r="KB102" s="40"/>
      <c r="KC102" s="40"/>
      <c r="KD102" s="40"/>
      <c r="KE102" s="40"/>
      <c r="KF102" s="40"/>
      <c r="KG102" s="40"/>
      <c r="KH102" s="40"/>
      <c r="KI102" s="40"/>
      <c r="KJ102" s="40"/>
      <c r="KK102" s="40"/>
      <c r="KL102" s="40"/>
      <c r="KM102" s="40"/>
      <c r="KN102" s="40"/>
      <c r="KO102" s="40"/>
      <c r="KP102" s="40"/>
      <c r="KQ102" s="40"/>
      <c r="KR102" s="40"/>
      <c r="KS102" s="40"/>
      <c r="KT102" s="40"/>
      <c r="KU102" s="40"/>
      <c r="KV102" s="40"/>
      <c r="KW102" s="40"/>
      <c r="KX102" s="40"/>
      <c r="KY102" s="40"/>
      <c r="KZ102" s="40"/>
      <c r="LA102" s="40"/>
      <c r="LB102" s="40"/>
      <c r="LC102" s="40"/>
      <c r="LD102" s="40"/>
      <c r="LE102" s="40"/>
      <c r="LF102" s="40"/>
      <c r="LG102" s="40"/>
      <c r="LH102" s="40"/>
      <c r="LI102" s="40"/>
      <c r="LJ102" s="40"/>
      <c r="LK102" s="40"/>
      <c r="LL102" s="40"/>
      <c r="LM102" s="40"/>
      <c r="LN102" s="40"/>
      <c r="LO102" s="40"/>
      <c r="LP102" s="40"/>
      <c r="LQ102" s="40"/>
      <c r="LR102" s="40"/>
      <c r="LS102" s="40"/>
      <c r="LT102" s="40"/>
      <c r="LU102" s="40"/>
      <c r="LV102" s="40"/>
      <c r="LW102" s="40"/>
      <c r="LX102" s="40"/>
      <c r="LY102" s="40"/>
      <c r="LZ102" s="40"/>
      <c r="MA102" s="40"/>
      <c r="MB102" s="40"/>
      <c r="MC102" s="40"/>
      <c r="MD102" s="40"/>
      <c r="ME102" s="40"/>
      <c r="MF102" s="40"/>
      <c r="MG102" s="40"/>
      <c r="MH102" s="40"/>
      <c r="MI102" s="40"/>
      <c r="MJ102" s="40"/>
      <c r="MK102" s="40"/>
      <c r="ML102" s="40"/>
      <c r="MM102" s="40"/>
      <c r="MN102" s="40"/>
      <c r="MO102" s="40"/>
      <c r="MP102" s="40"/>
      <c r="MQ102" s="40"/>
      <c r="MR102" s="40"/>
      <c r="MS102" s="40"/>
      <c r="MT102" s="40"/>
    </row>
    <row r="103" spans="1:358" x14ac:dyDescent="0.25">
      <c r="A103" s="6"/>
      <c r="B103" s="7"/>
      <c r="C103" s="49" t="s">
        <v>10</v>
      </c>
      <c r="D103" s="49"/>
      <c r="E103" s="49"/>
      <c r="F103" s="50" t="s">
        <v>11</v>
      </c>
      <c r="G103" s="50"/>
      <c r="H103" s="8" t="s">
        <v>12</v>
      </c>
      <c r="I103" s="51" t="s">
        <v>13</v>
      </c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  <c r="IN103" s="40"/>
      <c r="IO103" s="40"/>
      <c r="IP103" s="40"/>
      <c r="IQ103" s="40"/>
      <c r="IR103" s="40"/>
      <c r="IS103" s="40"/>
      <c r="IT103" s="40"/>
      <c r="IU103" s="40"/>
      <c r="IV103" s="40"/>
      <c r="IW103" s="40"/>
      <c r="IX103" s="40"/>
      <c r="IY103" s="40"/>
      <c r="IZ103" s="40"/>
      <c r="JA103" s="40"/>
      <c r="JB103" s="40"/>
      <c r="JC103" s="40"/>
      <c r="JD103" s="40"/>
      <c r="JE103" s="40"/>
      <c r="JF103" s="40"/>
      <c r="JG103" s="40"/>
      <c r="JH103" s="40"/>
      <c r="JI103" s="40"/>
      <c r="JJ103" s="40"/>
      <c r="JK103" s="40"/>
      <c r="JL103" s="40"/>
      <c r="JM103" s="40"/>
      <c r="JN103" s="40"/>
      <c r="JO103" s="40"/>
      <c r="JP103" s="40"/>
      <c r="JQ103" s="40"/>
      <c r="JR103" s="40"/>
      <c r="JS103" s="40"/>
      <c r="JT103" s="40"/>
      <c r="JU103" s="40"/>
      <c r="JV103" s="40"/>
      <c r="JW103" s="40"/>
      <c r="JX103" s="40"/>
      <c r="JY103" s="40"/>
      <c r="JZ103" s="40"/>
      <c r="KA103" s="40"/>
      <c r="KB103" s="40"/>
      <c r="KC103" s="40"/>
      <c r="KD103" s="40"/>
      <c r="KE103" s="40"/>
      <c r="KF103" s="40"/>
      <c r="KG103" s="40"/>
      <c r="KH103" s="40"/>
      <c r="KI103" s="40"/>
      <c r="KJ103" s="40"/>
      <c r="KK103" s="40"/>
      <c r="KL103" s="40"/>
      <c r="KM103" s="40"/>
      <c r="KN103" s="40"/>
      <c r="KO103" s="40"/>
      <c r="KP103" s="40"/>
      <c r="KQ103" s="40"/>
      <c r="KR103" s="40"/>
      <c r="KS103" s="40"/>
      <c r="KT103" s="40"/>
      <c r="KU103" s="40"/>
      <c r="KV103" s="40"/>
      <c r="KW103" s="40"/>
      <c r="KX103" s="40"/>
      <c r="KY103" s="40"/>
      <c r="KZ103" s="40"/>
      <c r="LA103" s="40"/>
      <c r="LB103" s="40"/>
      <c r="LC103" s="40"/>
      <c r="LD103" s="40"/>
      <c r="LE103" s="40"/>
      <c r="LF103" s="40"/>
      <c r="LG103" s="40"/>
      <c r="LH103" s="40"/>
      <c r="LI103" s="40"/>
      <c r="LJ103" s="40"/>
      <c r="LK103" s="40"/>
      <c r="LL103" s="40"/>
      <c r="LM103" s="40"/>
      <c r="LN103" s="40"/>
      <c r="LO103" s="40"/>
      <c r="LP103" s="40"/>
      <c r="LQ103" s="40"/>
      <c r="LR103" s="40"/>
      <c r="LS103" s="40"/>
      <c r="LT103" s="40"/>
      <c r="LU103" s="40"/>
      <c r="LV103" s="40"/>
      <c r="LW103" s="40"/>
      <c r="LX103" s="40"/>
      <c r="LY103" s="40"/>
      <c r="LZ103" s="40"/>
      <c r="MA103" s="40"/>
      <c r="MB103" s="40"/>
      <c r="MC103" s="40"/>
      <c r="MD103" s="40"/>
      <c r="ME103" s="40"/>
      <c r="MF103" s="40"/>
      <c r="MG103" s="40"/>
      <c r="MH103" s="40"/>
      <c r="MI103" s="40"/>
      <c r="MJ103" s="40"/>
      <c r="MK103" s="40"/>
      <c r="ML103" s="40"/>
      <c r="MM103" s="40"/>
      <c r="MN103" s="40"/>
      <c r="MO103" s="40"/>
      <c r="MP103" s="40"/>
      <c r="MQ103" s="40"/>
      <c r="MR103" s="40"/>
      <c r="MS103" s="40"/>
      <c r="MT103" s="40"/>
    </row>
    <row r="104" spans="1:358" x14ac:dyDescent="0.25">
      <c r="A104" s="9" t="s">
        <v>75</v>
      </c>
      <c r="B104" s="3" t="s">
        <v>1</v>
      </c>
      <c r="C104" s="10" t="s">
        <v>0</v>
      </c>
      <c r="D104" s="15" t="s">
        <v>9</v>
      </c>
      <c r="E104" s="10" t="s">
        <v>8</v>
      </c>
      <c r="F104" s="10" t="s">
        <v>5</v>
      </c>
      <c r="G104" s="10" t="s">
        <v>4</v>
      </c>
      <c r="H104" s="11" t="s">
        <v>14</v>
      </c>
      <c r="I104" s="52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40"/>
      <c r="IT104" s="40"/>
      <c r="IU104" s="40"/>
      <c r="IV104" s="40"/>
      <c r="IW104" s="40"/>
      <c r="IX104" s="40"/>
      <c r="IY104" s="40"/>
      <c r="IZ104" s="40"/>
      <c r="JA104" s="40"/>
      <c r="JB104" s="40"/>
      <c r="JC104" s="40"/>
      <c r="JD104" s="40"/>
      <c r="JE104" s="40"/>
      <c r="JF104" s="40"/>
      <c r="JG104" s="40"/>
      <c r="JH104" s="40"/>
      <c r="JI104" s="40"/>
      <c r="JJ104" s="40"/>
      <c r="JK104" s="40"/>
      <c r="JL104" s="40"/>
      <c r="JM104" s="40"/>
      <c r="JN104" s="40"/>
      <c r="JO104" s="40"/>
      <c r="JP104" s="40"/>
      <c r="JQ104" s="40"/>
      <c r="JR104" s="40"/>
      <c r="JS104" s="40"/>
      <c r="JT104" s="40"/>
      <c r="JU104" s="40"/>
      <c r="JV104" s="40"/>
      <c r="JW104" s="40"/>
      <c r="JX104" s="40"/>
      <c r="JY104" s="40"/>
      <c r="JZ104" s="40"/>
      <c r="KA104" s="40"/>
      <c r="KB104" s="40"/>
      <c r="KC104" s="40"/>
      <c r="KD104" s="40"/>
      <c r="KE104" s="40"/>
      <c r="KF104" s="40"/>
      <c r="KG104" s="40"/>
      <c r="KH104" s="40"/>
      <c r="KI104" s="40"/>
      <c r="KJ104" s="40"/>
      <c r="KK104" s="40"/>
      <c r="KL104" s="40"/>
      <c r="KM104" s="40"/>
      <c r="KN104" s="40"/>
      <c r="KO104" s="40"/>
      <c r="KP104" s="40"/>
      <c r="KQ104" s="40"/>
      <c r="KR104" s="40"/>
      <c r="KS104" s="40"/>
      <c r="KT104" s="40"/>
      <c r="KU104" s="40"/>
      <c r="KV104" s="40"/>
      <c r="KW104" s="40"/>
      <c r="KX104" s="40"/>
      <c r="KY104" s="40"/>
      <c r="KZ104" s="40"/>
      <c r="LA104" s="40"/>
      <c r="LB104" s="40"/>
      <c r="LC104" s="40"/>
      <c r="LD104" s="40"/>
      <c r="LE104" s="40"/>
      <c r="LF104" s="40"/>
      <c r="LG104" s="40"/>
      <c r="LH104" s="40"/>
      <c r="LI104" s="40"/>
      <c r="LJ104" s="40"/>
      <c r="LK104" s="40"/>
      <c r="LL104" s="40"/>
      <c r="LM104" s="40"/>
      <c r="LN104" s="40"/>
      <c r="LO104" s="40"/>
      <c r="LP104" s="40"/>
      <c r="LQ104" s="40"/>
      <c r="LR104" s="40"/>
      <c r="LS104" s="40"/>
      <c r="LT104" s="40"/>
      <c r="LU104" s="40"/>
      <c r="LV104" s="40"/>
      <c r="LW104" s="40"/>
      <c r="LX104" s="40"/>
      <c r="LY104" s="40"/>
      <c r="LZ104" s="40"/>
      <c r="MA104" s="40"/>
      <c r="MB104" s="40"/>
      <c r="MC104" s="40"/>
      <c r="MD104" s="40"/>
      <c r="ME104" s="40"/>
      <c r="MF104" s="40"/>
      <c r="MG104" s="40"/>
      <c r="MH104" s="40"/>
      <c r="MI104" s="40"/>
      <c r="MJ104" s="40"/>
      <c r="MK104" s="40"/>
      <c r="ML104" s="40"/>
      <c r="MM104" s="40"/>
      <c r="MN104" s="40"/>
      <c r="MO104" s="40"/>
      <c r="MP104" s="40"/>
      <c r="MQ104" s="40"/>
      <c r="MR104" s="40"/>
      <c r="MS104" s="40"/>
      <c r="MT104" s="40"/>
    </row>
    <row r="105" spans="1:358" x14ac:dyDescent="0.25">
      <c r="A105" s="9" t="s">
        <v>6</v>
      </c>
      <c r="B105" s="3">
        <v>1</v>
      </c>
      <c r="C105" s="35">
        <f>0.6701</f>
        <v>0.67010000000000003</v>
      </c>
      <c r="D105" s="36">
        <f>10/12</f>
        <v>0.83333333333333337</v>
      </c>
      <c r="E105" s="36">
        <f>32/34</f>
        <v>0.94117647058823528</v>
      </c>
      <c r="F105" s="35">
        <v>0.89100000000000001</v>
      </c>
      <c r="G105" s="35">
        <v>1.091</v>
      </c>
      <c r="H105" s="35">
        <v>12.9</v>
      </c>
      <c r="I105" s="19">
        <f t="shared" ref="I105:I110" si="0">C105*30+D105*20+E105*5+5/F105+G105*5+H105/5</f>
        <v>55.12222129794678</v>
      </c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  <c r="IN105" s="40"/>
      <c r="IO105" s="40"/>
      <c r="IP105" s="40"/>
      <c r="IQ105" s="40"/>
      <c r="IR105" s="40"/>
      <c r="IS105" s="40"/>
      <c r="IT105" s="40"/>
      <c r="IU105" s="40"/>
      <c r="IV105" s="40"/>
      <c r="IW105" s="40"/>
      <c r="IX105" s="40"/>
      <c r="IY105" s="40"/>
      <c r="IZ105" s="40"/>
      <c r="JA105" s="40"/>
      <c r="JB105" s="40"/>
      <c r="JC105" s="40"/>
      <c r="JD105" s="40"/>
      <c r="JE105" s="40"/>
      <c r="JF105" s="40"/>
      <c r="JG105" s="40"/>
      <c r="JH105" s="40"/>
      <c r="JI105" s="40"/>
      <c r="JJ105" s="40"/>
      <c r="JK105" s="40"/>
      <c r="JL105" s="40"/>
      <c r="JM105" s="40"/>
      <c r="JN105" s="40"/>
      <c r="JO105" s="40"/>
      <c r="JP105" s="40"/>
      <c r="JQ105" s="40"/>
      <c r="JR105" s="40"/>
      <c r="JS105" s="40"/>
      <c r="JT105" s="40"/>
      <c r="JU105" s="40"/>
      <c r="JV105" s="40"/>
      <c r="JW105" s="40"/>
      <c r="JX105" s="40"/>
      <c r="JY105" s="40"/>
      <c r="JZ105" s="40"/>
      <c r="KA105" s="40"/>
      <c r="KB105" s="40"/>
      <c r="KC105" s="40"/>
      <c r="KD105" s="40"/>
      <c r="KE105" s="40"/>
      <c r="KF105" s="40"/>
      <c r="KG105" s="40"/>
      <c r="KH105" s="40"/>
      <c r="KI105" s="40"/>
      <c r="KJ105" s="40"/>
      <c r="KK105" s="40"/>
      <c r="KL105" s="40"/>
      <c r="KM105" s="40"/>
      <c r="KN105" s="40"/>
      <c r="KO105" s="40"/>
      <c r="KP105" s="40"/>
      <c r="KQ105" s="40"/>
      <c r="KR105" s="40"/>
      <c r="KS105" s="40"/>
      <c r="KT105" s="40"/>
      <c r="KU105" s="40"/>
      <c r="KV105" s="40"/>
      <c r="KW105" s="40"/>
      <c r="KX105" s="40"/>
      <c r="KY105" s="40"/>
      <c r="KZ105" s="40"/>
      <c r="LA105" s="40"/>
      <c r="LB105" s="40"/>
      <c r="LC105" s="40"/>
      <c r="LD105" s="40"/>
      <c r="LE105" s="40"/>
      <c r="LF105" s="40"/>
      <c r="LG105" s="40"/>
      <c r="LH105" s="40"/>
      <c r="LI105" s="40"/>
      <c r="LJ105" s="40"/>
      <c r="LK105" s="40"/>
      <c r="LL105" s="40"/>
      <c r="LM105" s="40"/>
      <c r="LN105" s="40"/>
      <c r="LO105" s="40"/>
      <c r="LP105" s="40"/>
      <c r="LQ105" s="40"/>
      <c r="LR105" s="40"/>
      <c r="LS105" s="40"/>
      <c r="LT105" s="40"/>
      <c r="LU105" s="40"/>
      <c r="LV105" s="40"/>
      <c r="LW105" s="40"/>
      <c r="LX105" s="40"/>
      <c r="LY105" s="40"/>
      <c r="LZ105" s="40"/>
      <c r="MA105" s="40"/>
      <c r="MB105" s="40"/>
      <c r="MC105" s="40"/>
      <c r="MD105" s="40"/>
      <c r="ME105" s="40"/>
      <c r="MF105" s="40"/>
      <c r="MG105" s="40"/>
      <c r="MH105" s="40"/>
      <c r="MI105" s="40"/>
      <c r="MJ105" s="40"/>
      <c r="MK105" s="40"/>
      <c r="ML105" s="40"/>
      <c r="MM105" s="40"/>
      <c r="MN105" s="40"/>
      <c r="MO105" s="40"/>
      <c r="MP105" s="40"/>
      <c r="MQ105" s="40"/>
      <c r="MR105" s="40"/>
      <c r="MS105" s="40"/>
      <c r="MT105" s="40"/>
    </row>
    <row r="106" spans="1:358" x14ac:dyDescent="0.25">
      <c r="A106" s="9" t="s">
        <v>15</v>
      </c>
      <c r="B106" s="3">
        <v>1</v>
      </c>
      <c r="C106" s="35">
        <f>0.6664</f>
        <v>0.66639999999999999</v>
      </c>
      <c r="D106" s="36">
        <f>((4+7)/14)</f>
        <v>0.7857142857142857</v>
      </c>
      <c r="E106" s="36">
        <f>30/34</f>
        <v>0.88235294117647056</v>
      </c>
      <c r="F106" s="35">
        <v>0.86599999999999999</v>
      </c>
      <c r="G106" s="35">
        <v>1.089</v>
      </c>
      <c r="H106" s="35">
        <v>15</v>
      </c>
      <c r="I106" s="19">
        <f t="shared" si="0"/>
        <v>54.336722475595316</v>
      </c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  <c r="IN106" s="40"/>
      <c r="IO106" s="40"/>
      <c r="IP106" s="40"/>
      <c r="IQ106" s="40"/>
      <c r="IR106" s="40"/>
      <c r="IS106" s="40"/>
      <c r="IT106" s="40"/>
      <c r="IU106" s="40"/>
      <c r="IV106" s="40"/>
      <c r="IW106" s="40"/>
      <c r="IX106" s="40"/>
      <c r="IY106" s="40"/>
      <c r="IZ106" s="40"/>
      <c r="JA106" s="40"/>
      <c r="JB106" s="40"/>
      <c r="JC106" s="40"/>
      <c r="JD106" s="40"/>
      <c r="JE106" s="40"/>
      <c r="JF106" s="40"/>
      <c r="JG106" s="40"/>
      <c r="JH106" s="40"/>
      <c r="JI106" s="40"/>
      <c r="JJ106" s="40"/>
      <c r="JK106" s="40"/>
      <c r="JL106" s="40"/>
      <c r="JM106" s="40"/>
      <c r="JN106" s="40"/>
      <c r="JO106" s="40"/>
      <c r="JP106" s="40"/>
      <c r="JQ106" s="40"/>
      <c r="JR106" s="40"/>
      <c r="JS106" s="40"/>
      <c r="JT106" s="40"/>
      <c r="JU106" s="40"/>
      <c r="JV106" s="40"/>
      <c r="JW106" s="40"/>
      <c r="JX106" s="40"/>
      <c r="JY106" s="40"/>
      <c r="JZ106" s="40"/>
      <c r="KA106" s="40"/>
      <c r="KB106" s="40"/>
      <c r="KC106" s="40"/>
      <c r="KD106" s="40"/>
      <c r="KE106" s="40"/>
      <c r="KF106" s="40"/>
      <c r="KG106" s="40"/>
      <c r="KH106" s="40"/>
      <c r="KI106" s="40"/>
      <c r="KJ106" s="40"/>
      <c r="KK106" s="40"/>
      <c r="KL106" s="40"/>
      <c r="KM106" s="40"/>
      <c r="KN106" s="40"/>
      <c r="KO106" s="40"/>
      <c r="KP106" s="40"/>
      <c r="KQ106" s="40"/>
      <c r="KR106" s="40"/>
      <c r="KS106" s="40"/>
      <c r="KT106" s="40"/>
      <c r="KU106" s="40"/>
      <c r="KV106" s="40"/>
      <c r="KW106" s="40"/>
      <c r="KX106" s="40"/>
      <c r="KY106" s="40"/>
      <c r="KZ106" s="40"/>
      <c r="LA106" s="40"/>
      <c r="LB106" s="40"/>
      <c r="LC106" s="40"/>
      <c r="LD106" s="40"/>
      <c r="LE106" s="40"/>
      <c r="LF106" s="40"/>
      <c r="LG106" s="40"/>
      <c r="LH106" s="40"/>
      <c r="LI106" s="40"/>
      <c r="LJ106" s="40"/>
      <c r="LK106" s="40"/>
      <c r="LL106" s="40"/>
      <c r="LM106" s="40"/>
      <c r="LN106" s="40"/>
      <c r="LO106" s="40"/>
      <c r="LP106" s="40"/>
      <c r="LQ106" s="40"/>
      <c r="LR106" s="40"/>
      <c r="LS106" s="40"/>
      <c r="LT106" s="40"/>
      <c r="LU106" s="40"/>
      <c r="LV106" s="40"/>
      <c r="LW106" s="40"/>
      <c r="LX106" s="40"/>
      <c r="LY106" s="40"/>
      <c r="LZ106" s="40"/>
      <c r="MA106" s="40"/>
      <c r="MB106" s="40"/>
      <c r="MC106" s="40"/>
      <c r="MD106" s="40"/>
      <c r="ME106" s="40"/>
      <c r="MF106" s="40"/>
      <c r="MG106" s="40"/>
      <c r="MH106" s="40"/>
      <c r="MI106" s="40"/>
      <c r="MJ106" s="40"/>
      <c r="MK106" s="40"/>
      <c r="ML106" s="40"/>
      <c r="MM106" s="40"/>
      <c r="MN106" s="40"/>
      <c r="MO106" s="40"/>
      <c r="MP106" s="40"/>
      <c r="MQ106" s="40"/>
      <c r="MR106" s="40"/>
      <c r="MS106" s="40"/>
      <c r="MT106" s="40"/>
    </row>
    <row r="107" spans="1:358" x14ac:dyDescent="0.25">
      <c r="A107" s="9" t="s">
        <v>16</v>
      </c>
      <c r="B107" s="3">
        <v>1</v>
      </c>
      <c r="C107" s="35">
        <f>0.6437</f>
        <v>0.64370000000000005</v>
      </c>
      <c r="D107" s="36">
        <f>3/3</f>
        <v>1</v>
      </c>
      <c r="E107" s="36">
        <f>33/33</f>
        <v>1</v>
      </c>
      <c r="F107" s="35">
        <v>0.89700000000000002</v>
      </c>
      <c r="G107" s="35">
        <v>1.121</v>
      </c>
      <c r="H107" s="35">
        <v>15.7</v>
      </c>
      <c r="I107" s="19">
        <f t="shared" si="0"/>
        <v>58.630136008918612</v>
      </c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  <c r="IN107" s="40"/>
      <c r="IO107" s="40"/>
      <c r="IP107" s="40"/>
      <c r="IQ107" s="40"/>
      <c r="IR107" s="40"/>
      <c r="IS107" s="40"/>
      <c r="IT107" s="40"/>
      <c r="IU107" s="40"/>
      <c r="IV107" s="40"/>
      <c r="IW107" s="40"/>
      <c r="IX107" s="40"/>
      <c r="IY107" s="40"/>
      <c r="IZ107" s="40"/>
      <c r="JA107" s="40"/>
      <c r="JB107" s="40"/>
      <c r="JC107" s="40"/>
      <c r="JD107" s="40"/>
      <c r="JE107" s="40"/>
      <c r="JF107" s="40"/>
      <c r="JG107" s="40"/>
      <c r="JH107" s="40"/>
      <c r="JI107" s="40"/>
      <c r="JJ107" s="40"/>
      <c r="JK107" s="40"/>
      <c r="JL107" s="40"/>
      <c r="JM107" s="40"/>
      <c r="JN107" s="40"/>
      <c r="JO107" s="40"/>
      <c r="JP107" s="40"/>
      <c r="JQ107" s="40"/>
      <c r="JR107" s="40"/>
      <c r="JS107" s="40"/>
      <c r="JT107" s="40"/>
      <c r="JU107" s="40"/>
      <c r="JV107" s="40"/>
      <c r="JW107" s="40"/>
      <c r="JX107" s="40"/>
      <c r="JY107" s="40"/>
      <c r="JZ107" s="40"/>
      <c r="KA107" s="40"/>
      <c r="KB107" s="40"/>
      <c r="KC107" s="40"/>
      <c r="KD107" s="40"/>
      <c r="KE107" s="40"/>
      <c r="KF107" s="40"/>
      <c r="KG107" s="40"/>
      <c r="KH107" s="40"/>
      <c r="KI107" s="40"/>
      <c r="KJ107" s="40"/>
      <c r="KK107" s="40"/>
      <c r="KL107" s="40"/>
      <c r="KM107" s="40"/>
      <c r="KN107" s="40"/>
      <c r="KO107" s="40"/>
      <c r="KP107" s="40"/>
      <c r="KQ107" s="40"/>
      <c r="KR107" s="40"/>
      <c r="KS107" s="40"/>
      <c r="KT107" s="40"/>
      <c r="KU107" s="40"/>
      <c r="KV107" s="40"/>
      <c r="KW107" s="40"/>
      <c r="KX107" s="40"/>
      <c r="KY107" s="40"/>
      <c r="KZ107" s="40"/>
      <c r="LA107" s="40"/>
      <c r="LB107" s="40"/>
      <c r="LC107" s="40"/>
      <c r="LD107" s="40"/>
      <c r="LE107" s="40"/>
      <c r="LF107" s="40"/>
      <c r="LG107" s="40"/>
      <c r="LH107" s="40"/>
      <c r="LI107" s="40"/>
      <c r="LJ107" s="40"/>
      <c r="LK107" s="40"/>
      <c r="LL107" s="40"/>
      <c r="LM107" s="40"/>
      <c r="LN107" s="40"/>
      <c r="LO107" s="40"/>
      <c r="LP107" s="40"/>
      <c r="LQ107" s="40"/>
      <c r="LR107" s="40"/>
      <c r="LS107" s="40"/>
      <c r="LT107" s="40"/>
      <c r="LU107" s="40"/>
      <c r="LV107" s="40"/>
      <c r="LW107" s="40"/>
      <c r="LX107" s="40"/>
      <c r="LY107" s="40"/>
      <c r="LZ107" s="40"/>
      <c r="MA107" s="40"/>
      <c r="MB107" s="40"/>
      <c r="MC107" s="40"/>
      <c r="MD107" s="40"/>
      <c r="ME107" s="40"/>
      <c r="MF107" s="40"/>
      <c r="MG107" s="40"/>
      <c r="MH107" s="40"/>
      <c r="MI107" s="40"/>
      <c r="MJ107" s="40"/>
      <c r="MK107" s="40"/>
      <c r="ML107" s="40"/>
      <c r="MM107" s="40"/>
      <c r="MN107" s="40"/>
      <c r="MO107" s="40"/>
      <c r="MP107" s="40"/>
      <c r="MQ107" s="40"/>
      <c r="MR107" s="40"/>
      <c r="MS107" s="40"/>
      <c r="MT107" s="40"/>
    </row>
    <row r="108" spans="1:358" x14ac:dyDescent="0.25">
      <c r="A108" s="9" t="s">
        <v>17</v>
      </c>
      <c r="B108" s="16">
        <v>1</v>
      </c>
      <c r="C108" s="35">
        <f>0.6333</f>
        <v>0.63329999999999997</v>
      </c>
      <c r="D108" s="36">
        <f>(3+2)/(6+3)</f>
        <v>0.55555555555555558</v>
      </c>
      <c r="E108" s="36">
        <f>28/34</f>
        <v>0.82352941176470584</v>
      </c>
      <c r="F108" s="35">
        <v>0.88800000000000001</v>
      </c>
      <c r="G108" s="35">
        <v>1.0609999999999999</v>
      </c>
      <c r="H108" s="38">
        <v>10.9</v>
      </c>
      <c r="I108" s="19">
        <f t="shared" si="0"/>
        <v>47.343388800565265</v>
      </c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  <c r="IN108" s="40"/>
      <c r="IO108" s="40"/>
      <c r="IP108" s="40"/>
      <c r="IQ108" s="40"/>
      <c r="IR108" s="40"/>
      <c r="IS108" s="40"/>
      <c r="IT108" s="40"/>
      <c r="IU108" s="40"/>
      <c r="IV108" s="40"/>
      <c r="IW108" s="40"/>
      <c r="IX108" s="40"/>
      <c r="IY108" s="40"/>
      <c r="IZ108" s="40"/>
      <c r="JA108" s="40"/>
      <c r="JB108" s="40"/>
      <c r="JC108" s="40"/>
      <c r="JD108" s="40"/>
      <c r="JE108" s="40"/>
      <c r="JF108" s="40"/>
      <c r="JG108" s="40"/>
      <c r="JH108" s="40"/>
      <c r="JI108" s="40"/>
      <c r="JJ108" s="40"/>
      <c r="JK108" s="40"/>
      <c r="JL108" s="40"/>
      <c r="JM108" s="40"/>
      <c r="JN108" s="40"/>
      <c r="JO108" s="40"/>
      <c r="JP108" s="40"/>
      <c r="JQ108" s="40"/>
      <c r="JR108" s="40"/>
      <c r="JS108" s="40"/>
      <c r="JT108" s="40"/>
      <c r="JU108" s="40"/>
      <c r="JV108" s="40"/>
      <c r="JW108" s="40"/>
      <c r="JX108" s="40"/>
      <c r="JY108" s="40"/>
      <c r="JZ108" s="40"/>
      <c r="KA108" s="40"/>
      <c r="KB108" s="40"/>
      <c r="KC108" s="40"/>
      <c r="KD108" s="40"/>
      <c r="KE108" s="40"/>
      <c r="KF108" s="40"/>
      <c r="KG108" s="40"/>
      <c r="KH108" s="40"/>
      <c r="KI108" s="40"/>
      <c r="KJ108" s="40"/>
      <c r="KK108" s="40"/>
      <c r="KL108" s="40"/>
      <c r="KM108" s="40"/>
      <c r="KN108" s="40"/>
      <c r="KO108" s="40"/>
      <c r="KP108" s="40"/>
      <c r="KQ108" s="40"/>
      <c r="KR108" s="40"/>
      <c r="KS108" s="40"/>
      <c r="KT108" s="40"/>
      <c r="KU108" s="40"/>
      <c r="KV108" s="40"/>
      <c r="KW108" s="40"/>
      <c r="KX108" s="40"/>
      <c r="KY108" s="40"/>
      <c r="KZ108" s="40"/>
      <c r="LA108" s="40"/>
      <c r="LB108" s="40"/>
      <c r="LC108" s="40"/>
      <c r="LD108" s="40"/>
      <c r="LE108" s="40"/>
      <c r="LF108" s="40"/>
      <c r="LG108" s="40"/>
      <c r="LH108" s="40"/>
      <c r="LI108" s="40"/>
      <c r="LJ108" s="40"/>
      <c r="LK108" s="40"/>
      <c r="LL108" s="40"/>
      <c r="LM108" s="40"/>
      <c r="LN108" s="40"/>
      <c r="LO108" s="40"/>
      <c r="LP108" s="40"/>
      <c r="LQ108" s="40"/>
      <c r="LR108" s="40"/>
      <c r="LS108" s="40"/>
      <c r="LT108" s="40"/>
      <c r="LU108" s="40"/>
      <c r="LV108" s="40"/>
      <c r="LW108" s="40"/>
      <c r="LX108" s="40"/>
      <c r="LY108" s="40"/>
      <c r="LZ108" s="40"/>
      <c r="MA108" s="40"/>
      <c r="MB108" s="40"/>
      <c r="MC108" s="40"/>
      <c r="MD108" s="40"/>
      <c r="ME108" s="40"/>
      <c r="MF108" s="40"/>
      <c r="MG108" s="40"/>
      <c r="MH108" s="40"/>
      <c r="MI108" s="40"/>
      <c r="MJ108" s="40"/>
      <c r="MK108" s="40"/>
      <c r="ML108" s="40"/>
      <c r="MM108" s="40"/>
      <c r="MN108" s="40"/>
      <c r="MO108" s="40"/>
      <c r="MP108" s="40"/>
      <c r="MQ108" s="40"/>
      <c r="MR108" s="40"/>
      <c r="MS108" s="40"/>
      <c r="MT108" s="40"/>
    </row>
    <row r="109" spans="1:358" x14ac:dyDescent="0.25">
      <c r="A109" s="9" t="s">
        <v>18</v>
      </c>
      <c r="B109" s="16">
        <v>2</v>
      </c>
      <c r="C109" s="35">
        <f>0.656</f>
        <v>0.65600000000000003</v>
      </c>
      <c r="D109" s="36">
        <f>12/19</f>
        <v>0.63157894736842102</v>
      </c>
      <c r="E109" s="36">
        <f>24/33</f>
        <v>0.72727272727272729</v>
      </c>
      <c r="F109" s="38">
        <v>0.99399999999999999</v>
      </c>
      <c r="G109" s="35">
        <v>1.119</v>
      </c>
      <c r="H109" s="38">
        <v>8.9</v>
      </c>
      <c r="I109" s="19">
        <f t="shared" si="0"/>
        <v>48.353123670251172</v>
      </c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  <c r="IN109" s="40"/>
      <c r="IO109" s="40"/>
      <c r="IP109" s="40"/>
      <c r="IQ109" s="40"/>
      <c r="IR109" s="40"/>
      <c r="IS109" s="40"/>
      <c r="IT109" s="40"/>
      <c r="IU109" s="40"/>
      <c r="IV109" s="40"/>
      <c r="IW109" s="40"/>
      <c r="IX109" s="40"/>
      <c r="IY109" s="40"/>
      <c r="IZ109" s="40"/>
      <c r="JA109" s="40"/>
      <c r="JB109" s="40"/>
      <c r="JC109" s="40"/>
      <c r="JD109" s="40"/>
      <c r="JE109" s="40"/>
      <c r="JF109" s="40"/>
      <c r="JG109" s="40"/>
      <c r="JH109" s="40"/>
      <c r="JI109" s="40"/>
      <c r="JJ109" s="40"/>
      <c r="JK109" s="40"/>
      <c r="JL109" s="40"/>
      <c r="JM109" s="40"/>
      <c r="JN109" s="40"/>
      <c r="JO109" s="40"/>
      <c r="JP109" s="40"/>
      <c r="JQ109" s="40"/>
      <c r="JR109" s="40"/>
      <c r="JS109" s="40"/>
      <c r="JT109" s="40"/>
      <c r="JU109" s="40"/>
      <c r="JV109" s="40"/>
      <c r="JW109" s="40"/>
      <c r="JX109" s="40"/>
      <c r="JY109" s="40"/>
      <c r="JZ109" s="40"/>
      <c r="KA109" s="40"/>
      <c r="KB109" s="40"/>
      <c r="KC109" s="40"/>
      <c r="KD109" s="40"/>
      <c r="KE109" s="40"/>
      <c r="KF109" s="40"/>
      <c r="KG109" s="40"/>
      <c r="KH109" s="40"/>
      <c r="KI109" s="40"/>
      <c r="KJ109" s="40"/>
      <c r="KK109" s="40"/>
      <c r="KL109" s="40"/>
      <c r="KM109" s="40"/>
      <c r="KN109" s="40"/>
      <c r="KO109" s="40"/>
      <c r="KP109" s="40"/>
      <c r="KQ109" s="40"/>
      <c r="KR109" s="40"/>
      <c r="KS109" s="40"/>
      <c r="KT109" s="40"/>
      <c r="KU109" s="40"/>
      <c r="KV109" s="40"/>
      <c r="KW109" s="40"/>
      <c r="KX109" s="40"/>
      <c r="KY109" s="40"/>
      <c r="KZ109" s="40"/>
      <c r="LA109" s="40"/>
      <c r="LB109" s="40"/>
      <c r="LC109" s="40"/>
      <c r="LD109" s="40"/>
      <c r="LE109" s="40"/>
      <c r="LF109" s="40"/>
      <c r="LG109" s="40"/>
      <c r="LH109" s="40"/>
      <c r="LI109" s="40"/>
      <c r="LJ109" s="40"/>
      <c r="LK109" s="40"/>
      <c r="LL109" s="40"/>
      <c r="LM109" s="40"/>
      <c r="LN109" s="40"/>
      <c r="LO109" s="40"/>
      <c r="LP109" s="40"/>
      <c r="LQ109" s="40"/>
      <c r="LR109" s="40"/>
      <c r="LS109" s="40"/>
      <c r="LT109" s="40"/>
      <c r="LU109" s="40"/>
      <c r="LV109" s="40"/>
      <c r="LW109" s="40"/>
      <c r="LX109" s="40"/>
      <c r="LY109" s="40"/>
      <c r="LZ109" s="40"/>
      <c r="MA109" s="40"/>
      <c r="MB109" s="40"/>
      <c r="MC109" s="40"/>
      <c r="MD109" s="40"/>
      <c r="ME109" s="40"/>
      <c r="MF109" s="40"/>
      <c r="MG109" s="40"/>
      <c r="MH109" s="40"/>
      <c r="MI109" s="40"/>
      <c r="MJ109" s="40"/>
      <c r="MK109" s="40"/>
      <c r="ML109" s="40"/>
      <c r="MM109" s="40"/>
      <c r="MN109" s="40"/>
      <c r="MO109" s="40"/>
      <c r="MP109" s="40"/>
      <c r="MQ109" s="40"/>
      <c r="MR109" s="40"/>
      <c r="MS109" s="40"/>
      <c r="MT109" s="40"/>
    </row>
    <row r="110" spans="1:358" x14ac:dyDescent="0.25">
      <c r="A110" s="9" t="s">
        <v>19</v>
      </c>
      <c r="B110" s="16">
        <v>2</v>
      </c>
      <c r="C110" s="35">
        <f>0.6382</f>
        <v>0.63819999999999999</v>
      </c>
      <c r="D110" s="36">
        <f>7/12</f>
        <v>0.58333333333333337</v>
      </c>
      <c r="E110" s="36">
        <f>26/33</f>
        <v>0.78787878787878785</v>
      </c>
      <c r="F110" s="38">
        <v>0.98599999999999999</v>
      </c>
      <c r="G110" s="35">
        <v>1.137</v>
      </c>
      <c r="H110" s="38">
        <v>9.8000000000000007</v>
      </c>
      <c r="I110" s="19">
        <f t="shared" si="0"/>
        <v>47.468054520867916</v>
      </c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  <c r="IN110" s="40"/>
      <c r="IO110" s="40"/>
      <c r="IP110" s="40"/>
      <c r="IQ110" s="40"/>
      <c r="IR110" s="40"/>
      <c r="IS110" s="40"/>
      <c r="IT110" s="40"/>
      <c r="IU110" s="40"/>
      <c r="IV110" s="40"/>
      <c r="IW110" s="40"/>
      <c r="IX110" s="40"/>
      <c r="IY110" s="40"/>
      <c r="IZ110" s="40"/>
      <c r="JA110" s="40"/>
      <c r="JB110" s="40"/>
      <c r="JC110" s="40"/>
      <c r="JD110" s="40"/>
      <c r="JE110" s="40"/>
      <c r="JF110" s="40"/>
      <c r="JG110" s="40"/>
      <c r="JH110" s="40"/>
      <c r="JI110" s="40"/>
      <c r="JJ110" s="40"/>
      <c r="JK110" s="40"/>
      <c r="JL110" s="40"/>
      <c r="JM110" s="40"/>
      <c r="JN110" s="40"/>
      <c r="JO110" s="40"/>
      <c r="JP110" s="40"/>
      <c r="JQ110" s="40"/>
      <c r="JR110" s="40"/>
      <c r="JS110" s="40"/>
      <c r="JT110" s="40"/>
      <c r="JU110" s="40"/>
      <c r="JV110" s="40"/>
      <c r="JW110" s="40"/>
      <c r="JX110" s="40"/>
      <c r="JY110" s="40"/>
      <c r="JZ110" s="40"/>
      <c r="KA110" s="40"/>
      <c r="KB110" s="40"/>
      <c r="KC110" s="40"/>
      <c r="KD110" s="40"/>
      <c r="KE110" s="40"/>
      <c r="KF110" s="40"/>
      <c r="KG110" s="40"/>
      <c r="KH110" s="40"/>
      <c r="KI110" s="40"/>
      <c r="KJ110" s="40"/>
      <c r="KK110" s="40"/>
      <c r="KL110" s="40"/>
      <c r="KM110" s="40"/>
      <c r="KN110" s="40"/>
      <c r="KO110" s="40"/>
      <c r="KP110" s="40"/>
      <c r="KQ110" s="40"/>
      <c r="KR110" s="40"/>
      <c r="KS110" s="40"/>
      <c r="KT110" s="40"/>
      <c r="KU110" s="40"/>
      <c r="KV110" s="40"/>
      <c r="KW110" s="40"/>
      <c r="KX110" s="40"/>
      <c r="KY110" s="40"/>
      <c r="KZ110" s="40"/>
      <c r="LA110" s="40"/>
      <c r="LB110" s="40"/>
      <c r="LC110" s="40"/>
      <c r="LD110" s="40"/>
      <c r="LE110" s="40"/>
      <c r="LF110" s="40"/>
      <c r="LG110" s="40"/>
      <c r="LH110" s="40"/>
      <c r="LI110" s="40"/>
      <c r="LJ110" s="40"/>
      <c r="LK110" s="40"/>
      <c r="LL110" s="40"/>
      <c r="LM110" s="40"/>
      <c r="LN110" s="40"/>
      <c r="LO110" s="40"/>
      <c r="LP110" s="40"/>
      <c r="LQ110" s="40"/>
      <c r="LR110" s="40"/>
      <c r="LS110" s="40"/>
      <c r="LT110" s="40"/>
      <c r="LU110" s="40"/>
      <c r="LV110" s="40"/>
      <c r="LW110" s="40"/>
      <c r="LX110" s="40"/>
      <c r="LY110" s="40"/>
      <c r="LZ110" s="40"/>
      <c r="MA110" s="40"/>
      <c r="MB110" s="40"/>
      <c r="MC110" s="40"/>
      <c r="MD110" s="40"/>
      <c r="ME110" s="40"/>
      <c r="MF110" s="40"/>
      <c r="MG110" s="40"/>
      <c r="MH110" s="40"/>
      <c r="MI110" s="40"/>
      <c r="MJ110" s="40"/>
      <c r="MK110" s="40"/>
      <c r="ML110" s="40"/>
      <c r="MM110" s="40"/>
      <c r="MN110" s="40"/>
      <c r="MO110" s="40"/>
      <c r="MP110" s="40"/>
      <c r="MQ110" s="40"/>
      <c r="MR110" s="40"/>
      <c r="MS110" s="40"/>
      <c r="MT110" s="40"/>
    </row>
    <row r="111" spans="1:358" x14ac:dyDescent="0.25">
      <c r="A111" s="9" t="s">
        <v>2</v>
      </c>
      <c r="B111" s="3">
        <v>2</v>
      </c>
      <c r="C111" s="35">
        <f>0.6276</f>
        <v>0.62760000000000005</v>
      </c>
      <c r="D111" s="36">
        <f>10/15</f>
        <v>0.66666666666666663</v>
      </c>
      <c r="E111" s="36">
        <f>25/33</f>
        <v>0.75757575757575757</v>
      </c>
      <c r="F111" s="35">
        <v>1.006</v>
      </c>
      <c r="G111" s="35">
        <v>1.153</v>
      </c>
      <c r="H111" s="35">
        <v>9.4</v>
      </c>
      <c r="I111" s="19">
        <f>C111*30+D111*20+E111*5+5/F111+G111*5+H111/5</f>
        <v>48.564391047653473</v>
      </c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  <c r="IN111" s="40"/>
      <c r="IO111" s="40"/>
      <c r="IP111" s="40"/>
      <c r="IQ111" s="40"/>
      <c r="IR111" s="40"/>
      <c r="IS111" s="40"/>
      <c r="IT111" s="40"/>
      <c r="IU111" s="40"/>
      <c r="IV111" s="40"/>
      <c r="IW111" s="40"/>
      <c r="IX111" s="40"/>
      <c r="IY111" s="40"/>
      <c r="IZ111" s="40"/>
      <c r="JA111" s="40"/>
      <c r="JB111" s="40"/>
      <c r="JC111" s="40"/>
      <c r="JD111" s="40"/>
      <c r="JE111" s="40"/>
      <c r="JF111" s="40"/>
      <c r="JG111" s="40"/>
      <c r="JH111" s="40"/>
      <c r="JI111" s="40"/>
      <c r="JJ111" s="40"/>
      <c r="JK111" s="40"/>
      <c r="JL111" s="40"/>
      <c r="JM111" s="40"/>
      <c r="JN111" s="40"/>
      <c r="JO111" s="40"/>
      <c r="JP111" s="40"/>
      <c r="JQ111" s="40"/>
      <c r="JR111" s="40"/>
      <c r="JS111" s="40"/>
      <c r="JT111" s="40"/>
      <c r="JU111" s="40"/>
      <c r="JV111" s="40"/>
      <c r="JW111" s="40"/>
      <c r="JX111" s="40"/>
      <c r="JY111" s="40"/>
      <c r="JZ111" s="40"/>
      <c r="KA111" s="40"/>
      <c r="KB111" s="40"/>
      <c r="KC111" s="40"/>
      <c r="KD111" s="40"/>
      <c r="KE111" s="40"/>
      <c r="KF111" s="40"/>
      <c r="KG111" s="40"/>
      <c r="KH111" s="40"/>
      <c r="KI111" s="40"/>
      <c r="KJ111" s="40"/>
      <c r="KK111" s="40"/>
      <c r="KL111" s="40"/>
      <c r="KM111" s="40"/>
      <c r="KN111" s="40"/>
      <c r="KO111" s="40"/>
      <c r="KP111" s="40"/>
      <c r="KQ111" s="40"/>
      <c r="KR111" s="40"/>
      <c r="KS111" s="40"/>
      <c r="KT111" s="40"/>
      <c r="KU111" s="40"/>
      <c r="KV111" s="40"/>
      <c r="KW111" s="40"/>
      <c r="KX111" s="40"/>
      <c r="KY111" s="40"/>
      <c r="KZ111" s="40"/>
      <c r="LA111" s="40"/>
      <c r="LB111" s="40"/>
      <c r="LC111" s="40"/>
      <c r="LD111" s="40"/>
      <c r="LE111" s="40"/>
      <c r="LF111" s="40"/>
      <c r="LG111" s="40"/>
      <c r="LH111" s="40"/>
      <c r="LI111" s="40"/>
      <c r="LJ111" s="40"/>
      <c r="LK111" s="40"/>
      <c r="LL111" s="40"/>
      <c r="LM111" s="40"/>
      <c r="LN111" s="40"/>
      <c r="LO111" s="40"/>
      <c r="LP111" s="40"/>
      <c r="LQ111" s="40"/>
      <c r="LR111" s="40"/>
      <c r="LS111" s="40"/>
      <c r="LT111" s="40"/>
      <c r="LU111" s="40"/>
      <c r="LV111" s="40"/>
      <c r="LW111" s="40"/>
      <c r="LX111" s="40"/>
      <c r="LY111" s="40"/>
      <c r="LZ111" s="40"/>
      <c r="MA111" s="40"/>
      <c r="MB111" s="40"/>
      <c r="MC111" s="40"/>
      <c r="MD111" s="40"/>
      <c r="ME111" s="40"/>
      <c r="MF111" s="40"/>
      <c r="MG111" s="40"/>
      <c r="MH111" s="40"/>
      <c r="MI111" s="40"/>
      <c r="MJ111" s="40"/>
      <c r="MK111" s="40"/>
      <c r="ML111" s="40"/>
      <c r="MM111" s="40"/>
      <c r="MN111" s="40"/>
      <c r="MO111" s="40"/>
      <c r="MP111" s="40"/>
      <c r="MQ111" s="40"/>
      <c r="MR111" s="40"/>
      <c r="MS111" s="40"/>
      <c r="MT111" s="40"/>
    </row>
    <row r="112" spans="1:358" x14ac:dyDescent="0.25">
      <c r="A112" s="9" t="s">
        <v>20</v>
      </c>
      <c r="B112" s="16">
        <v>2</v>
      </c>
      <c r="C112" s="35">
        <f>0.6406</f>
        <v>0.64059999999999995</v>
      </c>
      <c r="D112" s="36">
        <f>6/9</f>
        <v>0.66666666666666663</v>
      </c>
      <c r="E112" s="36">
        <f>28/32</f>
        <v>0.875</v>
      </c>
      <c r="F112" s="35">
        <v>0.94099999999999995</v>
      </c>
      <c r="G112" s="38">
        <v>1.1040000000000001</v>
      </c>
      <c r="H112" s="35">
        <v>11.5</v>
      </c>
      <c r="I112" s="19">
        <f t="shared" ref="I112:I168" si="1">C112*30+D112*20+E112*5+5/F112+G112*5+H112/5</f>
        <v>50.059829613885938</v>
      </c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  <c r="IN112" s="40"/>
      <c r="IO112" s="40"/>
      <c r="IP112" s="40"/>
      <c r="IQ112" s="40"/>
      <c r="IR112" s="40"/>
      <c r="IS112" s="40"/>
      <c r="IT112" s="40"/>
      <c r="IU112" s="40"/>
      <c r="IV112" s="40"/>
      <c r="IW112" s="40"/>
      <c r="IX112" s="40"/>
      <c r="IY112" s="40"/>
      <c r="IZ112" s="40"/>
      <c r="JA112" s="40"/>
      <c r="JB112" s="40"/>
      <c r="JC112" s="40"/>
      <c r="JD112" s="40"/>
      <c r="JE112" s="40"/>
      <c r="JF112" s="40"/>
      <c r="JG112" s="40"/>
      <c r="JH112" s="40"/>
      <c r="JI112" s="40"/>
      <c r="JJ112" s="40"/>
      <c r="JK112" s="40"/>
      <c r="JL112" s="40"/>
      <c r="JM112" s="40"/>
      <c r="JN112" s="40"/>
      <c r="JO112" s="40"/>
      <c r="JP112" s="40"/>
      <c r="JQ112" s="40"/>
      <c r="JR112" s="40"/>
      <c r="JS112" s="40"/>
      <c r="JT112" s="40"/>
      <c r="JU112" s="40"/>
      <c r="JV112" s="40"/>
      <c r="JW112" s="40"/>
      <c r="JX112" s="40"/>
      <c r="JY112" s="40"/>
      <c r="JZ112" s="40"/>
      <c r="KA112" s="40"/>
      <c r="KB112" s="40"/>
      <c r="KC112" s="40"/>
      <c r="KD112" s="40"/>
      <c r="KE112" s="40"/>
      <c r="KF112" s="40"/>
      <c r="KG112" s="40"/>
      <c r="KH112" s="40"/>
      <c r="KI112" s="40"/>
      <c r="KJ112" s="40"/>
      <c r="KK112" s="40"/>
      <c r="KL112" s="40"/>
      <c r="KM112" s="40"/>
      <c r="KN112" s="40"/>
      <c r="KO112" s="40"/>
      <c r="KP112" s="40"/>
      <c r="KQ112" s="40"/>
      <c r="KR112" s="40"/>
      <c r="KS112" s="40"/>
      <c r="KT112" s="40"/>
      <c r="KU112" s="40"/>
      <c r="KV112" s="40"/>
      <c r="KW112" s="40"/>
      <c r="KX112" s="40"/>
      <c r="KY112" s="40"/>
      <c r="KZ112" s="40"/>
      <c r="LA112" s="40"/>
      <c r="LB112" s="40"/>
      <c r="LC112" s="40"/>
      <c r="LD112" s="40"/>
      <c r="LE112" s="40"/>
      <c r="LF112" s="40"/>
      <c r="LG112" s="40"/>
      <c r="LH112" s="40"/>
      <c r="LI112" s="40"/>
      <c r="LJ112" s="40"/>
      <c r="LK112" s="40"/>
      <c r="LL112" s="40"/>
      <c r="LM112" s="40"/>
      <c r="LN112" s="40"/>
      <c r="LO112" s="40"/>
      <c r="LP112" s="40"/>
      <c r="LQ112" s="40"/>
      <c r="LR112" s="40"/>
      <c r="LS112" s="40"/>
      <c r="LT112" s="40"/>
      <c r="LU112" s="40"/>
      <c r="LV112" s="40"/>
      <c r="LW112" s="40"/>
      <c r="LX112" s="40"/>
      <c r="LY112" s="40"/>
      <c r="LZ112" s="40"/>
      <c r="MA112" s="40"/>
      <c r="MB112" s="40"/>
      <c r="MC112" s="40"/>
      <c r="MD112" s="40"/>
      <c r="ME112" s="40"/>
      <c r="MF112" s="40"/>
      <c r="MG112" s="40"/>
      <c r="MH112" s="40"/>
      <c r="MI112" s="40"/>
      <c r="MJ112" s="40"/>
      <c r="MK112" s="40"/>
      <c r="ML112" s="40"/>
      <c r="MM112" s="40"/>
      <c r="MN112" s="40"/>
      <c r="MO112" s="40"/>
      <c r="MP112" s="40"/>
      <c r="MQ112" s="40"/>
      <c r="MR112" s="40"/>
      <c r="MS112" s="40"/>
      <c r="MT112" s="40"/>
    </row>
    <row r="113" spans="1:358" x14ac:dyDescent="0.25">
      <c r="A113" s="9" t="s">
        <v>21</v>
      </c>
      <c r="B113" s="16">
        <v>3</v>
      </c>
      <c r="C113" s="35">
        <f>0.6204</f>
        <v>0.62039999999999995</v>
      </c>
      <c r="D113" s="36">
        <f>7/9</f>
        <v>0.77777777777777779</v>
      </c>
      <c r="E113" s="36">
        <f>27/32</f>
        <v>0.84375</v>
      </c>
      <c r="F113" s="35">
        <v>0.94799999999999995</v>
      </c>
      <c r="G113" s="38">
        <v>1.089</v>
      </c>
      <c r="H113" s="38">
        <v>8.8000000000000007</v>
      </c>
      <c r="I113" s="19">
        <f t="shared" si="1"/>
        <v>50.865567158931078</v>
      </c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  <c r="IN113" s="40"/>
      <c r="IO113" s="40"/>
      <c r="IP113" s="40"/>
      <c r="IQ113" s="40"/>
      <c r="IR113" s="40"/>
      <c r="IS113" s="40"/>
      <c r="IT113" s="40"/>
      <c r="IU113" s="40"/>
      <c r="IV113" s="40"/>
      <c r="IW113" s="40"/>
      <c r="IX113" s="40"/>
      <c r="IY113" s="40"/>
      <c r="IZ113" s="40"/>
      <c r="JA113" s="40"/>
      <c r="JB113" s="40"/>
      <c r="JC113" s="40"/>
      <c r="JD113" s="40"/>
      <c r="JE113" s="40"/>
      <c r="JF113" s="40"/>
      <c r="JG113" s="40"/>
      <c r="JH113" s="40"/>
      <c r="JI113" s="40"/>
      <c r="JJ113" s="40"/>
      <c r="JK113" s="40"/>
      <c r="JL113" s="40"/>
      <c r="JM113" s="40"/>
      <c r="JN113" s="40"/>
      <c r="JO113" s="40"/>
      <c r="JP113" s="40"/>
      <c r="JQ113" s="40"/>
      <c r="JR113" s="40"/>
      <c r="JS113" s="40"/>
      <c r="JT113" s="40"/>
      <c r="JU113" s="40"/>
      <c r="JV113" s="40"/>
      <c r="JW113" s="40"/>
      <c r="JX113" s="40"/>
      <c r="JY113" s="40"/>
      <c r="JZ113" s="40"/>
      <c r="KA113" s="40"/>
      <c r="KB113" s="40"/>
      <c r="KC113" s="40"/>
      <c r="KD113" s="40"/>
      <c r="KE113" s="40"/>
      <c r="KF113" s="40"/>
      <c r="KG113" s="40"/>
      <c r="KH113" s="40"/>
      <c r="KI113" s="40"/>
      <c r="KJ113" s="40"/>
      <c r="KK113" s="40"/>
      <c r="KL113" s="40"/>
      <c r="KM113" s="40"/>
      <c r="KN113" s="40"/>
      <c r="KO113" s="40"/>
      <c r="KP113" s="40"/>
      <c r="KQ113" s="40"/>
      <c r="KR113" s="40"/>
      <c r="KS113" s="40"/>
      <c r="KT113" s="40"/>
      <c r="KU113" s="40"/>
      <c r="KV113" s="40"/>
      <c r="KW113" s="40"/>
      <c r="KX113" s="40"/>
      <c r="KY113" s="40"/>
      <c r="KZ113" s="40"/>
      <c r="LA113" s="40"/>
      <c r="LB113" s="40"/>
      <c r="LC113" s="40"/>
      <c r="LD113" s="40"/>
      <c r="LE113" s="40"/>
      <c r="LF113" s="40"/>
      <c r="LG113" s="40"/>
      <c r="LH113" s="40"/>
      <c r="LI113" s="40"/>
      <c r="LJ113" s="40"/>
      <c r="LK113" s="40"/>
      <c r="LL113" s="40"/>
      <c r="LM113" s="40"/>
      <c r="LN113" s="40"/>
      <c r="LO113" s="40"/>
      <c r="LP113" s="40"/>
      <c r="LQ113" s="40"/>
      <c r="LR113" s="40"/>
      <c r="LS113" s="40"/>
      <c r="LT113" s="40"/>
      <c r="LU113" s="40"/>
      <c r="LV113" s="40"/>
      <c r="LW113" s="40"/>
      <c r="LX113" s="40"/>
      <c r="LY113" s="40"/>
      <c r="LZ113" s="40"/>
      <c r="MA113" s="40"/>
      <c r="MB113" s="40"/>
      <c r="MC113" s="40"/>
      <c r="MD113" s="40"/>
      <c r="ME113" s="40"/>
      <c r="MF113" s="40"/>
      <c r="MG113" s="40"/>
      <c r="MH113" s="40"/>
      <c r="MI113" s="40"/>
      <c r="MJ113" s="40"/>
      <c r="MK113" s="40"/>
      <c r="ML113" s="40"/>
      <c r="MM113" s="40"/>
      <c r="MN113" s="40"/>
      <c r="MO113" s="40"/>
      <c r="MP113" s="40"/>
      <c r="MQ113" s="40"/>
      <c r="MR113" s="40"/>
      <c r="MS113" s="40"/>
      <c r="MT113" s="40"/>
    </row>
    <row r="114" spans="1:358" x14ac:dyDescent="0.25">
      <c r="A114" s="9" t="s">
        <v>22</v>
      </c>
      <c r="B114" s="16">
        <v>3</v>
      </c>
      <c r="C114" s="35">
        <v>0.628</v>
      </c>
      <c r="D114" s="36">
        <v>6.1538461538461538E-3</v>
      </c>
      <c r="E114" s="36">
        <v>7.8787878787878792E-3</v>
      </c>
      <c r="F114" s="38">
        <v>1.02</v>
      </c>
      <c r="G114" s="38">
        <v>1.1830000000000001</v>
      </c>
      <c r="H114" s="38">
        <v>10.9</v>
      </c>
      <c r="I114" s="19">
        <f t="shared" si="1"/>
        <v>31.999431646784586</v>
      </c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  <c r="IN114" s="40"/>
      <c r="IO114" s="40"/>
      <c r="IP114" s="40"/>
      <c r="IQ114" s="40"/>
      <c r="IR114" s="40"/>
      <c r="IS114" s="40"/>
      <c r="IT114" s="40"/>
      <c r="IU114" s="40"/>
      <c r="IV114" s="40"/>
      <c r="IW114" s="40"/>
      <c r="IX114" s="40"/>
      <c r="IY114" s="40"/>
      <c r="IZ114" s="40"/>
      <c r="JA114" s="40"/>
      <c r="JB114" s="40"/>
      <c r="JC114" s="40"/>
      <c r="JD114" s="40"/>
      <c r="JE114" s="40"/>
      <c r="JF114" s="40"/>
      <c r="JG114" s="40"/>
      <c r="JH114" s="40"/>
      <c r="JI114" s="40"/>
      <c r="JJ114" s="40"/>
      <c r="JK114" s="40"/>
      <c r="JL114" s="40"/>
      <c r="JM114" s="40"/>
      <c r="JN114" s="40"/>
      <c r="JO114" s="40"/>
      <c r="JP114" s="40"/>
      <c r="JQ114" s="40"/>
      <c r="JR114" s="40"/>
      <c r="JS114" s="40"/>
      <c r="JT114" s="40"/>
      <c r="JU114" s="40"/>
      <c r="JV114" s="40"/>
      <c r="JW114" s="40"/>
      <c r="JX114" s="40"/>
      <c r="JY114" s="40"/>
      <c r="JZ114" s="40"/>
      <c r="KA114" s="40"/>
      <c r="KB114" s="40"/>
      <c r="KC114" s="40"/>
      <c r="KD114" s="40"/>
      <c r="KE114" s="40"/>
      <c r="KF114" s="40"/>
      <c r="KG114" s="40"/>
      <c r="KH114" s="40"/>
      <c r="KI114" s="40"/>
      <c r="KJ114" s="40"/>
      <c r="KK114" s="40"/>
      <c r="KL114" s="40"/>
      <c r="KM114" s="40"/>
      <c r="KN114" s="40"/>
      <c r="KO114" s="40"/>
      <c r="KP114" s="40"/>
      <c r="KQ114" s="40"/>
      <c r="KR114" s="40"/>
      <c r="KS114" s="40"/>
      <c r="KT114" s="40"/>
      <c r="KU114" s="40"/>
      <c r="KV114" s="40"/>
      <c r="KW114" s="40"/>
      <c r="KX114" s="40"/>
      <c r="KY114" s="40"/>
      <c r="KZ114" s="40"/>
      <c r="LA114" s="40"/>
      <c r="LB114" s="40"/>
      <c r="LC114" s="40"/>
      <c r="LD114" s="40"/>
      <c r="LE114" s="40"/>
      <c r="LF114" s="40"/>
      <c r="LG114" s="40"/>
      <c r="LH114" s="40"/>
      <c r="LI114" s="40"/>
      <c r="LJ114" s="40"/>
      <c r="LK114" s="40"/>
      <c r="LL114" s="40"/>
      <c r="LM114" s="40"/>
      <c r="LN114" s="40"/>
      <c r="LO114" s="40"/>
      <c r="LP114" s="40"/>
      <c r="LQ114" s="40"/>
      <c r="LR114" s="40"/>
      <c r="LS114" s="40"/>
      <c r="LT114" s="40"/>
      <c r="LU114" s="40"/>
      <c r="LV114" s="40"/>
      <c r="LW114" s="40"/>
      <c r="LX114" s="40"/>
      <c r="LY114" s="40"/>
      <c r="LZ114" s="40"/>
      <c r="MA114" s="40"/>
      <c r="MB114" s="40"/>
      <c r="MC114" s="40"/>
      <c r="MD114" s="40"/>
      <c r="ME114" s="40"/>
      <c r="MF114" s="40"/>
      <c r="MG114" s="40"/>
      <c r="MH114" s="40"/>
      <c r="MI114" s="40"/>
      <c r="MJ114" s="40"/>
      <c r="MK114" s="40"/>
      <c r="ML114" s="40"/>
      <c r="MM114" s="40"/>
      <c r="MN114" s="40"/>
      <c r="MO114" s="40"/>
      <c r="MP114" s="40"/>
      <c r="MQ114" s="40"/>
      <c r="MR114" s="40"/>
      <c r="MS114" s="40"/>
      <c r="MT114" s="40"/>
    </row>
    <row r="115" spans="1:358" x14ac:dyDescent="0.25">
      <c r="A115" s="9" t="s">
        <v>23</v>
      </c>
      <c r="B115" s="16">
        <v>3</v>
      </c>
      <c r="C115" s="35">
        <f>0.6346</f>
        <v>0.63460000000000005</v>
      </c>
      <c r="D115" s="36">
        <f>7/8</f>
        <v>0.875</v>
      </c>
      <c r="E115" s="36">
        <f>26/34</f>
        <v>0.76470588235294112</v>
      </c>
      <c r="F115" s="38">
        <v>1.0069999999999999</v>
      </c>
      <c r="G115" s="35">
        <v>1.1719999999999999</v>
      </c>
      <c r="H115" s="35">
        <v>11</v>
      </c>
      <c r="I115" s="19">
        <f t="shared" si="1"/>
        <v>53.386772708686252</v>
      </c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  <c r="IN115" s="40"/>
      <c r="IO115" s="40"/>
      <c r="IP115" s="40"/>
      <c r="IQ115" s="40"/>
      <c r="IR115" s="40"/>
      <c r="IS115" s="40"/>
      <c r="IT115" s="40"/>
      <c r="IU115" s="40"/>
      <c r="IV115" s="40"/>
      <c r="IW115" s="40"/>
      <c r="IX115" s="40"/>
      <c r="IY115" s="40"/>
      <c r="IZ115" s="40"/>
      <c r="JA115" s="40"/>
      <c r="JB115" s="40"/>
      <c r="JC115" s="40"/>
      <c r="JD115" s="40"/>
      <c r="JE115" s="40"/>
      <c r="JF115" s="40"/>
      <c r="JG115" s="40"/>
      <c r="JH115" s="40"/>
      <c r="JI115" s="40"/>
      <c r="JJ115" s="40"/>
      <c r="JK115" s="40"/>
      <c r="JL115" s="40"/>
      <c r="JM115" s="40"/>
      <c r="JN115" s="40"/>
      <c r="JO115" s="40"/>
      <c r="JP115" s="40"/>
      <c r="JQ115" s="40"/>
      <c r="JR115" s="40"/>
      <c r="JS115" s="40"/>
      <c r="JT115" s="40"/>
      <c r="JU115" s="40"/>
      <c r="JV115" s="40"/>
      <c r="JW115" s="40"/>
      <c r="JX115" s="40"/>
      <c r="JY115" s="40"/>
      <c r="JZ115" s="40"/>
      <c r="KA115" s="40"/>
      <c r="KB115" s="40"/>
      <c r="KC115" s="40"/>
      <c r="KD115" s="40"/>
      <c r="KE115" s="40"/>
      <c r="KF115" s="40"/>
      <c r="KG115" s="40"/>
      <c r="KH115" s="40"/>
      <c r="KI115" s="40"/>
      <c r="KJ115" s="40"/>
      <c r="KK115" s="40"/>
      <c r="KL115" s="40"/>
      <c r="KM115" s="40"/>
      <c r="KN115" s="40"/>
      <c r="KO115" s="40"/>
      <c r="KP115" s="40"/>
      <c r="KQ115" s="40"/>
      <c r="KR115" s="40"/>
      <c r="KS115" s="40"/>
      <c r="KT115" s="40"/>
      <c r="KU115" s="40"/>
      <c r="KV115" s="40"/>
      <c r="KW115" s="40"/>
      <c r="KX115" s="40"/>
      <c r="KY115" s="40"/>
      <c r="KZ115" s="40"/>
      <c r="LA115" s="40"/>
      <c r="LB115" s="40"/>
      <c r="LC115" s="40"/>
      <c r="LD115" s="40"/>
      <c r="LE115" s="40"/>
      <c r="LF115" s="40"/>
      <c r="LG115" s="40"/>
      <c r="LH115" s="40"/>
      <c r="LI115" s="40"/>
      <c r="LJ115" s="40"/>
      <c r="LK115" s="40"/>
      <c r="LL115" s="40"/>
      <c r="LM115" s="40"/>
      <c r="LN115" s="40"/>
      <c r="LO115" s="40"/>
      <c r="LP115" s="40"/>
      <c r="LQ115" s="40"/>
      <c r="LR115" s="40"/>
      <c r="LS115" s="40"/>
      <c r="LT115" s="40"/>
      <c r="LU115" s="40"/>
      <c r="LV115" s="40"/>
      <c r="LW115" s="40"/>
      <c r="LX115" s="40"/>
      <c r="LY115" s="40"/>
      <c r="LZ115" s="40"/>
      <c r="MA115" s="40"/>
      <c r="MB115" s="40"/>
      <c r="MC115" s="40"/>
      <c r="MD115" s="40"/>
      <c r="ME115" s="40"/>
      <c r="MF115" s="40"/>
      <c r="MG115" s="40"/>
      <c r="MH115" s="40"/>
      <c r="MI115" s="40"/>
      <c r="MJ115" s="40"/>
      <c r="MK115" s="40"/>
      <c r="ML115" s="40"/>
      <c r="MM115" s="40"/>
      <c r="MN115" s="40"/>
      <c r="MO115" s="40"/>
      <c r="MP115" s="40"/>
      <c r="MQ115" s="40"/>
      <c r="MR115" s="40"/>
      <c r="MS115" s="40"/>
      <c r="MT115" s="40"/>
    </row>
    <row r="116" spans="1:358" x14ac:dyDescent="0.25">
      <c r="A116" s="9" t="s">
        <v>24</v>
      </c>
      <c r="B116" s="16">
        <v>3</v>
      </c>
      <c r="C116" s="35">
        <f>0.6344</f>
        <v>0.63439999999999996</v>
      </c>
      <c r="D116" s="36">
        <f>9/14</f>
        <v>0.6428571428571429</v>
      </c>
      <c r="E116" s="36">
        <f>26/33</f>
        <v>0.78787878787878785</v>
      </c>
      <c r="F116" s="38">
        <v>0.99399999999999999</v>
      </c>
      <c r="G116" s="35">
        <v>1.115</v>
      </c>
      <c r="H116" s="38">
        <v>9</v>
      </c>
      <c r="I116" s="19">
        <f t="shared" si="1"/>
        <v>48.23371788305591</v>
      </c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  <c r="IN116" s="40"/>
      <c r="IO116" s="40"/>
      <c r="IP116" s="40"/>
      <c r="IQ116" s="40"/>
      <c r="IR116" s="40"/>
      <c r="IS116" s="40"/>
      <c r="IT116" s="40"/>
      <c r="IU116" s="40"/>
      <c r="IV116" s="40"/>
      <c r="IW116" s="40"/>
      <c r="IX116" s="40"/>
      <c r="IY116" s="40"/>
      <c r="IZ116" s="40"/>
      <c r="JA116" s="40"/>
      <c r="JB116" s="40"/>
      <c r="JC116" s="40"/>
      <c r="JD116" s="40"/>
      <c r="JE116" s="40"/>
      <c r="JF116" s="40"/>
      <c r="JG116" s="40"/>
      <c r="JH116" s="40"/>
      <c r="JI116" s="40"/>
      <c r="JJ116" s="40"/>
      <c r="JK116" s="40"/>
      <c r="JL116" s="40"/>
      <c r="JM116" s="40"/>
      <c r="JN116" s="40"/>
      <c r="JO116" s="40"/>
      <c r="JP116" s="40"/>
      <c r="JQ116" s="40"/>
      <c r="JR116" s="40"/>
      <c r="JS116" s="40"/>
      <c r="JT116" s="40"/>
      <c r="JU116" s="40"/>
      <c r="JV116" s="40"/>
      <c r="JW116" s="40"/>
      <c r="JX116" s="40"/>
      <c r="JY116" s="40"/>
      <c r="JZ116" s="40"/>
      <c r="KA116" s="40"/>
      <c r="KB116" s="40"/>
      <c r="KC116" s="40"/>
      <c r="KD116" s="40"/>
      <c r="KE116" s="40"/>
      <c r="KF116" s="40"/>
      <c r="KG116" s="40"/>
      <c r="KH116" s="40"/>
      <c r="KI116" s="40"/>
      <c r="KJ116" s="40"/>
      <c r="KK116" s="40"/>
      <c r="KL116" s="40"/>
      <c r="KM116" s="40"/>
      <c r="KN116" s="40"/>
      <c r="KO116" s="40"/>
      <c r="KP116" s="40"/>
      <c r="KQ116" s="40"/>
      <c r="KR116" s="40"/>
      <c r="KS116" s="40"/>
      <c r="KT116" s="40"/>
      <c r="KU116" s="40"/>
      <c r="KV116" s="40"/>
      <c r="KW116" s="40"/>
      <c r="KX116" s="40"/>
      <c r="KY116" s="40"/>
      <c r="KZ116" s="40"/>
      <c r="LA116" s="40"/>
      <c r="LB116" s="40"/>
      <c r="LC116" s="40"/>
      <c r="LD116" s="40"/>
      <c r="LE116" s="40"/>
      <c r="LF116" s="40"/>
      <c r="LG116" s="40"/>
      <c r="LH116" s="40"/>
      <c r="LI116" s="40"/>
      <c r="LJ116" s="40"/>
      <c r="LK116" s="40"/>
      <c r="LL116" s="40"/>
      <c r="LM116" s="40"/>
      <c r="LN116" s="40"/>
      <c r="LO116" s="40"/>
      <c r="LP116" s="40"/>
      <c r="LQ116" s="40"/>
      <c r="LR116" s="40"/>
      <c r="LS116" s="40"/>
      <c r="LT116" s="40"/>
      <c r="LU116" s="40"/>
      <c r="LV116" s="40"/>
      <c r="LW116" s="40"/>
      <c r="LX116" s="40"/>
      <c r="LY116" s="40"/>
      <c r="LZ116" s="40"/>
      <c r="MA116" s="40"/>
      <c r="MB116" s="40"/>
      <c r="MC116" s="40"/>
      <c r="MD116" s="40"/>
      <c r="ME116" s="40"/>
      <c r="MF116" s="40"/>
      <c r="MG116" s="40"/>
      <c r="MH116" s="40"/>
      <c r="MI116" s="40"/>
      <c r="MJ116" s="40"/>
      <c r="MK116" s="40"/>
      <c r="ML116" s="40"/>
      <c r="MM116" s="40"/>
      <c r="MN116" s="40"/>
      <c r="MO116" s="40"/>
      <c r="MP116" s="40"/>
      <c r="MQ116" s="40"/>
      <c r="MR116" s="40"/>
      <c r="MS116" s="40"/>
      <c r="MT116" s="40"/>
    </row>
    <row r="117" spans="1:358" x14ac:dyDescent="0.25">
      <c r="A117" s="9" t="s">
        <v>25</v>
      </c>
      <c r="B117" s="16">
        <v>4</v>
      </c>
      <c r="C117" s="35">
        <f>0.6201</f>
        <v>0.62009999999999998</v>
      </c>
      <c r="D117" s="36">
        <f>8/13</f>
        <v>0.61538461538461542</v>
      </c>
      <c r="E117" s="36">
        <f>26/34</f>
        <v>0.76470588235294112</v>
      </c>
      <c r="F117" s="38">
        <v>0.97299999999999998</v>
      </c>
      <c r="G117" s="35">
        <v>1.131</v>
      </c>
      <c r="H117" s="35">
        <v>11.4</v>
      </c>
      <c r="I117" s="19">
        <f t="shared" si="1"/>
        <v>47.807967865397401</v>
      </c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  <c r="IN117" s="40"/>
      <c r="IO117" s="40"/>
      <c r="IP117" s="40"/>
      <c r="IQ117" s="40"/>
      <c r="IR117" s="40"/>
      <c r="IS117" s="40"/>
      <c r="IT117" s="40"/>
      <c r="IU117" s="40"/>
      <c r="IV117" s="40"/>
      <c r="IW117" s="40"/>
      <c r="IX117" s="40"/>
      <c r="IY117" s="40"/>
      <c r="IZ117" s="40"/>
      <c r="JA117" s="40"/>
      <c r="JB117" s="40"/>
      <c r="JC117" s="40"/>
      <c r="JD117" s="40"/>
      <c r="JE117" s="40"/>
      <c r="JF117" s="40"/>
      <c r="JG117" s="40"/>
      <c r="JH117" s="40"/>
      <c r="JI117" s="40"/>
      <c r="JJ117" s="40"/>
      <c r="JK117" s="40"/>
      <c r="JL117" s="40"/>
      <c r="JM117" s="40"/>
      <c r="JN117" s="40"/>
      <c r="JO117" s="40"/>
      <c r="JP117" s="40"/>
      <c r="JQ117" s="40"/>
      <c r="JR117" s="40"/>
      <c r="JS117" s="40"/>
      <c r="JT117" s="40"/>
      <c r="JU117" s="40"/>
      <c r="JV117" s="40"/>
      <c r="JW117" s="40"/>
      <c r="JX117" s="40"/>
      <c r="JY117" s="40"/>
      <c r="JZ117" s="40"/>
      <c r="KA117" s="40"/>
      <c r="KB117" s="40"/>
      <c r="KC117" s="40"/>
      <c r="KD117" s="40"/>
      <c r="KE117" s="40"/>
      <c r="KF117" s="40"/>
      <c r="KG117" s="40"/>
      <c r="KH117" s="40"/>
      <c r="KI117" s="40"/>
      <c r="KJ117" s="40"/>
      <c r="KK117" s="40"/>
      <c r="KL117" s="40"/>
      <c r="KM117" s="40"/>
      <c r="KN117" s="40"/>
      <c r="KO117" s="40"/>
      <c r="KP117" s="40"/>
      <c r="KQ117" s="40"/>
      <c r="KR117" s="40"/>
      <c r="KS117" s="40"/>
      <c r="KT117" s="40"/>
      <c r="KU117" s="40"/>
      <c r="KV117" s="40"/>
      <c r="KW117" s="40"/>
      <c r="KX117" s="40"/>
      <c r="KY117" s="40"/>
      <c r="KZ117" s="40"/>
      <c r="LA117" s="40"/>
      <c r="LB117" s="40"/>
      <c r="LC117" s="40"/>
      <c r="LD117" s="40"/>
      <c r="LE117" s="40"/>
      <c r="LF117" s="40"/>
      <c r="LG117" s="40"/>
      <c r="LH117" s="40"/>
      <c r="LI117" s="40"/>
      <c r="LJ117" s="40"/>
      <c r="LK117" s="40"/>
      <c r="LL117" s="40"/>
      <c r="LM117" s="40"/>
      <c r="LN117" s="40"/>
      <c r="LO117" s="40"/>
      <c r="LP117" s="40"/>
      <c r="LQ117" s="40"/>
      <c r="LR117" s="40"/>
      <c r="LS117" s="40"/>
      <c r="LT117" s="40"/>
      <c r="LU117" s="40"/>
      <c r="LV117" s="40"/>
      <c r="LW117" s="40"/>
      <c r="LX117" s="40"/>
      <c r="LY117" s="40"/>
      <c r="LZ117" s="40"/>
      <c r="MA117" s="40"/>
      <c r="MB117" s="40"/>
      <c r="MC117" s="40"/>
      <c r="MD117" s="40"/>
      <c r="ME117" s="40"/>
      <c r="MF117" s="40"/>
      <c r="MG117" s="40"/>
      <c r="MH117" s="40"/>
      <c r="MI117" s="40"/>
      <c r="MJ117" s="40"/>
      <c r="MK117" s="40"/>
      <c r="ML117" s="40"/>
      <c r="MM117" s="40"/>
      <c r="MN117" s="40"/>
      <c r="MO117" s="40"/>
      <c r="MP117" s="40"/>
      <c r="MQ117" s="40"/>
      <c r="MR117" s="40"/>
      <c r="MS117" s="40"/>
      <c r="MT117" s="40"/>
    </row>
    <row r="118" spans="1:358" x14ac:dyDescent="0.25">
      <c r="A118" s="9" t="s">
        <v>26</v>
      </c>
      <c r="B118" s="16">
        <v>4</v>
      </c>
      <c r="C118" s="35">
        <f>0.617</f>
        <v>0.61699999999999999</v>
      </c>
      <c r="D118" s="36">
        <f>3/6</f>
        <v>0.5</v>
      </c>
      <c r="E118" s="36">
        <v>8.7096774193548381E-3</v>
      </c>
      <c r="F118" s="35">
        <v>0.878</v>
      </c>
      <c r="G118" s="38">
        <v>1.0389999999999999</v>
      </c>
      <c r="H118" s="38">
        <v>13.8</v>
      </c>
      <c r="I118" s="19">
        <f t="shared" si="1"/>
        <v>42.203309207142325</v>
      </c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  <c r="IN118" s="40"/>
      <c r="IO118" s="40"/>
      <c r="IP118" s="40"/>
      <c r="IQ118" s="40"/>
      <c r="IR118" s="40"/>
      <c r="IS118" s="40"/>
      <c r="IT118" s="40"/>
      <c r="IU118" s="40"/>
      <c r="IV118" s="40"/>
      <c r="IW118" s="40"/>
      <c r="IX118" s="40"/>
      <c r="IY118" s="40"/>
      <c r="IZ118" s="40"/>
      <c r="JA118" s="40"/>
      <c r="JB118" s="40"/>
      <c r="JC118" s="40"/>
      <c r="JD118" s="40"/>
      <c r="JE118" s="40"/>
      <c r="JF118" s="40"/>
      <c r="JG118" s="40"/>
      <c r="JH118" s="40"/>
      <c r="JI118" s="40"/>
      <c r="JJ118" s="40"/>
      <c r="JK118" s="40"/>
      <c r="JL118" s="40"/>
      <c r="JM118" s="40"/>
      <c r="JN118" s="40"/>
      <c r="JO118" s="40"/>
      <c r="JP118" s="40"/>
      <c r="JQ118" s="40"/>
      <c r="JR118" s="40"/>
      <c r="JS118" s="40"/>
      <c r="JT118" s="40"/>
      <c r="JU118" s="40"/>
      <c r="JV118" s="40"/>
      <c r="JW118" s="40"/>
      <c r="JX118" s="40"/>
      <c r="JY118" s="40"/>
      <c r="JZ118" s="40"/>
      <c r="KA118" s="40"/>
      <c r="KB118" s="40"/>
      <c r="KC118" s="40"/>
      <c r="KD118" s="40"/>
      <c r="KE118" s="40"/>
      <c r="KF118" s="40"/>
      <c r="KG118" s="40"/>
      <c r="KH118" s="40"/>
      <c r="KI118" s="40"/>
      <c r="KJ118" s="40"/>
      <c r="KK118" s="40"/>
      <c r="KL118" s="40"/>
      <c r="KM118" s="40"/>
      <c r="KN118" s="40"/>
      <c r="KO118" s="40"/>
      <c r="KP118" s="40"/>
      <c r="KQ118" s="40"/>
      <c r="KR118" s="40"/>
      <c r="KS118" s="40"/>
      <c r="KT118" s="40"/>
      <c r="KU118" s="40"/>
      <c r="KV118" s="40"/>
      <c r="KW118" s="40"/>
      <c r="KX118" s="40"/>
      <c r="KY118" s="40"/>
      <c r="KZ118" s="40"/>
      <c r="LA118" s="40"/>
      <c r="LB118" s="40"/>
      <c r="LC118" s="40"/>
      <c r="LD118" s="40"/>
      <c r="LE118" s="40"/>
      <c r="LF118" s="40"/>
      <c r="LG118" s="40"/>
      <c r="LH118" s="40"/>
      <c r="LI118" s="40"/>
      <c r="LJ118" s="40"/>
      <c r="LK118" s="40"/>
      <c r="LL118" s="40"/>
      <c r="LM118" s="40"/>
      <c r="LN118" s="40"/>
      <c r="LO118" s="40"/>
      <c r="LP118" s="40"/>
      <c r="LQ118" s="40"/>
      <c r="LR118" s="40"/>
      <c r="LS118" s="40"/>
      <c r="LT118" s="40"/>
      <c r="LU118" s="40"/>
      <c r="LV118" s="40"/>
      <c r="LW118" s="40"/>
      <c r="LX118" s="40"/>
      <c r="LY118" s="40"/>
      <c r="LZ118" s="40"/>
      <c r="MA118" s="40"/>
      <c r="MB118" s="40"/>
      <c r="MC118" s="40"/>
      <c r="MD118" s="40"/>
      <c r="ME118" s="40"/>
      <c r="MF118" s="40"/>
      <c r="MG118" s="40"/>
      <c r="MH118" s="40"/>
      <c r="MI118" s="40"/>
      <c r="MJ118" s="40"/>
      <c r="MK118" s="40"/>
      <c r="ML118" s="40"/>
      <c r="MM118" s="40"/>
      <c r="MN118" s="40"/>
      <c r="MO118" s="40"/>
      <c r="MP118" s="40"/>
      <c r="MQ118" s="40"/>
      <c r="MR118" s="40"/>
      <c r="MS118" s="40"/>
      <c r="MT118" s="40"/>
    </row>
    <row r="119" spans="1:358" x14ac:dyDescent="0.25">
      <c r="A119" s="9" t="s">
        <v>27</v>
      </c>
      <c r="B119" s="16">
        <v>4</v>
      </c>
      <c r="C119" s="35">
        <f>0.6125</f>
        <v>0.61250000000000004</v>
      </c>
      <c r="D119" s="36">
        <f>5/10</f>
        <v>0.5</v>
      </c>
      <c r="E119" s="36">
        <f>29/34</f>
        <v>0.8529411764705882</v>
      </c>
      <c r="F119" s="35">
        <v>0.86399999999999999</v>
      </c>
      <c r="G119" s="35">
        <v>1.157</v>
      </c>
      <c r="H119" s="35">
        <v>20.6</v>
      </c>
      <c r="I119" s="19">
        <f t="shared" si="1"/>
        <v>48.331742919389974</v>
      </c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  <c r="IN119" s="40"/>
      <c r="IO119" s="40"/>
      <c r="IP119" s="40"/>
      <c r="IQ119" s="40"/>
      <c r="IR119" s="40"/>
      <c r="IS119" s="40"/>
      <c r="IT119" s="40"/>
      <c r="IU119" s="40"/>
      <c r="IV119" s="40"/>
      <c r="IW119" s="40"/>
      <c r="IX119" s="40"/>
      <c r="IY119" s="40"/>
      <c r="IZ119" s="40"/>
      <c r="JA119" s="40"/>
      <c r="JB119" s="40"/>
      <c r="JC119" s="40"/>
      <c r="JD119" s="40"/>
      <c r="JE119" s="40"/>
      <c r="JF119" s="40"/>
      <c r="JG119" s="40"/>
      <c r="JH119" s="40"/>
      <c r="JI119" s="40"/>
      <c r="JJ119" s="40"/>
      <c r="JK119" s="40"/>
      <c r="JL119" s="40"/>
      <c r="JM119" s="40"/>
      <c r="JN119" s="40"/>
      <c r="JO119" s="40"/>
      <c r="JP119" s="40"/>
      <c r="JQ119" s="40"/>
      <c r="JR119" s="40"/>
      <c r="JS119" s="40"/>
      <c r="JT119" s="40"/>
      <c r="JU119" s="40"/>
      <c r="JV119" s="40"/>
      <c r="JW119" s="40"/>
      <c r="JX119" s="40"/>
      <c r="JY119" s="40"/>
      <c r="JZ119" s="40"/>
      <c r="KA119" s="40"/>
      <c r="KB119" s="40"/>
      <c r="KC119" s="40"/>
      <c r="KD119" s="40"/>
      <c r="KE119" s="40"/>
      <c r="KF119" s="40"/>
      <c r="KG119" s="40"/>
      <c r="KH119" s="40"/>
      <c r="KI119" s="40"/>
      <c r="KJ119" s="40"/>
      <c r="KK119" s="40"/>
      <c r="KL119" s="40"/>
      <c r="KM119" s="40"/>
      <c r="KN119" s="40"/>
      <c r="KO119" s="40"/>
      <c r="KP119" s="40"/>
      <c r="KQ119" s="40"/>
      <c r="KR119" s="40"/>
      <c r="KS119" s="40"/>
      <c r="KT119" s="40"/>
      <c r="KU119" s="40"/>
      <c r="KV119" s="40"/>
      <c r="KW119" s="40"/>
      <c r="KX119" s="40"/>
      <c r="KY119" s="40"/>
      <c r="KZ119" s="40"/>
      <c r="LA119" s="40"/>
      <c r="LB119" s="40"/>
      <c r="LC119" s="40"/>
      <c r="LD119" s="40"/>
      <c r="LE119" s="40"/>
      <c r="LF119" s="40"/>
      <c r="LG119" s="40"/>
      <c r="LH119" s="40"/>
      <c r="LI119" s="40"/>
      <c r="LJ119" s="40"/>
      <c r="LK119" s="40"/>
      <c r="LL119" s="40"/>
      <c r="LM119" s="40"/>
      <c r="LN119" s="40"/>
      <c r="LO119" s="40"/>
      <c r="LP119" s="40"/>
      <c r="LQ119" s="40"/>
      <c r="LR119" s="40"/>
      <c r="LS119" s="40"/>
      <c r="LT119" s="40"/>
      <c r="LU119" s="40"/>
      <c r="LV119" s="40"/>
      <c r="LW119" s="40"/>
      <c r="LX119" s="40"/>
      <c r="LY119" s="40"/>
      <c r="LZ119" s="40"/>
      <c r="MA119" s="40"/>
      <c r="MB119" s="40"/>
      <c r="MC119" s="40"/>
      <c r="MD119" s="40"/>
      <c r="ME119" s="40"/>
      <c r="MF119" s="40"/>
      <c r="MG119" s="40"/>
      <c r="MH119" s="40"/>
      <c r="MI119" s="40"/>
      <c r="MJ119" s="40"/>
      <c r="MK119" s="40"/>
      <c r="ML119" s="40"/>
      <c r="MM119" s="40"/>
      <c r="MN119" s="40"/>
      <c r="MO119" s="40"/>
      <c r="MP119" s="40"/>
      <c r="MQ119" s="40"/>
      <c r="MR119" s="40"/>
      <c r="MS119" s="40"/>
      <c r="MT119" s="40"/>
    </row>
    <row r="120" spans="1:358" x14ac:dyDescent="0.25">
      <c r="A120" s="9" t="s">
        <v>28</v>
      </c>
      <c r="B120" s="16">
        <v>4</v>
      </c>
      <c r="C120" s="35">
        <f>0.6156</f>
        <v>0.61560000000000004</v>
      </c>
      <c r="D120" s="36">
        <f>7/13</f>
        <v>0.53846153846153844</v>
      </c>
      <c r="E120" s="36">
        <f>26/34</f>
        <v>0.76470588235294112</v>
      </c>
      <c r="F120" s="38">
        <v>0.96099999999999997</v>
      </c>
      <c r="G120" s="38">
        <v>1.1160000000000001</v>
      </c>
      <c r="H120" s="38">
        <v>10.6</v>
      </c>
      <c r="I120" s="19">
        <f t="shared" si="1"/>
        <v>45.963673812629182</v>
      </c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  <c r="IN120" s="40"/>
      <c r="IO120" s="40"/>
      <c r="IP120" s="40"/>
      <c r="IQ120" s="40"/>
      <c r="IR120" s="40"/>
      <c r="IS120" s="40"/>
      <c r="IT120" s="40"/>
      <c r="IU120" s="40"/>
      <c r="IV120" s="40"/>
      <c r="IW120" s="40"/>
      <c r="IX120" s="40"/>
      <c r="IY120" s="40"/>
      <c r="IZ120" s="40"/>
      <c r="JA120" s="40"/>
      <c r="JB120" s="40"/>
      <c r="JC120" s="40"/>
      <c r="JD120" s="40"/>
      <c r="JE120" s="40"/>
      <c r="JF120" s="40"/>
      <c r="JG120" s="40"/>
      <c r="JH120" s="40"/>
      <c r="JI120" s="40"/>
      <c r="JJ120" s="40"/>
      <c r="JK120" s="40"/>
      <c r="JL120" s="40"/>
      <c r="JM120" s="40"/>
      <c r="JN120" s="40"/>
      <c r="JO120" s="40"/>
      <c r="JP120" s="40"/>
      <c r="JQ120" s="40"/>
      <c r="JR120" s="40"/>
      <c r="JS120" s="40"/>
      <c r="JT120" s="40"/>
      <c r="JU120" s="40"/>
      <c r="JV120" s="40"/>
      <c r="JW120" s="40"/>
      <c r="JX120" s="40"/>
      <c r="JY120" s="40"/>
      <c r="JZ120" s="40"/>
      <c r="KA120" s="40"/>
      <c r="KB120" s="40"/>
      <c r="KC120" s="40"/>
      <c r="KD120" s="40"/>
      <c r="KE120" s="40"/>
      <c r="KF120" s="40"/>
      <c r="KG120" s="40"/>
      <c r="KH120" s="40"/>
      <c r="KI120" s="40"/>
      <c r="KJ120" s="40"/>
      <c r="KK120" s="40"/>
      <c r="KL120" s="40"/>
      <c r="KM120" s="40"/>
      <c r="KN120" s="40"/>
      <c r="KO120" s="40"/>
      <c r="KP120" s="40"/>
      <c r="KQ120" s="40"/>
      <c r="KR120" s="40"/>
      <c r="KS120" s="40"/>
      <c r="KT120" s="40"/>
      <c r="KU120" s="40"/>
      <c r="KV120" s="40"/>
      <c r="KW120" s="40"/>
      <c r="KX120" s="40"/>
      <c r="KY120" s="40"/>
      <c r="KZ120" s="40"/>
      <c r="LA120" s="40"/>
      <c r="LB120" s="40"/>
      <c r="LC120" s="40"/>
      <c r="LD120" s="40"/>
      <c r="LE120" s="40"/>
      <c r="LF120" s="40"/>
      <c r="LG120" s="40"/>
      <c r="LH120" s="40"/>
      <c r="LI120" s="40"/>
      <c r="LJ120" s="40"/>
      <c r="LK120" s="40"/>
      <c r="LL120" s="40"/>
      <c r="LM120" s="40"/>
      <c r="LN120" s="40"/>
      <c r="LO120" s="40"/>
      <c r="LP120" s="40"/>
      <c r="LQ120" s="40"/>
      <c r="LR120" s="40"/>
      <c r="LS120" s="40"/>
      <c r="LT120" s="40"/>
      <c r="LU120" s="40"/>
      <c r="LV120" s="40"/>
      <c r="LW120" s="40"/>
      <c r="LX120" s="40"/>
      <c r="LY120" s="40"/>
      <c r="LZ120" s="40"/>
      <c r="MA120" s="40"/>
      <c r="MB120" s="40"/>
      <c r="MC120" s="40"/>
      <c r="MD120" s="40"/>
      <c r="ME120" s="40"/>
      <c r="MF120" s="40"/>
      <c r="MG120" s="40"/>
      <c r="MH120" s="40"/>
      <c r="MI120" s="40"/>
      <c r="MJ120" s="40"/>
      <c r="MK120" s="40"/>
      <c r="ML120" s="40"/>
      <c r="MM120" s="40"/>
      <c r="MN120" s="40"/>
      <c r="MO120" s="40"/>
      <c r="MP120" s="40"/>
      <c r="MQ120" s="40"/>
      <c r="MR120" s="40"/>
      <c r="MS120" s="40"/>
      <c r="MT120" s="40"/>
    </row>
    <row r="121" spans="1:358" x14ac:dyDescent="0.25">
      <c r="A121" s="9" t="s">
        <v>29</v>
      </c>
      <c r="B121" s="16">
        <v>5</v>
      </c>
      <c r="C121" s="35">
        <f>0.622</f>
        <v>0.622</v>
      </c>
      <c r="D121" s="36">
        <f>5/10</f>
        <v>0.5</v>
      </c>
      <c r="E121" s="36">
        <f>26/34</f>
        <v>0.76470588235294112</v>
      </c>
      <c r="F121" s="35">
        <v>0.89200000000000002</v>
      </c>
      <c r="G121" s="38">
        <v>1.026</v>
      </c>
      <c r="H121" s="38">
        <v>9.8000000000000007</v>
      </c>
      <c r="I121" s="19">
        <f t="shared" si="1"/>
        <v>45.178910577683993</v>
      </c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  <c r="IN121" s="40"/>
      <c r="IO121" s="40"/>
      <c r="IP121" s="40"/>
      <c r="IQ121" s="40"/>
      <c r="IR121" s="40"/>
      <c r="IS121" s="40"/>
      <c r="IT121" s="40"/>
      <c r="IU121" s="40"/>
      <c r="IV121" s="40"/>
      <c r="IW121" s="40"/>
      <c r="IX121" s="40"/>
      <c r="IY121" s="40"/>
      <c r="IZ121" s="40"/>
      <c r="JA121" s="40"/>
      <c r="JB121" s="40"/>
      <c r="JC121" s="40"/>
      <c r="JD121" s="40"/>
      <c r="JE121" s="40"/>
      <c r="JF121" s="40"/>
      <c r="JG121" s="40"/>
      <c r="JH121" s="40"/>
      <c r="JI121" s="40"/>
      <c r="JJ121" s="40"/>
      <c r="JK121" s="40"/>
      <c r="JL121" s="40"/>
      <c r="JM121" s="40"/>
      <c r="JN121" s="40"/>
      <c r="JO121" s="40"/>
      <c r="JP121" s="40"/>
      <c r="JQ121" s="40"/>
      <c r="JR121" s="40"/>
      <c r="JS121" s="40"/>
      <c r="JT121" s="40"/>
      <c r="JU121" s="40"/>
      <c r="JV121" s="40"/>
      <c r="JW121" s="40"/>
      <c r="JX121" s="40"/>
      <c r="JY121" s="40"/>
      <c r="JZ121" s="40"/>
      <c r="KA121" s="40"/>
      <c r="KB121" s="40"/>
      <c r="KC121" s="40"/>
      <c r="KD121" s="40"/>
      <c r="KE121" s="40"/>
      <c r="KF121" s="40"/>
      <c r="KG121" s="40"/>
      <c r="KH121" s="40"/>
      <c r="KI121" s="40"/>
      <c r="KJ121" s="40"/>
      <c r="KK121" s="40"/>
      <c r="KL121" s="40"/>
      <c r="KM121" s="40"/>
      <c r="KN121" s="40"/>
      <c r="KO121" s="40"/>
      <c r="KP121" s="40"/>
      <c r="KQ121" s="40"/>
      <c r="KR121" s="40"/>
      <c r="KS121" s="40"/>
      <c r="KT121" s="40"/>
      <c r="KU121" s="40"/>
      <c r="KV121" s="40"/>
      <c r="KW121" s="40"/>
      <c r="KX121" s="40"/>
      <c r="KY121" s="40"/>
      <c r="KZ121" s="40"/>
      <c r="LA121" s="40"/>
      <c r="LB121" s="40"/>
      <c r="LC121" s="40"/>
      <c r="LD121" s="40"/>
      <c r="LE121" s="40"/>
      <c r="LF121" s="40"/>
      <c r="LG121" s="40"/>
      <c r="LH121" s="40"/>
      <c r="LI121" s="40"/>
      <c r="LJ121" s="40"/>
      <c r="LK121" s="40"/>
      <c r="LL121" s="40"/>
      <c r="LM121" s="40"/>
      <c r="LN121" s="40"/>
      <c r="LO121" s="40"/>
      <c r="LP121" s="40"/>
      <c r="LQ121" s="40"/>
      <c r="LR121" s="40"/>
      <c r="LS121" s="40"/>
      <c r="LT121" s="40"/>
      <c r="LU121" s="40"/>
      <c r="LV121" s="40"/>
      <c r="LW121" s="40"/>
      <c r="LX121" s="40"/>
      <c r="LY121" s="40"/>
      <c r="LZ121" s="40"/>
      <c r="MA121" s="40"/>
      <c r="MB121" s="40"/>
      <c r="MC121" s="40"/>
      <c r="MD121" s="40"/>
      <c r="ME121" s="40"/>
      <c r="MF121" s="40"/>
      <c r="MG121" s="40"/>
      <c r="MH121" s="40"/>
      <c r="MI121" s="40"/>
      <c r="MJ121" s="40"/>
      <c r="MK121" s="40"/>
      <c r="ML121" s="40"/>
      <c r="MM121" s="40"/>
      <c r="MN121" s="40"/>
      <c r="MO121" s="40"/>
      <c r="MP121" s="40"/>
      <c r="MQ121" s="40"/>
      <c r="MR121" s="40"/>
      <c r="MS121" s="40"/>
      <c r="MT121" s="40"/>
    </row>
    <row r="122" spans="1:358" x14ac:dyDescent="0.25">
      <c r="A122" s="9" t="s">
        <v>30</v>
      </c>
      <c r="B122" s="16">
        <v>5</v>
      </c>
      <c r="C122" s="35">
        <f>0.6041</f>
        <v>0.60409999999999997</v>
      </c>
      <c r="D122" s="36">
        <f>7/12</f>
        <v>0.58333333333333337</v>
      </c>
      <c r="E122" s="36">
        <f>23/32</f>
        <v>0.71875</v>
      </c>
      <c r="F122" s="38">
        <v>1.026</v>
      </c>
      <c r="G122" s="38">
        <v>1.1060000000000001</v>
      </c>
      <c r="H122" s="38">
        <v>5.9</v>
      </c>
      <c r="I122" s="19">
        <f t="shared" si="1"/>
        <v>44.966711013645217</v>
      </c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  <c r="IN122" s="40"/>
      <c r="IO122" s="40"/>
      <c r="IP122" s="40"/>
      <c r="IQ122" s="40"/>
      <c r="IR122" s="40"/>
      <c r="IS122" s="40"/>
      <c r="IT122" s="40"/>
      <c r="IU122" s="40"/>
      <c r="IV122" s="40"/>
      <c r="IW122" s="40"/>
      <c r="IX122" s="40"/>
      <c r="IY122" s="40"/>
      <c r="IZ122" s="40"/>
      <c r="JA122" s="40"/>
      <c r="JB122" s="40"/>
      <c r="JC122" s="40"/>
      <c r="JD122" s="40"/>
      <c r="JE122" s="40"/>
      <c r="JF122" s="40"/>
      <c r="JG122" s="40"/>
      <c r="JH122" s="40"/>
      <c r="JI122" s="40"/>
      <c r="JJ122" s="40"/>
      <c r="JK122" s="40"/>
      <c r="JL122" s="40"/>
      <c r="JM122" s="40"/>
      <c r="JN122" s="40"/>
      <c r="JO122" s="40"/>
      <c r="JP122" s="40"/>
      <c r="JQ122" s="40"/>
      <c r="JR122" s="40"/>
      <c r="JS122" s="40"/>
      <c r="JT122" s="40"/>
      <c r="JU122" s="40"/>
      <c r="JV122" s="40"/>
      <c r="JW122" s="40"/>
      <c r="JX122" s="40"/>
      <c r="JY122" s="40"/>
      <c r="JZ122" s="40"/>
      <c r="KA122" s="40"/>
      <c r="KB122" s="40"/>
      <c r="KC122" s="40"/>
      <c r="KD122" s="40"/>
      <c r="KE122" s="40"/>
      <c r="KF122" s="40"/>
      <c r="KG122" s="40"/>
      <c r="KH122" s="40"/>
      <c r="KI122" s="40"/>
      <c r="KJ122" s="40"/>
      <c r="KK122" s="40"/>
      <c r="KL122" s="40"/>
      <c r="KM122" s="40"/>
      <c r="KN122" s="40"/>
      <c r="KO122" s="40"/>
      <c r="KP122" s="40"/>
      <c r="KQ122" s="40"/>
      <c r="KR122" s="40"/>
      <c r="KS122" s="40"/>
      <c r="KT122" s="40"/>
      <c r="KU122" s="40"/>
      <c r="KV122" s="40"/>
      <c r="KW122" s="40"/>
      <c r="KX122" s="40"/>
      <c r="KY122" s="40"/>
      <c r="KZ122" s="40"/>
      <c r="LA122" s="40"/>
      <c r="LB122" s="40"/>
      <c r="LC122" s="40"/>
      <c r="LD122" s="40"/>
      <c r="LE122" s="40"/>
      <c r="LF122" s="40"/>
      <c r="LG122" s="40"/>
      <c r="LH122" s="40"/>
      <c r="LI122" s="40"/>
      <c r="LJ122" s="40"/>
      <c r="LK122" s="40"/>
      <c r="LL122" s="40"/>
      <c r="LM122" s="40"/>
      <c r="LN122" s="40"/>
      <c r="LO122" s="40"/>
      <c r="LP122" s="40"/>
      <c r="LQ122" s="40"/>
      <c r="LR122" s="40"/>
      <c r="LS122" s="40"/>
      <c r="LT122" s="40"/>
      <c r="LU122" s="40"/>
      <c r="LV122" s="40"/>
      <c r="LW122" s="40"/>
      <c r="LX122" s="40"/>
      <c r="LY122" s="40"/>
      <c r="LZ122" s="40"/>
      <c r="MA122" s="40"/>
      <c r="MB122" s="40"/>
      <c r="MC122" s="40"/>
      <c r="MD122" s="40"/>
      <c r="ME122" s="40"/>
      <c r="MF122" s="40"/>
      <c r="MG122" s="40"/>
      <c r="MH122" s="40"/>
      <c r="MI122" s="40"/>
      <c r="MJ122" s="40"/>
      <c r="MK122" s="40"/>
      <c r="ML122" s="40"/>
      <c r="MM122" s="40"/>
      <c r="MN122" s="40"/>
      <c r="MO122" s="40"/>
      <c r="MP122" s="40"/>
      <c r="MQ122" s="40"/>
      <c r="MR122" s="40"/>
      <c r="MS122" s="40"/>
      <c r="MT122" s="40"/>
    </row>
    <row r="123" spans="1:358" x14ac:dyDescent="0.25">
      <c r="A123" s="9" t="s">
        <v>31</v>
      </c>
      <c r="B123" s="16">
        <v>5</v>
      </c>
      <c r="C123" s="35">
        <f>0.6057</f>
        <v>0.60570000000000002</v>
      </c>
      <c r="D123" s="36">
        <f>7/9</f>
        <v>0.77777777777777779</v>
      </c>
      <c r="E123" s="36">
        <f>25/31</f>
        <v>0.80645161290322576</v>
      </c>
      <c r="F123" s="38">
        <v>0.89200000000000002</v>
      </c>
      <c r="G123" s="38">
        <v>0.998</v>
      </c>
      <c r="H123" s="38">
        <v>7.9</v>
      </c>
      <c r="I123" s="19">
        <f t="shared" si="1"/>
        <v>49.934194785990968</v>
      </c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  <c r="IN123" s="40"/>
      <c r="IO123" s="40"/>
      <c r="IP123" s="40"/>
      <c r="IQ123" s="40"/>
      <c r="IR123" s="40"/>
      <c r="IS123" s="40"/>
      <c r="IT123" s="40"/>
      <c r="IU123" s="40"/>
      <c r="IV123" s="40"/>
      <c r="IW123" s="40"/>
      <c r="IX123" s="40"/>
      <c r="IY123" s="40"/>
      <c r="IZ123" s="40"/>
      <c r="JA123" s="40"/>
      <c r="JB123" s="40"/>
      <c r="JC123" s="40"/>
      <c r="JD123" s="40"/>
      <c r="JE123" s="40"/>
      <c r="JF123" s="40"/>
      <c r="JG123" s="40"/>
      <c r="JH123" s="40"/>
      <c r="JI123" s="40"/>
      <c r="JJ123" s="40"/>
      <c r="JK123" s="40"/>
      <c r="JL123" s="40"/>
      <c r="JM123" s="40"/>
      <c r="JN123" s="40"/>
      <c r="JO123" s="40"/>
      <c r="JP123" s="40"/>
      <c r="JQ123" s="40"/>
      <c r="JR123" s="40"/>
      <c r="JS123" s="40"/>
      <c r="JT123" s="40"/>
      <c r="JU123" s="40"/>
      <c r="JV123" s="40"/>
      <c r="JW123" s="40"/>
      <c r="JX123" s="40"/>
      <c r="JY123" s="40"/>
      <c r="JZ123" s="40"/>
      <c r="KA123" s="40"/>
      <c r="KB123" s="40"/>
      <c r="KC123" s="40"/>
      <c r="KD123" s="40"/>
      <c r="KE123" s="40"/>
      <c r="KF123" s="40"/>
      <c r="KG123" s="40"/>
      <c r="KH123" s="40"/>
      <c r="KI123" s="40"/>
      <c r="KJ123" s="40"/>
      <c r="KK123" s="40"/>
      <c r="KL123" s="40"/>
      <c r="KM123" s="40"/>
      <c r="KN123" s="40"/>
      <c r="KO123" s="40"/>
      <c r="KP123" s="40"/>
      <c r="KQ123" s="40"/>
      <c r="KR123" s="40"/>
      <c r="KS123" s="40"/>
      <c r="KT123" s="40"/>
      <c r="KU123" s="40"/>
      <c r="KV123" s="40"/>
      <c r="KW123" s="40"/>
      <c r="KX123" s="40"/>
      <c r="KY123" s="40"/>
      <c r="KZ123" s="40"/>
      <c r="LA123" s="40"/>
      <c r="LB123" s="40"/>
      <c r="LC123" s="40"/>
      <c r="LD123" s="40"/>
      <c r="LE123" s="40"/>
      <c r="LF123" s="40"/>
      <c r="LG123" s="40"/>
      <c r="LH123" s="40"/>
      <c r="LI123" s="40"/>
      <c r="LJ123" s="40"/>
      <c r="LK123" s="40"/>
      <c r="LL123" s="40"/>
      <c r="LM123" s="40"/>
      <c r="LN123" s="40"/>
      <c r="LO123" s="40"/>
      <c r="LP123" s="40"/>
      <c r="LQ123" s="40"/>
      <c r="LR123" s="40"/>
      <c r="LS123" s="40"/>
      <c r="LT123" s="40"/>
      <c r="LU123" s="40"/>
      <c r="LV123" s="40"/>
      <c r="LW123" s="40"/>
      <c r="LX123" s="40"/>
      <c r="LY123" s="40"/>
      <c r="LZ123" s="40"/>
      <c r="MA123" s="40"/>
      <c r="MB123" s="40"/>
      <c r="MC123" s="40"/>
      <c r="MD123" s="40"/>
      <c r="ME123" s="40"/>
      <c r="MF123" s="40"/>
      <c r="MG123" s="40"/>
      <c r="MH123" s="40"/>
      <c r="MI123" s="40"/>
      <c r="MJ123" s="40"/>
      <c r="MK123" s="40"/>
      <c r="ML123" s="40"/>
      <c r="MM123" s="40"/>
      <c r="MN123" s="40"/>
      <c r="MO123" s="40"/>
      <c r="MP123" s="40"/>
      <c r="MQ123" s="40"/>
      <c r="MR123" s="40"/>
      <c r="MS123" s="40"/>
      <c r="MT123" s="40"/>
    </row>
    <row r="124" spans="1:358" x14ac:dyDescent="0.25">
      <c r="A124" s="9" t="s">
        <v>32</v>
      </c>
      <c r="B124" s="16">
        <v>5</v>
      </c>
      <c r="C124" s="35">
        <f>0.6123</f>
        <v>0.61229999999999996</v>
      </c>
      <c r="D124" s="36">
        <f>6/11</f>
        <v>0.54545454545454541</v>
      </c>
      <c r="E124" s="36">
        <f>27/33</f>
        <v>0.81818181818181823</v>
      </c>
      <c r="F124" s="38">
        <v>0.89300000000000002</v>
      </c>
      <c r="G124" s="38">
        <v>1.0449999999999999</v>
      </c>
      <c r="H124" s="35">
        <v>10</v>
      </c>
      <c r="I124" s="19">
        <f t="shared" si="1"/>
        <v>46.193104143337067</v>
      </c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  <c r="IN124" s="40"/>
      <c r="IO124" s="40"/>
      <c r="IP124" s="40"/>
      <c r="IQ124" s="40"/>
      <c r="IR124" s="40"/>
      <c r="IS124" s="40"/>
      <c r="IT124" s="40"/>
      <c r="IU124" s="40"/>
      <c r="IV124" s="40"/>
      <c r="IW124" s="40"/>
      <c r="IX124" s="40"/>
      <c r="IY124" s="40"/>
      <c r="IZ124" s="40"/>
      <c r="JA124" s="40"/>
      <c r="JB124" s="40"/>
      <c r="JC124" s="40"/>
      <c r="JD124" s="40"/>
      <c r="JE124" s="40"/>
      <c r="JF124" s="40"/>
      <c r="JG124" s="40"/>
      <c r="JH124" s="40"/>
      <c r="JI124" s="40"/>
      <c r="JJ124" s="40"/>
      <c r="JK124" s="40"/>
      <c r="JL124" s="40"/>
      <c r="JM124" s="40"/>
      <c r="JN124" s="40"/>
      <c r="JO124" s="40"/>
      <c r="JP124" s="40"/>
      <c r="JQ124" s="40"/>
      <c r="JR124" s="40"/>
      <c r="JS124" s="40"/>
      <c r="JT124" s="40"/>
      <c r="JU124" s="40"/>
      <c r="JV124" s="40"/>
      <c r="JW124" s="40"/>
      <c r="JX124" s="40"/>
      <c r="JY124" s="40"/>
      <c r="JZ124" s="40"/>
      <c r="KA124" s="40"/>
      <c r="KB124" s="40"/>
      <c r="KC124" s="40"/>
      <c r="KD124" s="40"/>
      <c r="KE124" s="40"/>
      <c r="KF124" s="40"/>
      <c r="KG124" s="40"/>
      <c r="KH124" s="40"/>
      <c r="KI124" s="40"/>
      <c r="KJ124" s="40"/>
      <c r="KK124" s="40"/>
      <c r="KL124" s="40"/>
      <c r="KM124" s="40"/>
      <c r="KN124" s="40"/>
      <c r="KO124" s="40"/>
      <c r="KP124" s="40"/>
      <c r="KQ124" s="40"/>
      <c r="KR124" s="40"/>
      <c r="KS124" s="40"/>
      <c r="KT124" s="40"/>
      <c r="KU124" s="40"/>
      <c r="KV124" s="40"/>
      <c r="KW124" s="40"/>
      <c r="KX124" s="40"/>
      <c r="KY124" s="40"/>
      <c r="KZ124" s="40"/>
      <c r="LA124" s="40"/>
      <c r="LB124" s="40"/>
      <c r="LC124" s="40"/>
      <c r="LD124" s="40"/>
      <c r="LE124" s="40"/>
      <c r="LF124" s="40"/>
      <c r="LG124" s="40"/>
      <c r="LH124" s="40"/>
      <c r="LI124" s="40"/>
      <c r="LJ124" s="40"/>
      <c r="LK124" s="40"/>
      <c r="LL124" s="40"/>
      <c r="LM124" s="40"/>
      <c r="LN124" s="40"/>
      <c r="LO124" s="40"/>
      <c r="LP124" s="40"/>
      <c r="LQ124" s="40"/>
      <c r="LR124" s="40"/>
      <c r="LS124" s="40"/>
      <c r="LT124" s="40"/>
      <c r="LU124" s="40"/>
      <c r="LV124" s="40"/>
      <c r="LW124" s="40"/>
      <c r="LX124" s="40"/>
      <c r="LY124" s="40"/>
      <c r="LZ124" s="40"/>
      <c r="MA124" s="40"/>
      <c r="MB124" s="40"/>
      <c r="MC124" s="40"/>
      <c r="MD124" s="40"/>
      <c r="ME124" s="40"/>
      <c r="MF124" s="40"/>
      <c r="MG124" s="40"/>
      <c r="MH124" s="40"/>
      <c r="MI124" s="40"/>
      <c r="MJ124" s="40"/>
      <c r="MK124" s="40"/>
      <c r="ML124" s="40"/>
      <c r="MM124" s="40"/>
      <c r="MN124" s="40"/>
      <c r="MO124" s="40"/>
      <c r="MP124" s="40"/>
      <c r="MQ124" s="40"/>
      <c r="MR124" s="40"/>
      <c r="MS124" s="40"/>
      <c r="MT124" s="40"/>
    </row>
    <row r="125" spans="1:358" x14ac:dyDescent="0.25">
      <c r="A125" s="9" t="s">
        <v>33</v>
      </c>
      <c r="B125" s="16">
        <v>6</v>
      </c>
      <c r="C125" s="35">
        <f>0.6079</f>
        <v>0.6079</v>
      </c>
      <c r="D125" s="36">
        <f>6/11</f>
        <v>0.54545454545454541</v>
      </c>
      <c r="E125" s="36">
        <f>25/34</f>
        <v>0.73529411764705888</v>
      </c>
      <c r="F125" s="35">
        <v>0.88800000000000001</v>
      </c>
      <c r="G125" s="38">
        <v>1.032</v>
      </c>
      <c r="H125" s="38">
        <v>9.6999999999999993</v>
      </c>
      <c r="I125" s="19">
        <f t="shared" si="1"/>
        <v>45.553192127956834</v>
      </c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  <c r="IN125" s="40"/>
      <c r="IO125" s="40"/>
      <c r="IP125" s="40"/>
      <c r="IQ125" s="40"/>
      <c r="IR125" s="40"/>
      <c r="IS125" s="40"/>
      <c r="IT125" s="40"/>
      <c r="IU125" s="40"/>
      <c r="IV125" s="40"/>
      <c r="IW125" s="40"/>
      <c r="IX125" s="40"/>
      <c r="IY125" s="40"/>
      <c r="IZ125" s="40"/>
      <c r="JA125" s="40"/>
      <c r="JB125" s="40"/>
      <c r="JC125" s="40"/>
      <c r="JD125" s="40"/>
      <c r="JE125" s="40"/>
      <c r="JF125" s="40"/>
      <c r="JG125" s="40"/>
      <c r="JH125" s="40"/>
      <c r="JI125" s="40"/>
      <c r="JJ125" s="40"/>
      <c r="JK125" s="40"/>
      <c r="JL125" s="40"/>
      <c r="JM125" s="40"/>
      <c r="JN125" s="40"/>
      <c r="JO125" s="40"/>
      <c r="JP125" s="40"/>
      <c r="JQ125" s="40"/>
      <c r="JR125" s="40"/>
      <c r="JS125" s="40"/>
      <c r="JT125" s="40"/>
      <c r="JU125" s="40"/>
      <c r="JV125" s="40"/>
      <c r="JW125" s="40"/>
      <c r="JX125" s="40"/>
      <c r="JY125" s="40"/>
      <c r="JZ125" s="40"/>
      <c r="KA125" s="40"/>
      <c r="KB125" s="40"/>
      <c r="KC125" s="40"/>
      <c r="KD125" s="40"/>
      <c r="KE125" s="40"/>
      <c r="KF125" s="40"/>
      <c r="KG125" s="40"/>
      <c r="KH125" s="40"/>
      <c r="KI125" s="40"/>
      <c r="KJ125" s="40"/>
      <c r="KK125" s="40"/>
      <c r="KL125" s="40"/>
      <c r="KM125" s="40"/>
      <c r="KN125" s="40"/>
      <c r="KO125" s="40"/>
      <c r="KP125" s="40"/>
      <c r="KQ125" s="40"/>
      <c r="KR125" s="40"/>
      <c r="KS125" s="40"/>
      <c r="KT125" s="40"/>
      <c r="KU125" s="40"/>
      <c r="KV125" s="40"/>
      <c r="KW125" s="40"/>
      <c r="KX125" s="40"/>
      <c r="KY125" s="40"/>
      <c r="KZ125" s="40"/>
      <c r="LA125" s="40"/>
      <c r="LB125" s="40"/>
      <c r="LC125" s="40"/>
      <c r="LD125" s="40"/>
      <c r="LE125" s="40"/>
      <c r="LF125" s="40"/>
      <c r="LG125" s="40"/>
      <c r="LH125" s="40"/>
      <c r="LI125" s="40"/>
      <c r="LJ125" s="40"/>
      <c r="LK125" s="40"/>
      <c r="LL125" s="40"/>
      <c r="LM125" s="40"/>
      <c r="LN125" s="40"/>
      <c r="LO125" s="40"/>
      <c r="LP125" s="40"/>
      <c r="LQ125" s="40"/>
      <c r="LR125" s="40"/>
      <c r="LS125" s="40"/>
      <c r="LT125" s="40"/>
      <c r="LU125" s="40"/>
      <c r="LV125" s="40"/>
      <c r="LW125" s="40"/>
      <c r="LX125" s="40"/>
      <c r="LY125" s="40"/>
      <c r="LZ125" s="40"/>
      <c r="MA125" s="40"/>
      <c r="MB125" s="40"/>
      <c r="MC125" s="40"/>
      <c r="MD125" s="40"/>
      <c r="ME125" s="40"/>
      <c r="MF125" s="40"/>
      <c r="MG125" s="40"/>
      <c r="MH125" s="40"/>
      <c r="MI125" s="40"/>
      <c r="MJ125" s="40"/>
      <c r="MK125" s="40"/>
      <c r="ML125" s="40"/>
      <c r="MM125" s="40"/>
      <c r="MN125" s="40"/>
      <c r="MO125" s="40"/>
      <c r="MP125" s="40"/>
      <c r="MQ125" s="40"/>
      <c r="MR125" s="40"/>
      <c r="MS125" s="40"/>
      <c r="MT125" s="40"/>
    </row>
    <row r="126" spans="1:358" x14ac:dyDescent="0.25">
      <c r="A126" s="9" t="s">
        <v>34</v>
      </c>
      <c r="B126" s="16">
        <v>6</v>
      </c>
      <c r="C126" s="35">
        <f>0.5987</f>
        <v>0.59870000000000001</v>
      </c>
      <c r="D126" s="36">
        <f>8/17</f>
        <v>0.47058823529411764</v>
      </c>
      <c r="E126" s="36">
        <f>22/33</f>
        <v>0.66666666666666663</v>
      </c>
      <c r="F126" s="38">
        <v>1.022</v>
      </c>
      <c r="G126" s="35">
        <v>1.117</v>
      </c>
      <c r="H126" s="38">
        <v>7.6</v>
      </c>
      <c r="I126" s="19">
        <f t="shared" si="1"/>
        <v>42.703465945282225</v>
      </c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  <c r="IN126" s="40"/>
      <c r="IO126" s="40"/>
      <c r="IP126" s="40"/>
      <c r="IQ126" s="40"/>
      <c r="IR126" s="40"/>
      <c r="IS126" s="40"/>
      <c r="IT126" s="40"/>
      <c r="IU126" s="40"/>
      <c r="IV126" s="40"/>
      <c r="IW126" s="40"/>
      <c r="IX126" s="40"/>
      <c r="IY126" s="40"/>
      <c r="IZ126" s="40"/>
      <c r="JA126" s="40"/>
      <c r="JB126" s="40"/>
      <c r="JC126" s="40"/>
      <c r="JD126" s="40"/>
      <c r="JE126" s="40"/>
      <c r="JF126" s="40"/>
      <c r="JG126" s="40"/>
      <c r="JH126" s="40"/>
      <c r="JI126" s="40"/>
      <c r="JJ126" s="40"/>
      <c r="JK126" s="40"/>
      <c r="JL126" s="40"/>
      <c r="JM126" s="40"/>
      <c r="JN126" s="40"/>
      <c r="JO126" s="40"/>
      <c r="JP126" s="40"/>
      <c r="JQ126" s="40"/>
      <c r="JR126" s="40"/>
      <c r="JS126" s="40"/>
      <c r="JT126" s="40"/>
      <c r="JU126" s="40"/>
      <c r="JV126" s="40"/>
      <c r="JW126" s="40"/>
      <c r="JX126" s="40"/>
      <c r="JY126" s="40"/>
      <c r="JZ126" s="40"/>
      <c r="KA126" s="40"/>
      <c r="KB126" s="40"/>
      <c r="KC126" s="40"/>
      <c r="KD126" s="40"/>
      <c r="KE126" s="40"/>
      <c r="KF126" s="40"/>
      <c r="KG126" s="40"/>
      <c r="KH126" s="40"/>
      <c r="KI126" s="40"/>
      <c r="KJ126" s="40"/>
      <c r="KK126" s="40"/>
      <c r="KL126" s="40"/>
      <c r="KM126" s="40"/>
      <c r="KN126" s="40"/>
      <c r="KO126" s="40"/>
      <c r="KP126" s="40"/>
      <c r="KQ126" s="40"/>
      <c r="KR126" s="40"/>
      <c r="KS126" s="40"/>
      <c r="KT126" s="40"/>
      <c r="KU126" s="40"/>
      <c r="KV126" s="40"/>
      <c r="KW126" s="40"/>
      <c r="KX126" s="40"/>
      <c r="KY126" s="40"/>
      <c r="KZ126" s="40"/>
      <c r="LA126" s="40"/>
      <c r="LB126" s="40"/>
      <c r="LC126" s="40"/>
      <c r="LD126" s="40"/>
      <c r="LE126" s="40"/>
      <c r="LF126" s="40"/>
      <c r="LG126" s="40"/>
      <c r="LH126" s="40"/>
      <c r="LI126" s="40"/>
      <c r="LJ126" s="40"/>
      <c r="LK126" s="40"/>
      <c r="LL126" s="40"/>
      <c r="LM126" s="40"/>
      <c r="LN126" s="40"/>
      <c r="LO126" s="40"/>
      <c r="LP126" s="40"/>
      <c r="LQ126" s="40"/>
      <c r="LR126" s="40"/>
      <c r="LS126" s="40"/>
      <c r="LT126" s="40"/>
      <c r="LU126" s="40"/>
      <c r="LV126" s="40"/>
      <c r="LW126" s="40"/>
      <c r="LX126" s="40"/>
      <c r="LY126" s="40"/>
      <c r="LZ126" s="40"/>
      <c r="MA126" s="40"/>
      <c r="MB126" s="40"/>
      <c r="MC126" s="40"/>
      <c r="MD126" s="40"/>
      <c r="ME126" s="40"/>
      <c r="MF126" s="40"/>
      <c r="MG126" s="40"/>
      <c r="MH126" s="40"/>
      <c r="MI126" s="40"/>
      <c r="MJ126" s="40"/>
      <c r="MK126" s="40"/>
      <c r="ML126" s="40"/>
      <c r="MM126" s="40"/>
      <c r="MN126" s="40"/>
      <c r="MO126" s="40"/>
      <c r="MP126" s="40"/>
      <c r="MQ126" s="40"/>
      <c r="MR126" s="40"/>
      <c r="MS126" s="40"/>
      <c r="MT126" s="40"/>
    </row>
    <row r="127" spans="1:358" x14ac:dyDescent="0.25">
      <c r="A127" s="9" t="s">
        <v>35</v>
      </c>
      <c r="B127" s="16">
        <v>6</v>
      </c>
      <c r="C127" s="35">
        <f>0.6116</f>
        <v>0.61160000000000003</v>
      </c>
      <c r="D127" s="36">
        <f>7/11</f>
        <v>0.63636363636363635</v>
      </c>
      <c r="E127" s="36">
        <f>24/32</f>
        <v>0.75</v>
      </c>
      <c r="F127" s="38">
        <v>0.96</v>
      </c>
      <c r="G127" s="35">
        <v>1.022</v>
      </c>
      <c r="H127" s="38">
        <v>4.5999999999999996</v>
      </c>
      <c r="I127" s="19">
        <f t="shared" si="1"/>
        <v>46.06360606060607</v>
      </c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  <c r="IN127" s="40"/>
      <c r="IO127" s="40"/>
      <c r="IP127" s="40"/>
      <c r="IQ127" s="40"/>
      <c r="IR127" s="40"/>
      <c r="IS127" s="40"/>
      <c r="IT127" s="40"/>
      <c r="IU127" s="40"/>
      <c r="IV127" s="40"/>
      <c r="IW127" s="40"/>
      <c r="IX127" s="40"/>
      <c r="IY127" s="40"/>
      <c r="IZ127" s="40"/>
      <c r="JA127" s="40"/>
      <c r="JB127" s="40"/>
      <c r="JC127" s="40"/>
      <c r="JD127" s="40"/>
      <c r="JE127" s="40"/>
      <c r="JF127" s="40"/>
      <c r="JG127" s="40"/>
      <c r="JH127" s="40"/>
      <c r="JI127" s="40"/>
      <c r="JJ127" s="40"/>
      <c r="JK127" s="40"/>
      <c r="JL127" s="40"/>
      <c r="JM127" s="40"/>
      <c r="JN127" s="40"/>
      <c r="JO127" s="40"/>
      <c r="JP127" s="40"/>
      <c r="JQ127" s="40"/>
      <c r="JR127" s="40"/>
      <c r="JS127" s="40"/>
      <c r="JT127" s="40"/>
      <c r="JU127" s="40"/>
      <c r="JV127" s="40"/>
      <c r="JW127" s="40"/>
      <c r="JX127" s="40"/>
      <c r="JY127" s="40"/>
      <c r="JZ127" s="40"/>
      <c r="KA127" s="40"/>
      <c r="KB127" s="40"/>
      <c r="KC127" s="40"/>
      <c r="KD127" s="40"/>
      <c r="KE127" s="40"/>
      <c r="KF127" s="40"/>
      <c r="KG127" s="40"/>
      <c r="KH127" s="40"/>
      <c r="KI127" s="40"/>
      <c r="KJ127" s="40"/>
      <c r="KK127" s="40"/>
      <c r="KL127" s="40"/>
      <c r="KM127" s="40"/>
      <c r="KN127" s="40"/>
      <c r="KO127" s="40"/>
      <c r="KP127" s="40"/>
      <c r="KQ127" s="40"/>
      <c r="KR127" s="40"/>
      <c r="KS127" s="40"/>
      <c r="KT127" s="40"/>
      <c r="KU127" s="40"/>
      <c r="KV127" s="40"/>
      <c r="KW127" s="40"/>
      <c r="KX127" s="40"/>
      <c r="KY127" s="40"/>
      <c r="KZ127" s="40"/>
      <c r="LA127" s="40"/>
      <c r="LB127" s="40"/>
      <c r="LC127" s="40"/>
      <c r="LD127" s="40"/>
      <c r="LE127" s="40"/>
      <c r="LF127" s="40"/>
      <c r="LG127" s="40"/>
      <c r="LH127" s="40"/>
      <c r="LI127" s="40"/>
      <c r="LJ127" s="40"/>
      <c r="LK127" s="40"/>
      <c r="LL127" s="40"/>
      <c r="LM127" s="40"/>
      <c r="LN127" s="40"/>
      <c r="LO127" s="40"/>
      <c r="LP127" s="40"/>
      <c r="LQ127" s="40"/>
      <c r="LR127" s="40"/>
      <c r="LS127" s="40"/>
      <c r="LT127" s="40"/>
      <c r="LU127" s="40"/>
      <c r="LV127" s="40"/>
      <c r="LW127" s="40"/>
      <c r="LX127" s="40"/>
      <c r="LY127" s="40"/>
      <c r="LZ127" s="40"/>
      <c r="MA127" s="40"/>
      <c r="MB127" s="40"/>
      <c r="MC127" s="40"/>
      <c r="MD127" s="40"/>
      <c r="ME127" s="40"/>
      <c r="MF127" s="40"/>
      <c r="MG127" s="40"/>
      <c r="MH127" s="40"/>
      <c r="MI127" s="40"/>
      <c r="MJ127" s="40"/>
      <c r="MK127" s="40"/>
      <c r="ML127" s="40"/>
      <c r="MM127" s="40"/>
      <c r="MN127" s="40"/>
      <c r="MO127" s="40"/>
      <c r="MP127" s="40"/>
      <c r="MQ127" s="40"/>
      <c r="MR127" s="40"/>
      <c r="MS127" s="40"/>
      <c r="MT127" s="40"/>
    </row>
    <row r="128" spans="1:358" x14ac:dyDescent="0.25">
      <c r="A128" s="9" t="s">
        <v>36</v>
      </c>
      <c r="B128" s="16">
        <v>6</v>
      </c>
      <c r="C128" s="35">
        <f>0.6061</f>
        <v>0.60609999999999997</v>
      </c>
      <c r="D128" s="36">
        <f>5/10</f>
        <v>0.5</v>
      </c>
      <c r="E128" s="36">
        <f>23/32</f>
        <v>0.71875</v>
      </c>
      <c r="F128" s="38">
        <v>0.96599999999999997</v>
      </c>
      <c r="G128" s="38">
        <v>1.06</v>
      </c>
      <c r="H128" s="38">
        <v>6.8</v>
      </c>
      <c r="I128" s="19">
        <f t="shared" si="1"/>
        <v>43.612733436853006</v>
      </c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  <c r="IN128" s="40"/>
      <c r="IO128" s="40"/>
      <c r="IP128" s="40"/>
      <c r="IQ128" s="40"/>
      <c r="IR128" s="40"/>
      <c r="IS128" s="40"/>
      <c r="IT128" s="40"/>
      <c r="IU128" s="40"/>
      <c r="IV128" s="40"/>
      <c r="IW128" s="40"/>
      <c r="IX128" s="40"/>
      <c r="IY128" s="40"/>
      <c r="IZ128" s="40"/>
      <c r="JA128" s="40"/>
      <c r="JB128" s="40"/>
      <c r="JC128" s="40"/>
      <c r="JD128" s="40"/>
      <c r="JE128" s="40"/>
      <c r="JF128" s="40"/>
      <c r="JG128" s="40"/>
      <c r="JH128" s="40"/>
      <c r="JI128" s="40"/>
      <c r="JJ128" s="40"/>
      <c r="JK128" s="40"/>
      <c r="JL128" s="40"/>
      <c r="JM128" s="40"/>
      <c r="JN128" s="40"/>
      <c r="JO128" s="40"/>
      <c r="JP128" s="40"/>
      <c r="JQ128" s="40"/>
      <c r="JR128" s="40"/>
      <c r="JS128" s="40"/>
      <c r="JT128" s="40"/>
      <c r="JU128" s="40"/>
      <c r="JV128" s="40"/>
      <c r="JW128" s="40"/>
      <c r="JX128" s="40"/>
      <c r="JY128" s="40"/>
      <c r="JZ128" s="40"/>
      <c r="KA128" s="40"/>
      <c r="KB128" s="40"/>
      <c r="KC128" s="40"/>
      <c r="KD128" s="40"/>
      <c r="KE128" s="40"/>
      <c r="KF128" s="40"/>
      <c r="KG128" s="40"/>
      <c r="KH128" s="40"/>
      <c r="KI128" s="40"/>
      <c r="KJ128" s="40"/>
      <c r="KK128" s="40"/>
      <c r="KL128" s="40"/>
      <c r="KM128" s="40"/>
      <c r="KN128" s="40"/>
      <c r="KO128" s="40"/>
      <c r="KP128" s="40"/>
      <c r="KQ128" s="40"/>
      <c r="KR128" s="40"/>
      <c r="KS128" s="40"/>
      <c r="KT128" s="40"/>
      <c r="KU128" s="40"/>
      <c r="KV128" s="40"/>
      <c r="KW128" s="40"/>
      <c r="KX128" s="40"/>
      <c r="KY128" s="40"/>
      <c r="KZ128" s="40"/>
      <c r="LA128" s="40"/>
      <c r="LB128" s="40"/>
      <c r="LC128" s="40"/>
      <c r="LD128" s="40"/>
      <c r="LE128" s="40"/>
      <c r="LF128" s="40"/>
      <c r="LG128" s="40"/>
      <c r="LH128" s="40"/>
      <c r="LI128" s="40"/>
      <c r="LJ128" s="40"/>
      <c r="LK128" s="40"/>
      <c r="LL128" s="40"/>
      <c r="LM128" s="40"/>
      <c r="LN128" s="40"/>
      <c r="LO128" s="40"/>
      <c r="LP128" s="40"/>
      <c r="LQ128" s="40"/>
      <c r="LR128" s="40"/>
      <c r="LS128" s="40"/>
      <c r="LT128" s="40"/>
      <c r="LU128" s="40"/>
      <c r="LV128" s="40"/>
      <c r="LW128" s="40"/>
      <c r="LX128" s="40"/>
      <c r="LY128" s="40"/>
      <c r="LZ128" s="40"/>
      <c r="MA128" s="40"/>
      <c r="MB128" s="40"/>
      <c r="MC128" s="40"/>
      <c r="MD128" s="40"/>
      <c r="ME128" s="40"/>
      <c r="MF128" s="40"/>
      <c r="MG128" s="40"/>
      <c r="MH128" s="40"/>
      <c r="MI128" s="40"/>
      <c r="MJ128" s="40"/>
      <c r="MK128" s="40"/>
      <c r="ML128" s="40"/>
      <c r="MM128" s="40"/>
      <c r="MN128" s="40"/>
      <c r="MO128" s="40"/>
      <c r="MP128" s="40"/>
      <c r="MQ128" s="40"/>
      <c r="MR128" s="40"/>
      <c r="MS128" s="40"/>
      <c r="MT128" s="40"/>
    </row>
    <row r="129" spans="1:358" x14ac:dyDescent="0.25">
      <c r="A129" s="9" t="s">
        <v>37</v>
      </c>
      <c r="B129" s="16">
        <v>7</v>
      </c>
      <c r="C129" s="35">
        <v>0.61870000000000003</v>
      </c>
      <c r="D129" s="36">
        <f>10/12</f>
        <v>0.83333333333333337</v>
      </c>
      <c r="E129" s="36">
        <f>27/36</f>
        <v>0.75</v>
      </c>
      <c r="F129" s="35">
        <v>0.97299999999999998</v>
      </c>
      <c r="G129" s="35">
        <v>1.089</v>
      </c>
      <c r="H129" s="35">
        <f>74-66.1</f>
        <v>7.9000000000000057</v>
      </c>
      <c r="I129" s="19">
        <f t="shared" si="1"/>
        <v>51.141412812607051</v>
      </c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  <c r="IN129" s="40"/>
      <c r="IO129" s="40"/>
      <c r="IP129" s="40"/>
      <c r="IQ129" s="40"/>
      <c r="IR129" s="40"/>
      <c r="IS129" s="40"/>
      <c r="IT129" s="40"/>
      <c r="IU129" s="40"/>
      <c r="IV129" s="40"/>
      <c r="IW129" s="40"/>
      <c r="IX129" s="40"/>
      <c r="IY129" s="40"/>
      <c r="IZ129" s="40"/>
      <c r="JA129" s="40"/>
      <c r="JB129" s="40"/>
      <c r="JC129" s="40"/>
      <c r="JD129" s="40"/>
      <c r="JE129" s="40"/>
      <c r="JF129" s="40"/>
      <c r="JG129" s="40"/>
      <c r="JH129" s="40"/>
      <c r="JI129" s="40"/>
      <c r="JJ129" s="40"/>
      <c r="JK129" s="40"/>
      <c r="JL129" s="40"/>
      <c r="JM129" s="40"/>
      <c r="JN129" s="40"/>
      <c r="JO129" s="40"/>
      <c r="JP129" s="40"/>
      <c r="JQ129" s="40"/>
      <c r="JR129" s="40"/>
      <c r="JS129" s="40"/>
      <c r="JT129" s="40"/>
      <c r="JU129" s="40"/>
      <c r="JV129" s="40"/>
      <c r="JW129" s="40"/>
      <c r="JX129" s="40"/>
      <c r="JY129" s="40"/>
      <c r="JZ129" s="40"/>
      <c r="KA129" s="40"/>
      <c r="KB129" s="40"/>
      <c r="KC129" s="40"/>
      <c r="KD129" s="40"/>
      <c r="KE129" s="40"/>
      <c r="KF129" s="40"/>
      <c r="KG129" s="40"/>
      <c r="KH129" s="40"/>
      <c r="KI129" s="40"/>
      <c r="KJ129" s="40"/>
      <c r="KK129" s="40"/>
      <c r="KL129" s="40"/>
      <c r="KM129" s="40"/>
      <c r="KN129" s="40"/>
      <c r="KO129" s="40"/>
      <c r="KP129" s="40"/>
      <c r="KQ129" s="40"/>
      <c r="KR129" s="40"/>
      <c r="KS129" s="40"/>
      <c r="KT129" s="40"/>
      <c r="KU129" s="40"/>
      <c r="KV129" s="40"/>
      <c r="KW129" s="40"/>
      <c r="KX129" s="40"/>
      <c r="KY129" s="40"/>
      <c r="KZ129" s="40"/>
      <c r="LA129" s="40"/>
      <c r="LB129" s="40"/>
      <c r="LC129" s="40"/>
      <c r="LD129" s="40"/>
      <c r="LE129" s="40"/>
      <c r="LF129" s="40"/>
      <c r="LG129" s="40"/>
      <c r="LH129" s="40"/>
      <c r="LI129" s="40"/>
      <c r="LJ129" s="40"/>
      <c r="LK129" s="40"/>
      <c r="LL129" s="40"/>
      <c r="LM129" s="40"/>
      <c r="LN129" s="40"/>
      <c r="LO129" s="40"/>
      <c r="LP129" s="40"/>
      <c r="LQ129" s="40"/>
      <c r="LR129" s="40"/>
      <c r="LS129" s="40"/>
      <c r="LT129" s="40"/>
      <c r="LU129" s="40"/>
      <c r="LV129" s="40"/>
      <c r="LW129" s="40"/>
      <c r="LX129" s="40"/>
      <c r="LY129" s="40"/>
      <c r="LZ129" s="40"/>
      <c r="MA129" s="40"/>
      <c r="MB129" s="40"/>
      <c r="MC129" s="40"/>
      <c r="MD129" s="40"/>
      <c r="ME129" s="40"/>
      <c r="MF129" s="40"/>
      <c r="MG129" s="40"/>
      <c r="MH129" s="40"/>
      <c r="MI129" s="40"/>
      <c r="MJ129" s="40"/>
      <c r="MK129" s="40"/>
      <c r="ML129" s="40"/>
      <c r="MM129" s="40"/>
      <c r="MN129" s="40"/>
      <c r="MO129" s="40"/>
      <c r="MP129" s="40"/>
      <c r="MQ129" s="40"/>
      <c r="MR129" s="40"/>
      <c r="MS129" s="40"/>
      <c r="MT129" s="40"/>
    </row>
    <row r="130" spans="1:358" x14ac:dyDescent="0.25">
      <c r="A130" s="9" t="s">
        <v>38</v>
      </c>
      <c r="B130" s="16">
        <v>7</v>
      </c>
      <c r="C130" s="35">
        <v>0.60399999999999998</v>
      </c>
      <c r="D130" s="36">
        <f>23/32</f>
        <v>0.71875</v>
      </c>
      <c r="E130" s="36">
        <f>4/10</f>
        <v>0.4</v>
      </c>
      <c r="F130" s="35">
        <v>1.016</v>
      </c>
      <c r="G130" s="35">
        <v>1.121</v>
      </c>
      <c r="H130" s="35">
        <f>81.9-74.1</f>
        <v>7.8000000000000114</v>
      </c>
      <c r="I130" s="19">
        <f t="shared" si="1"/>
        <v>46.5812598425197</v>
      </c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  <c r="IN130" s="40"/>
      <c r="IO130" s="40"/>
      <c r="IP130" s="40"/>
      <c r="IQ130" s="40"/>
      <c r="IR130" s="40"/>
      <c r="IS130" s="40"/>
      <c r="IT130" s="40"/>
      <c r="IU130" s="40"/>
      <c r="IV130" s="40"/>
      <c r="IW130" s="40"/>
      <c r="IX130" s="40"/>
      <c r="IY130" s="40"/>
      <c r="IZ130" s="40"/>
      <c r="JA130" s="40"/>
      <c r="JB130" s="40"/>
      <c r="JC130" s="40"/>
      <c r="JD130" s="40"/>
      <c r="JE130" s="40"/>
      <c r="JF130" s="40"/>
      <c r="JG130" s="40"/>
      <c r="JH130" s="40"/>
      <c r="JI130" s="40"/>
      <c r="JJ130" s="40"/>
      <c r="JK130" s="40"/>
      <c r="JL130" s="40"/>
      <c r="JM130" s="40"/>
      <c r="JN130" s="40"/>
      <c r="JO130" s="40"/>
      <c r="JP130" s="40"/>
      <c r="JQ130" s="40"/>
      <c r="JR130" s="40"/>
      <c r="JS130" s="40"/>
      <c r="JT130" s="40"/>
      <c r="JU130" s="40"/>
      <c r="JV130" s="40"/>
      <c r="JW130" s="40"/>
      <c r="JX130" s="40"/>
      <c r="JY130" s="40"/>
      <c r="JZ130" s="40"/>
      <c r="KA130" s="40"/>
      <c r="KB130" s="40"/>
      <c r="KC130" s="40"/>
      <c r="KD130" s="40"/>
      <c r="KE130" s="40"/>
      <c r="KF130" s="40"/>
      <c r="KG130" s="40"/>
      <c r="KH130" s="40"/>
      <c r="KI130" s="40"/>
      <c r="KJ130" s="40"/>
      <c r="KK130" s="40"/>
      <c r="KL130" s="40"/>
      <c r="KM130" s="40"/>
      <c r="KN130" s="40"/>
      <c r="KO130" s="40"/>
      <c r="KP130" s="40"/>
      <c r="KQ130" s="40"/>
      <c r="KR130" s="40"/>
      <c r="KS130" s="40"/>
      <c r="KT130" s="40"/>
      <c r="KU130" s="40"/>
      <c r="KV130" s="40"/>
      <c r="KW130" s="40"/>
      <c r="KX130" s="40"/>
      <c r="KY130" s="40"/>
      <c r="KZ130" s="40"/>
      <c r="LA130" s="40"/>
      <c r="LB130" s="40"/>
      <c r="LC130" s="40"/>
      <c r="LD130" s="40"/>
      <c r="LE130" s="40"/>
      <c r="LF130" s="40"/>
      <c r="LG130" s="40"/>
      <c r="LH130" s="40"/>
      <c r="LI130" s="40"/>
      <c r="LJ130" s="40"/>
      <c r="LK130" s="40"/>
      <c r="LL130" s="40"/>
      <c r="LM130" s="40"/>
      <c r="LN130" s="40"/>
      <c r="LO130" s="40"/>
      <c r="LP130" s="40"/>
      <c r="LQ130" s="40"/>
      <c r="LR130" s="40"/>
      <c r="LS130" s="40"/>
      <c r="LT130" s="40"/>
      <c r="LU130" s="40"/>
      <c r="LV130" s="40"/>
      <c r="LW130" s="40"/>
      <c r="LX130" s="40"/>
      <c r="LY130" s="40"/>
      <c r="LZ130" s="40"/>
      <c r="MA130" s="40"/>
      <c r="MB130" s="40"/>
      <c r="MC130" s="40"/>
      <c r="MD130" s="40"/>
      <c r="ME130" s="40"/>
      <c r="MF130" s="40"/>
      <c r="MG130" s="40"/>
      <c r="MH130" s="40"/>
      <c r="MI130" s="40"/>
      <c r="MJ130" s="40"/>
      <c r="MK130" s="40"/>
      <c r="ML130" s="40"/>
      <c r="MM130" s="40"/>
      <c r="MN130" s="40"/>
      <c r="MO130" s="40"/>
      <c r="MP130" s="40"/>
      <c r="MQ130" s="40"/>
      <c r="MR130" s="40"/>
      <c r="MS130" s="40"/>
      <c r="MT130" s="40"/>
    </row>
    <row r="131" spans="1:358" x14ac:dyDescent="0.25">
      <c r="A131" s="9" t="s">
        <v>39</v>
      </c>
      <c r="B131" s="16">
        <v>7</v>
      </c>
      <c r="C131" s="35">
        <v>0.59179999999999999</v>
      </c>
      <c r="D131" s="36">
        <f>23/33</f>
        <v>0.69696969696969702</v>
      </c>
      <c r="E131" s="36">
        <f>6/14</f>
        <v>0.42857142857142855</v>
      </c>
      <c r="F131" s="35">
        <v>0.995</v>
      </c>
      <c r="G131" s="35">
        <v>1.044</v>
      </c>
      <c r="H131" s="35">
        <f>74.2-70.7</f>
        <v>3.5</v>
      </c>
      <c r="I131" s="19">
        <f t="shared" si="1"/>
        <v>44.781376710391797</v>
      </c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  <c r="IN131" s="40"/>
      <c r="IO131" s="40"/>
      <c r="IP131" s="40"/>
      <c r="IQ131" s="40"/>
      <c r="IR131" s="40"/>
      <c r="IS131" s="40"/>
      <c r="IT131" s="40"/>
      <c r="IU131" s="40"/>
      <c r="IV131" s="40"/>
      <c r="IW131" s="40"/>
      <c r="IX131" s="40"/>
      <c r="IY131" s="40"/>
      <c r="IZ131" s="40"/>
      <c r="JA131" s="40"/>
      <c r="JB131" s="40"/>
      <c r="JC131" s="40"/>
      <c r="JD131" s="40"/>
      <c r="JE131" s="40"/>
      <c r="JF131" s="40"/>
      <c r="JG131" s="40"/>
      <c r="JH131" s="40"/>
      <c r="JI131" s="40"/>
      <c r="JJ131" s="40"/>
      <c r="JK131" s="40"/>
      <c r="JL131" s="40"/>
      <c r="JM131" s="40"/>
      <c r="JN131" s="40"/>
      <c r="JO131" s="40"/>
      <c r="JP131" s="40"/>
      <c r="JQ131" s="40"/>
      <c r="JR131" s="40"/>
      <c r="JS131" s="40"/>
      <c r="JT131" s="40"/>
      <c r="JU131" s="40"/>
      <c r="JV131" s="40"/>
      <c r="JW131" s="40"/>
      <c r="JX131" s="40"/>
      <c r="JY131" s="40"/>
      <c r="JZ131" s="40"/>
      <c r="KA131" s="40"/>
      <c r="KB131" s="40"/>
      <c r="KC131" s="40"/>
      <c r="KD131" s="40"/>
      <c r="KE131" s="40"/>
      <c r="KF131" s="40"/>
      <c r="KG131" s="40"/>
      <c r="KH131" s="40"/>
      <c r="KI131" s="40"/>
      <c r="KJ131" s="40"/>
      <c r="KK131" s="40"/>
      <c r="KL131" s="40"/>
      <c r="KM131" s="40"/>
      <c r="KN131" s="40"/>
      <c r="KO131" s="40"/>
      <c r="KP131" s="40"/>
      <c r="KQ131" s="40"/>
      <c r="KR131" s="40"/>
      <c r="KS131" s="40"/>
      <c r="KT131" s="40"/>
      <c r="KU131" s="40"/>
      <c r="KV131" s="40"/>
      <c r="KW131" s="40"/>
      <c r="KX131" s="40"/>
      <c r="KY131" s="40"/>
      <c r="KZ131" s="40"/>
      <c r="LA131" s="40"/>
      <c r="LB131" s="40"/>
      <c r="LC131" s="40"/>
      <c r="LD131" s="40"/>
      <c r="LE131" s="40"/>
      <c r="LF131" s="40"/>
      <c r="LG131" s="40"/>
      <c r="LH131" s="40"/>
      <c r="LI131" s="40"/>
      <c r="LJ131" s="40"/>
      <c r="LK131" s="40"/>
      <c r="LL131" s="40"/>
      <c r="LM131" s="40"/>
      <c r="LN131" s="40"/>
      <c r="LO131" s="40"/>
      <c r="LP131" s="40"/>
      <c r="LQ131" s="40"/>
      <c r="LR131" s="40"/>
      <c r="LS131" s="40"/>
      <c r="LT131" s="40"/>
      <c r="LU131" s="40"/>
      <c r="LV131" s="40"/>
      <c r="LW131" s="40"/>
      <c r="LX131" s="40"/>
      <c r="LY131" s="40"/>
      <c r="LZ131" s="40"/>
      <c r="MA131" s="40"/>
      <c r="MB131" s="40"/>
      <c r="MC131" s="40"/>
      <c r="MD131" s="40"/>
      <c r="ME131" s="40"/>
      <c r="MF131" s="40"/>
      <c r="MG131" s="40"/>
      <c r="MH131" s="40"/>
      <c r="MI131" s="40"/>
      <c r="MJ131" s="40"/>
      <c r="MK131" s="40"/>
      <c r="ML131" s="40"/>
      <c r="MM131" s="40"/>
      <c r="MN131" s="40"/>
      <c r="MO131" s="40"/>
      <c r="MP131" s="40"/>
      <c r="MQ131" s="40"/>
      <c r="MR131" s="40"/>
      <c r="MS131" s="40"/>
      <c r="MT131" s="40"/>
    </row>
    <row r="132" spans="1:358" x14ac:dyDescent="0.25">
      <c r="A132" s="9" t="s">
        <v>40</v>
      </c>
      <c r="B132" s="16">
        <v>7</v>
      </c>
      <c r="C132" s="38">
        <v>0.60870000000000002</v>
      </c>
      <c r="D132" s="36">
        <f>26/34</f>
        <v>0.76470588235294112</v>
      </c>
      <c r="E132" s="36">
        <f>7/12</f>
        <v>0.58333333333333337</v>
      </c>
      <c r="F132" s="38">
        <v>0.93100000000000005</v>
      </c>
      <c r="G132" s="38">
        <v>1.06</v>
      </c>
      <c r="H132" s="35">
        <f>72.5-63.7</f>
        <v>8.7999999999999972</v>
      </c>
      <c r="I132" s="19">
        <f t="shared" si="1"/>
        <v>48.902353594069204</v>
      </c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4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4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40"/>
      <c r="MR132" s="40"/>
      <c r="MS132" s="40"/>
      <c r="MT132" s="40"/>
    </row>
    <row r="133" spans="1:358" x14ac:dyDescent="0.25">
      <c r="A133" s="9" t="s">
        <v>41</v>
      </c>
      <c r="B133" s="16">
        <v>8</v>
      </c>
      <c r="C133" s="38">
        <v>0.59640000000000004</v>
      </c>
      <c r="D133" s="36">
        <f>23/34</f>
        <v>0.67647058823529416</v>
      </c>
      <c r="E133" s="36">
        <f>5/13</f>
        <v>0.38461538461538464</v>
      </c>
      <c r="F133" s="38">
        <v>0.99199999999999999</v>
      </c>
      <c r="G133" s="38">
        <v>1.0209999999999999</v>
      </c>
      <c r="H133" s="35">
        <f>70.2-68.2</f>
        <v>2</v>
      </c>
      <c r="I133" s="19">
        <f t="shared" si="1"/>
        <v>43.889811268427962</v>
      </c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  <c r="IN133" s="40"/>
      <c r="IO133" s="40"/>
      <c r="IP133" s="40"/>
      <c r="IQ133" s="40"/>
      <c r="IR133" s="40"/>
      <c r="IS133" s="40"/>
      <c r="IT133" s="40"/>
      <c r="IU133" s="40"/>
      <c r="IV133" s="40"/>
      <c r="IW133" s="40"/>
      <c r="IX133" s="40"/>
      <c r="IY133" s="40"/>
      <c r="IZ133" s="40"/>
      <c r="JA133" s="40"/>
      <c r="JB133" s="40"/>
      <c r="JC133" s="40"/>
      <c r="JD133" s="40"/>
      <c r="JE133" s="40"/>
      <c r="JF133" s="40"/>
      <c r="JG133" s="40"/>
      <c r="JH133" s="40"/>
      <c r="JI133" s="40"/>
      <c r="JJ133" s="40"/>
      <c r="JK133" s="40"/>
      <c r="JL133" s="40"/>
      <c r="JM133" s="40"/>
      <c r="JN133" s="40"/>
      <c r="JO133" s="40"/>
      <c r="JP133" s="40"/>
      <c r="JQ133" s="40"/>
      <c r="JR133" s="40"/>
      <c r="JS133" s="40"/>
      <c r="JT133" s="40"/>
      <c r="JU133" s="40"/>
      <c r="JV133" s="40"/>
      <c r="JW133" s="40"/>
      <c r="JX133" s="40"/>
      <c r="JY133" s="40"/>
      <c r="JZ133" s="40"/>
      <c r="KA133" s="40"/>
      <c r="KB133" s="40"/>
      <c r="KC133" s="40"/>
      <c r="KD133" s="40"/>
      <c r="KE133" s="40"/>
      <c r="KF133" s="40"/>
      <c r="KG133" s="40"/>
      <c r="KH133" s="40"/>
      <c r="KI133" s="40"/>
      <c r="KJ133" s="40"/>
      <c r="KK133" s="40"/>
      <c r="KL133" s="40"/>
      <c r="KM133" s="40"/>
      <c r="KN133" s="40"/>
      <c r="KO133" s="40"/>
      <c r="KP133" s="40"/>
      <c r="KQ133" s="40"/>
      <c r="KR133" s="40"/>
      <c r="KS133" s="40"/>
      <c r="KT133" s="40"/>
      <c r="KU133" s="40"/>
      <c r="KV133" s="40"/>
      <c r="KW133" s="40"/>
      <c r="KX133" s="40"/>
      <c r="KY133" s="40"/>
      <c r="KZ133" s="40"/>
      <c r="LA133" s="40"/>
      <c r="LB133" s="40"/>
      <c r="LC133" s="40"/>
      <c r="LD133" s="40"/>
      <c r="LE133" s="40"/>
      <c r="LF133" s="40"/>
      <c r="LG133" s="40"/>
      <c r="LH133" s="40"/>
      <c r="LI133" s="40"/>
      <c r="LJ133" s="40"/>
      <c r="LK133" s="40"/>
      <c r="LL133" s="40"/>
      <c r="LM133" s="40"/>
      <c r="LN133" s="40"/>
      <c r="LO133" s="40"/>
      <c r="LP133" s="40"/>
      <c r="LQ133" s="40"/>
      <c r="LR133" s="40"/>
      <c r="LS133" s="40"/>
      <c r="LT133" s="40"/>
      <c r="LU133" s="40"/>
      <c r="LV133" s="40"/>
      <c r="LW133" s="40"/>
      <c r="LX133" s="40"/>
      <c r="LY133" s="40"/>
      <c r="LZ133" s="40"/>
      <c r="MA133" s="40"/>
      <c r="MB133" s="40"/>
      <c r="MC133" s="40"/>
      <c r="MD133" s="40"/>
      <c r="ME133" s="40"/>
      <c r="MF133" s="40"/>
      <c r="MG133" s="40"/>
      <c r="MH133" s="40"/>
      <c r="MI133" s="40"/>
      <c r="MJ133" s="40"/>
      <c r="MK133" s="40"/>
      <c r="ML133" s="40"/>
      <c r="MM133" s="40"/>
      <c r="MN133" s="40"/>
      <c r="MO133" s="40"/>
      <c r="MP133" s="40"/>
      <c r="MQ133" s="40"/>
      <c r="MR133" s="40"/>
      <c r="MS133" s="40"/>
      <c r="MT133" s="40"/>
    </row>
    <row r="134" spans="1:358" x14ac:dyDescent="0.25">
      <c r="A134" s="9" t="s">
        <v>42</v>
      </c>
      <c r="B134" s="16">
        <v>8</v>
      </c>
      <c r="C134" s="38">
        <v>0.61140000000000005</v>
      </c>
      <c r="D134" s="36">
        <f>27/33</f>
        <v>0.81818181818181823</v>
      </c>
      <c r="E134" s="36">
        <f>10/14</f>
        <v>0.7142857142857143</v>
      </c>
      <c r="F134" s="38">
        <v>0.95499999999999996</v>
      </c>
      <c r="G134" s="38">
        <v>1.1040000000000001</v>
      </c>
      <c r="H134" s="35">
        <f>76.7-65.9</f>
        <v>10.799999999999997</v>
      </c>
      <c r="I134" s="19">
        <f t="shared" si="1"/>
        <v>51.192667029305774</v>
      </c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  <c r="IN134" s="40"/>
      <c r="IO134" s="40"/>
      <c r="IP134" s="40"/>
      <c r="IQ134" s="40"/>
      <c r="IR134" s="40"/>
      <c r="IS134" s="40"/>
      <c r="IT134" s="40"/>
      <c r="IU134" s="40"/>
      <c r="IV134" s="40"/>
      <c r="IW134" s="40"/>
      <c r="IX134" s="40"/>
      <c r="IY134" s="40"/>
      <c r="IZ134" s="40"/>
      <c r="JA134" s="40"/>
      <c r="JB134" s="40"/>
      <c r="JC134" s="40"/>
      <c r="JD134" s="40"/>
      <c r="JE134" s="40"/>
      <c r="JF134" s="40"/>
      <c r="JG134" s="40"/>
      <c r="JH134" s="40"/>
      <c r="JI134" s="40"/>
      <c r="JJ134" s="40"/>
      <c r="JK134" s="40"/>
      <c r="JL134" s="40"/>
      <c r="JM134" s="40"/>
      <c r="JN134" s="40"/>
      <c r="JO134" s="40"/>
      <c r="JP134" s="40"/>
      <c r="JQ134" s="40"/>
      <c r="JR134" s="40"/>
      <c r="JS134" s="40"/>
      <c r="JT134" s="40"/>
      <c r="JU134" s="40"/>
      <c r="JV134" s="40"/>
      <c r="JW134" s="40"/>
      <c r="JX134" s="40"/>
      <c r="JY134" s="40"/>
      <c r="JZ134" s="40"/>
      <c r="KA134" s="40"/>
      <c r="KB134" s="40"/>
      <c r="KC134" s="40"/>
      <c r="KD134" s="40"/>
      <c r="KE134" s="40"/>
      <c r="KF134" s="40"/>
      <c r="KG134" s="40"/>
      <c r="KH134" s="40"/>
      <c r="KI134" s="40"/>
      <c r="KJ134" s="40"/>
      <c r="KK134" s="40"/>
      <c r="KL134" s="40"/>
      <c r="KM134" s="40"/>
      <c r="KN134" s="40"/>
      <c r="KO134" s="40"/>
      <c r="KP134" s="40"/>
      <c r="KQ134" s="40"/>
      <c r="KR134" s="40"/>
      <c r="KS134" s="40"/>
      <c r="KT134" s="40"/>
      <c r="KU134" s="40"/>
      <c r="KV134" s="40"/>
      <c r="KW134" s="40"/>
      <c r="KX134" s="40"/>
      <c r="KY134" s="40"/>
      <c r="KZ134" s="40"/>
      <c r="LA134" s="40"/>
      <c r="LB134" s="40"/>
      <c r="LC134" s="40"/>
      <c r="LD134" s="40"/>
      <c r="LE134" s="40"/>
      <c r="LF134" s="40"/>
      <c r="LG134" s="40"/>
      <c r="LH134" s="40"/>
      <c r="LI134" s="40"/>
      <c r="LJ134" s="40"/>
      <c r="LK134" s="40"/>
      <c r="LL134" s="40"/>
      <c r="LM134" s="40"/>
      <c r="LN134" s="40"/>
      <c r="LO134" s="40"/>
      <c r="LP134" s="40"/>
      <c r="LQ134" s="40"/>
      <c r="LR134" s="40"/>
      <c r="LS134" s="40"/>
      <c r="LT134" s="40"/>
      <c r="LU134" s="40"/>
      <c r="LV134" s="40"/>
      <c r="LW134" s="40"/>
      <c r="LX134" s="40"/>
      <c r="LY134" s="40"/>
      <c r="LZ134" s="40"/>
      <c r="MA134" s="40"/>
      <c r="MB134" s="40"/>
      <c r="MC134" s="40"/>
      <c r="MD134" s="40"/>
      <c r="ME134" s="40"/>
      <c r="MF134" s="40"/>
      <c r="MG134" s="40"/>
      <c r="MH134" s="40"/>
      <c r="MI134" s="40"/>
      <c r="MJ134" s="40"/>
      <c r="MK134" s="40"/>
      <c r="ML134" s="40"/>
      <c r="MM134" s="40"/>
      <c r="MN134" s="40"/>
      <c r="MO134" s="40"/>
      <c r="MP134" s="40"/>
      <c r="MQ134" s="40"/>
      <c r="MR134" s="40"/>
      <c r="MS134" s="40"/>
      <c r="MT134" s="40"/>
    </row>
    <row r="135" spans="1:358" x14ac:dyDescent="0.25">
      <c r="A135" s="9" t="s">
        <v>43</v>
      </c>
      <c r="B135" s="16">
        <v>8</v>
      </c>
      <c r="C135" s="38">
        <v>0.61729999999999996</v>
      </c>
      <c r="D135" s="36">
        <f>24/34</f>
        <v>0.70588235294117652</v>
      </c>
      <c r="E135" s="36">
        <f>4/10</f>
        <v>0.4</v>
      </c>
      <c r="F135" s="38">
        <v>0.96299999999999997</v>
      </c>
      <c r="G135" s="38">
        <v>1.0940000000000001</v>
      </c>
      <c r="H135" s="35">
        <f>75.4-66.4</f>
        <v>9</v>
      </c>
      <c r="I135" s="19">
        <f t="shared" si="1"/>
        <v>47.098755054669837</v>
      </c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  <c r="IN135" s="40"/>
      <c r="IO135" s="40"/>
      <c r="IP135" s="40"/>
      <c r="IQ135" s="40"/>
      <c r="IR135" s="40"/>
      <c r="IS135" s="40"/>
      <c r="IT135" s="40"/>
      <c r="IU135" s="40"/>
      <c r="IV135" s="40"/>
      <c r="IW135" s="40"/>
      <c r="IX135" s="40"/>
      <c r="IY135" s="40"/>
      <c r="IZ135" s="40"/>
      <c r="JA135" s="40"/>
      <c r="JB135" s="40"/>
      <c r="JC135" s="40"/>
      <c r="JD135" s="40"/>
      <c r="JE135" s="40"/>
      <c r="JF135" s="40"/>
      <c r="JG135" s="40"/>
      <c r="JH135" s="40"/>
      <c r="JI135" s="40"/>
      <c r="JJ135" s="40"/>
      <c r="JK135" s="40"/>
      <c r="JL135" s="40"/>
      <c r="JM135" s="40"/>
      <c r="JN135" s="40"/>
      <c r="JO135" s="40"/>
      <c r="JP135" s="40"/>
      <c r="JQ135" s="40"/>
      <c r="JR135" s="40"/>
      <c r="JS135" s="40"/>
      <c r="JT135" s="40"/>
      <c r="JU135" s="40"/>
      <c r="JV135" s="40"/>
      <c r="JW135" s="40"/>
      <c r="JX135" s="40"/>
      <c r="JY135" s="40"/>
      <c r="JZ135" s="40"/>
      <c r="KA135" s="40"/>
      <c r="KB135" s="40"/>
      <c r="KC135" s="40"/>
      <c r="KD135" s="40"/>
      <c r="KE135" s="40"/>
      <c r="KF135" s="40"/>
      <c r="KG135" s="40"/>
      <c r="KH135" s="40"/>
      <c r="KI135" s="40"/>
      <c r="KJ135" s="40"/>
      <c r="KK135" s="40"/>
      <c r="KL135" s="40"/>
      <c r="KM135" s="40"/>
      <c r="KN135" s="40"/>
      <c r="KO135" s="40"/>
      <c r="KP135" s="40"/>
      <c r="KQ135" s="40"/>
      <c r="KR135" s="40"/>
      <c r="KS135" s="40"/>
      <c r="KT135" s="40"/>
      <c r="KU135" s="40"/>
      <c r="KV135" s="40"/>
      <c r="KW135" s="40"/>
      <c r="KX135" s="40"/>
      <c r="KY135" s="40"/>
      <c r="KZ135" s="40"/>
      <c r="LA135" s="40"/>
      <c r="LB135" s="40"/>
      <c r="LC135" s="40"/>
      <c r="LD135" s="40"/>
      <c r="LE135" s="40"/>
      <c r="LF135" s="40"/>
      <c r="LG135" s="40"/>
      <c r="LH135" s="40"/>
      <c r="LI135" s="40"/>
      <c r="LJ135" s="40"/>
      <c r="LK135" s="40"/>
      <c r="LL135" s="40"/>
      <c r="LM135" s="40"/>
      <c r="LN135" s="40"/>
      <c r="LO135" s="40"/>
      <c r="LP135" s="40"/>
      <c r="LQ135" s="40"/>
      <c r="LR135" s="40"/>
      <c r="LS135" s="40"/>
      <c r="LT135" s="40"/>
      <c r="LU135" s="40"/>
      <c r="LV135" s="40"/>
      <c r="LW135" s="40"/>
      <c r="LX135" s="40"/>
      <c r="LY135" s="40"/>
      <c r="LZ135" s="40"/>
      <c r="MA135" s="40"/>
      <c r="MB135" s="40"/>
      <c r="MC135" s="40"/>
      <c r="MD135" s="40"/>
      <c r="ME135" s="40"/>
      <c r="MF135" s="40"/>
      <c r="MG135" s="40"/>
      <c r="MH135" s="40"/>
      <c r="MI135" s="40"/>
      <c r="MJ135" s="40"/>
      <c r="MK135" s="40"/>
      <c r="ML135" s="40"/>
      <c r="MM135" s="40"/>
      <c r="MN135" s="40"/>
      <c r="MO135" s="40"/>
      <c r="MP135" s="40"/>
      <c r="MQ135" s="40"/>
      <c r="MR135" s="40"/>
      <c r="MS135" s="40"/>
      <c r="MT135" s="40"/>
    </row>
    <row r="136" spans="1:358" x14ac:dyDescent="0.25">
      <c r="A136" s="9" t="s">
        <v>44</v>
      </c>
      <c r="B136" s="16">
        <v>8</v>
      </c>
      <c r="C136" s="38">
        <v>0.59519999999999995</v>
      </c>
      <c r="D136" s="36">
        <f>22/31</f>
        <v>0.70967741935483875</v>
      </c>
      <c r="E136" s="36">
        <f>4/11</f>
        <v>0.36363636363636365</v>
      </c>
      <c r="F136" s="38">
        <v>0.97</v>
      </c>
      <c r="G136" s="38">
        <v>1.052</v>
      </c>
      <c r="H136" s="35">
        <f>76.9-70.5</f>
        <v>6.4000000000000057</v>
      </c>
      <c r="I136" s="19">
        <f t="shared" si="1"/>
        <v>45.562369380536332</v>
      </c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  <c r="IN136" s="40"/>
      <c r="IO136" s="40"/>
      <c r="IP136" s="40"/>
      <c r="IQ136" s="40"/>
      <c r="IR136" s="40"/>
      <c r="IS136" s="40"/>
      <c r="IT136" s="40"/>
      <c r="IU136" s="40"/>
      <c r="IV136" s="40"/>
      <c r="IW136" s="40"/>
      <c r="IX136" s="40"/>
      <c r="IY136" s="40"/>
      <c r="IZ136" s="40"/>
      <c r="JA136" s="40"/>
      <c r="JB136" s="40"/>
      <c r="JC136" s="40"/>
      <c r="JD136" s="40"/>
      <c r="JE136" s="40"/>
      <c r="JF136" s="40"/>
      <c r="JG136" s="40"/>
      <c r="JH136" s="40"/>
      <c r="JI136" s="40"/>
      <c r="JJ136" s="40"/>
      <c r="JK136" s="40"/>
      <c r="JL136" s="40"/>
      <c r="JM136" s="40"/>
      <c r="JN136" s="40"/>
      <c r="JO136" s="40"/>
      <c r="JP136" s="40"/>
      <c r="JQ136" s="40"/>
      <c r="JR136" s="40"/>
      <c r="JS136" s="40"/>
      <c r="JT136" s="40"/>
      <c r="JU136" s="40"/>
      <c r="JV136" s="40"/>
      <c r="JW136" s="40"/>
      <c r="JX136" s="40"/>
      <c r="JY136" s="40"/>
      <c r="JZ136" s="40"/>
      <c r="KA136" s="40"/>
      <c r="KB136" s="40"/>
      <c r="KC136" s="40"/>
      <c r="KD136" s="40"/>
      <c r="KE136" s="40"/>
      <c r="KF136" s="40"/>
      <c r="KG136" s="40"/>
      <c r="KH136" s="40"/>
      <c r="KI136" s="40"/>
      <c r="KJ136" s="40"/>
      <c r="KK136" s="40"/>
      <c r="KL136" s="40"/>
      <c r="KM136" s="40"/>
      <c r="KN136" s="40"/>
      <c r="KO136" s="40"/>
      <c r="KP136" s="40"/>
      <c r="KQ136" s="40"/>
      <c r="KR136" s="40"/>
      <c r="KS136" s="40"/>
      <c r="KT136" s="40"/>
      <c r="KU136" s="40"/>
      <c r="KV136" s="40"/>
      <c r="KW136" s="40"/>
      <c r="KX136" s="40"/>
      <c r="KY136" s="40"/>
      <c r="KZ136" s="40"/>
      <c r="LA136" s="40"/>
      <c r="LB136" s="40"/>
      <c r="LC136" s="40"/>
      <c r="LD136" s="40"/>
      <c r="LE136" s="40"/>
      <c r="LF136" s="40"/>
      <c r="LG136" s="40"/>
      <c r="LH136" s="40"/>
      <c r="LI136" s="40"/>
      <c r="LJ136" s="40"/>
      <c r="LK136" s="40"/>
      <c r="LL136" s="40"/>
      <c r="LM136" s="40"/>
      <c r="LN136" s="40"/>
      <c r="LO136" s="40"/>
      <c r="LP136" s="40"/>
      <c r="LQ136" s="40"/>
      <c r="LR136" s="40"/>
      <c r="LS136" s="40"/>
      <c r="LT136" s="40"/>
      <c r="LU136" s="40"/>
      <c r="LV136" s="40"/>
      <c r="LW136" s="40"/>
      <c r="LX136" s="40"/>
      <c r="LY136" s="40"/>
      <c r="LZ136" s="40"/>
      <c r="MA136" s="40"/>
      <c r="MB136" s="40"/>
      <c r="MC136" s="40"/>
      <c r="MD136" s="40"/>
      <c r="ME136" s="40"/>
      <c r="MF136" s="40"/>
      <c r="MG136" s="40"/>
      <c r="MH136" s="40"/>
      <c r="MI136" s="40"/>
      <c r="MJ136" s="40"/>
      <c r="MK136" s="40"/>
      <c r="ML136" s="40"/>
      <c r="MM136" s="40"/>
      <c r="MN136" s="40"/>
      <c r="MO136" s="40"/>
      <c r="MP136" s="40"/>
      <c r="MQ136" s="40"/>
      <c r="MR136" s="40"/>
      <c r="MS136" s="40"/>
      <c r="MT136" s="40"/>
    </row>
    <row r="137" spans="1:358" x14ac:dyDescent="0.25">
      <c r="A137" s="9" t="s">
        <v>45</v>
      </c>
      <c r="B137" s="16">
        <v>9</v>
      </c>
      <c r="C137" s="38">
        <v>0.58750000000000002</v>
      </c>
      <c r="D137" s="36">
        <f>25/34</f>
        <v>0.73529411764705888</v>
      </c>
      <c r="E137" s="36">
        <f>2/9</f>
        <v>0.22222222222222221</v>
      </c>
      <c r="F137" s="38">
        <v>0.95</v>
      </c>
      <c r="G137" s="38">
        <v>1.1020000000000001</v>
      </c>
      <c r="H137" s="35">
        <f>71.8-61.9</f>
        <v>9.8999999999999986</v>
      </c>
      <c r="I137" s="19">
        <f t="shared" si="1"/>
        <v>46.195151358789126</v>
      </c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  <c r="IN137" s="40"/>
      <c r="IO137" s="40"/>
      <c r="IP137" s="40"/>
      <c r="IQ137" s="40"/>
      <c r="IR137" s="40"/>
      <c r="IS137" s="40"/>
      <c r="IT137" s="40"/>
      <c r="IU137" s="40"/>
      <c r="IV137" s="40"/>
      <c r="IW137" s="40"/>
      <c r="IX137" s="40"/>
      <c r="IY137" s="40"/>
      <c r="IZ137" s="40"/>
      <c r="JA137" s="40"/>
      <c r="JB137" s="40"/>
      <c r="JC137" s="40"/>
      <c r="JD137" s="40"/>
      <c r="JE137" s="40"/>
      <c r="JF137" s="40"/>
      <c r="JG137" s="40"/>
      <c r="JH137" s="40"/>
      <c r="JI137" s="40"/>
      <c r="JJ137" s="40"/>
      <c r="JK137" s="40"/>
      <c r="JL137" s="40"/>
      <c r="JM137" s="40"/>
      <c r="JN137" s="40"/>
      <c r="JO137" s="40"/>
      <c r="JP137" s="40"/>
      <c r="JQ137" s="40"/>
      <c r="JR137" s="40"/>
      <c r="JS137" s="40"/>
      <c r="JT137" s="40"/>
      <c r="JU137" s="40"/>
      <c r="JV137" s="40"/>
      <c r="JW137" s="40"/>
      <c r="JX137" s="40"/>
      <c r="JY137" s="40"/>
      <c r="JZ137" s="40"/>
      <c r="KA137" s="40"/>
      <c r="KB137" s="40"/>
      <c r="KC137" s="40"/>
      <c r="KD137" s="40"/>
      <c r="KE137" s="40"/>
      <c r="KF137" s="40"/>
      <c r="KG137" s="40"/>
      <c r="KH137" s="40"/>
      <c r="KI137" s="40"/>
      <c r="KJ137" s="40"/>
      <c r="KK137" s="40"/>
      <c r="KL137" s="40"/>
      <c r="KM137" s="40"/>
      <c r="KN137" s="40"/>
      <c r="KO137" s="40"/>
      <c r="KP137" s="40"/>
      <c r="KQ137" s="40"/>
      <c r="KR137" s="40"/>
      <c r="KS137" s="40"/>
      <c r="KT137" s="40"/>
      <c r="KU137" s="40"/>
      <c r="KV137" s="40"/>
      <c r="KW137" s="40"/>
      <c r="KX137" s="40"/>
      <c r="KY137" s="40"/>
      <c r="KZ137" s="40"/>
      <c r="LA137" s="40"/>
      <c r="LB137" s="40"/>
      <c r="LC137" s="40"/>
      <c r="LD137" s="40"/>
      <c r="LE137" s="40"/>
      <c r="LF137" s="40"/>
      <c r="LG137" s="40"/>
      <c r="LH137" s="40"/>
      <c r="LI137" s="40"/>
      <c r="LJ137" s="40"/>
      <c r="LK137" s="40"/>
      <c r="LL137" s="40"/>
      <c r="LM137" s="40"/>
      <c r="LN137" s="40"/>
      <c r="LO137" s="40"/>
      <c r="LP137" s="40"/>
      <c r="LQ137" s="40"/>
      <c r="LR137" s="40"/>
      <c r="LS137" s="40"/>
      <c r="LT137" s="40"/>
      <c r="LU137" s="40"/>
      <c r="LV137" s="40"/>
      <c r="LW137" s="40"/>
      <c r="LX137" s="40"/>
      <c r="LY137" s="40"/>
      <c r="LZ137" s="40"/>
      <c r="MA137" s="40"/>
      <c r="MB137" s="40"/>
      <c r="MC137" s="40"/>
      <c r="MD137" s="40"/>
      <c r="ME137" s="40"/>
      <c r="MF137" s="40"/>
      <c r="MG137" s="40"/>
      <c r="MH137" s="40"/>
      <c r="MI137" s="40"/>
      <c r="MJ137" s="40"/>
      <c r="MK137" s="40"/>
      <c r="ML137" s="40"/>
      <c r="MM137" s="40"/>
      <c r="MN137" s="40"/>
      <c r="MO137" s="40"/>
      <c r="MP137" s="40"/>
      <c r="MQ137" s="40"/>
      <c r="MR137" s="40"/>
      <c r="MS137" s="40"/>
      <c r="MT137" s="40"/>
    </row>
    <row r="138" spans="1:358" x14ac:dyDescent="0.25">
      <c r="A138" s="9" t="s">
        <v>47</v>
      </c>
      <c r="B138" s="16">
        <v>9</v>
      </c>
      <c r="C138" s="38">
        <v>0.58040000000000003</v>
      </c>
      <c r="D138" s="36">
        <f>21/33</f>
        <v>0.63636363636363635</v>
      </c>
      <c r="E138" s="36">
        <f>4/14</f>
        <v>0.2857142857142857</v>
      </c>
      <c r="F138" s="38">
        <v>0.96099999999999997</v>
      </c>
      <c r="G138" s="38">
        <v>1.1080000000000001</v>
      </c>
      <c r="H138" s="35">
        <f>80.2-69.6</f>
        <v>10.600000000000009</v>
      </c>
      <c r="I138" s="19">
        <f t="shared" si="1"/>
        <v>44.430757787477873</v>
      </c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  <c r="IN138" s="40"/>
      <c r="IO138" s="40"/>
      <c r="IP138" s="40"/>
      <c r="IQ138" s="40"/>
      <c r="IR138" s="40"/>
      <c r="IS138" s="40"/>
      <c r="IT138" s="40"/>
      <c r="IU138" s="40"/>
      <c r="IV138" s="40"/>
      <c r="IW138" s="40"/>
      <c r="IX138" s="40"/>
      <c r="IY138" s="40"/>
      <c r="IZ138" s="40"/>
      <c r="JA138" s="40"/>
      <c r="JB138" s="40"/>
      <c r="JC138" s="40"/>
      <c r="JD138" s="40"/>
      <c r="JE138" s="40"/>
      <c r="JF138" s="40"/>
      <c r="JG138" s="40"/>
      <c r="JH138" s="40"/>
      <c r="JI138" s="40"/>
      <c r="JJ138" s="40"/>
      <c r="JK138" s="40"/>
      <c r="JL138" s="40"/>
      <c r="JM138" s="40"/>
      <c r="JN138" s="40"/>
      <c r="JO138" s="40"/>
      <c r="JP138" s="40"/>
      <c r="JQ138" s="40"/>
      <c r="JR138" s="40"/>
      <c r="JS138" s="40"/>
      <c r="JT138" s="40"/>
      <c r="JU138" s="40"/>
      <c r="JV138" s="40"/>
      <c r="JW138" s="40"/>
      <c r="JX138" s="40"/>
      <c r="JY138" s="40"/>
      <c r="JZ138" s="40"/>
      <c r="KA138" s="40"/>
      <c r="KB138" s="40"/>
      <c r="KC138" s="40"/>
      <c r="KD138" s="40"/>
      <c r="KE138" s="40"/>
      <c r="KF138" s="40"/>
      <c r="KG138" s="40"/>
      <c r="KH138" s="40"/>
      <c r="KI138" s="40"/>
      <c r="KJ138" s="40"/>
      <c r="KK138" s="40"/>
      <c r="KL138" s="40"/>
      <c r="KM138" s="40"/>
      <c r="KN138" s="40"/>
      <c r="KO138" s="40"/>
      <c r="KP138" s="40"/>
      <c r="KQ138" s="40"/>
      <c r="KR138" s="40"/>
      <c r="KS138" s="40"/>
      <c r="KT138" s="40"/>
      <c r="KU138" s="40"/>
      <c r="KV138" s="40"/>
      <c r="KW138" s="40"/>
      <c r="KX138" s="40"/>
      <c r="KY138" s="40"/>
      <c r="KZ138" s="40"/>
      <c r="LA138" s="40"/>
      <c r="LB138" s="40"/>
      <c r="LC138" s="40"/>
      <c r="LD138" s="40"/>
      <c r="LE138" s="40"/>
      <c r="LF138" s="40"/>
      <c r="LG138" s="40"/>
      <c r="LH138" s="40"/>
      <c r="LI138" s="40"/>
      <c r="LJ138" s="40"/>
      <c r="LK138" s="40"/>
      <c r="LL138" s="40"/>
      <c r="LM138" s="40"/>
      <c r="LN138" s="40"/>
      <c r="LO138" s="40"/>
      <c r="LP138" s="40"/>
      <c r="LQ138" s="40"/>
      <c r="LR138" s="40"/>
      <c r="LS138" s="40"/>
      <c r="LT138" s="40"/>
      <c r="LU138" s="40"/>
      <c r="LV138" s="40"/>
      <c r="LW138" s="40"/>
      <c r="LX138" s="40"/>
      <c r="LY138" s="40"/>
      <c r="LZ138" s="40"/>
      <c r="MA138" s="40"/>
      <c r="MB138" s="40"/>
      <c r="MC138" s="40"/>
      <c r="MD138" s="40"/>
      <c r="ME138" s="40"/>
      <c r="MF138" s="40"/>
      <c r="MG138" s="40"/>
      <c r="MH138" s="40"/>
      <c r="MI138" s="40"/>
      <c r="MJ138" s="40"/>
      <c r="MK138" s="40"/>
      <c r="ML138" s="40"/>
      <c r="MM138" s="40"/>
      <c r="MN138" s="40"/>
      <c r="MO138" s="40"/>
      <c r="MP138" s="40"/>
      <c r="MQ138" s="40"/>
      <c r="MR138" s="40"/>
      <c r="MS138" s="40"/>
      <c r="MT138" s="40"/>
    </row>
    <row r="139" spans="1:358" x14ac:dyDescent="0.25">
      <c r="A139" s="9" t="s">
        <v>46</v>
      </c>
      <c r="B139" s="16">
        <v>9</v>
      </c>
      <c r="C139" s="38">
        <v>0.57450000000000001</v>
      </c>
      <c r="D139" s="36">
        <f>20/32</f>
        <v>0.625</v>
      </c>
      <c r="E139" s="36">
        <f>7/15</f>
        <v>0.46666666666666667</v>
      </c>
      <c r="F139" s="38">
        <v>0.96299999999999997</v>
      </c>
      <c r="G139" s="38">
        <v>1.0169999999999999</v>
      </c>
      <c r="H139" s="35">
        <f>69.1-65.4</f>
        <v>3.6999999999999886</v>
      </c>
      <c r="I139" s="19">
        <f t="shared" si="1"/>
        <v>43.085441329179645</v>
      </c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  <c r="IN139" s="40"/>
      <c r="IO139" s="40"/>
      <c r="IP139" s="40"/>
      <c r="IQ139" s="40"/>
      <c r="IR139" s="40"/>
      <c r="IS139" s="40"/>
      <c r="IT139" s="40"/>
      <c r="IU139" s="40"/>
      <c r="IV139" s="40"/>
      <c r="IW139" s="40"/>
      <c r="IX139" s="40"/>
      <c r="IY139" s="40"/>
      <c r="IZ139" s="40"/>
      <c r="JA139" s="40"/>
      <c r="JB139" s="40"/>
      <c r="JC139" s="40"/>
      <c r="JD139" s="40"/>
      <c r="JE139" s="40"/>
      <c r="JF139" s="40"/>
      <c r="JG139" s="40"/>
      <c r="JH139" s="40"/>
      <c r="JI139" s="40"/>
      <c r="JJ139" s="40"/>
      <c r="JK139" s="40"/>
      <c r="JL139" s="40"/>
      <c r="JM139" s="40"/>
      <c r="JN139" s="40"/>
      <c r="JO139" s="40"/>
      <c r="JP139" s="40"/>
      <c r="JQ139" s="40"/>
      <c r="JR139" s="40"/>
      <c r="JS139" s="40"/>
      <c r="JT139" s="40"/>
      <c r="JU139" s="40"/>
      <c r="JV139" s="40"/>
      <c r="JW139" s="40"/>
      <c r="JX139" s="40"/>
      <c r="JY139" s="40"/>
      <c r="JZ139" s="40"/>
      <c r="KA139" s="40"/>
      <c r="KB139" s="40"/>
      <c r="KC139" s="40"/>
      <c r="KD139" s="40"/>
      <c r="KE139" s="40"/>
      <c r="KF139" s="40"/>
      <c r="KG139" s="40"/>
      <c r="KH139" s="40"/>
      <c r="KI139" s="40"/>
      <c r="KJ139" s="40"/>
      <c r="KK139" s="40"/>
      <c r="KL139" s="40"/>
      <c r="KM139" s="40"/>
      <c r="KN139" s="40"/>
      <c r="KO139" s="40"/>
      <c r="KP139" s="40"/>
      <c r="KQ139" s="40"/>
      <c r="KR139" s="40"/>
      <c r="KS139" s="40"/>
      <c r="KT139" s="40"/>
      <c r="KU139" s="40"/>
      <c r="KV139" s="40"/>
      <c r="KW139" s="40"/>
      <c r="KX139" s="40"/>
      <c r="KY139" s="40"/>
      <c r="KZ139" s="40"/>
      <c r="LA139" s="40"/>
      <c r="LB139" s="40"/>
      <c r="LC139" s="40"/>
      <c r="LD139" s="40"/>
      <c r="LE139" s="40"/>
      <c r="LF139" s="40"/>
      <c r="LG139" s="40"/>
      <c r="LH139" s="40"/>
      <c r="LI139" s="40"/>
      <c r="LJ139" s="40"/>
      <c r="LK139" s="40"/>
      <c r="LL139" s="40"/>
      <c r="LM139" s="40"/>
      <c r="LN139" s="40"/>
      <c r="LO139" s="40"/>
      <c r="LP139" s="40"/>
      <c r="LQ139" s="40"/>
      <c r="LR139" s="40"/>
      <c r="LS139" s="40"/>
      <c r="LT139" s="40"/>
      <c r="LU139" s="40"/>
      <c r="LV139" s="40"/>
      <c r="LW139" s="40"/>
      <c r="LX139" s="40"/>
      <c r="LY139" s="40"/>
      <c r="LZ139" s="40"/>
      <c r="MA139" s="40"/>
      <c r="MB139" s="40"/>
      <c r="MC139" s="40"/>
      <c r="MD139" s="40"/>
      <c r="ME139" s="40"/>
      <c r="MF139" s="40"/>
      <c r="MG139" s="40"/>
      <c r="MH139" s="40"/>
      <c r="MI139" s="40"/>
      <c r="MJ139" s="40"/>
      <c r="MK139" s="40"/>
      <c r="ML139" s="40"/>
      <c r="MM139" s="40"/>
      <c r="MN139" s="40"/>
      <c r="MO139" s="40"/>
      <c r="MP139" s="40"/>
      <c r="MQ139" s="40"/>
      <c r="MR139" s="40"/>
      <c r="MS139" s="40"/>
      <c r="MT139" s="40"/>
    </row>
    <row r="140" spans="1:358" x14ac:dyDescent="0.25">
      <c r="A140" s="9" t="s">
        <v>48</v>
      </c>
      <c r="B140" s="16">
        <v>9</v>
      </c>
      <c r="C140" s="38">
        <v>0.60119999999999996</v>
      </c>
      <c r="D140" s="36">
        <f>24/32</f>
        <v>0.75</v>
      </c>
      <c r="E140" s="36">
        <f>4/9</f>
        <v>0.44444444444444442</v>
      </c>
      <c r="F140" s="38">
        <v>1.0569999999999999</v>
      </c>
      <c r="G140" s="38">
        <v>1.054</v>
      </c>
      <c r="H140" s="35">
        <f>73.2-67</f>
        <v>6.2000000000000028</v>
      </c>
      <c r="I140" s="19">
        <f t="shared" si="1"/>
        <v>46.498591191001793</v>
      </c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  <c r="IN140" s="40"/>
      <c r="IO140" s="40"/>
      <c r="IP140" s="40"/>
      <c r="IQ140" s="40"/>
      <c r="IR140" s="40"/>
      <c r="IS140" s="40"/>
      <c r="IT140" s="40"/>
      <c r="IU140" s="40"/>
      <c r="IV140" s="40"/>
      <c r="IW140" s="40"/>
      <c r="IX140" s="40"/>
      <c r="IY140" s="40"/>
      <c r="IZ140" s="40"/>
      <c r="JA140" s="40"/>
      <c r="JB140" s="40"/>
      <c r="JC140" s="40"/>
      <c r="JD140" s="40"/>
      <c r="JE140" s="40"/>
      <c r="JF140" s="40"/>
      <c r="JG140" s="40"/>
      <c r="JH140" s="40"/>
      <c r="JI140" s="40"/>
      <c r="JJ140" s="40"/>
      <c r="JK140" s="40"/>
      <c r="JL140" s="40"/>
      <c r="JM140" s="40"/>
      <c r="JN140" s="40"/>
      <c r="JO140" s="40"/>
      <c r="JP140" s="40"/>
      <c r="JQ140" s="40"/>
      <c r="JR140" s="40"/>
      <c r="JS140" s="40"/>
      <c r="JT140" s="40"/>
      <c r="JU140" s="40"/>
      <c r="JV140" s="40"/>
      <c r="JW140" s="40"/>
      <c r="JX140" s="40"/>
      <c r="JY140" s="40"/>
      <c r="JZ140" s="40"/>
      <c r="KA140" s="40"/>
      <c r="KB140" s="40"/>
      <c r="KC140" s="40"/>
      <c r="KD140" s="40"/>
      <c r="KE140" s="40"/>
      <c r="KF140" s="40"/>
      <c r="KG140" s="40"/>
      <c r="KH140" s="40"/>
      <c r="KI140" s="40"/>
      <c r="KJ140" s="40"/>
      <c r="KK140" s="40"/>
      <c r="KL140" s="40"/>
      <c r="KM140" s="40"/>
      <c r="KN140" s="40"/>
      <c r="KO140" s="40"/>
      <c r="KP140" s="40"/>
      <c r="KQ140" s="40"/>
      <c r="KR140" s="40"/>
      <c r="KS140" s="40"/>
      <c r="KT140" s="40"/>
      <c r="KU140" s="40"/>
      <c r="KV140" s="40"/>
      <c r="KW140" s="40"/>
      <c r="KX140" s="40"/>
      <c r="KY140" s="40"/>
      <c r="KZ140" s="40"/>
      <c r="LA140" s="40"/>
      <c r="LB140" s="40"/>
      <c r="LC140" s="40"/>
      <c r="LD140" s="40"/>
      <c r="LE140" s="40"/>
      <c r="LF140" s="40"/>
      <c r="LG140" s="40"/>
      <c r="LH140" s="40"/>
      <c r="LI140" s="40"/>
      <c r="LJ140" s="40"/>
      <c r="LK140" s="40"/>
      <c r="LL140" s="40"/>
      <c r="LM140" s="40"/>
      <c r="LN140" s="40"/>
      <c r="LO140" s="40"/>
      <c r="LP140" s="40"/>
      <c r="LQ140" s="40"/>
      <c r="LR140" s="40"/>
      <c r="LS140" s="40"/>
      <c r="LT140" s="40"/>
      <c r="LU140" s="40"/>
      <c r="LV140" s="40"/>
      <c r="LW140" s="40"/>
      <c r="LX140" s="40"/>
      <c r="LY140" s="40"/>
      <c r="LZ140" s="40"/>
      <c r="MA140" s="40"/>
      <c r="MB140" s="40"/>
      <c r="MC140" s="40"/>
      <c r="MD140" s="40"/>
      <c r="ME140" s="40"/>
      <c r="MF140" s="40"/>
      <c r="MG140" s="40"/>
      <c r="MH140" s="40"/>
      <c r="MI140" s="40"/>
      <c r="MJ140" s="40"/>
      <c r="MK140" s="40"/>
      <c r="ML140" s="40"/>
      <c r="MM140" s="40"/>
      <c r="MN140" s="40"/>
      <c r="MO140" s="40"/>
      <c r="MP140" s="40"/>
      <c r="MQ140" s="40"/>
      <c r="MR140" s="40"/>
      <c r="MS140" s="40"/>
      <c r="MT140" s="40"/>
    </row>
    <row r="141" spans="1:358" x14ac:dyDescent="0.25">
      <c r="A141" s="9" t="s">
        <v>49</v>
      </c>
      <c r="B141" s="16">
        <v>10</v>
      </c>
      <c r="C141" s="38">
        <v>0.58350000000000002</v>
      </c>
      <c r="D141" s="36">
        <f>21/33</f>
        <v>0.63636363636363635</v>
      </c>
      <c r="E141" s="36">
        <f>5/14</f>
        <v>0.35714285714285715</v>
      </c>
      <c r="F141" s="38">
        <v>0.98699999999999999</v>
      </c>
      <c r="G141" s="38">
        <v>1.0580000000000001</v>
      </c>
      <c r="H141" s="35">
        <f>72.7-67.9</f>
        <v>4.7999999999999972</v>
      </c>
      <c r="I141" s="19">
        <f t="shared" si="1"/>
        <v>43.333843142672933</v>
      </c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4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4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40"/>
      <c r="MR141" s="40"/>
      <c r="MS141" s="40"/>
      <c r="MT141" s="40"/>
    </row>
    <row r="142" spans="1:358" x14ac:dyDescent="0.25">
      <c r="A142" s="9" t="s">
        <v>50</v>
      </c>
      <c r="B142" s="16">
        <v>10</v>
      </c>
      <c r="C142" s="38">
        <v>0.59609999999999996</v>
      </c>
      <c r="D142" s="36">
        <f>22/33</f>
        <v>0.66666666666666663</v>
      </c>
      <c r="E142" s="36">
        <f>3/9</f>
        <v>0.33333333333333331</v>
      </c>
      <c r="F142" s="38">
        <v>1.0169999999999999</v>
      </c>
      <c r="G142" s="38">
        <v>1.0940000000000001</v>
      </c>
      <c r="H142" s="35">
        <f>83.7-77.3</f>
        <v>6.4000000000000057</v>
      </c>
      <c r="I142" s="19">
        <f t="shared" si="1"/>
        <v>44.549420845624383</v>
      </c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  <c r="IN142" s="40"/>
      <c r="IO142" s="40"/>
      <c r="IP142" s="40"/>
      <c r="IQ142" s="40"/>
      <c r="IR142" s="40"/>
      <c r="IS142" s="40"/>
      <c r="IT142" s="40"/>
      <c r="IU142" s="40"/>
      <c r="IV142" s="40"/>
      <c r="IW142" s="40"/>
      <c r="IX142" s="40"/>
      <c r="IY142" s="40"/>
      <c r="IZ142" s="40"/>
      <c r="JA142" s="40"/>
      <c r="JB142" s="40"/>
      <c r="JC142" s="40"/>
      <c r="JD142" s="40"/>
      <c r="JE142" s="40"/>
      <c r="JF142" s="40"/>
      <c r="JG142" s="40"/>
      <c r="JH142" s="40"/>
      <c r="JI142" s="40"/>
      <c r="JJ142" s="40"/>
      <c r="JK142" s="40"/>
      <c r="JL142" s="40"/>
      <c r="JM142" s="40"/>
      <c r="JN142" s="40"/>
      <c r="JO142" s="40"/>
      <c r="JP142" s="40"/>
      <c r="JQ142" s="40"/>
      <c r="JR142" s="40"/>
      <c r="JS142" s="40"/>
      <c r="JT142" s="40"/>
      <c r="JU142" s="40"/>
      <c r="JV142" s="40"/>
      <c r="JW142" s="40"/>
      <c r="JX142" s="40"/>
      <c r="JY142" s="40"/>
      <c r="JZ142" s="40"/>
      <c r="KA142" s="40"/>
      <c r="KB142" s="40"/>
      <c r="KC142" s="40"/>
      <c r="KD142" s="40"/>
      <c r="KE142" s="40"/>
      <c r="KF142" s="40"/>
      <c r="KG142" s="40"/>
      <c r="KH142" s="40"/>
      <c r="KI142" s="40"/>
      <c r="KJ142" s="40"/>
      <c r="KK142" s="40"/>
      <c r="KL142" s="40"/>
      <c r="KM142" s="40"/>
      <c r="KN142" s="40"/>
      <c r="KO142" s="40"/>
      <c r="KP142" s="40"/>
      <c r="KQ142" s="40"/>
      <c r="KR142" s="40"/>
      <c r="KS142" s="40"/>
      <c r="KT142" s="40"/>
      <c r="KU142" s="40"/>
      <c r="KV142" s="40"/>
      <c r="KW142" s="40"/>
      <c r="KX142" s="40"/>
      <c r="KY142" s="40"/>
      <c r="KZ142" s="40"/>
      <c r="LA142" s="40"/>
      <c r="LB142" s="40"/>
      <c r="LC142" s="40"/>
      <c r="LD142" s="40"/>
      <c r="LE142" s="40"/>
      <c r="LF142" s="40"/>
      <c r="LG142" s="40"/>
      <c r="LH142" s="40"/>
      <c r="LI142" s="40"/>
      <c r="LJ142" s="40"/>
      <c r="LK142" s="40"/>
      <c r="LL142" s="40"/>
      <c r="LM142" s="40"/>
      <c r="LN142" s="40"/>
      <c r="LO142" s="40"/>
      <c r="LP142" s="40"/>
      <c r="LQ142" s="40"/>
      <c r="LR142" s="40"/>
      <c r="LS142" s="40"/>
      <c r="LT142" s="40"/>
      <c r="LU142" s="40"/>
      <c r="LV142" s="40"/>
      <c r="LW142" s="40"/>
      <c r="LX142" s="40"/>
      <c r="LY142" s="40"/>
      <c r="LZ142" s="40"/>
      <c r="MA142" s="40"/>
      <c r="MB142" s="40"/>
      <c r="MC142" s="40"/>
      <c r="MD142" s="40"/>
      <c r="ME142" s="40"/>
      <c r="MF142" s="40"/>
      <c r="MG142" s="40"/>
      <c r="MH142" s="40"/>
      <c r="MI142" s="40"/>
      <c r="MJ142" s="40"/>
      <c r="MK142" s="40"/>
      <c r="ML142" s="40"/>
      <c r="MM142" s="40"/>
      <c r="MN142" s="40"/>
      <c r="MO142" s="40"/>
      <c r="MP142" s="40"/>
      <c r="MQ142" s="40"/>
      <c r="MR142" s="40"/>
      <c r="MS142" s="40"/>
      <c r="MT142" s="40"/>
    </row>
    <row r="143" spans="1:358" x14ac:dyDescent="0.25">
      <c r="A143" s="9" t="s">
        <v>51</v>
      </c>
      <c r="B143" s="16">
        <v>10</v>
      </c>
      <c r="C143" s="35">
        <v>0.58099999999999996</v>
      </c>
      <c r="D143" s="36">
        <f>21/33</f>
        <v>0.63636363636363635</v>
      </c>
      <c r="E143" s="36">
        <f>4/11</f>
        <v>0.36363636363636365</v>
      </c>
      <c r="F143" s="38">
        <v>0.96599999999999997</v>
      </c>
      <c r="G143" s="38">
        <v>1.0489999999999999</v>
      </c>
      <c r="H143" s="35">
        <f>75.3-69.4</f>
        <v>5.8999999999999915</v>
      </c>
      <c r="I143" s="19">
        <f t="shared" si="1"/>
        <v>43.576437982307546</v>
      </c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  <c r="IN143" s="40"/>
      <c r="IO143" s="40"/>
      <c r="IP143" s="40"/>
      <c r="IQ143" s="40"/>
      <c r="IR143" s="40"/>
      <c r="IS143" s="40"/>
      <c r="IT143" s="40"/>
      <c r="IU143" s="40"/>
      <c r="IV143" s="40"/>
      <c r="IW143" s="40"/>
      <c r="IX143" s="40"/>
      <c r="IY143" s="40"/>
      <c r="IZ143" s="40"/>
      <c r="JA143" s="40"/>
      <c r="JB143" s="40"/>
      <c r="JC143" s="40"/>
      <c r="JD143" s="40"/>
      <c r="JE143" s="40"/>
      <c r="JF143" s="40"/>
      <c r="JG143" s="40"/>
      <c r="JH143" s="40"/>
      <c r="JI143" s="40"/>
      <c r="JJ143" s="40"/>
      <c r="JK143" s="40"/>
      <c r="JL143" s="40"/>
      <c r="JM143" s="40"/>
      <c r="JN143" s="40"/>
      <c r="JO143" s="40"/>
      <c r="JP143" s="40"/>
      <c r="JQ143" s="40"/>
      <c r="JR143" s="40"/>
      <c r="JS143" s="40"/>
      <c r="JT143" s="40"/>
      <c r="JU143" s="40"/>
      <c r="JV143" s="40"/>
      <c r="JW143" s="40"/>
      <c r="JX143" s="40"/>
      <c r="JY143" s="40"/>
      <c r="JZ143" s="40"/>
      <c r="KA143" s="40"/>
      <c r="KB143" s="40"/>
      <c r="KC143" s="40"/>
      <c r="KD143" s="40"/>
      <c r="KE143" s="40"/>
      <c r="KF143" s="40"/>
      <c r="KG143" s="40"/>
      <c r="KH143" s="40"/>
      <c r="KI143" s="40"/>
      <c r="KJ143" s="40"/>
      <c r="KK143" s="40"/>
      <c r="KL143" s="40"/>
      <c r="KM143" s="40"/>
      <c r="KN143" s="40"/>
      <c r="KO143" s="40"/>
      <c r="KP143" s="40"/>
      <c r="KQ143" s="40"/>
      <c r="KR143" s="40"/>
      <c r="KS143" s="40"/>
      <c r="KT143" s="40"/>
      <c r="KU143" s="40"/>
      <c r="KV143" s="40"/>
      <c r="KW143" s="40"/>
      <c r="KX143" s="40"/>
      <c r="KY143" s="40"/>
      <c r="KZ143" s="40"/>
      <c r="LA143" s="40"/>
      <c r="LB143" s="40"/>
      <c r="LC143" s="40"/>
      <c r="LD143" s="40"/>
      <c r="LE143" s="40"/>
      <c r="LF143" s="40"/>
      <c r="LG143" s="40"/>
      <c r="LH143" s="40"/>
      <c r="LI143" s="40"/>
      <c r="LJ143" s="40"/>
      <c r="LK143" s="40"/>
      <c r="LL143" s="40"/>
      <c r="LM143" s="40"/>
      <c r="LN143" s="40"/>
      <c r="LO143" s="40"/>
      <c r="LP143" s="40"/>
      <c r="LQ143" s="40"/>
      <c r="LR143" s="40"/>
      <c r="LS143" s="40"/>
      <c r="LT143" s="40"/>
      <c r="LU143" s="40"/>
      <c r="LV143" s="40"/>
      <c r="LW143" s="40"/>
      <c r="LX143" s="40"/>
      <c r="LY143" s="40"/>
      <c r="LZ143" s="40"/>
      <c r="MA143" s="40"/>
      <c r="MB143" s="40"/>
      <c r="MC143" s="40"/>
      <c r="MD143" s="40"/>
      <c r="ME143" s="40"/>
      <c r="MF143" s="40"/>
      <c r="MG143" s="40"/>
      <c r="MH143" s="40"/>
      <c r="MI143" s="40"/>
      <c r="MJ143" s="40"/>
      <c r="MK143" s="40"/>
      <c r="ML143" s="40"/>
      <c r="MM143" s="40"/>
      <c r="MN143" s="40"/>
      <c r="MO143" s="40"/>
      <c r="MP143" s="40"/>
      <c r="MQ143" s="40"/>
      <c r="MR143" s="40"/>
      <c r="MS143" s="40"/>
      <c r="MT143" s="40"/>
    </row>
    <row r="144" spans="1:358" x14ac:dyDescent="0.25">
      <c r="A144" s="9" t="s">
        <v>52</v>
      </c>
      <c r="B144" s="16">
        <v>10</v>
      </c>
      <c r="C144" s="35">
        <v>0.59440000000000004</v>
      </c>
      <c r="D144" s="36">
        <f>24/33</f>
        <v>0.72727272727272729</v>
      </c>
      <c r="E144" s="36">
        <f>6/11</f>
        <v>0.54545454545454541</v>
      </c>
      <c r="F144" s="38">
        <v>0.998</v>
      </c>
      <c r="G144" s="38">
        <v>1.0569999999999999</v>
      </c>
      <c r="H144" s="35">
        <f>71.6-67.6</f>
        <v>4</v>
      </c>
      <c r="I144" s="19">
        <f t="shared" si="1"/>
        <v>46.199747312807432</v>
      </c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  <c r="IN144" s="40"/>
      <c r="IO144" s="40"/>
      <c r="IP144" s="40"/>
      <c r="IQ144" s="40"/>
      <c r="IR144" s="40"/>
      <c r="IS144" s="40"/>
      <c r="IT144" s="40"/>
      <c r="IU144" s="40"/>
      <c r="IV144" s="40"/>
      <c r="IW144" s="40"/>
      <c r="IX144" s="40"/>
      <c r="IY144" s="40"/>
      <c r="IZ144" s="40"/>
      <c r="JA144" s="40"/>
      <c r="JB144" s="40"/>
      <c r="JC144" s="40"/>
      <c r="JD144" s="40"/>
      <c r="JE144" s="40"/>
      <c r="JF144" s="40"/>
      <c r="JG144" s="40"/>
      <c r="JH144" s="40"/>
      <c r="JI144" s="40"/>
      <c r="JJ144" s="40"/>
      <c r="JK144" s="40"/>
      <c r="JL144" s="40"/>
      <c r="JM144" s="40"/>
      <c r="JN144" s="40"/>
      <c r="JO144" s="40"/>
      <c r="JP144" s="40"/>
      <c r="JQ144" s="40"/>
      <c r="JR144" s="40"/>
      <c r="JS144" s="40"/>
      <c r="JT144" s="40"/>
      <c r="JU144" s="40"/>
      <c r="JV144" s="40"/>
      <c r="JW144" s="40"/>
      <c r="JX144" s="40"/>
      <c r="JY144" s="40"/>
      <c r="JZ144" s="40"/>
      <c r="KA144" s="40"/>
      <c r="KB144" s="40"/>
      <c r="KC144" s="40"/>
      <c r="KD144" s="40"/>
      <c r="KE144" s="40"/>
      <c r="KF144" s="40"/>
      <c r="KG144" s="40"/>
      <c r="KH144" s="40"/>
      <c r="KI144" s="40"/>
      <c r="KJ144" s="40"/>
      <c r="KK144" s="40"/>
      <c r="KL144" s="40"/>
      <c r="KM144" s="40"/>
      <c r="KN144" s="40"/>
      <c r="KO144" s="40"/>
      <c r="KP144" s="40"/>
      <c r="KQ144" s="40"/>
      <c r="KR144" s="40"/>
      <c r="KS144" s="40"/>
      <c r="KT144" s="40"/>
      <c r="KU144" s="40"/>
      <c r="KV144" s="40"/>
      <c r="KW144" s="40"/>
      <c r="KX144" s="40"/>
      <c r="KY144" s="40"/>
      <c r="KZ144" s="40"/>
      <c r="LA144" s="40"/>
      <c r="LB144" s="40"/>
      <c r="LC144" s="40"/>
      <c r="LD144" s="40"/>
      <c r="LE144" s="40"/>
      <c r="LF144" s="40"/>
      <c r="LG144" s="40"/>
      <c r="LH144" s="40"/>
      <c r="LI144" s="40"/>
      <c r="LJ144" s="40"/>
      <c r="LK144" s="40"/>
      <c r="LL144" s="40"/>
      <c r="LM144" s="40"/>
      <c r="LN144" s="40"/>
      <c r="LO144" s="40"/>
      <c r="LP144" s="40"/>
      <c r="LQ144" s="40"/>
      <c r="LR144" s="40"/>
      <c r="LS144" s="40"/>
      <c r="LT144" s="40"/>
      <c r="LU144" s="40"/>
      <c r="LV144" s="40"/>
      <c r="LW144" s="40"/>
      <c r="LX144" s="40"/>
      <c r="LY144" s="40"/>
      <c r="LZ144" s="40"/>
      <c r="MA144" s="40"/>
      <c r="MB144" s="40"/>
      <c r="MC144" s="40"/>
      <c r="MD144" s="40"/>
      <c r="ME144" s="40"/>
      <c r="MF144" s="40"/>
      <c r="MG144" s="40"/>
      <c r="MH144" s="40"/>
      <c r="MI144" s="40"/>
      <c r="MJ144" s="40"/>
      <c r="MK144" s="40"/>
      <c r="ML144" s="40"/>
      <c r="MM144" s="40"/>
      <c r="MN144" s="40"/>
      <c r="MO144" s="40"/>
      <c r="MP144" s="40"/>
      <c r="MQ144" s="40"/>
      <c r="MR144" s="40"/>
      <c r="MS144" s="40"/>
      <c r="MT144" s="40"/>
    </row>
    <row r="145" spans="1:358" x14ac:dyDescent="0.25">
      <c r="A145" s="9" t="s">
        <v>53</v>
      </c>
      <c r="B145" s="16">
        <v>11</v>
      </c>
      <c r="C145" s="35">
        <v>0.58240000000000003</v>
      </c>
      <c r="D145" s="36">
        <f>23/33</f>
        <v>0.69696969696969702</v>
      </c>
      <c r="E145" s="36">
        <f>4/10</f>
        <v>0.4</v>
      </c>
      <c r="F145" s="38">
        <v>0.99199999999999999</v>
      </c>
      <c r="G145" s="38">
        <v>1.073</v>
      </c>
      <c r="H145" s="35">
        <f>72.5-67</f>
        <v>5.5</v>
      </c>
      <c r="I145" s="19">
        <f t="shared" si="1"/>
        <v>44.91671652003911</v>
      </c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  <c r="IN145" s="40"/>
      <c r="IO145" s="40"/>
      <c r="IP145" s="40"/>
      <c r="IQ145" s="40"/>
      <c r="IR145" s="40"/>
      <c r="IS145" s="40"/>
      <c r="IT145" s="40"/>
      <c r="IU145" s="40"/>
      <c r="IV145" s="40"/>
      <c r="IW145" s="40"/>
      <c r="IX145" s="40"/>
      <c r="IY145" s="40"/>
      <c r="IZ145" s="40"/>
      <c r="JA145" s="40"/>
      <c r="JB145" s="40"/>
      <c r="JC145" s="40"/>
      <c r="JD145" s="40"/>
      <c r="JE145" s="40"/>
      <c r="JF145" s="40"/>
      <c r="JG145" s="40"/>
      <c r="JH145" s="40"/>
      <c r="JI145" s="40"/>
      <c r="JJ145" s="40"/>
      <c r="JK145" s="40"/>
      <c r="JL145" s="40"/>
      <c r="JM145" s="40"/>
      <c r="JN145" s="40"/>
      <c r="JO145" s="40"/>
      <c r="JP145" s="40"/>
      <c r="JQ145" s="40"/>
      <c r="JR145" s="40"/>
      <c r="JS145" s="40"/>
      <c r="JT145" s="40"/>
      <c r="JU145" s="40"/>
      <c r="JV145" s="40"/>
      <c r="JW145" s="40"/>
      <c r="JX145" s="40"/>
      <c r="JY145" s="40"/>
      <c r="JZ145" s="40"/>
      <c r="KA145" s="40"/>
      <c r="KB145" s="40"/>
      <c r="KC145" s="40"/>
      <c r="KD145" s="40"/>
      <c r="KE145" s="40"/>
      <c r="KF145" s="40"/>
      <c r="KG145" s="40"/>
      <c r="KH145" s="40"/>
      <c r="KI145" s="40"/>
      <c r="KJ145" s="40"/>
      <c r="KK145" s="40"/>
      <c r="KL145" s="40"/>
      <c r="KM145" s="40"/>
      <c r="KN145" s="40"/>
      <c r="KO145" s="40"/>
      <c r="KP145" s="40"/>
      <c r="KQ145" s="40"/>
      <c r="KR145" s="40"/>
      <c r="KS145" s="40"/>
      <c r="KT145" s="40"/>
      <c r="KU145" s="40"/>
      <c r="KV145" s="40"/>
      <c r="KW145" s="40"/>
      <c r="KX145" s="40"/>
      <c r="KY145" s="40"/>
      <c r="KZ145" s="40"/>
      <c r="LA145" s="40"/>
      <c r="LB145" s="40"/>
      <c r="LC145" s="40"/>
      <c r="LD145" s="40"/>
      <c r="LE145" s="40"/>
      <c r="LF145" s="40"/>
      <c r="LG145" s="40"/>
      <c r="LH145" s="40"/>
      <c r="LI145" s="40"/>
      <c r="LJ145" s="40"/>
      <c r="LK145" s="40"/>
      <c r="LL145" s="40"/>
      <c r="LM145" s="40"/>
      <c r="LN145" s="40"/>
      <c r="LO145" s="40"/>
      <c r="LP145" s="40"/>
      <c r="LQ145" s="40"/>
      <c r="LR145" s="40"/>
      <c r="LS145" s="40"/>
      <c r="LT145" s="40"/>
      <c r="LU145" s="40"/>
      <c r="LV145" s="40"/>
      <c r="LW145" s="40"/>
      <c r="LX145" s="40"/>
      <c r="LY145" s="40"/>
      <c r="LZ145" s="40"/>
      <c r="MA145" s="40"/>
      <c r="MB145" s="40"/>
      <c r="MC145" s="40"/>
      <c r="MD145" s="40"/>
      <c r="ME145" s="40"/>
      <c r="MF145" s="40"/>
      <c r="MG145" s="40"/>
      <c r="MH145" s="40"/>
      <c r="MI145" s="40"/>
      <c r="MJ145" s="40"/>
      <c r="MK145" s="40"/>
      <c r="ML145" s="40"/>
      <c r="MM145" s="40"/>
      <c r="MN145" s="40"/>
      <c r="MO145" s="40"/>
      <c r="MP145" s="40"/>
      <c r="MQ145" s="40"/>
      <c r="MR145" s="40"/>
      <c r="MS145" s="40"/>
      <c r="MT145" s="40"/>
    </row>
    <row r="146" spans="1:358" x14ac:dyDescent="0.25">
      <c r="A146" s="9" t="s">
        <v>54</v>
      </c>
      <c r="B146" s="16">
        <v>11</v>
      </c>
      <c r="C146" s="38">
        <v>0.57750000000000001</v>
      </c>
      <c r="D146" s="36">
        <f>19/31</f>
        <v>0.61290322580645162</v>
      </c>
      <c r="E146" s="36">
        <f>4/11</f>
        <v>0.36363636363636365</v>
      </c>
      <c r="F146" s="38">
        <v>0.97</v>
      </c>
      <c r="G146" s="38">
        <v>0.99399999999999999</v>
      </c>
      <c r="H146" s="35">
        <f>66.8-65.2</f>
        <v>1.5999999999999943</v>
      </c>
      <c r="I146" s="19">
        <f t="shared" si="1"/>
        <v>41.845885509568582</v>
      </c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  <c r="IN146" s="40"/>
      <c r="IO146" s="40"/>
      <c r="IP146" s="40"/>
      <c r="IQ146" s="40"/>
      <c r="IR146" s="40"/>
      <c r="IS146" s="40"/>
      <c r="IT146" s="40"/>
      <c r="IU146" s="40"/>
      <c r="IV146" s="40"/>
      <c r="IW146" s="40"/>
      <c r="IX146" s="40"/>
      <c r="IY146" s="40"/>
      <c r="IZ146" s="40"/>
      <c r="JA146" s="40"/>
      <c r="JB146" s="40"/>
      <c r="JC146" s="40"/>
      <c r="JD146" s="40"/>
      <c r="JE146" s="40"/>
      <c r="JF146" s="40"/>
      <c r="JG146" s="40"/>
      <c r="JH146" s="40"/>
      <c r="JI146" s="40"/>
      <c r="JJ146" s="40"/>
      <c r="JK146" s="40"/>
      <c r="JL146" s="40"/>
      <c r="JM146" s="40"/>
      <c r="JN146" s="40"/>
      <c r="JO146" s="40"/>
      <c r="JP146" s="40"/>
      <c r="JQ146" s="40"/>
      <c r="JR146" s="40"/>
      <c r="JS146" s="40"/>
      <c r="JT146" s="40"/>
      <c r="JU146" s="40"/>
      <c r="JV146" s="40"/>
      <c r="JW146" s="40"/>
      <c r="JX146" s="40"/>
      <c r="JY146" s="40"/>
      <c r="JZ146" s="40"/>
      <c r="KA146" s="40"/>
      <c r="KB146" s="40"/>
      <c r="KC146" s="40"/>
      <c r="KD146" s="40"/>
      <c r="KE146" s="40"/>
      <c r="KF146" s="40"/>
      <c r="KG146" s="40"/>
      <c r="KH146" s="40"/>
      <c r="KI146" s="40"/>
      <c r="KJ146" s="40"/>
      <c r="KK146" s="40"/>
      <c r="KL146" s="40"/>
      <c r="KM146" s="40"/>
      <c r="KN146" s="40"/>
      <c r="KO146" s="40"/>
      <c r="KP146" s="40"/>
      <c r="KQ146" s="40"/>
      <c r="KR146" s="40"/>
      <c r="KS146" s="40"/>
      <c r="KT146" s="40"/>
      <c r="KU146" s="40"/>
      <c r="KV146" s="40"/>
      <c r="KW146" s="40"/>
      <c r="KX146" s="40"/>
      <c r="KY146" s="40"/>
      <c r="KZ146" s="40"/>
      <c r="LA146" s="40"/>
      <c r="LB146" s="40"/>
      <c r="LC146" s="40"/>
      <c r="LD146" s="40"/>
      <c r="LE146" s="40"/>
      <c r="LF146" s="40"/>
      <c r="LG146" s="40"/>
      <c r="LH146" s="40"/>
      <c r="LI146" s="40"/>
      <c r="LJ146" s="40"/>
      <c r="LK146" s="40"/>
      <c r="LL146" s="40"/>
      <c r="LM146" s="40"/>
      <c r="LN146" s="40"/>
      <c r="LO146" s="40"/>
      <c r="LP146" s="40"/>
      <c r="LQ146" s="40"/>
      <c r="LR146" s="40"/>
      <c r="LS146" s="40"/>
      <c r="LT146" s="40"/>
      <c r="LU146" s="40"/>
      <c r="LV146" s="40"/>
      <c r="LW146" s="40"/>
      <c r="LX146" s="40"/>
      <c r="LY146" s="40"/>
      <c r="LZ146" s="40"/>
      <c r="MA146" s="40"/>
      <c r="MB146" s="40"/>
      <c r="MC146" s="40"/>
      <c r="MD146" s="40"/>
      <c r="ME146" s="40"/>
      <c r="MF146" s="40"/>
      <c r="MG146" s="40"/>
      <c r="MH146" s="40"/>
      <c r="MI146" s="40"/>
      <c r="MJ146" s="40"/>
      <c r="MK146" s="40"/>
      <c r="ML146" s="40"/>
      <c r="MM146" s="40"/>
      <c r="MN146" s="40"/>
      <c r="MO146" s="40"/>
      <c r="MP146" s="40"/>
      <c r="MQ146" s="40"/>
      <c r="MR146" s="40"/>
      <c r="MS146" s="40"/>
      <c r="MT146" s="40"/>
    </row>
    <row r="147" spans="1:358" x14ac:dyDescent="0.25">
      <c r="A147" s="9" t="s">
        <v>55</v>
      </c>
      <c r="B147" s="16">
        <v>11</v>
      </c>
      <c r="C147" s="38">
        <v>0.58350000000000002</v>
      </c>
      <c r="D147" s="36">
        <f>20/32</f>
        <v>0.625</v>
      </c>
      <c r="E147" s="36">
        <f>3/10</f>
        <v>0.3</v>
      </c>
      <c r="F147" s="38">
        <v>0.95</v>
      </c>
      <c r="G147" s="38">
        <v>1.1020000000000001</v>
      </c>
      <c r="H147" s="35">
        <f>72.3-61.4</f>
        <v>10.899999999999999</v>
      </c>
      <c r="I147" s="19">
        <f t="shared" si="1"/>
        <v>44.458157894736843</v>
      </c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  <c r="IN147" s="40"/>
      <c r="IO147" s="40"/>
      <c r="IP147" s="40"/>
      <c r="IQ147" s="40"/>
      <c r="IR147" s="40"/>
      <c r="IS147" s="40"/>
      <c r="IT147" s="40"/>
      <c r="IU147" s="40"/>
      <c r="IV147" s="40"/>
      <c r="IW147" s="40"/>
      <c r="IX147" s="40"/>
      <c r="IY147" s="40"/>
      <c r="IZ147" s="40"/>
      <c r="JA147" s="40"/>
      <c r="JB147" s="40"/>
      <c r="JC147" s="40"/>
      <c r="JD147" s="40"/>
      <c r="JE147" s="40"/>
      <c r="JF147" s="40"/>
      <c r="JG147" s="40"/>
      <c r="JH147" s="40"/>
      <c r="JI147" s="40"/>
      <c r="JJ147" s="40"/>
      <c r="JK147" s="40"/>
      <c r="JL147" s="40"/>
      <c r="JM147" s="40"/>
      <c r="JN147" s="40"/>
      <c r="JO147" s="40"/>
      <c r="JP147" s="40"/>
      <c r="JQ147" s="40"/>
      <c r="JR147" s="40"/>
      <c r="JS147" s="40"/>
      <c r="JT147" s="40"/>
      <c r="JU147" s="40"/>
      <c r="JV147" s="40"/>
      <c r="JW147" s="40"/>
      <c r="JX147" s="40"/>
      <c r="JY147" s="40"/>
      <c r="JZ147" s="40"/>
      <c r="KA147" s="40"/>
      <c r="KB147" s="40"/>
      <c r="KC147" s="40"/>
      <c r="KD147" s="40"/>
      <c r="KE147" s="40"/>
      <c r="KF147" s="40"/>
      <c r="KG147" s="40"/>
      <c r="KH147" s="40"/>
      <c r="KI147" s="40"/>
      <c r="KJ147" s="40"/>
      <c r="KK147" s="40"/>
      <c r="KL147" s="40"/>
      <c r="KM147" s="40"/>
      <c r="KN147" s="40"/>
      <c r="KO147" s="40"/>
      <c r="KP147" s="40"/>
      <c r="KQ147" s="40"/>
      <c r="KR147" s="40"/>
      <c r="KS147" s="40"/>
      <c r="KT147" s="40"/>
      <c r="KU147" s="40"/>
      <c r="KV147" s="40"/>
      <c r="KW147" s="40"/>
      <c r="KX147" s="40"/>
      <c r="KY147" s="40"/>
      <c r="KZ147" s="40"/>
      <c r="LA147" s="40"/>
      <c r="LB147" s="40"/>
      <c r="LC147" s="40"/>
      <c r="LD147" s="40"/>
      <c r="LE147" s="40"/>
      <c r="LF147" s="40"/>
      <c r="LG147" s="40"/>
      <c r="LH147" s="40"/>
      <c r="LI147" s="40"/>
      <c r="LJ147" s="40"/>
      <c r="LK147" s="40"/>
      <c r="LL147" s="40"/>
      <c r="LM147" s="40"/>
      <c r="LN147" s="40"/>
      <c r="LO147" s="40"/>
      <c r="LP147" s="40"/>
      <c r="LQ147" s="40"/>
      <c r="LR147" s="40"/>
      <c r="LS147" s="40"/>
      <c r="LT147" s="40"/>
      <c r="LU147" s="40"/>
      <c r="LV147" s="40"/>
      <c r="LW147" s="40"/>
      <c r="LX147" s="40"/>
      <c r="LY147" s="40"/>
      <c r="LZ147" s="40"/>
      <c r="MA147" s="40"/>
      <c r="MB147" s="40"/>
      <c r="MC147" s="40"/>
      <c r="MD147" s="40"/>
      <c r="ME147" s="40"/>
      <c r="MF147" s="40"/>
      <c r="MG147" s="40"/>
      <c r="MH147" s="40"/>
      <c r="MI147" s="40"/>
      <c r="MJ147" s="40"/>
      <c r="MK147" s="40"/>
      <c r="ML147" s="40"/>
      <c r="MM147" s="40"/>
      <c r="MN147" s="40"/>
      <c r="MO147" s="40"/>
      <c r="MP147" s="40"/>
      <c r="MQ147" s="40"/>
      <c r="MR147" s="40"/>
      <c r="MS147" s="40"/>
      <c r="MT147" s="40"/>
    </row>
    <row r="148" spans="1:358" x14ac:dyDescent="0.25">
      <c r="A148" s="9" t="s">
        <v>56</v>
      </c>
      <c r="B148" s="16">
        <v>11</v>
      </c>
      <c r="C148" s="38">
        <v>0.58220000000000005</v>
      </c>
      <c r="D148" s="36">
        <f>23/34</f>
        <v>0.67647058823529416</v>
      </c>
      <c r="E148" s="36">
        <f>3/10</f>
        <v>0.3</v>
      </c>
      <c r="F148" s="38">
        <v>1.0149999999999999</v>
      </c>
      <c r="G148" s="38">
        <v>1.0660000000000001</v>
      </c>
      <c r="H148" s="35">
        <f>75.3-69.8</f>
        <v>5.5</v>
      </c>
      <c r="I148" s="19">
        <f t="shared" si="1"/>
        <v>43.85152013909012</v>
      </c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  <c r="IN148" s="40"/>
      <c r="IO148" s="40"/>
      <c r="IP148" s="40"/>
      <c r="IQ148" s="40"/>
      <c r="IR148" s="40"/>
      <c r="IS148" s="40"/>
      <c r="IT148" s="40"/>
      <c r="IU148" s="40"/>
      <c r="IV148" s="40"/>
      <c r="IW148" s="40"/>
      <c r="IX148" s="40"/>
      <c r="IY148" s="40"/>
      <c r="IZ148" s="40"/>
      <c r="JA148" s="40"/>
      <c r="JB148" s="40"/>
      <c r="JC148" s="40"/>
      <c r="JD148" s="40"/>
      <c r="JE148" s="40"/>
      <c r="JF148" s="40"/>
      <c r="JG148" s="40"/>
      <c r="JH148" s="40"/>
      <c r="JI148" s="40"/>
      <c r="JJ148" s="40"/>
      <c r="JK148" s="40"/>
      <c r="JL148" s="40"/>
      <c r="JM148" s="40"/>
      <c r="JN148" s="40"/>
      <c r="JO148" s="40"/>
      <c r="JP148" s="40"/>
      <c r="JQ148" s="40"/>
      <c r="JR148" s="40"/>
      <c r="JS148" s="40"/>
      <c r="JT148" s="40"/>
      <c r="JU148" s="40"/>
      <c r="JV148" s="40"/>
      <c r="JW148" s="40"/>
      <c r="JX148" s="40"/>
      <c r="JY148" s="40"/>
      <c r="JZ148" s="40"/>
      <c r="KA148" s="40"/>
      <c r="KB148" s="40"/>
      <c r="KC148" s="40"/>
      <c r="KD148" s="40"/>
      <c r="KE148" s="40"/>
      <c r="KF148" s="40"/>
      <c r="KG148" s="40"/>
      <c r="KH148" s="40"/>
      <c r="KI148" s="40"/>
      <c r="KJ148" s="40"/>
      <c r="KK148" s="40"/>
      <c r="KL148" s="40"/>
      <c r="KM148" s="40"/>
      <c r="KN148" s="40"/>
      <c r="KO148" s="40"/>
      <c r="KP148" s="40"/>
      <c r="KQ148" s="40"/>
      <c r="KR148" s="40"/>
      <c r="KS148" s="40"/>
      <c r="KT148" s="40"/>
      <c r="KU148" s="40"/>
      <c r="KV148" s="40"/>
      <c r="KW148" s="40"/>
      <c r="KX148" s="40"/>
      <c r="KY148" s="40"/>
      <c r="KZ148" s="40"/>
      <c r="LA148" s="40"/>
      <c r="LB148" s="40"/>
      <c r="LC148" s="40"/>
      <c r="LD148" s="40"/>
      <c r="LE148" s="40"/>
      <c r="LF148" s="40"/>
      <c r="LG148" s="40"/>
      <c r="LH148" s="40"/>
      <c r="LI148" s="40"/>
      <c r="LJ148" s="40"/>
      <c r="LK148" s="40"/>
      <c r="LL148" s="40"/>
      <c r="LM148" s="40"/>
      <c r="LN148" s="40"/>
      <c r="LO148" s="40"/>
      <c r="LP148" s="40"/>
      <c r="LQ148" s="40"/>
      <c r="LR148" s="40"/>
      <c r="LS148" s="40"/>
      <c r="LT148" s="40"/>
      <c r="LU148" s="40"/>
      <c r="LV148" s="40"/>
      <c r="LW148" s="40"/>
      <c r="LX148" s="40"/>
      <c r="LY148" s="40"/>
      <c r="LZ148" s="40"/>
      <c r="MA148" s="40"/>
      <c r="MB148" s="40"/>
      <c r="MC148" s="40"/>
      <c r="MD148" s="40"/>
      <c r="ME148" s="40"/>
      <c r="MF148" s="40"/>
      <c r="MG148" s="40"/>
      <c r="MH148" s="40"/>
      <c r="MI148" s="40"/>
      <c r="MJ148" s="40"/>
      <c r="MK148" s="40"/>
      <c r="ML148" s="40"/>
      <c r="MM148" s="40"/>
      <c r="MN148" s="40"/>
      <c r="MO148" s="40"/>
      <c r="MP148" s="40"/>
      <c r="MQ148" s="40"/>
      <c r="MR148" s="40"/>
      <c r="MS148" s="40"/>
      <c r="MT148" s="40"/>
    </row>
    <row r="149" spans="1:358" x14ac:dyDescent="0.25">
      <c r="A149" s="9" t="s">
        <v>58</v>
      </c>
      <c r="B149" s="16">
        <v>12</v>
      </c>
      <c r="C149" s="40">
        <v>0.56879999999999997</v>
      </c>
      <c r="D149" s="41">
        <f>0/1</f>
        <v>0</v>
      </c>
      <c r="E149" s="41">
        <f>27/29</f>
        <v>0.93103448275862066</v>
      </c>
      <c r="F149" s="40">
        <v>0.95599999999999996</v>
      </c>
      <c r="G149" s="40">
        <v>1.129</v>
      </c>
      <c r="H149" s="40">
        <v>12.6</v>
      </c>
      <c r="I149" s="37">
        <f t="shared" si="1"/>
        <v>35.114297936805663</v>
      </c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  <c r="IN149" s="40"/>
      <c r="IO149" s="40"/>
      <c r="IP149" s="40"/>
      <c r="IQ149" s="40"/>
      <c r="IR149" s="40"/>
      <c r="IS149" s="40"/>
      <c r="IT149" s="40"/>
      <c r="IU149" s="40"/>
      <c r="IV149" s="40"/>
      <c r="IW149" s="40"/>
      <c r="IX149" s="40"/>
      <c r="IY149" s="40"/>
      <c r="IZ149" s="40"/>
      <c r="JA149" s="40"/>
      <c r="JB149" s="40"/>
      <c r="JC149" s="40"/>
      <c r="JD149" s="40"/>
      <c r="JE149" s="40"/>
      <c r="JF149" s="40"/>
      <c r="JG149" s="40"/>
      <c r="JH149" s="40"/>
      <c r="JI149" s="40"/>
      <c r="JJ149" s="40"/>
      <c r="JK149" s="40"/>
      <c r="JL149" s="40"/>
      <c r="JM149" s="40"/>
      <c r="JN149" s="40"/>
      <c r="JO149" s="40"/>
      <c r="JP149" s="40"/>
      <c r="JQ149" s="40"/>
      <c r="JR149" s="40"/>
      <c r="JS149" s="40"/>
      <c r="JT149" s="40"/>
      <c r="JU149" s="40"/>
      <c r="JV149" s="40"/>
      <c r="JW149" s="40"/>
      <c r="JX149" s="40"/>
      <c r="JY149" s="40"/>
      <c r="JZ149" s="40"/>
      <c r="KA149" s="40"/>
      <c r="KB149" s="40"/>
      <c r="KC149" s="40"/>
      <c r="KD149" s="40"/>
      <c r="KE149" s="40"/>
      <c r="KF149" s="40"/>
      <c r="KG149" s="40"/>
      <c r="KH149" s="40"/>
      <c r="KI149" s="40"/>
      <c r="KJ149" s="40"/>
      <c r="KK149" s="40"/>
      <c r="KL149" s="40"/>
      <c r="KM149" s="40"/>
      <c r="KN149" s="40"/>
      <c r="KO149" s="40"/>
      <c r="KP149" s="40"/>
      <c r="KQ149" s="40"/>
      <c r="KR149" s="40"/>
      <c r="KS149" s="40"/>
      <c r="KT149" s="40"/>
      <c r="KU149" s="40"/>
      <c r="KV149" s="40"/>
      <c r="KW149" s="40"/>
      <c r="KX149" s="40"/>
      <c r="KY149" s="40"/>
      <c r="KZ149" s="40"/>
      <c r="LA149" s="40"/>
      <c r="LB149" s="40"/>
      <c r="LC149" s="40"/>
      <c r="LD149" s="40"/>
      <c r="LE149" s="40"/>
      <c r="LF149" s="40"/>
      <c r="LG149" s="40"/>
      <c r="LH149" s="40"/>
      <c r="LI149" s="40"/>
      <c r="LJ149" s="40"/>
      <c r="LK149" s="40"/>
      <c r="LL149" s="40"/>
      <c r="LM149" s="40"/>
      <c r="LN149" s="40"/>
      <c r="LO149" s="40"/>
      <c r="LP149" s="40"/>
      <c r="LQ149" s="40"/>
      <c r="LR149" s="40"/>
      <c r="LS149" s="40"/>
      <c r="LT149" s="40"/>
      <c r="LU149" s="40"/>
      <c r="LV149" s="40"/>
      <c r="LW149" s="40"/>
      <c r="LX149" s="40"/>
      <c r="LY149" s="40"/>
      <c r="LZ149" s="40"/>
      <c r="MA149" s="40"/>
      <c r="MB149" s="40"/>
      <c r="MC149" s="40"/>
      <c r="MD149" s="40"/>
      <c r="ME149" s="40"/>
      <c r="MF149" s="40"/>
      <c r="MG149" s="40"/>
      <c r="MH149" s="40"/>
      <c r="MI149" s="40"/>
      <c r="MJ149" s="40"/>
      <c r="MK149" s="40"/>
      <c r="ML149" s="40"/>
      <c r="MM149" s="40"/>
      <c r="MN149" s="40"/>
      <c r="MO149" s="40"/>
      <c r="MP149" s="40"/>
      <c r="MQ149" s="40"/>
      <c r="MR149" s="40"/>
      <c r="MS149" s="40"/>
      <c r="MT149" s="40"/>
    </row>
    <row r="150" spans="1:358" x14ac:dyDescent="0.25">
      <c r="A150" s="9" t="s">
        <v>59</v>
      </c>
      <c r="B150" s="16">
        <v>12</v>
      </c>
      <c r="C150" s="40">
        <v>0.59279999999999999</v>
      </c>
      <c r="D150" s="41">
        <f>0/2</f>
        <v>0</v>
      </c>
      <c r="E150" s="41">
        <f>22/28</f>
        <v>0.7857142857142857</v>
      </c>
      <c r="F150" s="40">
        <v>1.036</v>
      </c>
      <c r="G150" s="42">
        <v>1.133</v>
      </c>
      <c r="H150" s="40">
        <f>75.5-65.6</f>
        <v>9.9000000000000057</v>
      </c>
      <c r="I150" s="37">
        <f t="shared" si="1"/>
        <v>34.183826254826258</v>
      </c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  <c r="IN150" s="40"/>
      <c r="IO150" s="40"/>
      <c r="IP150" s="40"/>
      <c r="IQ150" s="40"/>
      <c r="IR150" s="40"/>
      <c r="IS150" s="40"/>
      <c r="IT150" s="40"/>
      <c r="IU150" s="40"/>
      <c r="IV150" s="40"/>
      <c r="IW150" s="40"/>
      <c r="IX150" s="40"/>
      <c r="IY150" s="40"/>
      <c r="IZ150" s="40"/>
      <c r="JA150" s="40"/>
      <c r="JB150" s="40"/>
      <c r="JC150" s="40"/>
      <c r="JD150" s="40"/>
      <c r="JE150" s="40"/>
      <c r="JF150" s="40"/>
      <c r="JG150" s="40"/>
      <c r="JH150" s="40"/>
      <c r="JI150" s="40"/>
      <c r="JJ150" s="40"/>
      <c r="JK150" s="40"/>
      <c r="JL150" s="40"/>
      <c r="JM150" s="40"/>
      <c r="JN150" s="40"/>
      <c r="JO150" s="40"/>
      <c r="JP150" s="40"/>
      <c r="JQ150" s="40"/>
      <c r="JR150" s="40"/>
      <c r="JS150" s="40"/>
      <c r="JT150" s="40"/>
      <c r="JU150" s="40"/>
      <c r="JV150" s="40"/>
      <c r="JW150" s="40"/>
      <c r="JX150" s="40"/>
      <c r="JY150" s="40"/>
      <c r="JZ150" s="40"/>
      <c r="KA150" s="40"/>
      <c r="KB150" s="40"/>
      <c r="KC150" s="40"/>
      <c r="KD150" s="40"/>
      <c r="KE150" s="40"/>
      <c r="KF150" s="40"/>
      <c r="KG150" s="40"/>
      <c r="KH150" s="40"/>
      <c r="KI150" s="40"/>
      <c r="KJ150" s="40"/>
      <c r="KK150" s="40"/>
      <c r="KL150" s="40"/>
      <c r="KM150" s="40"/>
      <c r="KN150" s="40"/>
      <c r="KO150" s="40"/>
      <c r="KP150" s="40"/>
      <c r="KQ150" s="40"/>
      <c r="KR150" s="40"/>
      <c r="KS150" s="40"/>
      <c r="KT150" s="40"/>
      <c r="KU150" s="40"/>
      <c r="KV150" s="40"/>
      <c r="KW150" s="40"/>
      <c r="KX150" s="40"/>
      <c r="KY150" s="40"/>
      <c r="KZ150" s="40"/>
      <c r="LA150" s="40"/>
      <c r="LB150" s="40"/>
      <c r="LC150" s="40"/>
      <c r="LD150" s="40"/>
      <c r="LE150" s="40"/>
      <c r="LF150" s="40"/>
      <c r="LG150" s="40"/>
      <c r="LH150" s="40"/>
      <c r="LI150" s="40"/>
      <c r="LJ150" s="40"/>
      <c r="LK150" s="40"/>
      <c r="LL150" s="40"/>
      <c r="LM150" s="40"/>
      <c r="LN150" s="40"/>
      <c r="LO150" s="40"/>
      <c r="LP150" s="40"/>
      <c r="LQ150" s="40"/>
      <c r="LR150" s="40"/>
      <c r="LS150" s="40"/>
      <c r="LT150" s="40"/>
      <c r="LU150" s="40"/>
      <c r="LV150" s="40"/>
      <c r="LW150" s="40"/>
      <c r="LX150" s="40"/>
      <c r="LY150" s="40"/>
      <c r="LZ150" s="40"/>
      <c r="MA150" s="40"/>
      <c r="MB150" s="40"/>
      <c r="MC150" s="40"/>
      <c r="MD150" s="40"/>
      <c r="ME150" s="40"/>
      <c r="MF150" s="40"/>
      <c r="MG150" s="40"/>
      <c r="MH150" s="40"/>
      <c r="MI150" s="40"/>
      <c r="MJ150" s="40"/>
      <c r="MK150" s="40"/>
      <c r="ML150" s="40"/>
      <c r="MM150" s="40"/>
      <c r="MN150" s="40"/>
      <c r="MO150" s="40"/>
      <c r="MP150" s="40"/>
      <c r="MQ150" s="40"/>
      <c r="MR150" s="40"/>
      <c r="MS150" s="40"/>
      <c r="MT150" s="40"/>
    </row>
    <row r="151" spans="1:358" x14ac:dyDescent="0.25">
      <c r="A151" s="9" t="s">
        <v>60</v>
      </c>
      <c r="B151" s="16">
        <v>12</v>
      </c>
      <c r="C151" s="40">
        <v>0.57069999999999999</v>
      </c>
      <c r="D151" s="41">
        <f>3/12</f>
        <v>0.25</v>
      </c>
      <c r="E151" s="41">
        <f>21/34</f>
        <v>0.61764705882352944</v>
      </c>
      <c r="F151" s="40">
        <v>1.0289999999999999</v>
      </c>
      <c r="G151" s="40">
        <v>1.0529999999999999</v>
      </c>
      <c r="H151" s="40">
        <v>1.6</v>
      </c>
      <c r="I151" s="37">
        <f t="shared" si="1"/>
        <v>35.653321785857202</v>
      </c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  <c r="IN151" s="40"/>
      <c r="IO151" s="40"/>
      <c r="IP151" s="40"/>
      <c r="IQ151" s="40"/>
      <c r="IR151" s="40"/>
      <c r="IS151" s="40"/>
      <c r="IT151" s="40"/>
      <c r="IU151" s="40"/>
      <c r="IV151" s="40"/>
      <c r="IW151" s="40"/>
      <c r="IX151" s="40"/>
      <c r="IY151" s="40"/>
      <c r="IZ151" s="40"/>
      <c r="JA151" s="40"/>
      <c r="JB151" s="40"/>
      <c r="JC151" s="40"/>
      <c r="JD151" s="40"/>
      <c r="JE151" s="40"/>
      <c r="JF151" s="40"/>
      <c r="JG151" s="40"/>
      <c r="JH151" s="40"/>
      <c r="JI151" s="40"/>
      <c r="JJ151" s="40"/>
      <c r="JK151" s="40"/>
      <c r="JL151" s="40"/>
      <c r="JM151" s="40"/>
      <c r="JN151" s="40"/>
      <c r="JO151" s="40"/>
      <c r="JP151" s="40"/>
      <c r="JQ151" s="40"/>
      <c r="JR151" s="40"/>
      <c r="JS151" s="40"/>
      <c r="JT151" s="40"/>
      <c r="JU151" s="40"/>
      <c r="JV151" s="40"/>
      <c r="JW151" s="40"/>
      <c r="JX151" s="40"/>
      <c r="JY151" s="40"/>
      <c r="JZ151" s="40"/>
      <c r="KA151" s="40"/>
      <c r="KB151" s="40"/>
      <c r="KC151" s="40"/>
      <c r="KD151" s="40"/>
      <c r="KE151" s="40"/>
      <c r="KF151" s="40"/>
      <c r="KG151" s="40"/>
      <c r="KH151" s="40"/>
      <c r="KI151" s="40"/>
      <c r="KJ151" s="40"/>
      <c r="KK151" s="40"/>
      <c r="KL151" s="40"/>
      <c r="KM151" s="40"/>
      <c r="KN151" s="40"/>
      <c r="KO151" s="40"/>
      <c r="KP151" s="40"/>
      <c r="KQ151" s="40"/>
      <c r="KR151" s="40"/>
      <c r="KS151" s="40"/>
      <c r="KT151" s="40"/>
      <c r="KU151" s="40"/>
      <c r="KV151" s="40"/>
      <c r="KW151" s="40"/>
      <c r="KX151" s="40"/>
      <c r="KY151" s="40"/>
      <c r="KZ151" s="40"/>
      <c r="LA151" s="40"/>
      <c r="LB151" s="40"/>
      <c r="LC151" s="40"/>
      <c r="LD151" s="40"/>
      <c r="LE151" s="40"/>
      <c r="LF151" s="40"/>
      <c r="LG151" s="40"/>
      <c r="LH151" s="40"/>
      <c r="LI151" s="40"/>
      <c r="LJ151" s="40"/>
      <c r="LK151" s="40"/>
      <c r="LL151" s="40"/>
      <c r="LM151" s="40"/>
      <c r="LN151" s="40"/>
      <c r="LO151" s="40"/>
      <c r="LP151" s="40"/>
      <c r="LQ151" s="40"/>
      <c r="LR151" s="40"/>
      <c r="LS151" s="40"/>
      <c r="LT151" s="40"/>
      <c r="LU151" s="40"/>
      <c r="LV151" s="40"/>
      <c r="LW151" s="40"/>
      <c r="LX151" s="40"/>
      <c r="LY151" s="40"/>
      <c r="LZ151" s="40"/>
      <c r="MA151" s="40"/>
      <c r="MB151" s="40"/>
      <c r="MC151" s="40"/>
      <c r="MD151" s="40"/>
      <c r="ME151" s="40"/>
      <c r="MF151" s="40"/>
      <c r="MG151" s="40"/>
      <c r="MH151" s="40"/>
      <c r="MI151" s="40"/>
      <c r="MJ151" s="40"/>
      <c r="MK151" s="40"/>
      <c r="ML151" s="40"/>
      <c r="MM151" s="40"/>
      <c r="MN151" s="40"/>
      <c r="MO151" s="40"/>
      <c r="MP151" s="40"/>
      <c r="MQ151" s="40"/>
      <c r="MR151" s="40"/>
      <c r="MS151" s="40"/>
      <c r="MT151" s="40"/>
    </row>
    <row r="152" spans="1:358" x14ac:dyDescent="0.25">
      <c r="A152" s="9" t="s">
        <v>61</v>
      </c>
      <c r="B152" s="16">
        <v>12</v>
      </c>
      <c r="C152" s="40">
        <v>0.57820000000000005</v>
      </c>
      <c r="D152" s="41">
        <f>0/2</f>
        <v>0</v>
      </c>
      <c r="E152" s="41">
        <f>25/29</f>
        <v>0.86206896551724133</v>
      </c>
      <c r="F152" s="42">
        <v>0.91700000000000004</v>
      </c>
      <c r="G152" s="42">
        <v>1.0840000000000001</v>
      </c>
      <c r="H152" s="40">
        <v>12.2</v>
      </c>
      <c r="I152" s="37">
        <f t="shared" si="1"/>
        <v>34.968907532057308</v>
      </c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  <c r="IN152" s="40"/>
      <c r="IO152" s="40"/>
      <c r="IP152" s="40"/>
      <c r="IQ152" s="40"/>
      <c r="IR152" s="40"/>
      <c r="IS152" s="40"/>
      <c r="IT152" s="40"/>
      <c r="IU152" s="40"/>
      <c r="IV152" s="40"/>
      <c r="IW152" s="40"/>
      <c r="IX152" s="40"/>
      <c r="IY152" s="40"/>
      <c r="IZ152" s="40"/>
      <c r="JA152" s="40"/>
      <c r="JB152" s="40"/>
      <c r="JC152" s="40"/>
      <c r="JD152" s="40"/>
      <c r="JE152" s="40"/>
      <c r="JF152" s="40"/>
      <c r="JG152" s="40"/>
      <c r="JH152" s="40"/>
      <c r="JI152" s="40"/>
      <c r="JJ152" s="40"/>
      <c r="JK152" s="40"/>
      <c r="JL152" s="40"/>
      <c r="JM152" s="40"/>
      <c r="JN152" s="40"/>
      <c r="JO152" s="40"/>
      <c r="JP152" s="40"/>
      <c r="JQ152" s="40"/>
      <c r="JR152" s="40"/>
      <c r="JS152" s="40"/>
      <c r="JT152" s="40"/>
      <c r="JU152" s="40"/>
      <c r="JV152" s="40"/>
      <c r="JW152" s="40"/>
      <c r="JX152" s="40"/>
      <c r="JY152" s="40"/>
      <c r="JZ152" s="40"/>
      <c r="KA152" s="40"/>
      <c r="KB152" s="40"/>
      <c r="KC152" s="40"/>
      <c r="KD152" s="40"/>
      <c r="KE152" s="40"/>
      <c r="KF152" s="40"/>
      <c r="KG152" s="40"/>
      <c r="KH152" s="40"/>
      <c r="KI152" s="40"/>
      <c r="KJ152" s="40"/>
      <c r="KK152" s="40"/>
      <c r="KL152" s="40"/>
      <c r="KM152" s="40"/>
      <c r="KN152" s="40"/>
      <c r="KO152" s="40"/>
      <c r="KP152" s="40"/>
      <c r="KQ152" s="40"/>
      <c r="KR152" s="40"/>
      <c r="KS152" s="40"/>
      <c r="KT152" s="40"/>
      <c r="KU152" s="40"/>
      <c r="KV152" s="40"/>
      <c r="KW152" s="40"/>
      <c r="KX152" s="40"/>
      <c r="KY152" s="40"/>
      <c r="KZ152" s="40"/>
      <c r="LA152" s="40"/>
      <c r="LB152" s="40"/>
      <c r="LC152" s="40"/>
      <c r="LD152" s="40"/>
      <c r="LE152" s="40"/>
      <c r="LF152" s="40"/>
      <c r="LG152" s="40"/>
      <c r="LH152" s="40"/>
      <c r="LI152" s="40"/>
      <c r="LJ152" s="40"/>
      <c r="LK152" s="40"/>
      <c r="LL152" s="40"/>
      <c r="LM152" s="40"/>
      <c r="LN152" s="40"/>
      <c r="LO152" s="40"/>
      <c r="LP152" s="40"/>
      <c r="LQ152" s="40"/>
      <c r="LR152" s="40"/>
      <c r="LS152" s="40"/>
      <c r="LT152" s="40"/>
      <c r="LU152" s="40"/>
      <c r="LV152" s="40"/>
      <c r="LW152" s="40"/>
      <c r="LX152" s="40"/>
      <c r="LY152" s="40"/>
      <c r="LZ152" s="40"/>
      <c r="MA152" s="40"/>
      <c r="MB152" s="40"/>
      <c r="MC152" s="40"/>
      <c r="MD152" s="40"/>
      <c r="ME152" s="40"/>
      <c r="MF152" s="40"/>
      <c r="MG152" s="40"/>
      <c r="MH152" s="40"/>
      <c r="MI152" s="40"/>
      <c r="MJ152" s="40"/>
      <c r="MK152" s="40"/>
      <c r="ML152" s="40"/>
      <c r="MM152" s="40"/>
      <c r="MN152" s="40"/>
      <c r="MO152" s="40"/>
      <c r="MP152" s="40"/>
      <c r="MQ152" s="40"/>
      <c r="MR152" s="40"/>
      <c r="MS152" s="40"/>
      <c r="MT152" s="40"/>
    </row>
    <row r="153" spans="1:358" x14ac:dyDescent="0.25">
      <c r="A153" s="9" t="s">
        <v>62</v>
      </c>
      <c r="B153" s="16">
        <v>13</v>
      </c>
      <c r="C153" s="42">
        <v>0.55889999999999995</v>
      </c>
      <c r="D153" s="41">
        <f>1/4</f>
        <v>0.25</v>
      </c>
      <c r="E153" s="41">
        <f>21/33</f>
        <v>0.63636363636363635</v>
      </c>
      <c r="F153" s="42">
        <v>0.94899999999999995</v>
      </c>
      <c r="G153" s="42">
        <v>1.02</v>
      </c>
      <c r="H153" s="40">
        <v>5.0999999999999996</v>
      </c>
      <c r="I153" s="37">
        <f t="shared" si="1"/>
        <v>36.33752208065907</v>
      </c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  <c r="IN153" s="40"/>
      <c r="IO153" s="40"/>
      <c r="IP153" s="40"/>
      <c r="IQ153" s="40"/>
      <c r="IR153" s="40"/>
      <c r="IS153" s="40"/>
      <c r="IT153" s="40"/>
      <c r="IU153" s="40"/>
      <c r="IV153" s="40"/>
      <c r="IW153" s="40"/>
      <c r="IX153" s="40"/>
      <c r="IY153" s="40"/>
      <c r="IZ153" s="40"/>
      <c r="JA153" s="40"/>
      <c r="JB153" s="40"/>
      <c r="JC153" s="40"/>
      <c r="JD153" s="40"/>
      <c r="JE153" s="40"/>
      <c r="JF153" s="40"/>
      <c r="JG153" s="40"/>
      <c r="JH153" s="40"/>
      <c r="JI153" s="40"/>
      <c r="JJ153" s="40"/>
      <c r="JK153" s="40"/>
      <c r="JL153" s="40"/>
      <c r="JM153" s="40"/>
      <c r="JN153" s="40"/>
      <c r="JO153" s="40"/>
      <c r="JP153" s="40"/>
      <c r="JQ153" s="40"/>
      <c r="JR153" s="40"/>
      <c r="JS153" s="40"/>
      <c r="JT153" s="40"/>
      <c r="JU153" s="40"/>
      <c r="JV153" s="40"/>
      <c r="JW153" s="40"/>
      <c r="JX153" s="40"/>
      <c r="JY153" s="40"/>
      <c r="JZ153" s="40"/>
      <c r="KA153" s="40"/>
      <c r="KB153" s="40"/>
      <c r="KC153" s="40"/>
      <c r="KD153" s="40"/>
      <c r="KE153" s="40"/>
      <c r="KF153" s="40"/>
      <c r="KG153" s="40"/>
      <c r="KH153" s="40"/>
      <c r="KI153" s="40"/>
      <c r="KJ153" s="40"/>
      <c r="KK153" s="40"/>
      <c r="KL153" s="40"/>
      <c r="KM153" s="40"/>
      <c r="KN153" s="40"/>
      <c r="KO153" s="40"/>
      <c r="KP153" s="40"/>
      <c r="KQ153" s="40"/>
      <c r="KR153" s="40"/>
      <c r="KS153" s="40"/>
      <c r="KT153" s="40"/>
      <c r="KU153" s="40"/>
      <c r="KV153" s="40"/>
      <c r="KW153" s="40"/>
      <c r="KX153" s="40"/>
      <c r="KY153" s="40"/>
      <c r="KZ153" s="40"/>
      <c r="LA153" s="40"/>
      <c r="LB153" s="40"/>
      <c r="LC153" s="40"/>
      <c r="LD153" s="40"/>
      <c r="LE153" s="40"/>
      <c r="LF153" s="40"/>
      <c r="LG153" s="40"/>
      <c r="LH153" s="40"/>
      <c r="LI153" s="40"/>
      <c r="LJ153" s="40"/>
      <c r="LK153" s="40"/>
      <c r="LL153" s="40"/>
      <c r="LM153" s="40"/>
      <c r="LN153" s="40"/>
      <c r="LO153" s="40"/>
      <c r="LP153" s="40"/>
      <c r="LQ153" s="40"/>
      <c r="LR153" s="40"/>
      <c r="LS153" s="40"/>
      <c r="LT153" s="40"/>
      <c r="LU153" s="40"/>
      <c r="LV153" s="40"/>
      <c r="LW153" s="40"/>
      <c r="LX153" s="40"/>
      <c r="LY153" s="40"/>
      <c r="LZ153" s="40"/>
      <c r="MA153" s="40"/>
      <c r="MB153" s="40"/>
      <c r="MC153" s="40"/>
      <c r="MD153" s="40"/>
      <c r="ME153" s="40"/>
      <c r="MF153" s="40"/>
      <c r="MG153" s="40"/>
      <c r="MH153" s="40"/>
      <c r="MI153" s="40"/>
      <c r="MJ153" s="40"/>
      <c r="MK153" s="40"/>
      <c r="ML153" s="40"/>
      <c r="MM153" s="40"/>
      <c r="MN153" s="40"/>
      <c r="MO153" s="40"/>
      <c r="MP153" s="40"/>
      <c r="MQ153" s="40"/>
      <c r="MR153" s="40"/>
      <c r="MS153" s="40"/>
      <c r="MT153" s="40"/>
    </row>
    <row r="154" spans="1:358" x14ac:dyDescent="0.25">
      <c r="A154" s="9" t="s">
        <v>63</v>
      </c>
      <c r="B154" s="16">
        <v>13</v>
      </c>
      <c r="C154" s="42">
        <v>0.55649999999999999</v>
      </c>
      <c r="D154" s="41">
        <f>1/4</f>
        <v>0.25</v>
      </c>
      <c r="E154" s="41">
        <f>25/34</f>
        <v>0.73529411764705888</v>
      </c>
      <c r="F154" s="42">
        <v>0.97499999999999998</v>
      </c>
      <c r="G154" s="42">
        <v>1.101</v>
      </c>
      <c r="H154" s="40">
        <v>9.9</v>
      </c>
      <c r="I154" s="37">
        <f t="shared" si="1"/>
        <v>37.984675716440421</v>
      </c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  <c r="IN154" s="40"/>
      <c r="IO154" s="40"/>
      <c r="IP154" s="40"/>
      <c r="IQ154" s="40"/>
      <c r="IR154" s="40"/>
      <c r="IS154" s="40"/>
      <c r="IT154" s="40"/>
      <c r="IU154" s="40"/>
      <c r="IV154" s="40"/>
      <c r="IW154" s="40"/>
      <c r="IX154" s="40"/>
      <c r="IY154" s="40"/>
      <c r="IZ154" s="40"/>
      <c r="JA154" s="40"/>
      <c r="JB154" s="40"/>
      <c r="JC154" s="40"/>
      <c r="JD154" s="40"/>
      <c r="JE154" s="40"/>
      <c r="JF154" s="40"/>
      <c r="JG154" s="40"/>
      <c r="JH154" s="40"/>
      <c r="JI154" s="40"/>
      <c r="JJ154" s="40"/>
      <c r="JK154" s="40"/>
      <c r="JL154" s="40"/>
      <c r="JM154" s="40"/>
      <c r="JN154" s="40"/>
      <c r="JO154" s="40"/>
      <c r="JP154" s="40"/>
      <c r="JQ154" s="40"/>
      <c r="JR154" s="40"/>
      <c r="JS154" s="40"/>
      <c r="JT154" s="40"/>
      <c r="JU154" s="40"/>
      <c r="JV154" s="40"/>
      <c r="JW154" s="40"/>
      <c r="JX154" s="40"/>
      <c r="JY154" s="40"/>
      <c r="JZ154" s="40"/>
      <c r="KA154" s="40"/>
      <c r="KB154" s="40"/>
      <c r="KC154" s="40"/>
      <c r="KD154" s="40"/>
      <c r="KE154" s="40"/>
      <c r="KF154" s="40"/>
      <c r="KG154" s="40"/>
      <c r="KH154" s="40"/>
      <c r="KI154" s="40"/>
      <c r="KJ154" s="40"/>
      <c r="KK154" s="40"/>
      <c r="KL154" s="40"/>
      <c r="KM154" s="40"/>
      <c r="KN154" s="40"/>
      <c r="KO154" s="40"/>
      <c r="KP154" s="40"/>
      <c r="KQ154" s="40"/>
      <c r="KR154" s="40"/>
      <c r="KS154" s="40"/>
      <c r="KT154" s="40"/>
      <c r="KU154" s="40"/>
      <c r="KV154" s="40"/>
      <c r="KW154" s="40"/>
      <c r="KX154" s="40"/>
      <c r="KY154" s="40"/>
      <c r="KZ154" s="40"/>
      <c r="LA154" s="40"/>
      <c r="LB154" s="40"/>
      <c r="LC154" s="40"/>
      <c r="LD154" s="40"/>
      <c r="LE154" s="40"/>
      <c r="LF154" s="40"/>
      <c r="LG154" s="40"/>
      <c r="LH154" s="40"/>
      <c r="LI154" s="40"/>
      <c r="LJ154" s="40"/>
      <c r="LK154" s="40"/>
      <c r="LL154" s="40"/>
      <c r="LM154" s="40"/>
      <c r="LN154" s="40"/>
      <c r="LO154" s="40"/>
      <c r="LP154" s="40"/>
      <c r="LQ154" s="40"/>
      <c r="LR154" s="40"/>
      <c r="LS154" s="40"/>
      <c r="LT154" s="40"/>
      <c r="LU154" s="40"/>
      <c r="LV154" s="40"/>
      <c r="LW154" s="40"/>
      <c r="LX154" s="40"/>
      <c r="LY154" s="40"/>
      <c r="LZ154" s="40"/>
      <c r="MA154" s="40"/>
      <c r="MB154" s="40"/>
      <c r="MC154" s="40"/>
      <c r="MD154" s="40"/>
      <c r="ME154" s="40"/>
      <c r="MF154" s="40"/>
      <c r="MG154" s="40"/>
      <c r="MH154" s="40"/>
      <c r="MI154" s="40"/>
      <c r="MJ154" s="40"/>
      <c r="MK154" s="40"/>
      <c r="ML154" s="40"/>
      <c r="MM154" s="40"/>
      <c r="MN154" s="40"/>
      <c r="MO154" s="40"/>
      <c r="MP154" s="40"/>
      <c r="MQ154" s="40"/>
      <c r="MR154" s="40"/>
      <c r="MS154" s="40"/>
      <c r="MT154" s="40"/>
    </row>
    <row r="155" spans="1:358" x14ac:dyDescent="0.25">
      <c r="A155" s="9" t="s">
        <v>64</v>
      </c>
      <c r="B155" s="16">
        <v>13</v>
      </c>
      <c r="C155" s="42">
        <v>0.56399999999999995</v>
      </c>
      <c r="D155" s="41">
        <f>0/1</f>
        <v>0</v>
      </c>
      <c r="E155" s="41">
        <f>25/32</f>
        <v>0.78125</v>
      </c>
      <c r="F155" s="42">
        <v>0.94599999999999995</v>
      </c>
      <c r="G155" s="42">
        <v>1.0389999999999999</v>
      </c>
      <c r="H155" s="40">
        <v>6.9</v>
      </c>
      <c r="I155" s="37">
        <f t="shared" si="1"/>
        <v>32.686662262156446</v>
      </c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  <c r="IN155" s="40"/>
      <c r="IO155" s="40"/>
      <c r="IP155" s="40"/>
      <c r="IQ155" s="40"/>
      <c r="IR155" s="40"/>
      <c r="IS155" s="40"/>
      <c r="IT155" s="40"/>
      <c r="IU155" s="40"/>
      <c r="IV155" s="40"/>
      <c r="IW155" s="40"/>
      <c r="IX155" s="40"/>
      <c r="IY155" s="40"/>
      <c r="IZ155" s="40"/>
      <c r="JA155" s="40"/>
      <c r="JB155" s="40"/>
      <c r="JC155" s="40"/>
      <c r="JD155" s="40"/>
      <c r="JE155" s="40"/>
      <c r="JF155" s="40"/>
      <c r="JG155" s="40"/>
      <c r="JH155" s="40"/>
      <c r="JI155" s="40"/>
      <c r="JJ155" s="40"/>
      <c r="JK155" s="40"/>
      <c r="JL155" s="40"/>
      <c r="JM155" s="40"/>
      <c r="JN155" s="40"/>
      <c r="JO155" s="40"/>
      <c r="JP155" s="40"/>
      <c r="JQ155" s="40"/>
      <c r="JR155" s="40"/>
      <c r="JS155" s="40"/>
      <c r="JT155" s="40"/>
      <c r="JU155" s="40"/>
      <c r="JV155" s="40"/>
      <c r="JW155" s="40"/>
      <c r="JX155" s="40"/>
      <c r="JY155" s="40"/>
      <c r="JZ155" s="40"/>
      <c r="KA155" s="40"/>
      <c r="KB155" s="40"/>
      <c r="KC155" s="40"/>
      <c r="KD155" s="40"/>
      <c r="KE155" s="40"/>
      <c r="KF155" s="40"/>
      <c r="KG155" s="40"/>
      <c r="KH155" s="40"/>
      <c r="KI155" s="40"/>
      <c r="KJ155" s="40"/>
      <c r="KK155" s="40"/>
      <c r="KL155" s="40"/>
      <c r="KM155" s="40"/>
      <c r="KN155" s="40"/>
      <c r="KO155" s="40"/>
      <c r="KP155" s="40"/>
      <c r="KQ155" s="40"/>
      <c r="KR155" s="40"/>
      <c r="KS155" s="40"/>
      <c r="KT155" s="40"/>
      <c r="KU155" s="40"/>
      <c r="KV155" s="40"/>
      <c r="KW155" s="40"/>
      <c r="KX155" s="40"/>
      <c r="KY155" s="40"/>
      <c r="KZ155" s="40"/>
      <c r="LA155" s="40"/>
      <c r="LB155" s="40"/>
      <c r="LC155" s="40"/>
      <c r="LD155" s="40"/>
      <c r="LE155" s="40"/>
      <c r="LF155" s="40"/>
      <c r="LG155" s="40"/>
      <c r="LH155" s="40"/>
      <c r="LI155" s="40"/>
      <c r="LJ155" s="40"/>
      <c r="LK155" s="40"/>
      <c r="LL155" s="40"/>
      <c r="LM155" s="40"/>
      <c r="LN155" s="40"/>
      <c r="LO155" s="40"/>
      <c r="LP155" s="40"/>
      <c r="LQ155" s="40"/>
      <c r="LR155" s="40"/>
      <c r="LS155" s="40"/>
      <c r="LT155" s="40"/>
      <c r="LU155" s="40"/>
      <c r="LV155" s="40"/>
      <c r="LW155" s="40"/>
      <c r="LX155" s="40"/>
      <c r="LY155" s="40"/>
      <c r="LZ155" s="40"/>
      <c r="MA155" s="40"/>
      <c r="MB155" s="40"/>
      <c r="MC155" s="40"/>
      <c r="MD155" s="40"/>
      <c r="ME155" s="40"/>
      <c r="MF155" s="40"/>
      <c r="MG155" s="40"/>
      <c r="MH155" s="40"/>
      <c r="MI155" s="40"/>
      <c r="MJ155" s="40"/>
      <c r="MK155" s="40"/>
      <c r="ML155" s="40"/>
      <c r="MM155" s="40"/>
      <c r="MN155" s="40"/>
      <c r="MO155" s="40"/>
      <c r="MP155" s="40"/>
      <c r="MQ155" s="40"/>
      <c r="MR155" s="40"/>
      <c r="MS155" s="40"/>
      <c r="MT155" s="40"/>
    </row>
    <row r="156" spans="1:358" x14ac:dyDescent="0.25">
      <c r="A156" s="9" t="s">
        <v>57</v>
      </c>
      <c r="B156" s="16">
        <v>13</v>
      </c>
      <c r="C156" s="42">
        <v>0.55910000000000004</v>
      </c>
      <c r="D156" s="41">
        <f>0/3</f>
        <v>0</v>
      </c>
      <c r="E156" s="41">
        <f>25/34</f>
        <v>0.73529411764705888</v>
      </c>
      <c r="F156" s="42">
        <v>1.042</v>
      </c>
      <c r="G156" s="42">
        <v>1.095</v>
      </c>
      <c r="H156" s="42">
        <v>3.8</v>
      </c>
      <c r="I156" s="37">
        <f t="shared" si="1"/>
        <v>31.482935079598061</v>
      </c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  <c r="IN156" s="40"/>
      <c r="IO156" s="40"/>
      <c r="IP156" s="40"/>
      <c r="IQ156" s="40"/>
      <c r="IR156" s="40"/>
      <c r="IS156" s="40"/>
      <c r="IT156" s="40"/>
      <c r="IU156" s="40"/>
      <c r="IV156" s="40"/>
      <c r="IW156" s="40"/>
      <c r="IX156" s="40"/>
      <c r="IY156" s="40"/>
      <c r="IZ156" s="40"/>
      <c r="JA156" s="40"/>
      <c r="JB156" s="40"/>
      <c r="JC156" s="40"/>
      <c r="JD156" s="40"/>
      <c r="JE156" s="40"/>
      <c r="JF156" s="40"/>
      <c r="JG156" s="40"/>
      <c r="JH156" s="40"/>
      <c r="JI156" s="40"/>
      <c r="JJ156" s="40"/>
      <c r="JK156" s="40"/>
      <c r="JL156" s="40"/>
      <c r="JM156" s="40"/>
      <c r="JN156" s="40"/>
      <c r="JO156" s="40"/>
      <c r="JP156" s="40"/>
      <c r="JQ156" s="40"/>
      <c r="JR156" s="40"/>
      <c r="JS156" s="40"/>
      <c r="JT156" s="40"/>
      <c r="JU156" s="40"/>
      <c r="JV156" s="40"/>
      <c r="JW156" s="40"/>
      <c r="JX156" s="40"/>
      <c r="JY156" s="40"/>
      <c r="JZ156" s="40"/>
      <c r="KA156" s="40"/>
      <c r="KB156" s="40"/>
      <c r="KC156" s="40"/>
      <c r="KD156" s="40"/>
      <c r="KE156" s="40"/>
      <c r="KF156" s="40"/>
      <c r="KG156" s="40"/>
      <c r="KH156" s="40"/>
      <c r="KI156" s="40"/>
      <c r="KJ156" s="40"/>
      <c r="KK156" s="40"/>
      <c r="KL156" s="40"/>
      <c r="KM156" s="40"/>
      <c r="KN156" s="40"/>
      <c r="KO156" s="40"/>
      <c r="KP156" s="40"/>
      <c r="KQ156" s="40"/>
      <c r="KR156" s="40"/>
      <c r="KS156" s="40"/>
      <c r="KT156" s="40"/>
      <c r="KU156" s="40"/>
      <c r="KV156" s="40"/>
      <c r="KW156" s="40"/>
      <c r="KX156" s="40"/>
      <c r="KY156" s="40"/>
      <c r="KZ156" s="40"/>
      <c r="LA156" s="40"/>
      <c r="LB156" s="40"/>
      <c r="LC156" s="40"/>
      <c r="LD156" s="40"/>
      <c r="LE156" s="40"/>
      <c r="LF156" s="40"/>
      <c r="LG156" s="40"/>
      <c r="LH156" s="40"/>
      <c r="LI156" s="40"/>
      <c r="LJ156" s="40"/>
      <c r="LK156" s="40"/>
      <c r="LL156" s="40"/>
      <c r="LM156" s="40"/>
      <c r="LN156" s="40"/>
      <c r="LO156" s="40"/>
      <c r="LP156" s="40"/>
      <c r="LQ156" s="40"/>
      <c r="LR156" s="40"/>
      <c r="LS156" s="40"/>
      <c r="LT156" s="40"/>
      <c r="LU156" s="40"/>
      <c r="LV156" s="40"/>
      <c r="LW156" s="40"/>
      <c r="LX156" s="40"/>
      <c r="LY156" s="40"/>
      <c r="LZ156" s="40"/>
      <c r="MA156" s="40"/>
      <c r="MB156" s="40"/>
      <c r="MC156" s="40"/>
      <c r="MD156" s="40"/>
      <c r="ME156" s="40"/>
      <c r="MF156" s="40"/>
      <c r="MG156" s="40"/>
      <c r="MH156" s="40"/>
      <c r="MI156" s="40"/>
      <c r="MJ156" s="40"/>
      <c r="MK156" s="40"/>
      <c r="ML156" s="40"/>
      <c r="MM156" s="40"/>
      <c r="MN156" s="40"/>
      <c r="MO156" s="40"/>
      <c r="MP156" s="40"/>
      <c r="MQ156" s="40"/>
      <c r="MR156" s="40"/>
      <c r="MS156" s="40"/>
      <c r="MT156" s="40"/>
    </row>
    <row r="157" spans="1:358" x14ac:dyDescent="0.25">
      <c r="A157" s="9" t="s">
        <v>65</v>
      </c>
      <c r="B157" s="16">
        <v>14</v>
      </c>
      <c r="C157" s="42">
        <v>0.55910000000000004</v>
      </c>
      <c r="D157" s="41">
        <f>2/5</f>
        <v>0.4</v>
      </c>
      <c r="E157" s="41">
        <f>22/31</f>
        <v>0.70967741935483875</v>
      </c>
      <c r="F157" s="42">
        <v>0.99</v>
      </c>
      <c r="G157" s="42">
        <v>1.036</v>
      </c>
      <c r="H157" s="42">
        <v>4.2</v>
      </c>
      <c r="I157" s="37">
        <f t="shared" si="1"/>
        <v>39.39189214727925</v>
      </c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  <c r="IN157" s="40"/>
      <c r="IO157" s="40"/>
      <c r="IP157" s="40"/>
      <c r="IQ157" s="40"/>
      <c r="IR157" s="40"/>
      <c r="IS157" s="40"/>
      <c r="IT157" s="40"/>
      <c r="IU157" s="40"/>
      <c r="IV157" s="40"/>
      <c r="IW157" s="40"/>
      <c r="IX157" s="40"/>
      <c r="IY157" s="40"/>
      <c r="IZ157" s="40"/>
      <c r="JA157" s="40"/>
      <c r="JB157" s="40"/>
      <c r="JC157" s="40"/>
      <c r="JD157" s="40"/>
      <c r="JE157" s="40"/>
      <c r="JF157" s="40"/>
      <c r="JG157" s="40"/>
      <c r="JH157" s="40"/>
      <c r="JI157" s="40"/>
      <c r="JJ157" s="40"/>
      <c r="JK157" s="40"/>
      <c r="JL157" s="40"/>
      <c r="JM157" s="40"/>
      <c r="JN157" s="40"/>
      <c r="JO157" s="40"/>
      <c r="JP157" s="40"/>
      <c r="JQ157" s="40"/>
      <c r="JR157" s="40"/>
      <c r="JS157" s="40"/>
      <c r="JT157" s="40"/>
      <c r="JU157" s="40"/>
      <c r="JV157" s="40"/>
      <c r="JW157" s="40"/>
      <c r="JX157" s="40"/>
      <c r="JY157" s="40"/>
      <c r="JZ157" s="40"/>
      <c r="KA157" s="40"/>
      <c r="KB157" s="40"/>
      <c r="KC157" s="40"/>
      <c r="KD157" s="40"/>
      <c r="KE157" s="40"/>
      <c r="KF157" s="40"/>
      <c r="KG157" s="40"/>
      <c r="KH157" s="40"/>
      <c r="KI157" s="40"/>
      <c r="KJ157" s="40"/>
      <c r="KK157" s="40"/>
      <c r="KL157" s="40"/>
      <c r="KM157" s="40"/>
      <c r="KN157" s="40"/>
      <c r="KO157" s="40"/>
      <c r="KP157" s="40"/>
      <c r="KQ157" s="40"/>
      <c r="KR157" s="40"/>
      <c r="KS157" s="40"/>
      <c r="KT157" s="40"/>
      <c r="KU157" s="40"/>
      <c r="KV157" s="40"/>
      <c r="KW157" s="40"/>
      <c r="KX157" s="40"/>
      <c r="KY157" s="40"/>
      <c r="KZ157" s="40"/>
      <c r="LA157" s="40"/>
      <c r="LB157" s="40"/>
      <c r="LC157" s="40"/>
      <c r="LD157" s="40"/>
      <c r="LE157" s="40"/>
      <c r="LF157" s="40"/>
      <c r="LG157" s="40"/>
      <c r="LH157" s="40"/>
      <c r="LI157" s="40"/>
      <c r="LJ157" s="40"/>
      <c r="LK157" s="40"/>
      <c r="LL157" s="40"/>
      <c r="LM157" s="40"/>
      <c r="LN157" s="40"/>
      <c r="LO157" s="40"/>
      <c r="LP157" s="40"/>
      <c r="LQ157" s="40"/>
      <c r="LR157" s="40"/>
      <c r="LS157" s="40"/>
      <c r="LT157" s="40"/>
      <c r="LU157" s="40"/>
      <c r="LV157" s="40"/>
      <c r="LW157" s="40"/>
      <c r="LX157" s="40"/>
      <c r="LY157" s="40"/>
      <c r="LZ157" s="40"/>
      <c r="MA157" s="40"/>
      <c r="MB157" s="40"/>
      <c r="MC157" s="40"/>
      <c r="MD157" s="40"/>
      <c r="ME157" s="40"/>
      <c r="MF157" s="40"/>
      <c r="MG157" s="40"/>
      <c r="MH157" s="40"/>
      <c r="MI157" s="40"/>
      <c r="MJ157" s="40"/>
      <c r="MK157" s="40"/>
      <c r="ML157" s="40"/>
      <c r="MM157" s="40"/>
      <c r="MN157" s="40"/>
      <c r="MO157" s="40"/>
      <c r="MP157" s="40"/>
      <c r="MQ157" s="40"/>
      <c r="MR157" s="40"/>
      <c r="MS157" s="40"/>
      <c r="MT157" s="40"/>
    </row>
    <row r="158" spans="1:358" x14ac:dyDescent="0.25">
      <c r="A158" s="9" t="s">
        <v>66</v>
      </c>
      <c r="B158" s="16">
        <v>14</v>
      </c>
      <c r="C158" s="42">
        <v>0.54290000000000005</v>
      </c>
      <c r="D158" s="41">
        <f>0/2</f>
        <v>0</v>
      </c>
      <c r="E158" s="41">
        <f>20/31</f>
        <v>0.64516129032258063</v>
      </c>
      <c r="F158" s="42">
        <v>1.028</v>
      </c>
      <c r="G158" s="42">
        <v>1.0720000000000001</v>
      </c>
      <c r="H158" s="40">
        <v>5.8</v>
      </c>
      <c r="I158" s="37">
        <f t="shared" si="1"/>
        <v>30.896619681184891</v>
      </c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  <c r="IN158" s="40"/>
      <c r="IO158" s="40"/>
      <c r="IP158" s="40"/>
      <c r="IQ158" s="40"/>
      <c r="IR158" s="40"/>
      <c r="IS158" s="40"/>
      <c r="IT158" s="40"/>
      <c r="IU158" s="40"/>
      <c r="IV158" s="40"/>
      <c r="IW158" s="40"/>
      <c r="IX158" s="40"/>
      <c r="IY158" s="40"/>
      <c r="IZ158" s="40"/>
      <c r="JA158" s="40"/>
      <c r="JB158" s="40"/>
      <c r="JC158" s="40"/>
      <c r="JD158" s="40"/>
      <c r="JE158" s="40"/>
      <c r="JF158" s="40"/>
      <c r="JG158" s="40"/>
      <c r="JH158" s="40"/>
      <c r="JI158" s="40"/>
      <c r="JJ158" s="40"/>
      <c r="JK158" s="40"/>
      <c r="JL158" s="40"/>
      <c r="JM158" s="40"/>
      <c r="JN158" s="40"/>
      <c r="JO158" s="40"/>
      <c r="JP158" s="40"/>
      <c r="JQ158" s="40"/>
      <c r="JR158" s="40"/>
      <c r="JS158" s="40"/>
      <c r="JT158" s="40"/>
      <c r="JU158" s="40"/>
      <c r="JV158" s="40"/>
      <c r="JW158" s="40"/>
      <c r="JX158" s="40"/>
      <c r="JY158" s="40"/>
      <c r="JZ158" s="40"/>
      <c r="KA158" s="40"/>
      <c r="KB158" s="40"/>
      <c r="KC158" s="40"/>
      <c r="KD158" s="40"/>
      <c r="KE158" s="40"/>
      <c r="KF158" s="40"/>
      <c r="KG158" s="40"/>
      <c r="KH158" s="40"/>
      <c r="KI158" s="40"/>
      <c r="KJ158" s="40"/>
      <c r="KK158" s="40"/>
      <c r="KL158" s="40"/>
      <c r="KM158" s="40"/>
      <c r="KN158" s="40"/>
      <c r="KO158" s="40"/>
      <c r="KP158" s="40"/>
      <c r="KQ158" s="40"/>
      <c r="KR158" s="40"/>
      <c r="KS158" s="40"/>
      <c r="KT158" s="40"/>
      <c r="KU158" s="40"/>
      <c r="KV158" s="40"/>
      <c r="KW158" s="40"/>
      <c r="KX158" s="40"/>
      <c r="KY158" s="40"/>
      <c r="KZ158" s="40"/>
      <c r="LA158" s="40"/>
      <c r="LB158" s="40"/>
      <c r="LC158" s="40"/>
      <c r="LD158" s="40"/>
      <c r="LE158" s="40"/>
      <c r="LF158" s="40"/>
      <c r="LG158" s="40"/>
      <c r="LH158" s="40"/>
      <c r="LI158" s="40"/>
      <c r="LJ158" s="40"/>
      <c r="LK158" s="40"/>
      <c r="LL158" s="40"/>
      <c r="LM158" s="40"/>
      <c r="LN158" s="40"/>
      <c r="LO158" s="40"/>
      <c r="LP158" s="40"/>
      <c r="LQ158" s="40"/>
      <c r="LR158" s="40"/>
      <c r="LS158" s="40"/>
      <c r="LT158" s="40"/>
      <c r="LU158" s="40"/>
      <c r="LV158" s="40"/>
      <c r="LW158" s="40"/>
      <c r="LX158" s="40"/>
      <c r="LY158" s="40"/>
      <c r="LZ158" s="40"/>
      <c r="MA158" s="40"/>
      <c r="MB158" s="40"/>
      <c r="MC158" s="40"/>
      <c r="MD158" s="40"/>
      <c r="ME158" s="40"/>
      <c r="MF158" s="40"/>
      <c r="MG158" s="40"/>
      <c r="MH158" s="40"/>
      <c r="MI158" s="40"/>
      <c r="MJ158" s="40"/>
      <c r="MK158" s="40"/>
      <c r="ML158" s="40"/>
      <c r="MM158" s="40"/>
      <c r="MN158" s="40"/>
      <c r="MO158" s="40"/>
      <c r="MP158" s="40"/>
      <c r="MQ158" s="40"/>
      <c r="MR158" s="40"/>
      <c r="MS158" s="40"/>
      <c r="MT158" s="40"/>
    </row>
    <row r="159" spans="1:358" x14ac:dyDescent="0.25">
      <c r="A159" s="9" t="s">
        <v>67</v>
      </c>
      <c r="B159" s="16">
        <v>14</v>
      </c>
      <c r="C159" s="42">
        <v>0.5504</v>
      </c>
      <c r="D159" s="41">
        <f>0/2</f>
        <v>0</v>
      </c>
      <c r="E159" s="41">
        <f>23/31</f>
        <v>0.74193548387096775</v>
      </c>
      <c r="F159" s="42">
        <v>0.97799999999999998</v>
      </c>
      <c r="G159" s="42">
        <v>1.1040000000000001</v>
      </c>
      <c r="H159" s="40">
        <v>11.8</v>
      </c>
      <c r="I159" s="37">
        <f t="shared" si="1"/>
        <v>33.214151856982653</v>
      </c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  <c r="IN159" s="40"/>
      <c r="IO159" s="40"/>
      <c r="IP159" s="40"/>
      <c r="IQ159" s="40"/>
      <c r="IR159" s="40"/>
      <c r="IS159" s="40"/>
      <c r="IT159" s="40"/>
      <c r="IU159" s="40"/>
      <c r="IV159" s="40"/>
      <c r="IW159" s="40"/>
      <c r="IX159" s="40"/>
      <c r="IY159" s="40"/>
      <c r="IZ159" s="40"/>
      <c r="JA159" s="40"/>
      <c r="JB159" s="40"/>
      <c r="JC159" s="40"/>
      <c r="JD159" s="40"/>
      <c r="JE159" s="40"/>
      <c r="JF159" s="40"/>
      <c r="JG159" s="40"/>
      <c r="JH159" s="40"/>
      <c r="JI159" s="40"/>
      <c r="JJ159" s="40"/>
      <c r="JK159" s="40"/>
      <c r="JL159" s="40"/>
      <c r="JM159" s="40"/>
      <c r="JN159" s="40"/>
      <c r="JO159" s="40"/>
      <c r="JP159" s="40"/>
      <c r="JQ159" s="40"/>
      <c r="JR159" s="40"/>
      <c r="JS159" s="40"/>
      <c r="JT159" s="40"/>
      <c r="JU159" s="40"/>
      <c r="JV159" s="40"/>
      <c r="JW159" s="40"/>
      <c r="JX159" s="40"/>
      <c r="JY159" s="40"/>
      <c r="JZ159" s="40"/>
      <c r="KA159" s="40"/>
      <c r="KB159" s="40"/>
      <c r="KC159" s="40"/>
      <c r="KD159" s="40"/>
      <c r="KE159" s="40"/>
      <c r="KF159" s="40"/>
      <c r="KG159" s="40"/>
      <c r="KH159" s="40"/>
      <c r="KI159" s="40"/>
      <c r="KJ159" s="40"/>
      <c r="KK159" s="40"/>
      <c r="KL159" s="40"/>
      <c r="KM159" s="40"/>
      <c r="KN159" s="40"/>
      <c r="KO159" s="40"/>
      <c r="KP159" s="40"/>
      <c r="KQ159" s="40"/>
      <c r="KR159" s="40"/>
      <c r="KS159" s="40"/>
      <c r="KT159" s="40"/>
      <c r="KU159" s="40"/>
      <c r="KV159" s="40"/>
      <c r="KW159" s="40"/>
      <c r="KX159" s="40"/>
      <c r="KY159" s="40"/>
      <c r="KZ159" s="40"/>
      <c r="LA159" s="40"/>
      <c r="LB159" s="40"/>
      <c r="LC159" s="40"/>
      <c r="LD159" s="40"/>
      <c r="LE159" s="40"/>
      <c r="LF159" s="40"/>
      <c r="LG159" s="40"/>
      <c r="LH159" s="40"/>
      <c r="LI159" s="40"/>
      <c r="LJ159" s="40"/>
      <c r="LK159" s="40"/>
      <c r="LL159" s="40"/>
      <c r="LM159" s="40"/>
      <c r="LN159" s="40"/>
      <c r="LO159" s="40"/>
      <c r="LP159" s="40"/>
      <c r="LQ159" s="40"/>
      <c r="LR159" s="40"/>
      <c r="LS159" s="40"/>
      <c r="LT159" s="40"/>
      <c r="LU159" s="40"/>
      <c r="LV159" s="40"/>
      <c r="LW159" s="40"/>
      <c r="LX159" s="40"/>
      <c r="LY159" s="40"/>
      <c r="LZ159" s="40"/>
      <c r="MA159" s="40"/>
      <c r="MB159" s="40"/>
      <c r="MC159" s="40"/>
      <c r="MD159" s="40"/>
      <c r="ME159" s="40"/>
      <c r="MF159" s="40"/>
      <c r="MG159" s="40"/>
      <c r="MH159" s="40"/>
      <c r="MI159" s="40"/>
      <c r="MJ159" s="40"/>
      <c r="MK159" s="40"/>
      <c r="ML159" s="40"/>
      <c r="MM159" s="40"/>
      <c r="MN159" s="40"/>
      <c r="MO159" s="40"/>
      <c r="MP159" s="40"/>
      <c r="MQ159" s="40"/>
      <c r="MR159" s="40"/>
      <c r="MS159" s="40"/>
      <c r="MT159" s="40"/>
    </row>
    <row r="160" spans="1:358" x14ac:dyDescent="0.25">
      <c r="A160" s="9" t="s">
        <v>68</v>
      </c>
      <c r="B160" s="16">
        <v>14</v>
      </c>
      <c r="C160" s="42">
        <v>0.53510000000000002</v>
      </c>
      <c r="D160" s="41">
        <f>0/2</f>
        <v>0</v>
      </c>
      <c r="E160" s="41">
        <f>26/31</f>
        <v>0.83870967741935487</v>
      </c>
      <c r="F160" s="42">
        <v>0.89800000000000002</v>
      </c>
      <c r="G160" s="42">
        <v>1.077</v>
      </c>
      <c r="H160" s="40">
        <v>14.4</v>
      </c>
      <c r="I160" s="37">
        <f t="shared" si="1"/>
        <v>34.079477117609024</v>
      </c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  <c r="IN160" s="40"/>
      <c r="IO160" s="40"/>
      <c r="IP160" s="40"/>
      <c r="IQ160" s="40"/>
      <c r="IR160" s="40"/>
      <c r="IS160" s="40"/>
      <c r="IT160" s="40"/>
      <c r="IU160" s="40"/>
      <c r="IV160" s="40"/>
      <c r="IW160" s="40"/>
      <c r="IX160" s="40"/>
      <c r="IY160" s="40"/>
      <c r="IZ160" s="40"/>
      <c r="JA160" s="40"/>
      <c r="JB160" s="40"/>
      <c r="JC160" s="40"/>
      <c r="JD160" s="40"/>
      <c r="JE160" s="40"/>
      <c r="JF160" s="40"/>
      <c r="JG160" s="40"/>
      <c r="JH160" s="40"/>
      <c r="JI160" s="40"/>
      <c r="JJ160" s="40"/>
      <c r="JK160" s="40"/>
      <c r="JL160" s="40"/>
      <c r="JM160" s="40"/>
      <c r="JN160" s="40"/>
      <c r="JO160" s="40"/>
      <c r="JP160" s="40"/>
      <c r="JQ160" s="40"/>
      <c r="JR160" s="40"/>
      <c r="JS160" s="40"/>
      <c r="JT160" s="40"/>
      <c r="JU160" s="40"/>
      <c r="JV160" s="40"/>
      <c r="JW160" s="40"/>
      <c r="JX160" s="40"/>
      <c r="JY160" s="40"/>
      <c r="JZ160" s="40"/>
      <c r="KA160" s="40"/>
      <c r="KB160" s="40"/>
      <c r="KC160" s="40"/>
      <c r="KD160" s="40"/>
      <c r="KE160" s="40"/>
      <c r="KF160" s="40"/>
      <c r="KG160" s="40"/>
      <c r="KH160" s="40"/>
      <c r="KI160" s="40"/>
      <c r="KJ160" s="40"/>
      <c r="KK160" s="40"/>
      <c r="KL160" s="40"/>
      <c r="KM160" s="40"/>
      <c r="KN160" s="40"/>
      <c r="KO160" s="40"/>
      <c r="KP160" s="40"/>
      <c r="KQ160" s="40"/>
      <c r="KR160" s="40"/>
      <c r="KS160" s="40"/>
      <c r="KT160" s="40"/>
      <c r="KU160" s="40"/>
      <c r="KV160" s="40"/>
      <c r="KW160" s="40"/>
      <c r="KX160" s="40"/>
      <c r="KY160" s="40"/>
      <c r="KZ160" s="40"/>
      <c r="LA160" s="40"/>
      <c r="LB160" s="40"/>
      <c r="LC160" s="40"/>
      <c r="LD160" s="40"/>
      <c r="LE160" s="40"/>
      <c r="LF160" s="40"/>
      <c r="LG160" s="40"/>
      <c r="LH160" s="40"/>
      <c r="LI160" s="40"/>
      <c r="LJ160" s="40"/>
      <c r="LK160" s="40"/>
      <c r="LL160" s="40"/>
      <c r="LM160" s="40"/>
      <c r="LN160" s="40"/>
      <c r="LO160" s="40"/>
      <c r="LP160" s="40"/>
      <c r="LQ160" s="40"/>
      <c r="LR160" s="40"/>
      <c r="LS160" s="40"/>
      <c r="LT160" s="40"/>
      <c r="LU160" s="40"/>
      <c r="LV160" s="40"/>
      <c r="LW160" s="40"/>
      <c r="LX160" s="40"/>
      <c r="LY160" s="40"/>
      <c r="LZ160" s="40"/>
      <c r="MA160" s="40"/>
      <c r="MB160" s="40"/>
      <c r="MC160" s="40"/>
      <c r="MD160" s="40"/>
      <c r="ME160" s="40"/>
      <c r="MF160" s="40"/>
      <c r="MG160" s="40"/>
      <c r="MH160" s="40"/>
      <c r="MI160" s="40"/>
      <c r="MJ160" s="40"/>
      <c r="MK160" s="40"/>
      <c r="ML160" s="40"/>
      <c r="MM160" s="40"/>
      <c r="MN160" s="40"/>
      <c r="MO160" s="40"/>
      <c r="MP160" s="40"/>
      <c r="MQ160" s="40"/>
      <c r="MR160" s="40"/>
      <c r="MS160" s="40"/>
      <c r="MT160" s="40"/>
    </row>
    <row r="161" spans="1:358" x14ac:dyDescent="0.25">
      <c r="A161" s="9" t="s">
        <v>69</v>
      </c>
      <c r="B161" s="16">
        <v>15</v>
      </c>
      <c r="C161" s="42">
        <v>0.53669999999999995</v>
      </c>
      <c r="D161" s="41">
        <f>0/2</f>
        <v>0</v>
      </c>
      <c r="E161" s="41">
        <f>22/31</f>
        <v>0.70967741935483875</v>
      </c>
      <c r="F161" s="42">
        <v>1.052</v>
      </c>
      <c r="G161" s="42">
        <v>1.1240000000000001</v>
      </c>
      <c r="H161" s="40">
        <v>7.8</v>
      </c>
      <c r="I161" s="37">
        <f t="shared" si="1"/>
        <v>31.582238807800806</v>
      </c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  <c r="IN161" s="40"/>
      <c r="IO161" s="40"/>
      <c r="IP161" s="40"/>
      <c r="IQ161" s="40"/>
      <c r="IR161" s="40"/>
      <c r="IS161" s="40"/>
      <c r="IT161" s="40"/>
      <c r="IU161" s="40"/>
      <c r="IV161" s="40"/>
      <c r="IW161" s="40"/>
      <c r="IX161" s="40"/>
      <c r="IY161" s="40"/>
      <c r="IZ161" s="40"/>
      <c r="JA161" s="40"/>
      <c r="JB161" s="40"/>
      <c r="JC161" s="40"/>
      <c r="JD161" s="40"/>
      <c r="JE161" s="40"/>
      <c r="JF161" s="40"/>
      <c r="JG161" s="40"/>
      <c r="JH161" s="40"/>
      <c r="JI161" s="40"/>
      <c r="JJ161" s="40"/>
      <c r="JK161" s="40"/>
      <c r="JL161" s="40"/>
      <c r="JM161" s="40"/>
      <c r="JN161" s="40"/>
      <c r="JO161" s="40"/>
      <c r="JP161" s="40"/>
      <c r="JQ161" s="40"/>
      <c r="JR161" s="40"/>
      <c r="JS161" s="40"/>
      <c r="JT161" s="40"/>
      <c r="JU161" s="40"/>
      <c r="JV161" s="40"/>
      <c r="JW161" s="40"/>
      <c r="JX161" s="40"/>
      <c r="JY161" s="40"/>
      <c r="JZ161" s="40"/>
      <c r="KA161" s="40"/>
      <c r="KB161" s="40"/>
      <c r="KC161" s="40"/>
      <c r="KD161" s="40"/>
      <c r="KE161" s="40"/>
      <c r="KF161" s="40"/>
      <c r="KG161" s="40"/>
      <c r="KH161" s="40"/>
      <c r="KI161" s="40"/>
      <c r="KJ161" s="40"/>
      <c r="KK161" s="40"/>
      <c r="KL161" s="40"/>
      <c r="KM161" s="40"/>
      <c r="KN161" s="40"/>
      <c r="KO161" s="40"/>
      <c r="KP161" s="40"/>
      <c r="KQ161" s="40"/>
      <c r="KR161" s="40"/>
      <c r="KS161" s="40"/>
      <c r="KT161" s="40"/>
      <c r="KU161" s="40"/>
      <c r="KV161" s="40"/>
      <c r="KW161" s="40"/>
      <c r="KX161" s="40"/>
      <c r="KY161" s="40"/>
      <c r="KZ161" s="40"/>
      <c r="LA161" s="40"/>
      <c r="LB161" s="40"/>
      <c r="LC161" s="40"/>
      <c r="LD161" s="40"/>
      <c r="LE161" s="40"/>
      <c r="LF161" s="40"/>
      <c r="LG161" s="40"/>
      <c r="LH161" s="40"/>
      <c r="LI161" s="40"/>
      <c r="LJ161" s="40"/>
      <c r="LK161" s="40"/>
      <c r="LL161" s="40"/>
      <c r="LM161" s="40"/>
      <c r="LN161" s="40"/>
      <c r="LO161" s="40"/>
      <c r="LP161" s="40"/>
      <c r="LQ161" s="40"/>
      <c r="LR161" s="40"/>
      <c r="LS161" s="40"/>
      <c r="LT161" s="40"/>
      <c r="LU161" s="40"/>
      <c r="LV161" s="40"/>
      <c r="LW161" s="40"/>
      <c r="LX161" s="40"/>
      <c r="LY161" s="40"/>
      <c r="LZ161" s="40"/>
      <c r="MA161" s="40"/>
      <c r="MB161" s="40"/>
      <c r="MC161" s="40"/>
      <c r="MD161" s="40"/>
      <c r="ME161" s="40"/>
      <c r="MF161" s="40"/>
      <c r="MG161" s="40"/>
      <c r="MH161" s="40"/>
      <c r="MI161" s="40"/>
      <c r="MJ161" s="40"/>
      <c r="MK161" s="40"/>
      <c r="ML161" s="40"/>
      <c r="MM161" s="40"/>
      <c r="MN161" s="40"/>
      <c r="MO161" s="40"/>
      <c r="MP161" s="40"/>
      <c r="MQ161" s="40"/>
      <c r="MR161" s="40"/>
      <c r="MS161" s="40"/>
      <c r="MT161" s="40"/>
    </row>
    <row r="162" spans="1:358" x14ac:dyDescent="0.25">
      <c r="A162" s="9" t="s">
        <v>70</v>
      </c>
      <c r="B162" s="16">
        <v>15</v>
      </c>
      <c r="C162" s="42">
        <v>0.51970000000000005</v>
      </c>
      <c r="D162" s="41">
        <f>0/1</f>
        <v>0</v>
      </c>
      <c r="E162" s="41">
        <f>20/32</f>
        <v>0.625</v>
      </c>
      <c r="F162" s="42">
        <v>0.94899999999999995</v>
      </c>
      <c r="G162" s="42">
        <v>1.012</v>
      </c>
      <c r="H162" s="42">
        <v>3.9</v>
      </c>
      <c r="I162" s="37">
        <f t="shared" si="1"/>
        <v>29.824703898840887</v>
      </c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  <c r="IN162" s="40"/>
      <c r="IO162" s="40"/>
      <c r="IP162" s="40"/>
      <c r="IQ162" s="40"/>
      <c r="IR162" s="40"/>
      <c r="IS162" s="40"/>
      <c r="IT162" s="40"/>
      <c r="IU162" s="40"/>
      <c r="IV162" s="40"/>
      <c r="IW162" s="40"/>
      <c r="IX162" s="40"/>
      <c r="IY162" s="40"/>
      <c r="IZ162" s="40"/>
      <c r="JA162" s="40"/>
      <c r="JB162" s="40"/>
      <c r="JC162" s="40"/>
      <c r="JD162" s="40"/>
      <c r="JE162" s="40"/>
      <c r="JF162" s="40"/>
      <c r="JG162" s="40"/>
      <c r="JH162" s="40"/>
      <c r="JI162" s="40"/>
      <c r="JJ162" s="40"/>
      <c r="JK162" s="40"/>
      <c r="JL162" s="40"/>
      <c r="JM162" s="40"/>
      <c r="JN162" s="40"/>
      <c r="JO162" s="40"/>
      <c r="JP162" s="40"/>
      <c r="JQ162" s="40"/>
      <c r="JR162" s="40"/>
      <c r="JS162" s="40"/>
      <c r="JT162" s="40"/>
      <c r="JU162" s="40"/>
      <c r="JV162" s="40"/>
      <c r="JW162" s="40"/>
      <c r="JX162" s="40"/>
      <c r="JY162" s="40"/>
      <c r="JZ162" s="40"/>
      <c r="KA162" s="40"/>
      <c r="KB162" s="40"/>
      <c r="KC162" s="40"/>
      <c r="KD162" s="40"/>
      <c r="KE162" s="40"/>
      <c r="KF162" s="40"/>
      <c r="KG162" s="40"/>
      <c r="KH162" s="40"/>
      <c r="KI162" s="40"/>
      <c r="KJ162" s="40"/>
      <c r="KK162" s="40"/>
      <c r="KL162" s="40"/>
      <c r="KM162" s="40"/>
      <c r="KN162" s="40"/>
      <c r="KO162" s="40"/>
      <c r="KP162" s="40"/>
      <c r="KQ162" s="40"/>
      <c r="KR162" s="40"/>
      <c r="KS162" s="40"/>
      <c r="KT162" s="40"/>
      <c r="KU162" s="40"/>
      <c r="KV162" s="40"/>
      <c r="KW162" s="40"/>
      <c r="KX162" s="40"/>
      <c r="KY162" s="40"/>
      <c r="KZ162" s="40"/>
      <c r="LA162" s="40"/>
      <c r="LB162" s="40"/>
      <c r="LC162" s="40"/>
      <c r="LD162" s="40"/>
      <c r="LE162" s="40"/>
      <c r="LF162" s="40"/>
      <c r="LG162" s="40"/>
      <c r="LH162" s="40"/>
      <c r="LI162" s="40"/>
      <c r="LJ162" s="40"/>
      <c r="LK162" s="40"/>
      <c r="LL162" s="40"/>
      <c r="LM162" s="40"/>
      <c r="LN162" s="40"/>
      <c r="LO162" s="40"/>
      <c r="LP162" s="40"/>
      <c r="LQ162" s="40"/>
      <c r="LR162" s="40"/>
      <c r="LS162" s="40"/>
      <c r="LT162" s="40"/>
      <c r="LU162" s="40"/>
      <c r="LV162" s="40"/>
      <c r="LW162" s="40"/>
      <c r="LX162" s="40"/>
      <c r="LY162" s="40"/>
      <c r="LZ162" s="40"/>
      <c r="MA162" s="40"/>
      <c r="MB162" s="40"/>
      <c r="MC162" s="40"/>
      <c r="MD162" s="40"/>
      <c r="ME162" s="40"/>
      <c r="MF162" s="40"/>
      <c r="MG162" s="40"/>
      <c r="MH162" s="40"/>
      <c r="MI162" s="40"/>
      <c r="MJ162" s="40"/>
      <c r="MK162" s="40"/>
      <c r="ML162" s="40"/>
      <c r="MM162" s="40"/>
      <c r="MN162" s="40"/>
      <c r="MO162" s="40"/>
      <c r="MP162" s="40"/>
      <c r="MQ162" s="40"/>
      <c r="MR162" s="40"/>
      <c r="MS162" s="40"/>
      <c r="MT162" s="40"/>
    </row>
    <row r="163" spans="1:358" x14ac:dyDescent="0.25">
      <c r="A163" s="9" t="s">
        <v>3</v>
      </c>
      <c r="B163" s="3">
        <v>15</v>
      </c>
      <c r="C163" s="40">
        <f>0.5032</f>
        <v>0.50319999999999998</v>
      </c>
      <c r="D163" s="41">
        <v>0</v>
      </c>
      <c r="E163" s="41">
        <f>17/29</f>
        <v>0.58620689655172409</v>
      </c>
      <c r="F163" s="40">
        <f>0.987</f>
        <v>0.98699999999999999</v>
      </c>
      <c r="G163" s="40">
        <f>1.023</f>
        <v>1.0229999999999999</v>
      </c>
      <c r="H163" s="40">
        <v>4.5999999999999996</v>
      </c>
      <c r="I163" s="37">
        <f t="shared" si="1"/>
        <v>29.127890612444531</v>
      </c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  <c r="IN163" s="40"/>
      <c r="IO163" s="40"/>
      <c r="IP163" s="40"/>
      <c r="IQ163" s="40"/>
      <c r="IR163" s="40"/>
      <c r="IS163" s="40"/>
      <c r="IT163" s="40"/>
      <c r="IU163" s="40"/>
      <c r="IV163" s="40"/>
      <c r="IW163" s="40"/>
      <c r="IX163" s="40"/>
      <c r="IY163" s="40"/>
      <c r="IZ163" s="40"/>
      <c r="JA163" s="40"/>
      <c r="JB163" s="40"/>
      <c r="JC163" s="40"/>
      <c r="JD163" s="40"/>
      <c r="JE163" s="40"/>
      <c r="JF163" s="40"/>
      <c r="JG163" s="40"/>
      <c r="JH163" s="40"/>
      <c r="JI163" s="40"/>
      <c r="JJ163" s="40"/>
      <c r="JK163" s="40"/>
      <c r="JL163" s="40"/>
      <c r="JM163" s="40"/>
      <c r="JN163" s="40"/>
      <c r="JO163" s="40"/>
      <c r="JP163" s="40"/>
      <c r="JQ163" s="40"/>
      <c r="JR163" s="40"/>
      <c r="JS163" s="40"/>
      <c r="JT163" s="40"/>
      <c r="JU163" s="40"/>
      <c r="JV163" s="40"/>
      <c r="JW163" s="40"/>
      <c r="JX163" s="40"/>
      <c r="JY163" s="40"/>
      <c r="JZ163" s="40"/>
      <c r="KA163" s="40"/>
      <c r="KB163" s="40"/>
      <c r="KC163" s="40"/>
      <c r="KD163" s="40"/>
      <c r="KE163" s="40"/>
      <c r="KF163" s="40"/>
      <c r="KG163" s="40"/>
      <c r="KH163" s="40"/>
      <c r="KI163" s="40"/>
      <c r="KJ163" s="40"/>
      <c r="KK163" s="40"/>
      <c r="KL163" s="40"/>
      <c r="KM163" s="40"/>
      <c r="KN163" s="40"/>
      <c r="KO163" s="40"/>
      <c r="KP163" s="40"/>
      <c r="KQ163" s="40"/>
      <c r="KR163" s="40"/>
      <c r="KS163" s="40"/>
      <c r="KT163" s="40"/>
      <c r="KU163" s="40"/>
      <c r="KV163" s="40"/>
      <c r="KW163" s="40"/>
      <c r="KX163" s="40"/>
      <c r="KY163" s="40"/>
      <c r="KZ163" s="40"/>
      <c r="LA163" s="40"/>
      <c r="LB163" s="40"/>
      <c r="LC163" s="40"/>
      <c r="LD163" s="40"/>
      <c r="LE163" s="40"/>
      <c r="LF163" s="40"/>
      <c r="LG163" s="40"/>
      <c r="LH163" s="40"/>
      <c r="LI163" s="40"/>
      <c r="LJ163" s="40"/>
      <c r="LK163" s="40"/>
      <c r="LL163" s="40"/>
      <c r="LM163" s="40"/>
      <c r="LN163" s="40"/>
      <c r="LO163" s="40"/>
      <c r="LP163" s="40"/>
      <c r="LQ163" s="40"/>
      <c r="LR163" s="40"/>
      <c r="LS163" s="40"/>
      <c r="LT163" s="40"/>
      <c r="LU163" s="40"/>
      <c r="LV163" s="40"/>
      <c r="LW163" s="40"/>
      <c r="LX163" s="40"/>
      <c r="LY163" s="40"/>
      <c r="LZ163" s="40"/>
      <c r="MA163" s="40"/>
      <c r="MB163" s="40"/>
      <c r="MC163" s="40"/>
      <c r="MD163" s="40"/>
      <c r="ME163" s="40"/>
      <c r="MF163" s="40"/>
      <c r="MG163" s="40"/>
      <c r="MH163" s="40"/>
      <c r="MI163" s="40"/>
      <c r="MJ163" s="40"/>
      <c r="MK163" s="40"/>
      <c r="ML163" s="40"/>
      <c r="MM163" s="40"/>
      <c r="MN163" s="40"/>
      <c r="MO163" s="40"/>
      <c r="MP163" s="40"/>
      <c r="MQ163" s="40"/>
      <c r="MR163" s="40"/>
      <c r="MS163" s="40"/>
      <c r="MT163" s="40"/>
    </row>
    <row r="164" spans="1:358" x14ac:dyDescent="0.25">
      <c r="A164" s="9" t="s">
        <v>71</v>
      </c>
      <c r="B164" s="16">
        <v>15</v>
      </c>
      <c r="C164" s="42">
        <v>0.5171</v>
      </c>
      <c r="D164" s="41">
        <f>0/1</f>
        <v>0</v>
      </c>
      <c r="E164" s="41">
        <f>20/33</f>
        <v>0.60606060606060608</v>
      </c>
      <c r="F164" s="42">
        <v>1.0129999999999999</v>
      </c>
      <c r="G164" s="42">
        <v>0.997</v>
      </c>
      <c r="H164" s="42">
        <v>-0.1</v>
      </c>
      <c r="I164" s="37">
        <f>C164*30+D164*20+E164*5+5/F164+G164*5+H164/5</f>
        <v>28.444137186275388</v>
      </c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  <c r="IN164" s="40"/>
      <c r="IO164" s="40"/>
      <c r="IP164" s="40"/>
      <c r="IQ164" s="40"/>
      <c r="IR164" s="40"/>
      <c r="IS164" s="40"/>
      <c r="IT164" s="40"/>
      <c r="IU164" s="40"/>
      <c r="IV164" s="40"/>
      <c r="IW164" s="40"/>
      <c r="IX164" s="40"/>
      <c r="IY164" s="40"/>
      <c r="IZ164" s="40"/>
      <c r="JA164" s="40"/>
      <c r="JB164" s="40"/>
      <c r="JC164" s="40"/>
      <c r="JD164" s="40"/>
      <c r="JE164" s="40"/>
      <c r="JF164" s="40"/>
      <c r="JG164" s="40"/>
      <c r="JH164" s="40"/>
      <c r="JI164" s="40"/>
      <c r="JJ164" s="40"/>
      <c r="JK164" s="40"/>
      <c r="JL164" s="40"/>
      <c r="JM164" s="40"/>
      <c r="JN164" s="40"/>
      <c r="JO164" s="40"/>
      <c r="JP164" s="40"/>
      <c r="JQ164" s="40"/>
      <c r="JR164" s="40"/>
      <c r="JS164" s="40"/>
      <c r="JT164" s="40"/>
      <c r="JU164" s="40"/>
      <c r="JV164" s="40"/>
      <c r="JW164" s="40"/>
      <c r="JX164" s="40"/>
      <c r="JY164" s="40"/>
      <c r="JZ164" s="40"/>
      <c r="KA164" s="40"/>
      <c r="KB164" s="40"/>
      <c r="KC164" s="40"/>
      <c r="KD164" s="40"/>
      <c r="KE164" s="40"/>
      <c r="KF164" s="40"/>
      <c r="KG164" s="40"/>
      <c r="KH164" s="40"/>
      <c r="KI164" s="40"/>
      <c r="KJ164" s="40"/>
      <c r="KK164" s="40"/>
      <c r="KL164" s="40"/>
      <c r="KM164" s="40"/>
      <c r="KN164" s="40"/>
      <c r="KO164" s="40"/>
      <c r="KP164" s="40"/>
      <c r="KQ164" s="40"/>
      <c r="KR164" s="40"/>
      <c r="KS164" s="40"/>
      <c r="KT164" s="40"/>
      <c r="KU164" s="40"/>
      <c r="KV164" s="40"/>
      <c r="KW164" s="40"/>
      <c r="KX164" s="40"/>
      <c r="KY164" s="40"/>
      <c r="KZ164" s="40"/>
      <c r="LA164" s="40"/>
      <c r="LB164" s="40"/>
      <c r="LC164" s="40"/>
      <c r="LD164" s="40"/>
      <c r="LE164" s="40"/>
      <c r="LF164" s="40"/>
      <c r="LG164" s="40"/>
      <c r="LH164" s="40"/>
      <c r="LI164" s="40"/>
      <c r="LJ164" s="40"/>
      <c r="LK164" s="40"/>
      <c r="LL164" s="40"/>
      <c r="LM164" s="40"/>
      <c r="LN164" s="40"/>
      <c r="LO164" s="40"/>
      <c r="LP164" s="40"/>
      <c r="LQ164" s="40"/>
      <c r="LR164" s="40"/>
      <c r="LS164" s="40"/>
      <c r="LT164" s="40"/>
      <c r="LU164" s="40"/>
      <c r="LV164" s="40"/>
      <c r="LW164" s="40"/>
      <c r="LX164" s="40"/>
      <c r="LY164" s="40"/>
      <c r="LZ164" s="40"/>
      <c r="MA164" s="40"/>
      <c r="MB164" s="40"/>
      <c r="MC164" s="40"/>
      <c r="MD164" s="40"/>
      <c r="ME164" s="40"/>
      <c r="MF164" s="40"/>
      <c r="MG164" s="40"/>
      <c r="MH164" s="40"/>
      <c r="MI164" s="40"/>
      <c r="MJ164" s="40"/>
      <c r="MK164" s="40"/>
      <c r="ML164" s="40"/>
      <c r="MM164" s="40"/>
      <c r="MN164" s="40"/>
      <c r="MO164" s="40"/>
      <c r="MP164" s="40"/>
      <c r="MQ164" s="40"/>
      <c r="MR164" s="40"/>
      <c r="MS164" s="40"/>
      <c r="MT164" s="40"/>
    </row>
    <row r="165" spans="1:358" x14ac:dyDescent="0.25">
      <c r="A165" s="9" t="s">
        <v>7</v>
      </c>
      <c r="B165" s="3">
        <v>16</v>
      </c>
      <c r="C165" s="40">
        <f>0.4898</f>
        <v>0.48980000000000001</v>
      </c>
      <c r="D165" s="41">
        <v>0</v>
      </c>
      <c r="E165" s="41">
        <f>18/32</f>
        <v>0.5625</v>
      </c>
      <c r="F165" s="40">
        <f>0.978</f>
        <v>0.97799999999999998</v>
      </c>
      <c r="G165" s="40">
        <f>1.007</f>
        <v>1.0069999999999999</v>
      </c>
      <c r="H165" s="40">
        <v>1.9</v>
      </c>
      <c r="I165" s="37">
        <f t="shared" si="1"/>
        <v>28.033974437627812</v>
      </c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  <c r="IN165" s="40"/>
      <c r="IO165" s="40"/>
      <c r="IP165" s="40"/>
      <c r="IQ165" s="40"/>
      <c r="IR165" s="40"/>
      <c r="IS165" s="40"/>
      <c r="IT165" s="40"/>
      <c r="IU165" s="40"/>
      <c r="IV165" s="40"/>
      <c r="IW165" s="40"/>
      <c r="IX165" s="40"/>
      <c r="IY165" s="40"/>
      <c r="IZ165" s="40"/>
      <c r="JA165" s="40"/>
      <c r="JB165" s="40"/>
      <c r="JC165" s="40"/>
      <c r="JD165" s="40"/>
      <c r="JE165" s="40"/>
      <c r="JF165" s="40"/>
      <c r="JG165" s="40"/>
      <c r="JH165" s="40"/>
      <c r="JI165" s="40"/>
      <c r="JJ165" s="40"/>
      <c r="JK165" s="40"/>
      <c r="JL165" s="40"/>
      <c r="JM165" s="40"/>
      <c r="JN165" s="40"/>
      <c r="JO165" s="40"/>
      <c r="JP165" s="40"/>
      <c r="JQ165" s="40"/>
      <c r="JR165" s="40"/>
      <c r="JS165" s="40"/>
      <c r="JT165" s="40"/>
      <c r="JU165" s="40"/>
      <c r="JV165" s="40"/>
      <c r="JW165" s="40"/>
      <c r="JX165" s="40"/>
      <c r="JY165" s="40"/>
      <c r="JZ165" s="40"/>
      <c r="KA165" s="40"/>
      <c r="KB165" s="40"/>
      <c r="KC165" s="40"/>
      <c r="KD165" s="40"/>
      <c r="KE165" s="40"/>
      <c r="KF165" s="40"/>
      <c r="KG165" s="40"/>
      <c r="KH165" s="40"/>
      <c r="KI165" s="40"/>
      <c r="KJ165" s="40"/>
      <c r="KK165" s="40"/>
      <c r="KL165" s="40"/>
      <c r="KM165" s="40"/>
      <c r="KN165" s="40"/>
      <c r="KO165" s="40"/>
      <c r="KP165" s="40"/>
      <c r="KQ165" s="40"/>
      <c r="KR165" s="40"/>
      <c r="KS165" s="40"/>
      <c r="KT165" s="40"/>
      <c r="KU165" s="40"/>
      <c r="KV165" s="40"/>
      <c r="KW165" s="40"/>
      <c r="KX165" s="40"/>
      <c r="KY165" s="40"/>
      <c r="KZ165" s="40"/>
      <c r="LA165" s="40"/>
      <c r="LB165" s="40"/>
      <c r="LC165" s="40"/>
      <c r="LD165" s="40"/>
      <c r="LE165" s="40"/>
      <c r="LF165" s="40"/>
      <c r="LG165" s="40"/>
      <c r="LH165" s="40"/>
      <c r="LI165" s="40"/>
      <c r="LJ165" s="40"/>
      <c r="LK165" s="40"/>
      <c r="LL165" s="40"/>
      <c r="LM165" s="40"/>
      <c r="LN165" s="40"/>
      <c r="LO165" s="40"/>
      <c r="LP165" s="40"/>
      <c r="LQ165" s="40"/>
      <c r="LR165" s="40"/>
      <c r="LS165" s="40"/>
      <c r="LT165" s="40"/>
      <c r="LU165" s="40"/>
      <c r="LV165" s="40"/>
      <c r="LW165" s="40"/>
      <c r="LX165" s="40"/>
      <c r="LY165" s="40"/>
      <c r="LZ165" s="40"/>
      <c r="MA165" s="40"/>
      <c r="MB165" s="40"/>
      <c r="MC165" s="40"/>
      <c r="MD165" s="40"/>
      <c r="ME165" s="40"/>
      <c r="MF165" s="40"/>
      <c r="MG165" s="40"/>
      <c r="MH165" s="40"/>
      <c r="MI165" s="40"/>
      <c r="MJ165" s="40"/>
      <c r="MK165" s="40"/>
      <c r="ML165" s="40"/>
      <c r="MM165" s="40"/>
      <c r="MN165" s="40"/>
      <c r="MO165" s="40"/>
      <c r="MP165" s="40"/>
      <c r="MQ165" s="40"/>
      <c r="MR165" s="40"/>
      <c r="MS165" s="40"/>
      <c r="MT165" s="40"/>
    </row>
    <row r="166" spans="1:358" x14ac:dyDescent="0.25">
      <c r="A166" s="9" t="s">
        <v>72</v>
      </c>
      <c r="B166" s="16">
        <v>16</v>
      </c>
      <c r="C166" s="42">
        <v>0.50690000000000002</v>
      </c>
      <c r="D166" s="41">
        <f>0/2</f>
        <v>0</v>
      </c>
      <c r="E166" s="41">
        <f>17/28</f>
        <v>0.6071428571428571</v>
      </c>
      <c r="F166" s="42">
        <v>1.032</v>
      </c>
      <c r="G166" s="42">
        <v>1.0820000000000001</v>
      </c>
      <c r="H166" s="40">
        <v>6.2</v>
      </c>
      <c r="I166" s="37">
        <f t="shared" si="1"/>
        <v>29.737675526024361</v>
      </c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  <c r="IN166" s="40"/>
      <c r="IO166" s="40"/>
      <c r="IP166" s="40"/>
      <c r="IQ166" s="40"/>
      <c r="IR166" s="40"/>
      <c r="IS166" s="40"/>
      <c r="IT166" s="40"/>
      <c r="IU166" s="40"/>
      <c r="IV166" s="40"/>
      <c r="IW166" s="40"/>
      <c r="IX166" s="40"/>
      <c r="IY166" s="40"/>
      <c r="IZ166" s="40"/>
      <c r="JA166" s="40"/>
      <c r="JB166" s="40"/>
      <c r="JC166" s="40"/>
      <c r="JD166" s="40"/>
      <c r="JE166" s="40"/>
      <c r="JF166" s="40"/>
      <c r="JG166" s="40"/>
      <c r="JH166" s="40"/>
      <c r="JI166" s="40"/>
      <c r="JJ166" s="40"/>
      <c r="JK166" s="40"/>
      <c r="JL166" s="40"/>
      <c r="JM166" s="40"/>
      <c r="JN166" s="40"/>
      <c r="JO166" s="40"/>
      <c r="JP166" s="40"/>
      <c r="JQ166" s="40"/>
      <c r="JR166" s="40"/>
      <c r="JS166" s="40"/>
      <c r="JT166" s="40"/>
      <c r="JU166" s="40"/>
      <c r="JV166" s="40"/>
      <c r="JW166" s="40"/>
      <c r="JX166" s="40"/>
      <c r="JY166" s="40"/>
      <c r="JZ166" s="40"/>
      <c r="KA166" s="40"/>
      <c r="KB166" s="40"/>
      <c r="KC166" s="40"/>
      <c r="KD166" s="40"/>
      <c r="KE166" s="40"/>
      <c r="KF166" s="40"/>
      <c r="KG166" s="40"/>
      <c r="KH166" s="40"/>
      <c r="KI166" s="40"/>
      <c r="KJ166" s="40"/>
      <c r="KK166" s="40"/>
      <c r="KL166" s="40"/>
      <c r="KM166" s="40"/>
      <c r="KN166" s="40"/>
      <c r="KO166" s="40"/>
      <c r="KP166" s="40"/>
      <c r="KQ166" s="40"/>
      <c r="KR166" s="40"/>
      <c r="KS166" s="40"/>
      <c r="KT166" s="40"/>
      <c r="KU166" s="40"/>
      <c r="KV166" s="40"/>
      <c r="KW166" s="40"/>
      <c r="KX166" s="40"/>
      <c r="KY166" s="40"/>
      <c r="KZ166" s="40"/>
      <c r="LA166" s="40"/>
      <c r="LB166" s="40"/>
      <c r="LC166" s="40"/>
      <c r="LD166" s="40"/>
      <c r="LE166" s="40"/>
      <c r="LF166" s="40"/>
      <c r="LG166" s="40"/>
      <c r="LH166" s="40"/>
      <c r="LI166" s="40"/>
      <c r="LJ166" s="40"/>
      <c r="LK166" s="40"/>
      <c r="LL166" s="40"/>
      <c r="LM166" s="40"/>
      <c r="LN166" s="40"/>
      <c r="LO166" s="40"/>
      <c r="LP166" s="40"/>
      <c r="LQ166" s="40"/>
      <c r="LR166" s="40"/>
      <c r="LS166" s="40"/>
      <c r="LT166" s="40"/>
      <c r="LU166" s="40"/>
      <c r="LV166" s="40"/>
      <c r="LW166" s="40"/>
      <c r="LX166" s="40"/>
      <c r="LY166" s="40"/>
      <c r="LZ166" s="40"/>
      <c r="MA166" s="40"/>
      <c r="MB166" s="40"/>
      <c r="MC166" s="40"/>
      <c r="MD166" s="40"/>
      <c r="ME166" s="40"/>
      <c r="MF166" s="40"/>
      <c r="MG166" s="40"/>
      <c r="MH166" s="40"/>
      <c r="MI166" s="40"/>
      <c r="MJ166" s="40"/>
      <c r="MK166" s="40"/>
      <c r="ML166" s="40"/>
      <c r="MM166" s="40"/>
      <c r="MN166" s="40"/>
      <c r="MO166" s="40"/>
      <c r="MP166" s="40"/>
      <c r="MQ166" s="40"/>
      <c r="MR166" s="40"/>
      <c r="MS166" s="40"/>
      <c r="MT166" s="40"/>
    </row>
    <row r="167" spans="1:358" x14ac:dyDescent="0.25">
      <c r="A167" s="9" t="s">
        <v>73</v>
      </c>
      <c r="B167" s="16">
        <v>16</v>
      </c>
      <c r="C167" s="42">
        <v>0.4783</v>
      </c>
      <c r="D167" s="41">
        <f>0/4</f>
        <v>0</v>
      </c>
      <c r="E167" s="41">
        <f>11/30</f>
        <v>0.36666666666666664</v>
      </c>
      <c r="F167" s="42">
        <v>1.04</v>
      </c>
      <c r="G167" s="42">
        <v>0.99099999999999999</v>
      </c>
      <c r="H167" s="42">
        <v>-0.6</v>
      </c>
      <c r="I167" s="37">
        <f t="shared" si="1"/>
        <v>25.825025641025636</v>
      </c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  <c r="IN167" s="40"/>
      <c r="IO167" s="40"/>
      <c r="IP167" s="40"/>
      <c r="IQ167" s="40"/>
      <c r="IR167" s="40"/>
      <c r="IS167" s="40"/>
      <c r="IT167" s="40"/>
      <c r="IU167" s="40"/>
      <c r="IV167" s="40"/>
      <c r="IW167" s="40"/>
      <c r="IX167" s="40"/>
      <c r="IY167" s="40"/>
      <c r="IZ167" s="40"/>
      <c r="JA167" s="40"/>
      <c r="JB167" s="40"/>
      <c r="JC167" s="40"/>
      <c r="JD167" s="40"/>
      <c r="JE167" s="40"/>
      <c r="JF167" s="40"/>
      <c r="JG167" s="40"/>
      <c r="JH167" s="40"/>
      <c r="JI167" s="40"/>
      <c r="JJ167" s="40"/>
      <c r="JK167" s="40"/>
      <c r="JL167" s="40"/>
      <c r="JM167" s="40"/>
      <c r="JN167" s="40"/>
      <c r="JO167" s="40"/>
      <c r="JP167" s="40"/>
      <c r="JQ167" s="40"/>
      <c r="JR167" s="40"/>
      <c r="JS167" s="40"/>
      <c r="JT167" s="40"/>
      <c r="JU167" s="40"/>
      <c r="JV167" s="40"/>
      <c r="JW167" s="40"/>
      <c r="JX167" s="40"/>
      <c r="JY167" s="40"/>
      <c r="JZ167" s="40"/>
      <c r="KA167" s="40"/>
      <c r="KB167" s="40"/>
      <c r="KC167" s="40"/>
      <c r="KD167" s="40"/>
      <c r="KE167" s="40"/>
      <c r="KF167" s="40"/>
      <c r="KG167" s="40"/>
      <c r="KH167" s="40"/>
      <c r="KI167" s="40"/>
      <c r="KJ167" s="40"/>
      <c r="KK167" s="40"/>
      <c r="KL167" s="40"/>
      <c r="KM167" s="40"/>
      <c r="KN167" s="40"/>
      <c r="KO167" s="40"/>
      <c r="KP167" s="40"/>
      <c r="KQ167" s="40"/>
      <c r="KR167" s="40"/>
      <c r="KS167" s="40"/>
      <c r="KT167" s="40"/>
      <c r="KU167" s="40"/>
      <c r="KV167" s="40"/>
      <c r="KW167" s="40"/>
      <c r="KX167" s="40"/>
      <c r="KY167" s="40"/>
      <c r="KZ167" s="40"/>
      <c r="LA167" s="40"/>
      <c r="LB167" s="40"/>
      <c r="LC167" s="40"/>
      <c r="LD167" s="40"/>
      <c r="LE167" s="40"/>
      <c r="LF167" s="40"/>
      <c r="LG167" s="40"/>
      <c r="LH167" s="40"/>
      <c r="LI167" s="40"/>
      <c r="LJ167" s="40"/>
      <c r="LK167" s="40"/>
      <c r="LL167" s="40"/>
      <c r="LM167" s="40"/>
      <c r="LN167" s="40"/>
      <c r="LO167" s="40"/>
      <c r="LP167" s="40"/>
      <c r="LQ167" s="40"/>
      <c r="LR167" s="40"/>
      <c r="LS167" s="40"/>
      <c r="LT167" s="40"/>
      <c r="LU167" s="40"/>
      <c r="LV167" s="40"/>
      <c r="LW167" s="40"/>
      <c r="LX167" s="40"/>
      <c r="LY167" s="40"/>
      <c r="LZ167" s="40"/>
      <c r="MA167" s="40"/>
      <c r="MB167" s="40"/>
      <c r="MC167" s="40"/>
      <c r="MD167" s="40"/>
      <c r="ME167" s="40"/>
      <c r="MF167" s="40"/>
      <c r="MG167" s="40"/>
      <c r="MH167" s="40"/>
      <c r="MI167" s="40"/>
      <c r="MJ167" s="40"/>
      <c r="MK167" s="40"/>
      <c r="ML167" s="40"/>
      <c r="MM167" s="40"/>
      <c r="MN167" s="40"/>
      <c r="MO167" s="40"/>
      <c r="MP167" s="40"/>
      <c r="MQ167" s="40"/>
      <c r="MR167" s="40"/>
      <c r="MS167" s="40"/>
      <c r="MT167" s="40"/>
    </row>
    <row r="168" spans="1:358" x14ac:dyDescent="0.25">
      <c r="A168" s="13" t="s">
        <v>74</v>
      </c>
      <c r="B168" s="14">
        <v>16</v>
      </c>
      <c r="C168" s="43">
        <v>0.4854</v>
      </c>
      <c r="D168" s="44">
        <f>0/1</f>
        <v>0</v>
      </c>
      <c r="E168" s="44">
        <f>18/30</f>
        <v>0.6</v>
      </c>
      <c r="F168" s="43">
        <v>0.97299999999999998</v>
      </c>
      <c r="G168" s="43">
        <v>0.98899999999999999</v>
      </c>
      <c r="H168" s="43">
        <v>3.9</v>
      </c>
      <c r="I168" s="39">
        <f t="shared" si="1"/>
        <v>28.425746145940391</v>
      </c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  <c r="IN168" s="40"/>
      <c r="IO168" s="40"/>
      <c r="IP168" s="40"/>
      <c r="IQ168" s="40"/>
      <c r="IR168" s="40"/>
      <c r="IS168" s="40"/>
      <c r="IT168" s="40"/>
      <c r="IU168" s="40"/>
      <c r="IV168" s="40"/>
      <c r="IW168" s="40"/>
      <c r="IX168" s="40"/>
      <c r="IY168" s="40"/>
      <c r="IZ168" s="40"/>
      <c r="JA168" s="40"/>
      <c r="JB168" s="40"/>
      <c r="JC168" s="40"/>
      <c r="JD168" s="40"/>
      <c r="JE168" s="40"/>
      <c r="JF168" s="40"/>
      <c r="JG168" s="40"/>
      <c r="JH168" s="40"/>
      <c r="JI168" s="40"/>
      <c r="JJ168" s="40"/>
      <c r="JK168" s="40"/>
      <c r="JL168" s="40"/>
      <c r="JM168" s="40"/>
      <c r="JN168" s="40"/>
      <c r="JO168" s="40"/>
      <c r="JP168" s="40"/>
      <c r="JQ168" s="40"/>
      <c r="JR168" s="40"/>
      <c r="JS168" s="40"/>
      <c r="JT168" s="40"/>
      <c r="JU168" s="40"/>
      <c r="JV168" s="40"/>
      <c r="JW168" s="40"/>
      <c r="JX168" s="40"/>
      <c r="JY168" s="40"/>
      <c r="JZ168" s="40"/>
      <c r="KA168" s="40"/>
      <c r="KB168" s="40"/>
      <c r="KC168" s="40"/>
      <c r="KD168" s="40"/>
      <c r="KE168" s="40"/>
      <c r="KF168" s="40"/>
      <c r="KG168" s="40"/>
      <c r="KH168" s="40"/>
      <c r="KI168" s="40"/>
      <c r="KJ168" s="40"/>
      <c r="KK168" s="40"/>
      <c r="KL168" s="40"/>
      <c r="KM168" s="40"/>
      <c r="KN168" s="40"/>
      <c r="KO168" s="40"/>
      <c r="KP168" s="40"/>
      <c r="KQ168" s="40"/>
      <c r="KR168" s="40"/>
      <c r="KS168" s="40"/>
      <c r="KT168" s="40"/>
      <c r="KU168" s="40"/>
      <c r="KV168" s="40"/>
      <c r="KW168" s="40"/>
      <c r="KX168" s="40"/>
      <c r="KY168" s="40"/>
      <c r="KZ168" s="40"/>
      <c r="LA168" s="40"/>
      <c r="LB168" s="40"/>
      <c r="LC168" s="40"/>
      <c r="LD168" s="40"/>
      <c r="LE168" s="40"/>
      <c r="LF168" s="40"/>
      <c r="LG168" s="40"/>
      <c r="LH168" s="40"/>
      <c r="LI168" s="40"/>
      <c r="LJ168" s="40"/>
      <c r="LK168" s="40"/>
      <c r="LL168" s="40"/>
      <c r="LM168" s="40"/>
      <c r="LN168" s="40"/>
      <c r="LO168" s="40"/>
      <c r="LP168" s="40"/>
      <c r="LQ168" s="40"/>
      <c r="LR168" s="40"/>
      <c r="LS168" s="40"/>
      <c r="LT168" s="40"/>
      <c r="LU168" s="40"/>
      <c r="LV168" s="40"/>
      <c r="LW168" s="40"/>
      <c r="LX168" s="40"/>
      <c r="LY168" s="40"/>
      <c r="LZ168" s="40"/>
      <c r="MA168" s="40"/>
      <c r="MB168" s="40"/>
      <c r="MC168" s="40"/>
      <c r="MD168" s="40"/>
      <c r="ME168" s="40"/>
      <c r="MF168" s="40"/>
      <c r="MG168" s="40"/>
      <c r="MH168" s="40"/>
      <c r="MI168" s="40"/>
      <c r="MJ168" s="40"/>
      <c r="MK168" s="40"/>
      <c r="ML168" s="40"/>
      <c r="MM168" s="40"/>
      <c r="MN168" s="40"/>
      <c r="MO168" s="40"/>
      <c r="MP168" s="40"/>
      <c r="MQ168" s="40"/>
      <c r="MR168" s="40"/>
      <c r="MS168" s="40"/>
      <c r="MT168" s="40"/>
    </row>
    <row r="169" spans="1:358" x14ac:dyDescent="0.25"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  <c r="IN169" s="40"/>
      <c r="IO169" s="40"/>
      <c r="IP169" s="40"/>
      <c r="IQ169" s="40"/>
      <c r="IR169" s="40"/>
      <c r="IS169" s="40"/>
      <c r="IT169" s="40"/>
      <c r="IU169" s="40"/>
      <c r="IV169" s="40"/>
      <c r="IW169" s="40"/>
      <c r="IX169" s="40"/>
      <c r="IY169" s="40"/>
      <c r="IZ169" s="40"/>
      <c r="JA169" s="40"/>
      <c r="JB169" s="40"/>
      <c r="JC169" s="40"/>
      <c r="JD169" s="40"/>
      <c r="JE169" s="40"/>
      <c r="JF169" s="40"/>
      <c r="JG169" s="40"/>
      <c r="JH169" s="40"/>
      <c r="JI169" s="40"/>
      <c r="JJ169" s="40"/>
      <c r="JK169" s="40"/>
      <c r="JL169" s="40"/>
      <c r="JM169" s="40"/>
      <c r="JN169" s="40"/>
      <c r="JO169" s="40"/>
      <c r="JP169" s="40"/>
      <c r="JQ169" s="40"/>
      <c r="JR169" s="40"/>
      <c r="JS169" s="40"/>
      <c r="JT169" s="40"/>
      <c r="JU169" s="40"/>
      <c r="JV169" s="40"/>
      <c r="JW169" s="40"/>
      <c r="JX169" s="40"/>
      <c r="JY169" s="40"/>
      <c r="JZ169" s="40"/>
      <c r="KA169" s="40"/>
      <c r="KB169" s="40"/>
      <c r="KC169" s="40"/>
      <c r="KD169" s="40"/>
      <c r="KE169" s="40"/>
      <c r="KF169" s="40"/>
      <c r="KG169" s="40"/>
      <c r="KH169" s="40"/>
      <c r="KI169" s="40"/>
      <c r="KJ169" s="40"/>
      <c r="KK169" s="40"/>
      <c r="KL169" s="40"/>
      <c r="KM169" s="40"/>
      <c r="KN169" s="40"/>
      <c r="KO169" s="40"/>
      <c r="KP169" s="40"/>
      <c r="KQ169" s="40"/>
      <c r="KR169" s="40"/>
      <c r="KS169" s="40"/>
      <c r="KT169" s="40"/>
      <c r="KU169" s="40"/>
      <c r="KV169" s="40"/>
      <c r="KW169" s="40"/>
      <c r="KX169" s="40"/>
      <c r="KY169" s="40"/>
      <c r="KZ169" s="40"/>
      <c r="LA169" s="40"/>
      <c r="LB169" s="40"/>
      <c r="LC169" s="40"/>
      <c r="LD169" s="40"/>
      <c r="LE169" s="40"/>
      <c r="LF169" s="40"/>
      <c r="LG169" s="40"/>
      <c r="LH169" s="40"/>
      <c r="LI169" s="40"/>
      <c r="LJ169" s="40"/>
      <c r="LK169" s="40"/>
      <c r="LL169" s="40"/>
      <c r="LM169" s="40"/>
      <c r="LN169" s="40"/>
      <c r="LO169" s="40"/>
      <c r="LP169" s="40"/>
      <c r="LQ169" s="40"/>
      <c r="LR169" s="40"/>
      <c r="LS169" s="40"/>
      <c r="LT169" s="40"/>
      <c r="LU169" s="40"/>
      <c r="LV169" s="40"/>
      <c r="LW169" s="40"/>
      <c r="LX169" s="40"/>
      <c r="LY169" s="40"/>
      <c r="LZ169" s="40"/>
      <c r="MA169" s="40"/>
      <c r="MB169" s="40"/>
      <c r="MC169" s="40"/>
      <c r="MD169" s="40"/>
      <c r="ME169" s="40"/>
      <c r="MF169" s="40"/>
      <c r="MG169" s="40"/>
      <c r="MH169" s="40"/>
      <c r="MI169" s="40"/>
      <c r="MJ169" s="40"/>
      <c r="MK169" s="40"/>
      <c r="ML169" s="40"/>
      <c r="MM169" s="40"/>
      <c r="MN169" s="40"/>
      <c r="MO169" s="40"/>
      <c r="MP169" s="40"/>
      <c r="MQ169" s="40"/>
      <c r="MR169" s="40"/>
      <c r="MS169" s="40"/>
      <c r="MT169" s="40"/>
    </row>
  </sheetData>
  <mergeCells count="38">
    <mergeCell ref="AF32:AI32"/>
    <mergeCell ref="AJ32:AM32"/>
    <mergeCell ref="D32:G32"/>
    <mergeCell ref="H32:K32"/>
    <mergeCell ref="L32:O32"/>
    <mergeCell ref="P32:S32"/>
    <mergeCell ref="B74:B77"/>
    <mergeCell ref="BL32:BO32"/>
    <mergeCell ref="B34:B37"/>
    <mergeCell ref="B38:B41"/>
    <mergeCell ref="B42:B45"/>
    <mergeCell ref="B46:B49"/>
    <mergeCell ref="B50:B53"/>
    <mergeCell ref="AN32:AQ32"/>
    <mergeCell ref="AR32:AU32"/>
    <mergeCell ref="AV32:AY32"/>
    <mergeCell ref="AZ32:BC32"/>
    <mergeCell ref="BD32:BG32"/>
    <mergeCell ref="BH32:BK32"/>
    <mergeCell ref="T32:W32"/>
    <mergeCell ref="X32:AA32"/>
    <mergeCell ref="AB32:AE32"/>
    <mergeCell ref="A4:D5"/>
    <mergeCell ref="B31:C33"/>
    <mergeCell ref="C103:E103"/>
    <mergeCell ref="F103:G103"/>
    <mergeCell ref="I103:I104"/>
    <mergeCell ref="C102:H102"/>
    <mergeCell ref="B78:B81"/>
    <mergeCell ref="B82:B85"/>
    <mergeCell ref="B86:B89"/>
    <mergeCell ref="B90:B93"/>
    <mergeCell ref="B94:B97"/>
    <mergeCell ref="B54:B57"/>
    <mergeCell ref="B58:B61"/>
    <mergeCell ref="B62:B65"/>
    <mergeCell ref="B66:B69"/>
    <mergeCell ref="B70:B73"/>
  </mergeCells>
  <conditionalFormatting sqref="A34:BO97">
    <cfRule type="expression" dxfId="5" priority="8">
      <formula>MOD(ROW(),2)=0</formula>
    </cfRule>
  </conditionalFormatting>
  <conditionalFormatting sqref="D32:BO97">
    <cfRule type="expression" dxfId="4" priority="7">
      <formula>MOD(COLUMN(),2)=1</formula>
    </cfRule>
  </conditionalFormatting>
  <conditionalFormatting sqref="A105:B168 I105:I168">
    <cfRule type="expression" dxfId="133" priority="6">
      <formula>MOD(ROW(),2)=0</formula>
    </cfRule>
  </conditionalFormatting>
  <conditionalFormatting sqref="XFD35">
    <cfRule type="expression" dxfId="132" priority="5">
      <formula>MOD(ROW(),2)=0</formula>
    </cfRule>
  </conditionalFormatting>
  <conditionalFormatting sqref="XFD35">
    <cfRule type="expression" dxfId="131" priority="4">
      <formula>MOD(COLUMN(),2)=1</formula>
    </cfRule>
  </conditionalFormatting>
  <conditionalFormatting sqref="C105:H128">
    <cfRule type="expression" dxfId="130" priority="3">
      <formula>MOD(ROW(),2)=0</formula>
    </cfRule>
  </conditionalFormatting>
  <conditionalFormatting sqref="C129:H148">
    <cfRule type="expression" dxfId="129" priority="2">
      <formula>MOD(ROW(),2)=0</formula>
    </cfRule>
  </conditionalFormatting>
  <conditionalFormatting sqref="C149:H168">
    <cfRule type="expression" dxfId="128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 Template</vt:lpstr>
    </vt:vector>
  </TitlesOfParts>
  <Company>CAEN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Bovbjerg, Mattheus</dc:creator>
  <cp:lastModifiedBy>Bovbjerg, Mattheus</cp:lastModifiedBy>
  <dcterms:created xsi:type="dcterms:W3CDTF">2014-03-19T16:05:11Z</dcterms:created>
  <dcterms:modified xsi:type="dcterms:W3CDTF">2014-04-19T23:37:47Z</dcterms:modified>
</cp:coreProperties>
</file>